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822" firstSheet="1" activeTab="2"/>
  </bookViews>
  <sheets>
    <sheet name="SS" sheetId="46" state="hidden" r:id="rId1"/>
    <sheet name="LCNT2" sheetId="48" r:id="rId2"/>
    <sheet name="BCKTKT" sheetId="49" r:id="rId3"/>
    <sheet name="LCNT" sheetId="47" state="hidden" r:id="rId4"/>
    <sheet name="Tong du toan" sheetId="44" state="hidden" r:id="rId5"/>
    <sheet name="Chi phi xay lap" sheetId="45" state="hidden" r:id="rId6"/>
    <sheet name="Du toan chi tiet" sheetId="1" state="hidden" r:id="rId7"/>
    <sheet name="Phan tich don gia" sheetId="24" state="hidden" r:id="rId8"/>
    <sheet name="Giá VL" sheetId="2" state="hidden" r:id="rId9"/>
    <sheet name="THVL" sheetId="3" state="hidden" r:id="rId10"/>
    <sheet name="Cước ô tô" sheetId="4" state="hidden" r:id="rId11"/>
    <sheet name="Cước ô tô mới" sheetId="5" state="hidden" r:id="rId12"/>
    <sheet name="Cước sông" sheetId="6" state="hidden" r:id="rId13"/>
    <sheet name="Cước TC" sheetId="7" state="hidden" r:id="rId14"/>
    <sheet name="Giá NC" sheetId="8" state="hidden" r:id="rId15"/>
    <sheet name="THNC" sheetId="9" state="hidden" r:id="rId16"/>
    <sheet name="Tính giá NC" sheetId="10" state="hidden" r:id="rId17"/>
    <sheet name="Giá Máy" sheetId="11" state="hidden" r:id="rId18"/>
    <sheet name="Tra định mức" sheetId="37" state="hidden" r:id="rId19"/>
    <sheet name="THM" sheetId="12" state="hidden" r:id="rId20"/>
    <sheet name="Bù giá CM" sheetId="13" state="hidden" r:id="rId21"/>
    <sheet name="Tính giá CM" sheetId="14" state="hidden" r:id="rId22"/>
    <sheet name="THNL" sheetId="15" state="hidden" r:id="rId23"/>
    <sheet name="THTL" sheetId="16" state="hidden" r:id="rId24"/>
    <sheet name="THKPHM" sheetId="17" state="hidden" r:id="rId25"/>
    <sheet name="THKP_TT11_2021" sheetId="18" state="hidden" r:id="rId26"/>
    <sheet name="Chiết tính" sheetId="19" state="hidden" r:id="rId27"/>
    <sheet name="ĐGTH" sheetId="20" state="hidden" r:id="rId28"/>
    <sheet name="Tổng hợp VT" sheetId="21" state="hidden" r:id="rId29"/>
    <sheet name="Tổng hợp VT công trình" sheetId="22" state="hidden" r:id="rId30"/>
    <sheet name="GGTXD" sheetId="23" state="hidden" r:id="rId31"/>
    <sheet name="THDGDT" sheetId="25" state="hidden" r:id="rId32"/>
    <sheet name="THCPXD" sheetId="26" state="hidden" r:id="rId33"/>
    <sheet name="THCPTB" sheetId="27" state="hidden" r:id="rId34"/>
    <sheet name="HM chung" sheetId="28" state="hidden" r:id="rId35"/>
    <sheet name="Bìa ngoài" sheetId="29" state="hidden" r:id="rId36"/>
    <sheet name="Bìa trong" sheetId="30" state="hidden" r:id="rId37"/>
    <sheet name="Thuyết minh" sheetId="31" state="hidden" r:id="rId38"/>
    <sheet name="Thông tin" sheetId="32" state="hidden" r:id="rId39"/>
    <sheet name="Nội suy" sheetId="33" state="hidden" r:id="rId40"/>
    <sheet name="Chiết tính rút gọn" sheetId="34" state="hidden" r:id="rId41"/>
    <sheet name="ĐGTH rút gọn" sheetId="35" state="hidden" r:id="rId42"/>
    <sheet name="Giá vữa" sheetId="36" state="hidden" r:id="rId43"/>
    <sheet name="QT_PL08b" sheetId="38" state="hidden" r:id="rId44"/>
    <sheet name="QT_PL03a" sheetId="39" state="hidden" r:id="rId45"/>
    <sheet name="QT_PL03b" sheetId="40" state="hidden" r:id="rId46"/>
    <sheet name="QT_PL04" sheetId="41" state="hidden" r:id="rId47"/>
    <sheet name="QT_PL05" sheetId="42" state="hidden" r:id="rId48"/>
    <sheet name="QT_PL06" sheetId="43" state="hidden" r:id="rId49"/>
  </sheets>
  <externalReferences>
    <externalReference r:id="rId50"/>
  </externalReferences>
  <definedNames>
    <definedName name="BGCM_GiaGoc_D_1">'Bù giá CM'!$Q$10</definedName>
    <definedName name="BGCM_GiaGoc_Đ_1">'Bù giá CM'!$Q$8</definedName>
    <definedName name="BGCM_GiaGoc_N4307_1">'Bù giá CM'!$Q$6</definedName>
    <definedName name="BGCM_GiaGoc_N4407_1">'Bù giá CM'!$Q$9</definedName>
    <definedName name="BGCM_GiaGoc_N4507_1">'Bù giá CM'!$Q$14</definedName>
    <definedName name="BGCM_GiaGoc_N4607_1">'Bù giá CM'!$Q$7</definedName>
    <definedName name="BGCM_GiaGoc_NLX414_1">'Bù giá CM'!$Q$12</definedName>
    <definedName name="BGCM_GiaGoc_NLX424_1">'Bù giá CM'!$Q$15</definedName>
    <definedName name="BGCM_GiaGoc_NLX434_1">'Bù giá CM'!$Q$13</definedName>
    <definedName name="BGCM_GiaGoc_X_1">'Bù giá CM'!$Q$11</definedName>
    <definedName name="BGCM_GiaHT_D_1">'Bù giá CM'!$R$10</definedName>
    <definedName name="BGCM_GiaHT_Đ_1">'Bù giá CM'!$R$8</definedName>
    <definedName name="BGCM_GiaHT_N4307_1">'Bù giá CM'!$R$6</definedName>
    <definedName name="BGCM_GiaHT_N4407_1">'Bù giá CM'!$R$9</definedName>
    <definedName name="BGCM_GiaHT_N4507_1">'Bù giá CM'!$R$14</definedName>
    <definedName name="BGCM_GiaHT_N4607_1">'Bù giá CM'!$R$7</definedName>
    <definedName name="BGCM_GiaHT_NLX414_1">'Bù giá CM'!$R$12</definedName>
    <definedName name="BGCM_GiaHT_NLX424_1">'Bù giá CM'!$R$15</definedName>
    <definedName name="BGCM_GiaHT_NLX434_1">'Bù giá CM'!$R$13</definedName>
    <definedName name="BGCM_GiaHT_X_1">'Bù giá CM'!$R$11</definedName>
    <definedName name="BocLen">[1]CauHinh!$M$75:$M$87</definedName>
    <definedName name="BocXuong">[1]CauHinh!$N$79:$N$87</definedName>
    <definedName name="capCongTrinh">'Tra định mức'!$B$229:$B$233</definedName>
    <definedName name="CuocTC588s">[1]CauHinh!$B$3:$B$14</definedName>
    <definedName name="DiaHinh">[1]CauHinh!$D$21:$D$23</definedName>
    <definedName name="DoDoc">[1]CauHinh!$B$21:$B$26</definedName>
    <definedName name="loaiCongTrinh">'Tra định mức'!$B$48:$B$52</definedName>
    <definedName name="LoaiDuongs">[1]CauHinh!$B$1:$G$1</definedName>
    <definedName name="loaiThietKe">'Tra định mức'!$W$228:$W$230</definedName>
    <definedName name="nhomHang">[1]CauHinh!$H$17:$H$30</definedName>
    <definedName name="PhuongTiens">[1]CauHinh!$C$7:$C$13</definedName>
    <definedName name="_xlnm.Print_Area" localSheetId="20">'Bù giá CM'!$A$1:$M$78</definedName>
    <definedName name="_xlnm.Print_Area" localSheetId="6">'Du toan chi tiet'!$A$1:$X$50</definedName>
    <definedName name="_xlnm.Print_Area" localSheetId="30">GGTXD!$B:$H</definedName>
    <definedName name="_xlnm.Print_Area" localSheetId="25">THKP_TT11_2021!$A$1:$I$73</definedName>
    <definedName name="_xlnm.Print_Area" localSheetId="19">THM!$A$1:$AH$207</definedName>
    <definedName name="_xlnm.Print_Area" localSheetId="22">THNL!$A$1:$O$32</definedName>
    <definedName name="_xlnm.Print_Area" localSheetId="23">THTL!$A$1:$O$264</definedName>
    <definedName name="_xlnm.Print_Titles" localSheetId="26">'Chiết tính'!$5:$5</definedName>
    <definedName name="_xlnm.Print_Titles" localSheetId="40">'Chiết tính rút gọn'!$5:$5</definedName>
    <definedName name="_xlnm.Print_Titles" localSheetId="10">'Cước ô tô'!$7:$8</definedName>
    <definedName name="_xlnm.Print_Titles" localSheetId="12">'Cước sông'!$5:$6</definedName>
    <definedName name="_xlnm.Print_Titles" localSheetId="27">ĐGTH!$5:$5</definedName>
    <definedName name="_xlnm.Print_Titles" localSheetId="6">'Du toan chi tiet'!$5:$6</definedName>
    <definedName name="_xlnm.Print_Titles" localSheetId="8">'Giá VL'!$5:$5</definedName>
    <definedName name="_xlnm.Print_Titles" localSheetId="7">'Phan tich don gia'!$4:$5</definedName>
    <definedName name="_xlnm.Print_Titles" localSheetId="33">THCPTB!$10:$11</definedName>
    <definedName name="_xlnm.Print_Titles" localSheetId="32">THCPXD!$10:$10</definedName>
    <definedName name="_xlnm.Print_Titles" localSheetId="31">THDGDT!$10:$10</definedName>
    <definedName name="_xlnm.Print_Titles" localSheetId="19">THM!$4:$5</definedName>
    <definedName name="_xlnm.Print_Titles" localSheetId="15">THNC!$4:$5</definedName>
    <definedName name="_xlnm.Print_Titles" localSheetId="9">THVL!$4:$5</definedName>
    <definedName name="StartInfo_CongTrinh">'Thông tin'!$A$3</definedName>
    <definedName name="StartInfo_HangMuc">'Thông tin'!$A$31</definedName>
    <definedName name="StartInfo_MauTHKPHM">'Thông tin'!$A$57</definedName>
    <definedName name="StartInfo_SoLieuTinhGiaNC">'Thông tin'!$A$39</definedName>
    <definedName name="THNL.TTCLGiaHT0">THNL!$O$31</definedName>
    <definedName name="THNL.TTGiaGoc0">THNL!$K$31</definedName>
    <definedName name="THNL.TTGiaHT0">THNL!$M$31</definedName>
    <definedName name="THTL.TongKL0">THTL!$I$263</definedName>
    <definedName name="THTL.TTCLGiaHT0">THTL!$O$263</definedName>
    <definedName name="THTL.TTGiaGoc0">THTL!$K$263</definedName>
    <definedName name="THTL.TTGiaHT0">THTL!$M$263</definedName>
  </definedNames>
  <calcPr calcId="144525"/>
</workbook>
</file>

<file path=xl/calcChain.xml><?xml version="1.0" encoding="utf-8"?>
<calcChain xmlns="http://schemas.openxmlformats.org/spreadsheetml/2006/main">
  <c r="B14" i="49" l="1"/>
  <c r="B13" i="49"/>
  <c r="C15" i="47" l="1"/>
  <c r="C14" i="47"/>
  <c r="C13" i="47" s="1"/>
  <c r="C11" i="47"/>
  <c r="C12" i="47"/>
  <c r="C10" i="47"/>
  <c r="C8" i="47"/>
  <c r="C7" i="47"/>
  <c r="A2" i="47"/>
  <c r="L26" i="44"/>
  <c r="L25" i="44"/>
  <c r="L24" i="44"/>
  <c r="L23" i="44"/>
  <c r="L22" i="44"/>
  <c r="L21" i="44"/>
  <c r="L20" i="44"/>
  <c r="L19" i="44"/>
  <c r="C9" i="47" l="1"/>
  <c r="C6" i="47"/>
  <c r="C16" i="47" s="1"/>
  <c r="G27" i="44"/>
  <c r="E18" i="44"/>
  <c r="G19" i="44" l="1"/>
  <c r="E26" i="44" l="1"/>
  <c r="G24" i="24" l="1"/>
  <c r="E26" i="24"/>
  <c r="E13" i="24"/>
  <c r="H26" i="11"/>
  <c r="J26" i="11" s="1"/>
  <c r="O26" i="11" s="1"/>
  <c r="H25" i="11"/>
  <c r="J25" i="11" s="1"/>
  <c r="O25" i="11" s="1"/>
  <c r="H24" i="11"/>
  <c r="J24" i="11" s="1"/>
  <c r="O24" i="11" s="1"/>
  <c r="H23" i="11"/>
  <c r="J23" i="11" s="1"/>
  <c r="O23" i="11" s="1"/>
  <c r="O22" i="11"/>
  <c r="J22" i="11"/>
  <c r="J21" i="11"/>
  <c r="O21" i="11" s="1"/>
  <c r="H21" i="11"/>
  <c r="H20" i="11"/>
  <c r="J20" i="11" s="1"/>
  <c r="O20" i="11" s="1"/>
  <c r="H19" i="11"/>
  <c r="J19" i="11" s="1"/>
  <c r="O19" i="11" s="1"/>
  <c r="J18" i="11"/>
  <c r="O18" i="11" s="1"/>
  <c r="H18" i="11"/>
  <c r="J17" i="11"/>
  <c r="O17" i="11" s="1"/>
  <c r="H17" i="11"/>
  <c r="J16" i="11"/>
  <c r="O16" i="11" s="1"/>
  <c r="H15" i="11"/>
  <c r="J15" i="11" s="1"/>
  <c r="O15" i="11" s="1"/>
  <c r="H14" i="11"/>
  <c r="J14" i="11" s="1"/>
  <c r="O14" i="11" s="1"/>
  <c r="H13" i="11"/>
  <c r="J13" i="11" s="1"/>
  <c r="O13" i="11" s="1"/>
  <c r="H12" i="11"/>
  <c r="J12" i="11" s="1"/>
  <c r="O12" i="11" s="1"/>
  <c r="H11" i="11"/>
  <c r="J11" i="11" s="1"/>
  <c r="O11" i="11" s="1"/>
  <c r="H10" i="11"/>
  <c r="J10" i="11" s="1"/>
  <c r="O10" i="11" s="1"/>
  <c r="H9" i="11"/>
  <c r="J9" i="11" s="1"/>
  <c r="O9" i="11" s="1"/>
  <c r="H8" i="11"/>
  <c r="J8" i="11" s="1"/>
  <c r="O8" i="11" s="1"/>
  <c r="H7" i="11"/>
  <c r="J7" i="11" s="1"/>
  <c r="O7" i="11" s="1"/>
  <c r="H6" i="11"/>
  <c r="J6" i="11" s="1"/>
  <c r="O6" i="11" s="1"/>
  <c r="N5" i="11"/>
  <c r="J5" i="11"/>
  <c r="G208" i="24"/>
  <c r="G35" i="24"/>
  <c r="G32" i="24"/>
  <c r="G31" i="24"/>
  <c r="G86" i="24"/>
  <c r="G84" i="24"/>
  <c r="G82" i="24"/>
  <c r="A3" i="24"/>
  <c r="A2" i="24"/>
  <c r="A3" i="1"/>
  <c r="A2" i="1"/>
  <c r="A3" i="45"/>
  <c r="L125" i="24"/>
  <c r="D30" i="24"/>
  <c r="J36" i="2"/>
  <c r="V36" i="2" s="1"/>
  <c r="P30" i="24" s="1"/>
  <c r="G27" i="24"/>
  <c r="G26" i="24"/>
  <c r="G25" i="24"/>
  <c r="G22" i="24"/>
  <c r="G19" i="24"/>
  <c r="E125" i="24"/>
  <c r="D125" i="24"/>
  <c r="E121" i="24"/>
  <c r="D121" i="24"/>
  <c r="E120" i="24"/>
  <c r="D120" i="24"/>
  <c r="E118" i="24"/>
  <c r="D118" i="24"/>
  <c r="E116" i="24"/>
  <c r="D116" i="24"/>
  <c r="E123" i="24"/>
  <c r="E114" i="24"/>
  <c r="D123" i="24"/>
  <c r="D114" i="24"/>
  <c r="C123" i="24"/>
  <c r="C114" i="24"/>
  <c r="H122" i="24"/>
  <c r="L121" i="24"/>
  <c r="J121" i="24"/>
  <c r="H121" i="24"/>
  <c r="M121" i="24" s="1"/>
  <c r="L120" i="24"/>
  <c r="J120" i="24"/>
  <c r="H120" i="24"/>
  <c r="M120" i="24" s="1"/>
  <c r="M119" i="24" s="1"/>
  <c r="L118" i="24"/>
  <c r="J118" i="24"/>
  <c r="H118" i="24"/>
  <c r="M118" i="24" s="1"/>
  <c r="M117" i="24" s="1"/>
  <c r="L116" i="24"/>
  <c r="J116" i="24"/>
  <c r="R116" i="24"/>
  <c r="H116" i="24"/>
  <c r="J125" i="24"/>
  <c r="I125" i="24"/>
  <c r="H125" i="24"/>
  <c r="F123" i="24"/>
  <c r="O5" i="11" l="1"/>
  <c r="P120" i="24"/>
  <c r="Q120" i="24" s="1"/>
  <c r="K118" i="24"/>
  <c r="K117" i="24" s="1"/>
  <c r="K125" i="24"/>
  <c r="R120" i="24"/>
  <c r="K121" i="24"/>
  <c r="M125" i="24"/>
  <c r="M124" i="24" s="1"/>
  <c r="K120" i="24"/>
  <c r="K119" i="24" s="1"/>
  <c r="R125" i="24"/>
  <c r="R118" i="24"/>
  <c r="R117" i="24" s="1"/>
  <c r="J122" i="24"/>
  <c r="K122" i="24"/>
  <c r="K116" i="24"/>
  <c r="K115" i="24" s="1"/>
  <c r="R121" i="24"/>
  <c r="L122" i="24"/>
  <c r="R115" i="24"/>
  <c r="M122" i="24"/>
  <c r="M116" i="24"/>
  <c r="M115" i="24" s="1"/>
  <c r="B14" i="44"/>
  <c r="B13" i="44"/>
  <c r="G30" i="34"/>
  <c r="G28" i="34"/>
  <c r="G25" i="34"/>
  <c r="G22" i="34"/>
  <c r="G37" i="2"/>
  <c r="J37" i="2" s="1"/>
  <c r="L37" i="2" s="1"/>
  <c r="J33" i="2"/>
  <c r="J32" i="2"/>
  <c r="G34" i="21" s="1"/>
  <c r="J26" i="2"/>
  <c r="L128" i="24" s="1"/>
  <c r="L22" i="2"/>
  <c r="N22" i="2"/>
  <c r="N6" i="2"/>
  <c r="J6" i="2"/>
  <c r="G7" i="22" s="1"/>
  <c r="E289" i="24"/>
  <c r="D289" i="24"/>
  <c r="J35" i="2"/>
  <c r="V35" i="2" s="1"/>
  <c r="P289" i="24" s="1"/>
  <c r="G28" i="2"/>
  <c r="J28" i="2" s="1"/>
  <c r="G137" i="24"/>
  <c r="G319" i="19" s="1"/>
  <c r="G136" i="24"/>
  <c r="G318" i="19" s="1"/>
  <c r="G135" i="24"/>
  <c r="G175" i="34" s="1"/>
  <c r="G133" i="24"/>
  <c r="G173" i="34" s="1"/>
  <c r="G130" i="24"/>
  <c r="G170" i="34" s="1"/>
  <c r="G128" i="24"/>
  <c r="H82" i="3" s="1"/>
  <c r="E30" i="24"/>
  <c r="J34" i="2"/>
  <c r="V34" i="2" s="1"/>
  <c r="P116" i="24" s="1"/>
  <c r="Q116" i="24" s="1"/>
  <c r="Q115" i="24" s="1"/>
  <c r="N22" i="1" s="1"/>
  <c r="R22" i="1" s="1"/>
  <c r="J16" i="2"/>
  <c r="L309" i="24" s="1"/>
  <c r="J8" i="2"/>
  <c r="L301" i="24" s="1"/>
  <c r="C7" i="46"/>
  <c r="I333" i="24"/>
  <c r="R333" i="24" s="1"/>
  <c r="I332" i="24"/>
  <c r="R332" i="24" s="1"/>
  <c r="I331" i="24"/>
  <c r="R331" i="24" s="1"/>
  <c r="I330" i="24"/>
  <c r="R330" i="24" s="1"/>
  <c r="I328" i="24"/>
  <c r="R328" i="24" s="1"/>
  <c r="R327" i="24" s="1"/>
  <c r="I326" i="24"/>
  <c r="R326" i="24" s="1"/>
  <c r="I325" i="24"/>
  <c r="R325" i="24" s="1"/>
  <c r="I321" i="24"/>
  <c r="R321" i="24" s="1"/>
  <c r="I319" i="24"/>
  <c r="R319" i="24" s="1"/>
  <c r="R318" i="24" s="1"/>
  <c r="I316" i="24"/>
  <c r="R316" i="24" s="1"/>
  <c r="I312" i="24"/>
  <c r="R312" i="24" s="1"/>
  <c r="R311" i="24" s="1"/>
  <c r="I309" i="24"/>
  <c r="R309" i="24" s="1"/>
  <c r="I305" i="24"/>
  <c r="R305" i="24" s="1"/>
  <c r="I303" i="24"/>
  <c r="R303" i="24" s="1"/>
  <c r="R302" i="24" s="1"/>
  <c r="I301" i="24"/>
  <c r="R301" i="24" s="1"/>
  <c r="R300" i="24" s="1"/>
  <c r="I297" i="24"/>
  <c r="R297" i="24" s="1"/>
  <c r="I296" i="24"/>
  <c r="R296" i="24" s="1"/>
  <c r="I294" i="24"/>
  <c r="R294" i="24" s="1"/>
  <c r="R293" i="24" s="1"/>
  <c r="I291" i="24"/>
  <c r="R291" i="24" s="1"/>
  <c r="I290" i="24"/>
  <c r="R290" i="24" s="1"/>
  <c r="I289" i="24"/>
  <c r="R289" i="24" s="1"/>
  <c r="I286" i="24"/>
  <c r="R286" i="24" s="1"/>
  <c r="R285" i="24" s="1"/>
  <c r="I284" i="24"/>
  <c r="R284" i="24" s="1"/>
  <c r="R283" i="24" s="1"/>
  <c r="I281" i="24"/>
  <c r="R281" i="24" s="1"/>
  <c r="R280" i="24" s="1"/>
  <c r="I279" i="24"/>
  <c r="R279" i="24" s="1"/>
  <c r="R278" i="24" s="1"/>
  <c r="I276" i="24"/>
  <c r="R276" i="24" s="1"/>
  <c r="I275" i="24"/>
  <c r="R275" i="24" s="1"/>
  <c r="I273" i="24"/>
  <c r="R273" i="24" s="1"/>
  <c r="R272" i="24" s="1"/>
  <c r="I270" i="24"/>
  <c r="R270" i="24" s="1"/>
  <c r="R269" i="24" s="1"/>
  <c r="I268" i="24"/>
  <c r="R268" i="24" s="1"/>
  <c r="R267" i="24" s="1"/>
  <c r="I266" i="24"/>
  <c r="R266" i="24" s="1"/>
  <c r="I265" i="24"/>
  <c r="R265" i="24" s="1"/>
  <c r="I262" i="24"/>
  <c r="R262" i="24" s="1"/>
  <c r="R261" i="24" s="1"/>
  <c r="I260" i="24"/>
  <c r="R260" i="24" s="1"/>
  <c r="I256" i="24"/>
  <c r="R256" i="24" s="1"/>
  <c r="I254" i="24"/>
  <c r="R254" i="24" s="1"/>
  <c r="R253" i="24" s="1"/>
  <c r="I251" i="24"/>
  <c r="R251" i="24" s="1"/>
  <c r="I246" i="24"/>
  <c r="R246" i="24" s="1"/>
  <c r="I245" i="24"/>
  <c r="R245" i="24" s="1"/>
  <c r="I243" i="24"/>
  <c r="R243" i="24" s="1"/>
  <c r="R242" i="24" s="1"/>
  <c r="I240" i="24"/>
  <c r="R240" i="24" s="1"/>
  <c r="I239" i="24"/>
  <c r="R239" i="24" s="1"/>
  <c r="I238" i="24"/>
  <c r="R238" i="24" s="1"/>
  <c r="I233" i="24"/>
  <c r="R233" i="24" s="1"/>
  <c r="I231" i="24"/>
  <c r="R231" i="24" s="1"/>
  <c r="R230" i="24" s="1"/>
  <c r="I228" i="24"/>
  <c r="R228" i="24" s="1"/>
  <c r="I223" i="24"/>
  <c r="R223" i="24" s="1"/>
  <c r="I222" i="24"/>
  <c r="R222" i="24" s="1"/>
  <c r="I220" i="24"/>
  <c r="R220" i="24" s="1"/>
  <c r="R219" i="24" s="1"/>
  <c r="I217" i="24"/>
  <c r="R217" i="24" s="1"/>
  <c r="I215" i="24"/>
  <c r="R215" i="24" s="1"/>
  <c r="I210" i="24"/>
  <c r="R210" i="24" s="1"/>
  <c r="I208" i="24"/>
  <c r="R208" i="24" s="1"/>
  <c r="R207" i="24" s="1"/>
  <c r="I205" i="24"/>
  <c r="R205" i="24" s="1"/>
  <c r="I200" i="24"/>
  <c r="R200" i="24" s="1"/>
  <c r="I199" i="24"/>
  <c r="R199" i="24" s="1"/>
  <c r="I197" i="24"/>
  <c r="R197" i="24" s="1"/>
  <c r="R196" i="24" s="1"/>
  <c r="I195" i="24"/>
  <c r="R195" i="24" s="1"/>
  <c r="I190" i="24"/>
  <c r="R190" i="24" s="1"/>
  <c r="R189" i="24" s="1"/>
  <c r="I188" i="24"/>
  <c r="R188" i="24" s="1"/>
  <c r="R187" i="24" s="1"/>
  <c r="I182" i="24"/>
  <c r="R182" i="24" s="1"/>
  <c r="I181" i="24"/>
  <c r="R181" i="24" s="1"/>
  <c r="R180" i="24" s="1"/>
  <c r="I179" i="24"/>
  <c r="R179" i="24" s="1"/>
  <c r="R178" i="24" s="1"/>
  <c r="I176" i="24"/>
  <c r="R176" i="24" s="1"/>
  <c r="I175" i="24"/>
  <c r="R175" i="24" s="1"/>
  <c r="I174" i="24"/>
  <c r="R174" i="24" s="1"/>
  <c r="I170" i="24"/>
  <c r="R170" i="24" s="1"/>
  <c r="R169" i="24" s="1"/>
  <c r="I167" i="24"/>
  <c r="R167" i="24" s="1"/>
  <c r="R166" i="24" s="1"/>
  <c r="I164" i="24"/>
  <c r="R164" i="24" s="1"/>
  <c r="R163" i="24" s="1"/>
  <c r="I162" i="24"/>
  <c r="R162" i="24" s="1"/>
  <c r="R161" i="24" s="1"/>
  <c r="I160" i="24"/>
  <c r="R160" i="24" s="1"/>
  <c r="I159" i="24"/>
  <c r="R159" i="24" s="1"/>
  <c r="I158" i="24"/>
  <c r="R158" i="24" s="1"/>
  <c r="I154" i="24"/>
  <c r="R154" i="24" s="1"/>
  <c r="R153" i="24" s="1"/>
  <c r="I152" i="24"/>
  <c r="R152" i="24" s="1"/>
  <c r="R151" i="24" s="1"/>
  <c r="I149" i="24"/>
  <c r="R149" i="24" s="1"/>
  <c r="R148" i="24" s="1"/>
  <c r="I143" i="24"/>
  <c r="R143" i="24" s="1"/>
  <c r="R142" i="24" s="1"/>
  <c r="I141" i="24"/>
  <c r="R141" i="24" s="1"/>
  <c r="R140" i="24" s="1"/>
  <c r="I137" i="24"/>
  <c r="I136" i="24"/>
  <c r="I135" i="24"/>
  <c r="I133" i="24"/>
  <c r="I130" i="24"/>
  <c r="I129" i="24"/>
  <c r="R129" i="24" s="1"/>
  <c r="I113" i="24"/>
  <c r="R113" i="24" s="1"/>
  <c r="R112" i="24" s="1"/>
  <c r="I110" i="24"/>
  <c r="R110" i="24" s="1"/>
  <c r="I109" i="24"/>
  <c r="R109" i="24" s="1"/>
  <c r="I107" i="24"/>
  <c r="R107" i="24" s="1"/>
  <c r="R106" i="24" s="1"/>
  <c r="I104" i="24"/>
  <c r="R104" i="24" s="1"/>
  <c r="I103" i="24"/>
  <c r="R103" i="24" s="1"/>
  <c r="I101" i="24"/>
  <c r="R101" i="24" s="1"/>
  <c r="R100" i="24" s="1"/>
  <c r="I98" i="24"/>
  <c r="R98" i="24" s="1"/>
  <c r="I97" i="24"/>
  <c r="R97" i="24" s="1"/>
  <c r="I95" i="24"/>
  <c r="R95" i="24" s="1"/>
  <c r="R94" i="24" s="1"/>
  <c r="I92" i="24"/>
  <c r="R92" i="24" s="1"/>
  <c r="I91" i="24"/>
  <c r="R91" i="24" s="1"/>
  <c r="I89" i="24"/>
  <c r="R89" i="24" s="1"/>
  <c r="R88" i="24" s="1"/>
  <c r="I86" i="24"/>
  <c r="R86" i="24" s="1"/>
  <c r="R85" i="24" s="1"/>
  <c r="I84" i="24"/>
  <c r="R84" i="24" s="1"/>
  <c r="R83" i="24" s="1"/>
  <c r="I82" i="24"/>
  <c r="R82" i="24" s="1"/>
  <c r="R81" i="24" s="1"/>
  <c r="I79" i="24"/>
  <c r="R79" i="24" s="1"/>
  <c r="R78" i="24" s="1"/>
  <c r="I77" i="24"/>
  <c r="R77" i="24" s="1"/>
  <c r="R76" i="24" s="1"/>
  <c r="I75" i="24"/>
  <c r="R75" i="24" s="1"/>
  <c r="I74" i="24"/>
  <c r="R74" i="24" s="1"/>
  <c r="I71" i="24"/>
  <c r="R71" i="24" s="1"/>
  <c r="R70" i="24" s="1"/>
  <c r="I69" i="24"/>
  <c r="R69" i="24" s="1"/>
  <c r="R68" i="24" s="1"/>
  <c r="I66" i="24"/>
  <c r="R66" i="24" s="1"/>
  <c r="I62" i="24"/>
  <c r="R62" i="24" s="1"/>
  <c r="I60" i="24"/>
  <c r="R60" i="24" s="1"/>
  <c r="R59" i="24" s="1"/>
  <c r="I57" i="24"/>
  <c r="R57" i="24" s="1"/>
  <c r="I53" i="24"/>
  <c r="R53" i="24" s="1"/>
  <c r="R52" i="24" s="1"/>
  <c r="I50" i="24"/>
  <c r="R50" i="24" s="1"/>
  <c r="I46" i="24"/>
  <c r="R46" i="24" s="1"/>
  <c r="I31" i="24"/>
  <c r="R31" i="24" s="1"/>
  <c r="I27" i="24"/>
  <c r="I26" i="24"/>
  <c r="R26" i="24" s="1"/>
  <c r="I25" i="24"/>
  <c r="I24" i="24"/>
  <c r="R24" i="24" s="1"/>
  <c r="I16" i="24"/>
  <c r="R16" i="24" s="1"/>
  <c r="I15" i="24"/>
  <c r="R15" i="24" s="1"/>
  <c r="I13" i="24"/>
  <c r="R13" i="24" s="1"/>
  <c r="I44" i="24"/>
  <c r="R44" i="24" s="1"/>
  <c r="R43" i="24" s="1"/>
  <c r="I42" i="24"/>
  <c r="R42" i="24" s="1"/>
  <c r="R41" i="24" s="1"/>
  <c r="I38" i="24"/>
  <c r="R38" i="24" s="1"/>
  <c r="I37" i="24"/>
  <c r="R37" i="24" s="1"/>
  <c r="I35" i="24"/>
  <c r="R35" i="24" s="1"/>
  <c r="R34" i="24" s="1"/>
  <c r="I32" i="24"/>
  <c r="R32" i="24" s="1"/>
  <c r="I30" i="24"/>
  <c r="R30" i="24" s="1"/>
  <c r="I22" i="24"/>
  <c r="I11" i="24"/>
  <c r="R11" i="24" s="1"/>
  <c r="R10" i="24" s="1"/>
  <c r="G10" i="2"/>
  <c r="G35" i="21"/>
  <c r="I193" i="24"/>
  <c r="R193" i="24" s="1"/>
  <c r="I185" i="24"/>
  <c r="R185" i="24" s="1"/>
  <c r="J31" i="2"/>
  <c r="G33" i="21" s="1"/>
  <c r="G31" i="2"/>
  <c r="I249" i="24" s="1"/>
  <c r="R249" i="24" s="1"/>
  <c r="J30" i="2"/>
  <c r="G32" i="21" s="1"/>
  <c r="G30" i="2"/>
  <c r="I315" i="24" s="1"/>
  <c r="R315" i="24" s="1"/>
  <c r="J29" i="2"/>
  <c r="L204" i="24" s="1"/>
  <c r="G29" i="2"/>
  <c r="I250" i="24" s="1"/>
  <c r="R250" i="24" s="1"/>
  <c r="I128" i="24"/>
  <c r="J14" i="2"/>
  <c r="L194" i="24" s="1"/>
  <c r="G14" i="2"/>
  <c r="I194" i="24" s="1"/>
  <c r="R194" i="24" s="1"/>
  <c r="N26" i="41"/>
  <c r="L26" i="41"/>
  <c r="K26" i="41"/>
  <c r="E58" i="39"/>
  <c r="D58" i="39"/>
  <c r="C58" i="39"/>
  <c r="B58" i="39"/>
  <c r="E57" i="39"/>
  <c r="D57" i="39"/>
  <c r="C57" i="39"/>
  <c r="B57" i="39"/>
  <c r="E56" i="39"/>
  <c r="D56" i="39"/>
  <c r="C56" i="39"/>
  <c r="B56" i="39"/>
  <c r="E55" i="39"/>
  <c r="D55" i="39"/>
  <c r="C55" i="39"/>
  <c r="B55" i="39"/>
  <c r="E54" i="39"/>
  <c r="D54" i="39"/>
  <c r="C54" i="39"/>
  <c r="B54" i="39"/>
  <c r="E53" i="39"/>
  <c r="D53" i="39"/>
  <c r="C53" i="39"/>
  <c r="B53" i="39"/>
  <c r="E52" i="39"/>
  <c r="D52" i="39"/>
  <c r="C52" i="39"/>
  <c r="B52" i="39"/>
  <c r="E51" i="39"/>
  <c r="D51" i="39"/>
  <c r="C51" i="39"/>
  <c r="B51" i="39"/>
  <c r="E50" i="39"/>
  <c r="D50" i="39"/>
  <c r="C50" i="39"/>
  <c r="B50" i="39"/>
  <c r="E49" i="39"/>
  <c r="D49" i="39"/>
  <c r="C49" i="39"/>
  <c r="B49" i="39"/>
  <c r="E48" i="39"/>
  <c r="D48" i="39"/>
  <c r="C48" i="39"/>
  <c r="B48" i="39"/>
  <c r="E47" i="39"/>
  <c r="D47" i="39"/>
  <c r="C47" i="39"/>
  <c r="B47" i="39"/>
  <c r="E46" i="39"/>
  <c r="D46" i="39"/>
  <c r="C46" i="39"/>
  <c r="B46" i="39"/>
  <c r="E45" i="39"/>
  <c r="D45" i="39"/>
  <c r="C45" i="39"/>
  <c r="B45" i="39"/>
  <c r="E44" i="39"/>
  <c r="D44" i="39"/>
  <c r="C44" i="39"/>
  <c r="B44" i="39"/>
  <c r="E43" i="39"/>
  <c r="D43" i="39"/>
  <c r="C43" i="39"/>
  <c r="B43" i="39"/>
  <c r="E42" i="39"/>
  <c r="D42" i="39"/>
  <c r="C42" i="39"/>
  <c r="B42" i="39"/>
  <c r="E41" i="39"/>
  <c r="D41" i="39"/>
  <c r="C41" i="39"/>
  <c r="B41" i="39"/>
  <c r="E40" i="39"/>
  <c r="D40" i="39"/>
  <c r="C40" i="39"/>
  <c r="B40" i="39"/>
  <c r="E39" i="39"/>
  <c r="D39" i="39"/>
  <c r="C39" i="39"/>
  <c r="B39" i="39"/>
  <c r="E38" i="39"/>
  <c r="D38" i="39"/>
  <c r="C38" i="39"/>
  <c r="B38" i="39"/>
  <c r="E37" i="39"/>
  <c r="D37" i="39"/>
  <c r="C37" i="39"/>
  <c r="B37" i="39"/>
  <c r="E36" i="39"/>
  <c r="D36" i="39"/>
  <c r="C36" i="39"/>
  <c r="B36" i="39"/>
  <c r="E35" i="39"/>
  <c r="D35" i="39"/>
  <c r="C35" i="39"/>
  <c r="B35" i="39"/>
  <c r="E34" i="39"/>
  <c r="D34" i="39"/>
  <c r="C34" i="39"/>
  <c r="B34" i="39"/>
  <c r="E33" i="39"/>
  <c r="D33" i="39"/>
  <c r="C33" i="39"/>
  <c r="B33" i="39"/>
  <c r="E32" i="39"/>
  <c r="D32" i="39"/>
  <c r="C32" i="39"/>
  <c r="B32" i="39"/>
  <c r="E31" i="39"/>
  <c r="D31" i="39"/>
  <c r="C31" i="39"/>
  <c r="B31" i="39"/>
  <c r="E30" i="39"/>
  <c r="D30" i="39"/>
  <c r="C30" i="39"/>
  <c r="B30" i="39"/>
  <c r="E29" i="39"/>
  <c r="D29" i="39"/>
  <c r="C29" i="39"/>
  <c r="B29" i="39"/>
  <c r="E28" i="39"/>
  <c r="D28" i="39"/>
  <c r="C28" i="39"/>
  <c r="B28" i="39"/>
  <c r="E27" i="39"/>
  <c r="D27" i="39"/>
  <c r="C27" i="39"/>
  <c r="B27" i="39"/>
  <c r="E26" i="39"/>
  <c r="D26" i="39"/>
  <c r="C26" i="39"/>
  <c r="B26" i="39"/>
  <c r="E25" i="39"/>
  <c r="D25" i="39"/>
  <c r="C25" i="39"/>
  <c r="B25" i="39"/>
  <c r="E24" i="39"/>
  <c r="C24" i="39"/>
  <c r="B24" i="39"/>
  <c r="E23" i="39"/>
  <c r="C23" i="39"/>
  <c r="B23" i="39"/>
  <c r="E22" i="39"/>
  <c r="D22" i="39"/>
  <c r="C22" i="39"/>
  <c r="B22" i="39"/>
  <c r="E21" i="39"/>
  <c r="D21" i="39"/>
  <c r="C21" i="39"/>
  <c r="B21" i="39"/>
  <c r="E20" i="39"/>
  <c r="D20" i="39"/>
  <c r="C20" i="39"/>
  <c r="B20" i="39"/>
  <c r="E19" i="39"/>
  <c r="D19" i="39"/>
  <c r="C19" i="39"/>
  <c r="B19" i="39"/>
  <c r="E18" i="39"/>
  <c r="D18" i="39"/>
  <c r="C18" i="39"/>
  <c r="B18" i="39"/>
  <c r="M60" i="38"/>
  <c r="E59" i="38"/>
  <c r="D59" i="38"/>
  <c r="C59" i="38"/>
  <c r="B59" i="38"/>
  <c r="E58" i="38"/>
  <c r="D58" i="38"/>
  <c r="C58" i="38"/>
  <c r="B58" i="38"/>
  <c r="E57" i="38"/>
  <c r="D57" i="38"/>
  <c r="C57" i="38"/>
  <c r="B57" i="38"/>
  <c r="E56" i="38"/>
  <c r="D56" i="38"/>
  <c r="C56" i="38"/>
  <c r="B56" i="38"/>
  <c r="E55" i="38"/>
  <c r="D55" i="38"/>
  <c r="C55" i="38"/>
  <c r="B55" i="38"/>
  <c r="E54" i="38"/>
  <c r="D54" i="38"/>
  <c r="C54" i="38"/>
  <c r="B54" i="38"/>
  <c r="E53" i="38"/>
  <c r="D53" i="38"/>
  <c r="C53" i="38"/>
  <c r="B53" i="38"/>
  <c r="E52" i="38"/>
  <c r="D52" i="38"/>
  <c r="C52" i="38"/>
  <c r="B52" i="38"/>
  <c r="E51" i="38"/>
  <c r="D51" i="38"/>
  <c r="C51" i="38"/>
  <c r="B51" i="38"/>
  <c r="E50" i="38"/>
  <c r="D50" i="38"/>
  <c r="C50" i="38"/>
  <c r="B50" i="38"/>
  <c r="E49" i="38"/>
  <c r="D49" i="38"/>
  <c r="C49" i="38"/>
  <c r="B49" i="38"/>
  <c r="E48" i="38"/>
  <c r="D48" i="38"/>
  <c r="C48" i="38"/>
  <c r="B48" i="38"/>
  <c r="E47" i="38"/>
  <c r="D47" i="38"/>
  <c r="C47" i="38"/>
  <c r="B47" i="38"/>
  <c r="E46" i="38"/>
  <c r="D46" i="38"/>
  <c r="C46" i="38"/>
  <c r="B46" i="38"/>
  <c r="E45" i="38"/>
  <c r="D45" i="38"/>
  <c r="C45" i="38"/>
  <c r="B45" i="38"/>
  <c r="E44" i="38"/>
  <c r="D44" i="38"/>
  <c r="C44" i="38"/>
  <c r="B44" i="38"/>
  <c r="E43" i="38"/>
  <c r="D43" i="38"/>
  <c r="C43" i="38"/>
  <c r="B43" i="38"/>
  <c r="E42" i="38"/>
  <c r="D42" i="38"/>
  <c r="C42" i="38"/>
  <c r="B42" i="38"/>
  <c r="E41" i="38"/>
  <c r="D41" i="38"/>
  <c r="C41" i="38"/>
  <c r="B41" i="38"/>
  <c r="E40" i="38"/>
  <c r="D40" i="38"/>
  <c r="C40" i="38"/>
  <c r="B40" i="38"/>
  <c r="E39" i="38"/>
  <c r="D39" i="38"/>
  <c r="C39" i="38"/>
  <c r="B39" i="38"/>
  <c r="E38" i="38"/>
  <c r="D38" i="38"/>
  <c r="C38" i="38"/>
  <c r="B38" i="38"/>
  <c r="E37" i="38"/>
  <c r="D37" i="38"/>
  <c r="C37" i="38"/>
  <c r="B37" i="38"/>
  <c r="E36" i="38"/>
  <c r="D36" i="38"/>
  <c r="C36" i="38"/>
  <c r="B36" i="38"/>
  <c r="E35" i="38"/>
  <c r="D35" i="38"/>
  <c r="C35" i="38"/>
  <c r="B35" i="38"/>
  <c r="E34" i="38"/>
  <c r="D34" i="38"/>
  <c r="C34" i="38"/>
  <c r="B34" i="38"/>
  <c r="E33" i="38"/>
  <c r="D33" i="38"/>
  <c r="C33" i="38"/>
  <c r="B33" i="38"/>
  <c r="E32" i="38"/>
  <c r="D32" i="38"/>
  <c r="C32" i="38"/>
  <c r="B32" i="38"/>
  <c r="E31" i="38"/>
  <c r="D31" i="38"/>
  <c r="C31" i="38"/>
  <c r="B31" i="38"/>
  <c r="E30" i="38"/>
  <c r="D30" i="38"/>
  <c r="C30" i="38"/>
  <c r="B30" i="38"/>
  <c r="E29" i="38"/>
  <c r="D29" i="38"/>
  <c r="C29" i="38"/>
  <c r="B29" i="38"/>
  <c r="E28" i="38"/>
  <c r="D28" i="38"/>
  <c r="C28" i="38"/>
  <c r="B28" i="38"/>
  <c r="E27" i="38"/>
  <c r="D27" i="38"/>
  <c r="C27" i="38"/>
  <c r="B27" i="38"/>
  <c r="E26" i="38"/>
  <c r="D26" i="38"/>
  <c r="C26" i="38"/>
  <c r="B26" i="38"/>
  <c r="E25" i="38"/>
  <c r="C25" i="38"/>
  <c r="B25" i="38"/>
  <c r="E24" i="38"/>
  <c r="C24" i="38"/>
  <c r="B24" i="38"/>
  <c r="E23" i="38"/>
  <c r="D23" i="38"/>
  <c r="C23" i="38"/>
  <c r="B23" i="38"/>
  <c r="E22" i="38"/>
  <c r="D22" i="38"/>
  <c r="C22" i="38"/>
  <c r="B22" i="38"/>
  <c r="E21" i="38"/>
  <c r="D21" i="38"/>
  <c r="C21" i="38"/>
  <c r="B21" i="38"/>
  <c r="E20" i="38"/>
  <c r="D20" i="38"/>
  <c r="C20" i="38"/>
  <c r="B20" i="38"/>
  <c r="E19" i="38"/>
  <c r="D19" i="38"/>
  <c r="C19" i="38"/>
  <c r="B19" i="38"/>
  <c r="J436" i="37"/>
  <c r="B417" i="37"/>
  <c r="B416" i="37"/>
  <c r="B415" i="37"/>
  <c r="B414" i="37"/>
  <c r="H402" i="37"/>
  <c r="J402" i="37" s="1"/>
  <c r="B395" i="37"/>
  <c r="B394" i="37"/>
  <c r="B393" i="37"/>
  <c r="B392" i="37"/>
  <c r="B391" i="37"/>
  <c r="B383" i="37"/>
  <c r="B382" i="37"/>
  <c r="B381" i="37"/>
  <c r="B380" i="37"/>
  <c r="B379" i="37"/>
  <c r="B371" i="37"/>
  <c r="B370" i="37"/>
  <c r="B369" i="37"/>
  <c r="B368" i="37"/>
  <c r="B367" i="37"/>
  <c r="B359" i="37"/>
  <c r="B358" i="37"/>
  <c r="B357" i="37"/>
  <c r="B356" i="37"/>
  <c r="B355" i="37"/>
  <c r="J346" i="37"/>
  <c r="B339" i="37"/>
  <c r="B338" i="37"/>
  <c r="B337" i="37"/>
  <c r="B336" i="37"/>
  <c r="B335" i="37"/>
  <c r="B327" i="37"/>
  <c r="B326" i="37"/>
  <c r="B325" i="37"/>
  <c r="B324" i="37"/>
  <c r="B323" i="37"/>
  <c r="B315" i="37"/>
  <c r="B314" i="37"/>
  <c r="B313" i="37"/>
  <c r="B312" i="37"/>
  <c r="B311" i="37"/>
  <c r="B303" i="37"/>
  <c r="B302" i="37"/>
  <c r="B301" i="37"/>
  <c r="B300" i="37"/>
  <c r="B299" i="37"/>
  <c r="S291" i="37"/>
  <c r="S290" i="37"/>
  <c r="S289" i="37"/>
  <c r="S288" i="37"/>
  <c r="S287" i="37"/>
  <c r="S285" i="37"/>
  <c r="S284" i="37"/>
  <c r="S283" i="37"/>
  <c r="T283" i="37" s="1"/>
  <c r="S282" i="37"/>
  <c r="S281" i="37"/>
  <c r="R281" i="37"/>
  <c r="T281" i="37" s="1"/>
  <c r="B279" i="37"/>
  <c r="R283" i="37" s="1"/>
  <c r="S278" i="37"/>
  <c r="S277" i="37"/>
  <c r="S276" i="37"/>
  <c r="S275" i="37"/>
  <c r="S274" i="37"/>
  <c r="S272" i="37"/>
  <c r="S271" i="37"/>
  <c r="S270" i="37"/>
  <c r="S269" i="37"/>
  <c r="R269" i="37"/>
  <c r="S268" i="37"/>
  <c r="R268" i="37"/>
  <c r="B266" i="37"/>
  <c r="R272" i="37" s="1"/>
  <c r="S265" i="37"/>
  <c r="S264" i="37"/>
  <c r="S263" i="37"/>
  <c r="S262" i="37"/>
  <c r="S261" i="37"/>
  <c r="S259" i="37"/>
  <c r="S258" i="37"/>
  <c r="S257" i="37"/>
  <c r="S256" i="37"/>
  <c r="S255" i="37"/>
  <c r="B253" i="37"/>
  <c r="R256" i="37" s="1"/>
  <c r="T256" i="37" s="1"/>
  <c r="S252" i="37"/>
  <c r="S251" i="37"/>
  <c r="S250" i="37"/>
  <c r="S249" i="37"/>
  <c r="S248" i="37"/>
  <c r="S246" i="37"/>
  <c r="S245" i="37"/>
  <c r="S244" i="37"/>
  <c r="S243" i="37"/>
  <c r="S242" i="37"/>
  <c r="B240" i="37"/>
  <c r="S239" i="37"/>
  <c r="S238" i="37"/>
  <c r="S237" i="37"/>
  <c r="S236" i="37"/>
  <c r="S235" i="37"/>
  <c r="S233" i="37"/>
  <c r="S232" i="37"/>
  <c r="S231" i="37"/>
  <c r="S230" i="37"/>
  <c r="S229" i="37"/>
  <c r="B227" i="37"/>
  <c r="R237" i="37" s="1"/>
  <c r="T237" i="37" s="1"/>
  <c r="B219" i="37"/>
  <c r="B218" i="37"/>
  <c r="B217" i="37"/>
  <c r="B216" i="37"/>
  <c r="B215" i="37"/>
  <c r="B207" i="37"/>
  <c r="B206" i="37"/>
  <c r="B205" i="37"/>
  <c r="B204" i="37"/>
  <c r="B203" i="37"/>
  <c r="B195" i="37"/>
  <c r="B194" i="37"/>
  <c r="B193" i="37"/>
  <c r="B192" i="37"/>
  <c r="B191" i="37"/>
  <c r="B183" i="37"/>
  <c r="B182" i="37"/>
  <c r="B181" i="37"/>
  <c r="B180" i="37"/>
  <c r="B179" i="37"/>
  <c r="B167" i="37"/>
  <c r="B166" i="37"/>
  <c r="B165" i="37"/>
  <c r="B164" i="37"/>
  <c r="B163" i="37"/>
  <c r="B161" i="37"/>
  <c r="B160" i="37"/>
  <c r="B159" i="37"/>
  <c r="B158" i="37"/>
  <c r="B157" i="37"/>
  <c r="B148" i="37"/>
  <c r="B147" i="37"/>
  <c r="B146" i="37"/>
  <c r="B145" i="37"/>
  <c r="B144" i="37"/>
  <c r="B142" i="37"/>
  <c r="B141" i="37"/>
  <c r="B140" i="37"/>
  <c r="B139" i="37"/>
  <c r="B138" i="37"/>
  <c r="B98" i="37"/>
  <c r="B97" i="37"/>
  <c r="B96" i="37"/>
  <c r="B95" i="37"/>
  <c r="B83" i="37"/>
  <c r="B82" i="37"/>
  <c r="B81" i="37"/>
  <c r="B80" i="37"/>
  <c r="B79" i="37"/>
  <c r="B77" i="37"/>
  <c r="B76" i="37"/>
  <c r="B75" i="37"/>
  <c r="B74" i="37"/>
  <c r="B73" i="37"/>
  <c r="B64" i="37"/>
  <c r="B63" i="37"/>
  <c r="B62" i="37"/>
  <c r="B61" i="37"/>
  <c r="B60" i="37"/>
  <c r="B58" i="37"/>
  <c r="B57" i="37"/>
  <c r="B56" i="37"/>
  <c r="B55" i="37"/>
  <c r="B54" i="37"/>
  <c r="G30" i="36"/>
  <c r="G29" i="36"/>
  <c r="G28" i="36"/>
  <c r="G27" i="36"/>
  <c r="G25" i="36"/>
  <c r="G24" i="36"/>
  <c r="G23" i="36"/>
  <c r="G22" i="36"/>
  <c r="G20" i="36"/>
  <c r="G19" i="36"/>
  <c r="G18" i="36"/>
  <c r="G17" i="36"/>
  <c r="G15" i="36"/>
  <c r="G14" i="36"/>
  <c r="G13" i="36"/>
  <c r="G12" i="36"/>
  <c r="G10" i="36"/>
  <c r="G9" i="36"/>
  <c r="G8" i="36"/>
  <c r="G7" i="36"/>
  <c r="F47" i="35"/>
  <c r="E47" i="35"/>
  <c r="D47" i="35"/>
  <c r="C47" i="35"/>
  <c r="F46" i="35"/>
  <c r="E46" i="35"/>
  <c r="D46" i="35"/>
  <c r="C46" i="35"/>
  <c r="F45" i="35"/>
  <c r="E45" i="35"/>
  <c r="D45" i="35"/>
  <c r="C45" i="35"/>
  <c r="F44" i="35"/>
  <c r="E44" i="35"/>
  <c r="D44" i="35"/>
  <c r="C44" i="35"/>
  <c r="F43" i="35"/>
  <c r="E43" i="35"/>
  <c r="D43" i="35"/>
  <c r="C43" i="35"/>
  <c r="F42" i="35"/>
  <c r="E42" i="35"/>
  <c r="D42" i="35"/>
  <c r="C42" i="35"/>
  <c r="F41" i="35"/>
  <c r="L41" i="35" s="1"/>
  <c r="E41" i="35"/>
  <c r="D41" i="35"/>
  <c r="C41" i="35"/>
  <c r="F40" i="35"/>
  <c r="E40" i="35"/>
  <c r="D40" i="35"/>
  <c r="C40" i="35"/>
  <c r="F39" i="35"/>
  <c r="L39" i="35" s="1"/>
  <c r="E39" i="35"/>
  <c r="D39" i="35"/>
  <c r="C39" i="35"/>
  <c r="F38" i="35"/>
  <c r="M38" i="35" s="1"/>
  <c r="E38" i="35"/>
  <c r="D38" i="35"/>
  <c r="C38" i="35"/>
  <c r="F37" i="35"/>
  <c r="M37" i="35" s="1"/>
  <c r="E37" i="35"/>
  <c r="D37" i="35"/>
  <c r="C37" i="35"/>
  <c r="F36" i="35"/>
  <c r="E36" i="35"/>
  <c r="D36" i="35"/>
  <c r="C36" i="35"/>
  <c r="F35" i="35"/>
  <c r="E35" i="35"/>
  <c r="D35" i="35"/>
  <c r="C35" i="35"/>
  <c r="F34" i="35"/>
  <c r="E34" i="35"/>
  <c r="D34" i="35"/>
  <c r="C34" i="35"/>
  <c r="F33" i="35"/>
  <c r="E33" i="35"/>
  <c r="D33" i="35"/>
  <c r="C33" i="35"/>
  <c r="F32" i="35"/>
  <c r="E32" i="35"/>
  <c r="D32" i="35"/>
  <c r="C32" i="35"/>
  <c r="F31" i="35"/>
  <c r="E31" i="35"/>
  <c r="D31" i="35"/>
  <c r="C31" i="35"/>
  <c r="F30" i="35"/>
  <c r="E30" i="35"/>
  <c r="D30" i="35"/>
  <c r="C30" i="35"/>
  <c r="F29" i="35"/>
  <c r="E29" i="35"/>
  <c r="D29" i="35"/>
  <c r="C29" i="35"/>
  <c r="F28" i="35"/>
  <c r="L28" i="35" s="1"/>
  <c r="E28" i="35"/>
  <c r="D28" i="35"/>
  <c r="C28" i="35"/>
  <c r="F27" i="35"/>
  <c r="L27" i="35" s="1"/>
  <c r="E27" i="35"/>
  <c r="D27" i="35"/>
  <c r="C27" i="35"/>
  <c r="F26" i="35"/>
  <c r="E26" i="35"/>
  <c r="D26" i="35"/>
  <c r="C26" i="35"/>
  <c r="F25" i="35"/>
  <c r="E25" i="35"/>
  <c r="D25" i="35"/>
  <c r="C25" i="35"/>
  <c r="F24" i="35"/>
  <c r="E24" i="35"/>
  <c r="D24" i="35"/>
  <c r="C24" i="35"/>
  <c r="F23" i="35"/>
  <c r="L23" i="35" s="1"/>
  <c r="E23" i="35"/>
  <c r="D23" i="35"/>
  <c r="C23" i="35"/>
  <c r="F22" i="35"/>
  <c r="E22" i="35"/>
  <c r="D22" i="35"/>
  <c r="C22" i="35"/>
  <c r="F21" i="35"/>
  <c r="O21" i="35" s="1"/>
  <c r="E21" i="35"/>
  <c r="D21" i="35"/>
  <c r="C21" i="35"/>
  <c r="F20" i="35"/>
  <c r="E20" i="35"/>
  <c r="D20" i="35"/>
  <c r="C20" i="35"/>
  <c r="F19" i="35"/>
  <c r="L19" i="35" s="1"/>
  <c r="E19" i="35"/>
  <c r="D19" i="35"/>
  <c r="C19" i="35"/>
  <c r="F18" i="35"/>
  <c r="E18" i="35"/>
  <c r="D18" i="35"/>
  <c r="C18" i="35"/>
  <c r="F17" i="35"/>
  <c r="L17" i="35" s="1"/>
  <c r="E17" i="35"/>
  <c r="D17" i="35"/>
  <c r="C17" i="35"/>
  <c r="F16" i="35"/>
  <c r="E16" i="35"/>
  <c r="D16" i="35"/>
  <c r="C16" i="35"/>
  <c r="F15" i="35"/>
  <c r="E15" i="35"/>
  <c r="D15" i="35"/>
  <c r="C15" i="35"/>
  <c r="F14" i="35"/>
  <c r="E14" i="35"/>
  <c r="D14" i="35"/>
  <c r="C14" i="35"/>
  <c r="F13" i="35"/>
  <c r="D13" i="35"/>
  <c r="C13" i="35"/>
  <c r="F12" i="35"/>
  <c r="O12" i="35" s="1"/>
  <c r="D12" i="35"/>
  <c r="C12" i="35"/>
  <c r="F11" i="35"/>
  <c r="E11" i="35"/>
  <c r="D11" i="35"/>
  <c r="C11" i="35"/>
  <c r="F10" i="35"/>
  <c r="E10" i="35"/>
  <c r="D10" i="35"/>
  <c r="C10" i="35"/>
  <c r="F9" i="35"/>
  <c r="E9" i="35"/>
  <c r="D9" i="35"/>
  <c r="C9" i="35"/>
  <c r="F8" i="35"/>
  <c r="E8" i="35"/>
  <c r="D8" i="35"/>
  <c r="C8" i="35"/>
  <c r="F7" i="35"/>
  <c r="E7" i="35"/>
  <c r="D7" i="35"/>
  <c r="C7" i="35"/>
  <c r="I450" i="34"/>
  <c r="I449" i="34"/>
  <c r="G449" i="34"/>
  <c r="F449" i="34"/>
  <c r="E449" i="34"/>
  <c r="I448" i="34"/>
  <c r="G448" i="34"/>
  <c r="F448" i="34"/>
  <c r="E448" i="34"/>
  <c r="I446" i="34"/>
  <c r="G446" i="34"/>
  <c r="F446" i="34"/>
  <c r="E446" i="34"/>
  <c r="I444" i="34"/>
  <c r="G444" i="34"/>
  <c r="F444" i="34"/>
  <c r="E444" i="34"/>
  <c r="F442" i="34"/>
  <c r="E442" i="34"/>
  <c r="D442" i="34"/>
  <c r="C442" i="34"/>
  <c r="I438" i="34"/>
  <c r="G438" i="34"/>
  <c r="F438" i="34"/>
  <c r="E438" i="34"/>
  <c r="I437" i="34"/>
  <c r="G437" i="34"/>
  <c r="F437" i="34"/>
  <c r="E437" i="34"/>
  <c r="I436" i="34"/>
  <c r="G436" i="34"/>
  <c r="F436" i="34"/>
  <c r="E436" i="34"/>
  <c r="I435" i="34"/>
  <c r="G435" i="34"/>
  <c r="F435" i="34"/>
  <c r="E435" i="34"/>
  <c r="I433" i="34"/>
  <c r="G433" i="34"/>
  <c r="F433" i="34"/>
  <c r="E433" i="34"/>
  <c r="I431" i="34"/>
  <c r="G431" i="34"/>
  <c r="F431" i="34"/>
  <c r="E431" i="34"/>
  <c r="I430" i="34"/>
  <c r="G430" i="34"/>
  <c r="F430" i="34"/>
  <c r="E430" i="34"/>
  <c r="F428" i="34"/>
  <c r="E428" i="34"/>
  <c r="D428" i="34"/>
  <c r="C428" i="34"/>
  <c r="I424" i="34"/>
  <c r="I423" i="34"/>
  <c r="G423" i="34"/>
  <c r="F423" i="34"/>
  <c r="E423" i="34"/>
  <c r="I421" i="34"/>
  <c r="G421" i="34"/>
  <c r="F421" i="34"/>
  <c r="E421" i="34"/>
  <c r="I419" i="34"/>
  <c r="I418" i="34"/>
  <c r="G418" i="34"/>
  <c r="F418" i="34"/>
  <c r="E418" i="34"/>
  <c r="I417" i="34"/>
  <c r="G417" i="34"/>
  <c r="F417" i="34"/>
  <c r="E417" i="34"/>
  <c r="F415" i="34"/>
  <c r="E415" i="34"/>
  <c r="D415" i="34"/>
  <c r="C415" i="34"/>
  <c r="I414" i="34"/>
  <c r="G414" i="34"/>
  <c r="F414" i="34"/>
  <c r="E414" i="34"/>
  <c r="I412" i="34"/>
  <c r="I411" i="34"/>
  <c r="G411" i="34"/>
  <c r="F411" i="34"/>
  <c r="E411" i="34"/>
  <c r="F409" i="34"/>
  <c r="E409" i="34"/>
  <c r="D409" i="34"/>
  <c r="C409" i="34"/>
  <c r="I405" i="34"/>
  <c r="I404" i="34"/>
  <c r="G404" i="34"/>
  <c r="F404" i="34"/>
  <c r="E404" i="34"/>
  <c r="I402" i="34"/>
  <c r="G402" i="34"/>
  <c r="F402" i="34"/>
  <c r="E402" i="34"/>
  <c r="I400" i="34"/>
  <c r="G400" i="34"/>
  <c r="F400" i="34"/>
  <c r="E400" i="34"/>
  <c r="F398" i="34"/>
  <c r="E398" i="34"/>
  <c r="D398" i="34"/>
  <c r="C398" i="34"/>
  <c r="I394" i="34"/>
  <c r="I393" i="34"/>
  <c r="G393" i="34"/>
  <c r="F393" i="34"/>
  <c r="E393" i="34"/>
  <c r="I392" i="34"/>
  <c r="G392" i="34"/>
  <c r="F392" i="34"/>
  <c r="E392" i="34"/>
  <c r="I391" i="34"/>
  <c r="G391" i="34"/>
  <c r="F391" i="34"/>
  <c r="E391" i="34"/>
  <c r="I389" i="34"/>
  <c r="G389" i="34"/>
  <c r="F389" i="34"/>
  <c r="E389" i="34"/>
  <c r="I387" i="34"/>
  <c r="G387" i="34"/>
  <c r="I386" i="34"/>
  <c r="G386" i="34"/>
  <c r="F386" i="34"/>
  <c r="E386" i="34"/>
  <c r="I385" i="34"/>
  <c r="G385" i="34"/>
  <c r="F385" i="34"/>
  <c r="E385" i="34"/>
  <c r="I384" i="34"/>
  <c r="G384" i="34"/>
  <c r="F384" i="34"/>
  <c r="E384" i="34"/>
  <c r="I383" i="34"/>
  <c r="G383" i="34"/>
  <c r="F383" i="34"/>
  <c r="E383" i="34"/>
  <c r="I382" i="34"/>
  <c r="G382" i="34"/>
  <c r="F382" i="34"/>
  <c r="E382" i="34"/>
  <c r="I381" i="34"/>
  <c r="G381" i="34"/>
  <c r="F381" i="34"/>
  <c r="E381" i="34"/>
  <c r="F379" i="34"/>
  <c r="E379" i="34"/>
  <c r="D379" i="34"/>
  <c r="C379" i="34"/>
  <c r="I375" i="34"/>
  <c r="G375" i="34"/>
  <c r="F375" i="34"/>
  <c r="E375" i="34"/>
  <c r="I373" i="34"/>
  <c r="G373" i="34"/>
  <c r="F373" i="34"/>
  <c r="E373" i="34"/>
  <c r="F371" i="34"/>
  <c r="E371" i="34"/>
  <c r="D371" i="34"/>
  <c r="C371" i="34"/>
  <c r="I367" i="34"/>
  <c r="G367" i="34"/>
  <c r="F367" i="34"/>
  <c r="E367" i="34"/>
  <c r="I365" i="34"/>
  <c r="G365" i="34"/>
  <c r="F365" i="34"/>
  <c r="E365" i="34"/>
  <c r="F363" i="34"/>
  <c r="E363" i="34"/>
  <c r="D363" i="34"/>
  <c r="C363" i="34"/>
  <c r="I359" i="34"/>
  <c r="G359" i="34"/>
  <c r="F359" i="34"/>
  <c r="E359" i="34"/>
  <c r="I358" i="34"/>
  <c r="G358" i="34"/>
  <c r="F358" i="34"/>
  <c r="E358" i="34"/>
  <c r="I356" i="34"/>
  <c r="G356" i="34"/>
  <c r="F356" i="34"/>
  <c r="E356" i="34"/>
  <c r="F354" i="34"/>
  <c r="E354" i="34"/>
  <c r="D354" i="34"/>
  <c r="C354" i="34"/>
  <c r="I350" i="34"/>
  <c r="G350" i="34"/>
  <c r="F350" i="34"/>
  <c r="E350" i="34"/>
  <c r="I348" i="34"/>
  <c r="G348" i="34"/>
  <c r="F348" i="34"/>
  <c r="E348" i="34"/>
  <c r="I346" i="34"/>
  <c r="G346" i="34"/>
  <c r="F346" i="34"/>
  <c r="E346" i="34"/>
  <c r="I345" i="34"/>
  <c r="G345" i="34"/>
  <c r="F345" i="34"/>
  <c r="E345" i="34"/>
  <c r="F343" i="34"/>
  <c r="E343" i="34"/>
  <c r="D343" i="34"/>
  <c r="C343" i="34"/>
  <c r="I342" i="34"/>
  <c r="G342" i="34"/>
  <c r="F342" i="34"/>
  <c r="E342" i="34"/>
  <c r="I340" i="34"/>
  <c r="G340" i="34"/>
  <c r="F340" i="34"/>
  <c r="E340" i="34"/>
  <c r="I339" i="34"/>
  <c r="G339" i="34"/>
  <c r="F339" i="34"/>
  <c r="E339" i="34"/>
  <c r="F337" i="34"/>
  <c r="E337" i="34"/>
  <c r="D337" i="34"/>
  <c r="C337" i="34"/>
  <c r="I333" i="34"/>
  <c r="I332" i="34"/>
  <c r="G332" i="34"/>
  <c r="F332" i="34"/>
  <c r="E332" i="34"/>
  <c r="I331" i="34"/>
  <c r="G331" i="34"/>
  <c r="F331" i="34"/>
  <c r="E331" i="34"/>
  <c r="I330" i="34"/>
  <c r="G330" i="34"/>
  <c r="F330" i="34"/>
  <c r="E330" i="34"/>
  <c r="I328" i="34"/>
  <c r="G328" i="34"/>
  <c r="F328" i="34"/>
  <c r="E328" i="34"/>
  <c r="I326" i="34"/>
  <c r="I325" i="34"/>
  <c r="G325" i="34"/>
  <c r="F325" i="34"/>
  <c r="E325" i="34"/>
  <c r="I324" i="34"/>
  <c r="G324" i="34"/>
  <c r="F324" i="34"/>
  <c r="E324" i="34"/>
  <c r="I323" i="34"/>
  <c r="G323" i="34"/>
  <c r="F323" i="34"/>
  <c r="E323" i="34"/>
  <c r="I322" i="34"/>
  <c r="G322" i="34"/>
  <c r="F322" i="34"/>
  <c r="E322" i="34"/>
  <c r="F320" i="34"/>
  <c r="E320" i="34"/>
  <c r="D320" i="34"/>
  <c r="C320" i="34"/>
  <c r="I316" i="34"/>
  <c r="G316" i="34"/>
  <c r="F316" i="34"/>
  <c r="E316" i="34"/>
  <c r="I315" i="34"/>
  <c r="G315" i="34"/>
  <c r="F315" i="34"/>
  <c r="E315" i="34"/>
  <c r="I313" i="34"/>
  <c r="G313" i="34"/>
  <c r="F313" i="34"/>
  <c r="E313" i="34"/>
  <c r="I311" i="34"/>
  <c r="I310" i="34"/>
  <c r="G310" i="34"/>
  <c r="F310" i="34"/>
  <c r="E310" i="34"/>
  <c r="I309" i="34"/>
  <c r="G309" i="34"/>
  <c r="F309" i="34"/>
  <c r="E309" i="34"/>
  <c r="I308" i="34"/>
  <c r="G308" i="34"/>
  <c r="F308" i="34"/>
  <c r="E308" i="34"/>
  <c r="I307" i="34"/>
  <c r="G307" i="34"/>
  <c r="F307" i="34"/>
  <c r="E307" i="34"/>
  <c r="F305" i="34"/>
  <c r="E305" i="34"/>
  <c r="D305" i="34"/>
  <c r="C305" i="34"/>
  <c r="I301" i="34"/>
  <c r="I300" i="34"/>
  <c r="G300" i="34"/>
  <c r="F300" i="34"/>
  <c r="E300" i="34"/>
  <c r="I298" i="34"/>
  <c r="G298" i="34"/>
  <c r="F298" i="34"/>
  <c r="E298" i="34"/>
  <c r="I296" i="34"/>
  <c r="I295" i="34"/>
  <c r="G295" i="34"/>
  <c r="F295" i="34"/>
  <c r="E295" i="34"/>
  <c r="I294" i="34"/>
  <c r="G294" i="34"/>
  <c r="F294" i="34"/>
  <c r="E294" i="34"/>
  <c r="I293" i="34"/>
  <c r="G293" i="34"/>
  <c r="F293" i="34"/>
  <c r="E293" i="34"/>
  <c r="F291" i="34"/>
  <c r="E291" i="34"/>
  <c r="D291" i="34"/>
  <c r="C291" i="34"/>
  <c r="I287" i="34"/>
  <c r="G287" i="34"/>
  <c r="F287" i="34"/>
  <c r="E287" i="34"/>
  <c r="I286" i="34"/>
  <c r="G286" i="34"/>
  <c r="F286" i="34"/>
  <c r="E286" i="34"/>
  <c r="I284" i="34"/>
  <c r="G284" i="34"/>
  <c r="F284" i="34"/>
  <c r="E284" i="34"/>
  <c r="I282" i="34"/>
  <c r="I281" i="34"/>
  <c r="G281" i="34"/>
  <c r="F281" i="34"/>
  <c r="E281" i="34"/>
  <c r="I280" i="34"/>
  <c r="G280" i="34"/>
  <c r="F280" i="34"/>
  <c r="E280" i="34"/>
  <c r="I279" i="34"/>
  <c r="G279" i="34"/>
  <c r="F279" i="34"/>
  <c r="E279" i="34"/>
  <c r="I278" i="34"/>
  <c r="G278" i="34"/>
  <c r="F278" i="34"/>
  <c r="E278" i="34"/>
  <c r="F276" i="34"/>
  <c r="E276" i="34"/>
  <c r="D276" i="34"/>
  <c r="C276" i="34"/>
  <c r="I272" i="34"/>
  <c r="I271" i="34"/>
  <c r="G271" i="34"/>
  <c r="F271" i="34"/>
  <c r="E271" i="34"/>
  <c r="I270" i="34"/>
  <c r="G270" i="34"/>
  <c r="F270" i="34"/>
  <c r="E270" i="34"/>
  <c r="I269" i="34"/>
  <c r="G269" i="34"/>
  <c r="F269" i="34"/>
  <c r="E269" i="34"/>
  <c r="I267" i="34"/>
  <c r="G267" i="34"/>
  <c r="F267" i="34"/>
  <c r="E267" i="34"/>
  <c r="I265" i="34"/>
  <c r="I264" i="34"/>
  <c r="G264" i="34"/>
  <c r="F264" i="34"/>
  <c r="E264" i="34"/>
  <c r="I263" i="34"/>
  <c r="G263" i="34"/>
  <c r="F263" i="34"/>
  <c r="E263" i="34"/>
  <c r="I262" i="34"/>
  <c r="G262" i="34"/>
  <c r="F262" i="34"/>
  <c r="E262" i="34"/>
  <c r="I261" i="34"/>
  <c r="G261" i="34"/>
  <c r="F261" i="34"/>
  <c r="E261" i="34"/>
  <c r="F259" i="34"/>
  <c r="E259" i="34"/>
  <c r="D259" i="34"/>
  <c r="C259" i="34"/>
  <c r="I255" i="34"/>
  <c r="G255" i="34"/>
  <c r="F255" i="34"/>
  <c r="E255" i="34"/>
  <c r="I254" i="34"/>
  <c r="G254" i="34"/>
  <c r="F254" i="34"/>
  <c r="E254" i="34"/>
  <c r="I252" i="34"/>
  <c r="G252" i="34"/>
  <c r="F252" i="34"/>
  <c r="E252" i="34"/>
  <c r="I250" i="34"/>
  <c r="G250" i="34"/>
  <c r="F250" i="34"/>
  <c r="E250" i="34"/>
  <c r="I249" i="34"/>
  <c r="G249" i="34"/>
  <c r="F249" i="34"/>
  <c r="E249" i="34"/>
  <c r="I248" i="34"/>
  <c r="G248" i="34"/>
  <c r="F248" i="34"/>
  <c r="E248" i="34"/>
  <c r="F246" i="34"/>
  <c r="E246" i="34"/>
  <c r="D246" i="34"/>
  <c r="C246" i="34"/>
  <c r="I242" i="34"/>
  <c r="G242" i="34"/>
  <c r="F242" i="34"/>
  <c r="E242" i="34"/>
  <c r="I240" i="34"/>
  <c r="G240" i="34"/>
  <c r="F240" i="34"/>
  <c r="E240" i="34"/>
  <c r="I238" i="34"/>
  <c r="G238" i="34"/>
  <c r="F238" i="34"/>
  <c r="E238" i="34"/>
  <c r="I237" i="34"/>
  <c r="G237" i="34"/>
  <c r="F237" i="34"/>
  <c r="E237" i="34"/>
  <c r="F235" i="34"/>
  <c r="E235" i="34"/>
  <c r="D235" i="34"/>
  <c r="C235" i="34"/>
  <c r="I231" i="34"/>
  <c r="G231" i="34"/>
  <c r="F231" i="34"/>
  <c r="E231" i="34"/>
  <c r="I230" i="34"/>
  <c r="G230" i="34"/>
  <c r="F230" i="34"/>
  <c r="E230" i="34"/>
  <c r="I228" i="34"/>
  <c r="G228" i="34"/>
  <c r="F228" i="34"/>
  <c r="E228" i="34"/>
  <c r="I226" i="34"/>
  <c r="I225" i="34"/>
  <c r="G225" i="34"/>
  <c r="F225" i="34"/>
  <c r="E225" i="34"/>
  <c r="I224" i="34"/>
  <c r="G224" i="34"/>
  <c r="F224" i="34"/>
  <c r="E224" i="34"/>
  <c r="I223" i="34"/>
  <c r="G223" i="34"/>
  <c r="F223" i="34"/>
  <c r="E223" i="34"/>
  <c r="I222" i="34"/>
  <c r="G222" i="34"/>
  <c r="F222" i="34"/>
  <c r="E222" i="34"/>
  <c r="F220" i="34"/>
  <c r="E220" i="34"/>
  <c r="D220" i="34"/>
  <c r="C220" i="34"/>
  <c r="I219" i="34"/>
  <c r="G219" i="34"/>
  <c r="F219" i="34"/>
  <c r="E219" i="34"/>
  <c r="F217" i="34"/>
  <c r="E217" i="34"/>
  <c r="D217" i="34"/>
  <c r="C217" i="34"/>
  <c r="I216" i="34"/>
  <c r="G216" i="34"/>
  <c r="F216" i="34"/>
  <c r="E216" i="34"/>
  <c r="F214" i="34"/>
  <c r="E214" i="34"/>
  <c r="D214" i="34"/>
  <c r="C214" i="34"/>
  <c r="I210" i="34"/>
  <c r="G210" i="34"/>
  <c r="F210" i="34"/>
  <c r="E210" i="34"/>
  <c r="I208" i="34"/>
  <c r="G208" i="34"/>
  <c r="F208" i="34"/>
  <c r="E208" i="34"/>
  <c r="I206" i="34"/>
  <c r="G206" i="34"/>
  <c r="F206" i="34"/>
  <c r="E206" i="34"/>
  <c r="I205" i="34"/>
  <c r="G205" i="34"/>
  <c r="F205" i="34"/>
  <c r="E205" i="34"/>
  <c r="I204" i="34"/>
  <c r="G204" i="34"/>
  <c r="F204" i="34"/>
  <c r="E204" i="34"/>
  <c r="I203" i="34"/>
  <c r="G203" i="34"/>
  <c r="F203" i="34"/>
  <c r="E203" i="34"/>
  <c r="F201" i="34"/>
  <c r="E201" i="34"/>
  <c r="D201" i="34"/>
  <c r="C201" i="34"/>
  <c r="I200" i="34"/>
  <c r="G200" i="34"/>
  <c r="F200" i="34"/>
  <c r="E200" i="34"/>
  <c r="I198" i="34"/>
  <c r="G198" i="34"/>
  <c r="F198" i="34"/>
  <c r="E198" i="34"/>
  <c r="F196" i="34"/>
  <c r="E196" i="34"/>
  <c r="D196" i="34"/>
  <c r="C196" i="34"/>
  <c r="I195" i="34"/>
  <c r="G195" i="34"/>
  <c r="F195" i="34"/>
  <c r="E195" i="34"/>
  <c r="I193" i="34"/>
  <c r="I192" i="34"/>
  <c r="G192" i="34"/>
  <c r="F192" i="34"/>
  <c r="E192" i="34"/>
  <c r="F190" i="34"/>
  <c r="E190" i="34"/>
  <c r="D190" i="34"/>
  <c r="C190" i="34"/>
  <c r="I186" i="34"/>
  <c r="G186" i="34"/>
  <c r="F186" i="34"/>
  <c r="E186" i="34"/>
  <c r="I184" i="34"/>
  <c r="G184" i="34"/>
  <c r="F184" i="34"/>
  <c r="E184" i="34"/>
  <c r="F182" i="34"/>
  <c r="E182" i="34"/>
  <c r="D182" i="34"/>
  <c r="C182" i="34"/>
  <c r="I178" i="34"/>
  <c r="I177" i="34"/>
  <c r="F177" i="34"/>
  <c r="E177" i="34"/>
  <c r="I176" i="34"/>
  <c r="F176" i="34"/>
  <c r="E176" i="34"/>
  <c r="I175" i="34"/>
  <c r="F175" i="34"/>
  <c r="E175" i="34"/>
  <c r="I173" i="34"/>
  <c r="F173" i="34"/>
  <c r="E173" i="34"/>
  <c r="I171" i="34"/>
  <c r="I170" i="34"/>
  <c r="F170" i="34"/>
  <c r="E170" i="34"/>
  <c r="I169" i="34"/>
  <c r="G169" i="34"/>
  <c r="F169" i="34"/>
  <c r="E169" i="34"/>
  <c r="I168" i="34"/>
  <c r="F168" i="34"/>
  <c r="E168" i="34"/>
  <c r="F166" i="34"/>
  <c r="E166" i="34"/>
  <c r="D166" i="34"/>
  <c r="C166" i="34"/>
  <c r="I165" i="34"/>
  <c r="G165" i="34"/>
  <c r="F165" i="34"/>
  <c r="E165" i="34"/>
  <c r="F163" i="34"/>
  <c r="E163" i="34"/>
  <c r="D163" i="34"/>
  <c r="C163" i="34"/>
  <c r="I159" i="34"/>
  <c r="G159" i="34"/>
  <c r="F159" i="34"/>
  <c r="E159" i="34"/>
  <c r="I158" i="34"/>
  <c r="G158" i="34"/>
  <c r="F158" i="34"/>
  <c r="E158" i="34"/>
  <c r="I156" i="34"/>
  <c r="G156" i="34"/>
  <c r="F156" i="34"/>
  <c r="E156" i="34"/>
  <c r="F154" i="34"/>
  <c r="E154" i="34"/>
  <c r="D154" i="34"/>
  <c r="C154" i="34"/>
  <c r="I150" i="34"/>
  <c r="G150" i="34"/>
  <c r="F150" i="34"/>
  <c r="E150" i="34"/>
  <c r="I149" i="34"/>
  <c r="G149" i="34"/>
  <c r="F149" i="34"/>
  <c r="E149" i="34"/>
  <c r="I147" i="34"/>
  <c r="G147" i="34"/>
  <c r="F147" i="34"/>
  <c r="E147" i="34"/>
  <c r="F145" i="34"/>
  <c r="E145" i="34"/>
  <c r="D145" i="34"/>
  <c r="C145" i="34"/>
  <c r="I141" i="34"/>
  <c r="G141" i="34"/>
  <c r="F141" i="34"/>
  <c r="E141" i="34"/>
  <c r="I140" i="34"/>
  <c r="G140" i="34"/>
  <c r="F140" i="34"/>
  <c r="E140" i="34"/>
  <c r="I138" i="34"/>
  <c r="G138" i="34"/>
  <c r="F138" i="34"/>
  <c r="E138" i="34"/>
  <c r="F136" i="34"/>
  <c r="E136" i="34"/>
  <c r="D136" i="34"/>
  <c r="C136" i="34"/>
  <c r="I132" i="34"/>
  <c r="G132" i="34"/>
  <c r="F132" i="34"/>
  <c r="E132" i="34"/>
  <c r="I131" i="34"/>
  <c r="G131" i="34"/>
  <c r="F131" i="34"/>
  <c r="E131" i="34"/>
  <c r="I129" i="34"/>
  <c r="G129" i="34"/>
  <c r="F129" i="34"/>
  <c r="E129" i="34"/>
  <c r="F127" i="34"/>
  <c r="E127" i="34"/>
  <c r="D127" i="34"/>
  <c r="C127" i="34"/>
  <c r="I123" i="34"/>
  <c r="G123" i="34"/>
  <c r="F123" i="34"/>
  <c r="E123" i="34"/>
  <c r="I121" i="34"/>
  <c r="G121" i="34"/>
  <c r="F121" i="34"/>
  <c r="E121" i="34"/>
  <c r="I119" i="34"/>
  <c r="G119" i="34"/>
  <c r="F119" i="34"/>
  <c r="E119" i="34"/>
  <c r="F117" i="34"/>
  <c r="E117" i="34"/>
  <c r="D117" i="34"/>
  <c r="C117" i="34"/>
  <c r="I113" i="34"/>
  <c r="G113" i="34"/>
  <c r="F113" i="34"/>
  <c r="E113" i="34"/>
  <c r="I111" i="34"/>
  <c r="G111" i="34"/>
  <c r="F111" i="34"/>
  <c r="E111" i="34"/>
  <c r="I109" i="34"/>
  <c r="G109" i="34"/>
  <c r="F109" i="34"/>
  <c r="E109" i="34"/>
  <c r="I108" i="34"/>
  <c r="G108" i="34"/>
  <c r="F108" i="34"/>
  <c r="E108" i="34"/>
  <c r="F106" i="34"/>
  <c r="E106" i="34"/>
  <c r="D106" i="34"/>
  <c r="C106" i="34"/>
  <c r="I102" i="34"/>
  <c r="G102" i="34"/>
  <c r="F102" i="34"/>
  <c r="E102" i="34"/>
  <c r="I100" i="34"/>
  <c r="G100" i="34"/>
  <c r="F100" i="34"/>
  <c r="E100" i="34"/>
  <c r="I98" i="34"/>
  <c r="I97" i="34"/>
  <c r="G97" i="34"/>
  <c r="F97" i="34"/>
  <c r="E97" i="34"/>
  <c r="F95" i="34"/>
  <c r="E95" i="34"/>
  <c r="D95" i="34"/>
  <c r="C95" i="34"/>
  <c r="I91" i="34"/>
  <c r="I90" i="34"/>
  <c r="G90" i="34"/>
  <c r="F90" i="34"/>
  <c r="E90" i="34"/>
  <c r="I88" i="34"/>
  <c r="G88" i="34"/>
  <c r="F88" i="34"/>
  <c r="E88" i="34"/>
  <c r="I86" i="34"/>
  <c r="I85" i="34"/>
  <c r="G85" i="34"/>
  <c r="F85" i="34"/>
  <c r="E85" i="34"/>
  <c r="I84" i="34"/>
  <c r="G84" i="34"/>
  <c r="F84" i="34"/>
  <c r="E84" i="34"/>
  <c r="E82" i="34"/>
  <c r="D82" i="34"/>
  <c r="C82" i="34"/>
  <c r="I81" i="34"/>
  <c r="G81" i="34"/>
  <c r="F81" i="34"/>
  <c r="E81" i="34"/>
  <c r="I79" i="34"/>
  <c r="I78" i="34"/>
  <c r="G78" i="34"/>
  <c r="F78" i="34"/>
  <c r="E78" i="34"/>
  <c r="E76" i="34"/>
  <c r="D76" i="34"/>
  <c r="C76" i="34"/>
  <c r="I72" i="34"/>
  <c r="I71" i="34"/>
  <c r="G71" i="34"/>
  <c r="F71" i="34"/>
  <c r="E71" i="34"/>
  <c r="I69" i="34"/>
  <c r="G69" i="34"/>
  <c r="F69" i="34"/>
  <c r="E69" i="34"/>
  <c r="I67" i="34"/>
  <c r="G67" i="34"/>
  <c r="F67" i="34"/>
  <c r="E67" i="34"/>
  <c r="F65" i="34"/>
  <c r="E65" i="34"/>
  <c r="D65" i="34"/>
  <c r="C65" i="34"/>
  <c r="I61" i="34"/>
  <c r="I60" i="34"/>
  <c r="G60" i="34"/>
  <c r="F60" i="34"/>
  <c r="E60" i="34"/>
  <c r="I59" i="34"/>
  <c r="G59" i="34"/>
  <c r="F59" i="34"/>
  <c r="E59" i="34"/>
  <c r="I58" i="34"/>
  <c r="G58" i="34"/>
  <c r="F58" i="34"/>
  <c r="E58" i="34"/>
  <c r="I56" i="34"/>
  <c r="G56" i="34"/>
  <c r="F56" i="34"/>
  <c r="E56" i="34"/>
  <c r="I54" i="34"/>
  <c r="I53" i="34"/>
  <c r="G53" i="34"/>
  <c r="F53" i="34"/>
  <c r="E53" i="34"/>
  <c r="I52" i="34"/>
  <c r="G52" i="34"/>
  <c r="F52" i="34"/>
  <c r="E52" i="34"/>
  <c r="I51" i="34"/>
  <c r="G51" i="34"/>
  <c r="F51" i="34"/>
  <c r="E51" i="34"/>
  <c r="I50" i="34"/>
  <c r="G50" i="34"/>
  <c r="F50" i="34"/>
  <c r="E50" i="34"/>
  <c r="I49" i="34"/>
  <c r="G49" i="34"/>
  <c r="F49" i="34"/>
  <c r="E49" i="34"/>
  <c r="I48" i="34"/>
  <c r="G48" i="34"/>
  <c r="F48" i="34"/>
  <c r="E48" i="34"/>
  <c r="F46" i="34"/>
  <c r="E46" i="34"/>
  <c r="D46" i="34"/>
  <c r="C46" i="34"/>
  <c r="I42" i="34"/>
  <c r="I41" i="34"/>
  <c r="G41" i="34"/>
  <c r="F41" i="34"/>
  <c r="E41" i="34"/>
  <c r="I40" i="34"/>
  <c r="G40" i="34"/>
  <c r="F40" i="34"/>
  <c r="E40" i="34"/>
  <c r="I38" i="34"/>
  <c r="G38" i="34"/>
  <c r="F38" i="34"/>
  <c r="E38" i="34"/>
  <c r="I36" i="34"/>
  <c r="G36" i="34"/>
  <c r="F36" i="34"/>
  <c r="E36" i="34"/>
  <c r="F34" i="34"/>
  <c r="E34" i="34"/>
  <c r="D34" i="34"/>
  <c r="C34" i="34"/>
  <c r="I30" i="34"/>
  <c r="F30" i="34"/>
  <c r="E30" i="34"/>
  <c r="I29" i="34"/>
  <c r="G29" i="34"/>
  <c r="F29" i="34"/>
  <c r="E29" i="34"/>
  <c r="I28" i="34"/>
  <c r="F28" i="34"/>
  <c r="E28" i="34"/>
  <c r="I27" i="34"/>
  <c r="G27" i="34"/>
  <c r="F27" i="34"/>
  <c r="E27" i="34"/>
  <c r="I25" i="34"/>
  <c r="F25" i="34"/>
  <c r="E25" i="34"/>
  <c r="I23" i="34"/>
  <c r="G23" i="34"/>
  <c r="F23" i="34"/>
  <c r="E23" i="34"/>
  <c r="I22" i="34"/>
  <c r="F22" i="34"/>
  <c r="E22" i="34"/>
  <c r="F20" i="34"/>
  <c r="E20" i="34"/>
  <c r="D20" i="34"/>
  <c r="C20" i="34"/>
  <c r="I16" i="34"/>
  <c r="G16" i="34"/>
  <c r="F16" i="34"/>
  <c r="E16" i="34"/>
  <c r="I15" i="34"/>
  <c r="G15" i="34"/>
  <c r="F15" i="34"/>
  <c r="E15" i="34"/>
  <c r="I14" i="34"/>
  <c r="G14" i="34"/>
  <c r="F14" i="34"/>
  <c r="E14" i="34"/>
  <c r="I13" i="34"/>
  <c r="G13" i="34"/>
  <c r="F13" i="34"/>
  <c r="E13" i="34"/>
  <c r="I11" i="34"/>
  <c r="G11" i="34"/>
  <c r="F11" i="34"/>
  <c r="E11" i="34"/>
  <c r="I9" i="34"/>
  <c r="G9" i="34"/>
  <c r="F9" i="34"/>
  <c r="E9" i="34"/>
  <c r="I8" i="34"/>
  <c r="G8" i="34"/>
  <c r="F8" i="34"/>
  <c r="E8" i="34"/>
  <c r="F6" i="34"/>
  <c r="E6" i="34"/>
  <c r="D6" i="34"/>
  <c r="C6" i="34"/>
  <c r="E67" i="32"/>
  <c r="G752" i="19" s="1"/>
  <c r="E65" i="32"/>
  <c r="E64" i="32"/>
  <c r="E63" i="32"/>
  <c r="E61" i="32"/>
  <c r="E60" i="32"/>
  <c r="G835" i="19" s="1"/>
  <c r="E59" i="32"/>
  <c r="B49" i="32"/>
  <c r="B50" i="32" s="1"/>
  <c r="B51" i="32" s="1"/>
  <c r="B52" i="32" s="1"/>
  <c r="B53" i="32" s="1"/>
  <c r="B55" i="32" s="1"/>
  <c r="B56" i="32" s="1"/>
  <c r="B57" i="32" s="1"/>
  <c r="B58" i="32" s="1"/>
  <c r="B59" i="32" s="1"/>
  <c r="B60" i="32" s="1"/>
  <c r="B61" i="32" s="1"/>
  <c r="B62" i="32" s="1"/>
  <c r="B63" i="32" s="1"/>
  <c r="B64" i="32" s="1"/>
  <c r="B65" i="32" s="1"/>
  <c r="B66" i="32" s="1"/>
  <c r="B67" i="32" s="1"/>
  <c r="B68" i="32" s="1"/>
  <c r="B69" i="32" s="1"/>
  <c r="B70" i="32" s="1"/>
  <c r="B71" i="32" s="1"/>
  <c r="B72" i="32" s="1"/>
  <c r="B73" i="32" s="1"/>
  <c r="B74" i="32" s="1"/>
  <c r="B75" i="32" s="1"/>
  <c r="B76" i="32" s="1"/>
  <c r="B77" i="32" s="1"/>
  <c r="B78" i="32" s="1"/>
  <c r="B79" i="32" s="1"/>
  <c r="B80" i="32" s="1"/>
  <c r="B81" i="32" s="1"/>
  <c r="B82" i="32" s="1"/>
  <c r="B83" i="32" s="1"/>
  <c r="B84" i="32" s="1"/>
  <c r="B85" i="32" s="1"/>
  <c r="B86" i="32" s="1"/>
  <c r="B87" i="32" s="1"/>
  <c r="B88" i="32" s="1"/>
  <c r="B89" i="32" s="1"/>
  <c r="B90" i="32" s="1"/>
  <c r="B91" i="32" s="1"/>
  <c r="B92" i="32" s="1"/>
  <c r="B93" i="32" s="1"/>
  <c r="B94" i="32" s="1"/>
  <c r="B48" i="32"/>
  <c r="B46" i="32"/>
  <c r="B44" i="32"/>
  <c r="B42" i="32"/>
  <c r="B40" i="32"/>
  <c r="B38" i="32"/>
  <c r="B36" i="32"/>
  <c r="B34" i="32"/>
  <c r="B6" i="32"/>
  <c r="B7" i="32" s="1"/>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G16" i="28"/>
  <c r="H16" i="28" s="1"/>
  <c r="G15" i="28"/>
  <c r="H15" i="28" s="1"/>
  <c r="G14" i="28"/>
  <c r="H14" i="28" s="1"/>
  <c r="G13" i="28"/>
  <c r="H13" i="28" s="1"/>
  <c r="G12" i="28"/>
  <c r="H12" i="28" s="1"/>
  <c r="G11" i="28"/>
  <c r="H11" i="28" s="1"/>
  <c r="G10" i="28"/>
  <c r="F9" i="28"/>
  <c r="E8" i="28"/>
  <c r="E6" i="28"/>
  <c r="K17" i="27"/>
  <c r="J17" i="27"/>
  <c r="I17" i="27"/>
  <c r="H16" i="27"/>
  <c r="H15" i="27"/>
  <c r="H14" i="27"/>
  <c r="H13" i="27"/>
  <c r="H12" i="27"/>
  <c r="B8" i="27"/>
  <c r="G12" i="26"/>
  <c r="G450" i="34"/>
  <c r="L333" i="24"/>
  <c r="J333" i="24"/>
  <c r="H333" i="24"/>
  <c r="E333" i="24"/>
  <c r="D333" i="24"/>
  <c r="L332" i="24"/>
  <c r="J332" i="24"/>
  <c r="H332" i="24"/>
  <c r="E332" i="24"/>
  <c r="D332" i="24"/>
  <c r="L331" i="24"/>
  <c r="J331" i="24"/>
  <c r="H331" i="24"/>
  <c r="E331" i="24"/>
  <c r="D331" i="24"/>
  <c r="L330" i="24"/>
  <c r="J330" i="24"/>
  <c r="H330" i="24"/>
  <c r="E330" i="24"/>
  <c r="D330" i="24"/>
  <c r="L328" i="24"/>
  <c r="J328" i="24"/>
  <c r="H328" i="24"/>
  <c r="E328" i="24"/>
  <c r="D328" i="24"/>
  <c r="L326" i="24"/>
  <c r="J326" i="24"/>
  <c r="H326" i="24"/>
  <c r="E326" i="24"/>
  <c r="D326" i="24"/>
  <c r="L325" i="24"/>
  <c r="J325" i="24"/>
  <c r="H325" i="24"/>
  <c r="E325" i="24"/>
  <c r="D325" i="24"/>
  <c r="F323" i="24"/>
  <c r="E323" i="24"/>
  <c r="D323" i="24"/>
  <c r="H322" i="24"/>
  <c r="G785" i="19"/>
  <c r="L321" i="24"/>
  <c r="L322" i="24" s="1"/>
  <c r="M95" i="12" s="1"/>
  <c r="R95" i="12" s="1"/>
  <c r="J321" i="24"/>
  <c r="J322" i="24" s="1"/>
  <c r="K95" i="12" s="1"/>
  <c r="H321" i="24"/>
  <c r="E321" i="24"/>
  <c r="D321" i="24"/>
  <c r="L319" i="24"/>
  <c r="J319" i="24"/>
  <c r="H319" i="24"/>
  <c r="E319" i="24"/>
  <c r="D319" i="24"/>
  <c r="H317" i="24"/>
  <c r="G419" i="34"/>
  <c r="L316" i="24"/>
  <c r="J316" i="24"/>
  <c r="H316" i="24"/>
  <c r="E316" i="24"/>
  <c r="D316" i="24"/>
  <c r="H315" i="24"/>
  <c r="E315" i="24"/>
  <c r="D315" i="24"/>
  <c r="F313" i="24"/>
  <c r="E313" i="24"/>
  <c r="D313" i="24"/>
  <c r="L312" i="24"/>
  <c r="J312" i="24"/>
  <c r="H312" i="24"/>
  <c r="E312" i="24"/>
  <c r="D312" i="24"/>
  <c r="H310" i="24"/>
  <c r="J309" i="24"/>
  <c r="J310" i="24" s="1"/>
  <c r="K112" i="3" s="1"/>
  <c r="H309" i="24"/>
  <c r="E309" i="24"/>
  <c r="D309" i="24"/>
  <c r="F307" i="24"/>
  <c r="E307" i="24"/>
  <c r="D307" i="24"/>
  <c r="H306" i="24"/>
  <c r="G405" i="34"/>
  <c r="L305" i="24"/>
  <c r="L306" i="24" s="1"/>
  <c r="M100" i="12" s="1"/>
  <c r="J305" i="24"/>
  <c r="J306" i="24" s="1"/>
  <c r="K100" i="12" s="1"/>
  <c r="H305" i="24"/>
  <c r="E305" i="24"/>
  <c r="D305" i="24"/>
  <c r="L303" i="24"/>
  <c r="J303" i="24"/>
  <c r="H303" i="24"/>
  <c r="E303" i="24"/>
  <c r="D303" i="24"/>
  <c r="J301" i="24"/>
  <c r="H301" i="24"/>
  <c r="E301" i="24"/>
  <c r="D301" i="24"/>
  <c r="F299" i="24"/>
  <c r="E299" i="24"/>
  <c r="D299" i="24"/>
  <c r="H298" i="24"/>
  <c r="L297" i="24"/>
  <c r="J297" i="24"/>
  <c r="H297" i="24"/>
  <c r="E297" i="24"/>
  <c r="D297" i="24"/>
  <c r="L296" i="24"/>
  <c r="J296" i="24"/>
  <c r="H296" i="24"/>
  <c r="E296" i="24"/>
  <c r="D296" i="24"/>
  <c r="L294" i="24"/>
  <c r="J294" i="24"/>
  <c r="H294" i="24"/>
  <c r="E294" i="24"/>
  <c r="D294" i="24"/>
  <c r="H292" i="24"/>
  <c r="L291" i="24"/>
  <c r="J291" i="24"/>
  <c r="H291" i="24"/>
  <c r="E291" i="24"/>
  <c r="D291" i="24"/>
  <c r="L290" i="24"/>
  <c r="J290" i="24"/>
  <c r="H290" i="24"/>
  <c r="E290" i="24"/>
  <c r="D290" i="24"/>
  <c r="L289" i="24"/>
  <c r="J289" i="24"/>
  <c r="H289" i="24"/>
  <c r="F287" i="24"/>
  <c r="E287" i="24"/>
  <c r="D287" i="24"/>
  <c r="L286" i="24"/>
  <c r="J286" i="24"/>
  <c r="H286" i="24"/>
  <c r="E286" i="24"/>
  <c r="D286" i="24"/>
  <c r="L284" i="24"/>
  <c r="J284" i="24"/>
  <c r="H284" i="24"/>
  <c r="E284" i="24"/>
  <c r="D284" i="24"/>
  <c r="F282" i="24"/>
  <c r="E282" i="24"/>
  <c r="D282" i="24"/>
  <c r="L281" i="24"/>
  <c r="J281" i="24"/>
  <c r="H281" i="24"/>
  <c r="E281" i="24"/>
  <c r="D281" i="24"/>
  <c r="L279" i="24"/>
  <c r="J279" i="24"/>
  <c r="H279" i="24"/>
  <c r="E279" i="24"/>
  <c r="D279" i="24"/>
  <c r="F277" i="24"/>
  <c r="E277" i="24"/>
  <c r="D277" i="24"/>
  <c r="L276" i="24"/>
  <c r="J276" i="24"/>
  <c r="H276" i="24"/>
  <c r="E276" i="24"/>
  <c r="D276" i="24"/>
  <c r="L275" i="24"/>
  <c r="J275" i="24"/>
  <c r="H275" i="24"/>
  <c r="E275" i="24"/>
  <c r="D275" i="24"/>
  <c r="L273" i="24"/>
  <c r="J273" i="24"/>
  <c r="H273" i="24"/>
  <c r="E273" i="24"/>
  <c r="D273" i="24"/>
  <c r="F271" i="24"/>
  <c r="E271" i="24"/>
  <c r="D271" i="24"/>
  <c r="L270" i="24"/>
  <c r="J270" i="24"/>
  <c r="H270" i="24"/>
  <c r="E270" i="24"/>
  <c r="D270" i="24"/>
  <c r="L268" i="24"/>
  <c r="J268" i="24"/>
  <c r="H268" i="24"/>
  <c r="E268" i="24"/>
  <c r="D268" i="24"/>
  <c r="L266" i="24"/>
  <c r="J266" i="24"/>
  <c r="H266" i="24"/>
  <c r="E266" i="24"/>
  <c r="D266" i="24"/>
  <c r="L265" i="24"/>
  <c r="J265" i="24"/>
  <c r="H265" i="24"/>
  <c r="E265" i="24"/>
  <c r="D265" i="24"/>
  <c r="F263" i="24"/>
  <c r="E263" i="24"/>
  <c r="D263" i="24"/>
  <c r="L262" i="24"/>
  <c r="J262" i="24"/>
  <c r="H262" i="24"/>
  <c r="E262" i="24"/>
  <c r="D262" i="24"/>
  <c r="L260" i="24"/>
  <c r="J260" i="24"/>
  <c r="H260" i="24"/>
  <c r="E260" i="24"/>
  <c r="D260" i="24"/>
  <c r="F258" i="24"/>
  <c r="E258" i="24"/>
  <c r="D258" i="24"/>
  <c r="H257" i="24"/>
  <c r="L256" i="24"/>
  <c r="J256" i="24"/>
  <c r="H256" i="24"/>
  <c r="E256" i="24"/>
  <c r="D256" i="24"/>
  <c r="L254" i="24"/>
  <c r="J254" i="24"/>
  <c r="H254" i="24"/>
  <c r="E254" i="24"/>
  <c r="D254" i="24"/>
  <c r="H252" i="24"/>
  <c r="G326" i="34"/>
  <c r="L251" i="24"/>
  <c r="J251" i="24"/>
  <c r="H251" i="24"/>
  <c r="E251" i="24"/>
  <c r="D251" i="24"/>
  <c r="H250" i="24"/>
  <c r="E250" i="24"/>
  <c r="D250" i="24"/>
  <c r="H249" i="24"/>
  <c r="E249" i="24"/>
  <c r="D249" i="24"/>
  <c r="F247" i="24"/>
  <c r="E247" i="24"/>
  <c r="D247" i="24"/>
  <c r="L246" i="24"/>
  <c r="J246" i="24"/>
  <c r="H246" i="24"/>
  <c r="E246" i="24"/>
  <c r="D246" i="24"/>
  <c r="L245" i="24"/>
  <c r="J245" i="24"/>
  <c r="H245" i="24"/>
  <c r="E245" i="24"/>
  <c r="D245" i="24"/>
  <c r="L243" i="24"/>
  <c r="J243" i="24"/>
  <c r="H243" i="24"/>
  <c r="E243" i="24"/>
  <c r="D243" i="24"/>
  <c r="H241" i="24"/>
  <c r="G311" i="34"/>
  <c r="L240" i="24"/>
  <c r="J240" i="24"/>
  <c r="H240" i="24"/>
  <c r="E240" i="24"/>
  <c r="D240" i="24"/>
  <c r="L239" i="24"/>
  <c r="J239" i="24"/>
  <c r="H239" i="24"/>
  <c r="E239" i="24"/>
  <c r="D239" i="24"/>
  <c r="L238" i="24"/>
  <c r="J238" i="24"/>
  <c r="H238" i="24"/>
  <c r="E238" i="24"/>
  <c r="D238" i="24"/>
  <c r="H237" i="24"/>
  <c r="E237" i="24"/>
  <c r="D237" i="24"/>
  <c r="F235" i="24"/>
  <c r="E235" i="24"/>
  <c r="D235" i="24"/>
  <c r="H234" i="24"/>
  <c r="G558" i="19"/>
  <c r="L233" i="24"/>
  <c r="L234" i="24" s="1"/>
  <c r="M98" i="12" s="1"/>
  <c r="J233" i="24"/>
  <c r="J234" i="24" s="1"/>
  <c r="K98" i="12" s="1"/>
  <c r="H233" i="24"/>
  <c r="E233" i="24"/>
  <c r="D233" i="24"/>
  <c r="L231" i="24"/>
  <c r="J231" i="24"/>
  <c r="H231" i="24"/>
  <c r="E231" i="24"/>
  <c r="D231" i="24"/>
  <c r="H229" i="24"/>
  <c r="G296" i="34"/>
  <c r="L228" i="24"/>
  <c r="J228" i="24"/>
  <c r="H228" i="24"/>
  <c r="E228" i="24"/>
  <c r="D228" i="24"/>
  <c r="H227" i="24"/>
  <c r="E227" i="24"/>
  <c r="D227" i="24"/>
  <c r="H226" i="24"/>
  <c r="E226" i="24"/>
  <c r="D226" i="24"/>
  <c r="F224" i="24"/>
  <c r="E224" i="24"/>
  <c r="D224" i="24"/>
  <c r="L223" i="24"/>
  <c r="J223" i="24"/>
  <c r="H223" i="24"/>
  <c r="E223" i="24"/>
  <c r="D223" i="24"/>
  <c r="L222" i="24"/>
  <c r="J222" i="24"/>
  <c r="H222" i="24"/>
  <c r="E222" i="24"/>
  <c r="D222" i="24"/>
  <c r="L220" i="24"/>
  <c r="J220" i="24"/>
  <c r="H220" i="24"/>
  <c r="E220" i="24"/>
  <c r="D220" i="24"/>
  <c r="H218" i="24"/>
  <c r="G282" i="34"/>
  <c r="L217" i="24"/>
  <c r="J217" i="24"/>
  <c r="H217" i="24"/>
  <c r="E217" i="24"/>
  <c r="D217" i="24"/>
  <c r="L216" i="24"/>
  <c r="J216" i="24"/>
  <c r="H216" i="24"/>
  <c r="E216" i="24"/>
  <c r="D216" i="24"/>
  <c r="L215" i="24"/>
  <c r="J215" i="24"/>
  <c r="H215" i="24"/>
  <c r="E215" i="24"/>
  <c r="D215" i="24"/>
  <c r="J214" i="24"/>
  <c r="H214" i="24"/>
  <c r="E214" i="24"/>
  <c r="D214" i="24"/>
  <c r="F212" i="24"/>
  <c r="E212" i="24"/>
  <c r="D212" i="24"/>
  <c r="H211" i="24"/>
  <c r="G272" i="34"/>
  <c r="L210" i="24"/>
  <c r="J210" i="24"/>
  <c r="H210" i="24"/>
  <c r="E210" i="24"/>
  <c r="D210" i="24"/>
  <c r="L208" i="24"/>
  <c r="J208" i="24"/>
  <c r="H208" i="24"/>
  <c r="E208" i="24"/>
  <c r="D208" i="24"/>
  <c r="H206" i="24"/>
  <c r="G265" i="34"/>
  <c r="L205" i="24"/>
  <c r="J205" i="24"/>
  <c r="H205" i="24"/>
  <c r="E205" i="24"/>
  <c r="D205" i="24"/>
  <c r="H204" i="24"/>
  <c r="E204" i="24"/>
  <c r="D204" i="24"/>
  <c r="H203" i="24"/>
  <c r="E203" i="24"/>
  <c r="D203" i="24"/>
  <c r="F201" i="24"/>
  <c r="E201" i="24"/>
  <c r="D201" i="24"/>
  <c r="L200" i="24"/>
  <c r="J200" i="24"/>
  <c r="H200" i="24"/>
  <c r="E200" i="24"/>
  <c r="D200" i="24"/>
  <c r="L199" i="24"/>
  <c r="J199" i="24"/>
  <c r="H199" i="24"/>
  <c r="E199" i="24"/>
  <c r="D199" i="24"/>
  <c r="L197" i="24"/>
  <c r="J197" i="24"/>
  <c r="H197" i="24"/>
  <c r="E197" i="24"/>
  <c r="D197" i="24"/>
  <c r="L195" i="24"/>
  <c r="J195" i="24"/>
  <c r="H195" i="24"/>
  <c r="E195" i="24"/>
  <c r="D195" i="24"/>
  <c r="H194" i="24"/>
  <c r="E194" i="24"/>
  <c r="D194" i="24"/>
  <c r="J193" i="24"/>
  <c r="H193" i="24"/>
  <c r="E193" i="24"/>
  <c r="D193" i="24"/>
  <c r="F191" i="24"/>
  <c r="E191" i="24"/>
  <c r="D191" i="24"/>
  <c r="L190" i="24"/>
  <c r="J190" i="24"/>
  <c r="H190" i="24"/>
  <c r="E190" i="24"/>
  <c r="D190" i="24"/>
  <c r="L188" i="24"/>
  <c r="J188" i="24"/>
  <c r="H188" i="24"/>
  <c r="E188" i="24"/>
  <c r="D188" i="24"/>
  <c r="H186" i="24"/>
  <c r="E186" i="24"/>
  <c r="D186" i="24"/>
  <c r="H185" i="24"/>
  <c r="E185" i="24"/>
  <c r="D185" i="24"/>
  <c r="F183" i="24"/>
  <c r="E183" i="24"/>
  <c r="D183" i="24"/>
  <c r="L182" i="24"/>
  <c r="J182" i="24"/>
  <c r="H182" i="24"/>
  <c r="E182" i="24"/>
  <c r="D182" i="24"/>
  <c r="L181" i="24"/>
  <c r="J181" i="24"/>
  <c r="H181" i="24"/>
  <c r="E181" i="24"/>
  <c r="D181" i="24"/>
  <c r="L179" i="24"/>
  <c r="J179" i="24"/>
  <c r="H179" i="24"/>
  <c r="E179" i="24"/>
  <c r="D179" i="24"/>
  <c r="H177" i="24"/>
  <c r="G226" i="34"/>
  <c r="L176" i="24"/>
  <c r="J176" i="24"/>
  <c r="H176" i="24"/>
  <c r="E176" i="24"/>
  <c r="D176" i="24"/>
  <c r="L175" i="24"/>
  <c r="J175" i="24"/>
  <c r="H175" i="24"/>
  <c r="E175" i="24"/>
  <c r="D175" i="24"/>
  <c r="L174" i="24"/>
  <c r="J174" i="24"/>
  <c r="H174" i="24"/>
  <c r="E174" i="24"/>
  <c r="D174" i="24"/>
  <c r="J173" i="24"/>
  <c r="H173" i="24"/>
  <c r="E173" i="24"/>
  <c r="D173" i="24"/>
  <c r="F171" i="24"/>
  <c r="E171" i="24"/>
  <c r="D171" i="24"/>
  <c r="L170" i="24"/>
  <c r="J170" i="24"/>
  <c r="H170" i="24"/>
  <c r="E170" i="24"/>
  <c r="D170" i="24"/>
  <c r="F168" i="24"/>
  <c r="E168" i="24"/>
  <c r="D168" i="24"/>
  <c r="L167" i="24"/>
  <c r="J167" i="24"/>
  <c r="H167" i="24"/>
  <c r="E167" i="24"/>
  <c r="D167" i="24"/>
  <c r="F165" i="24"/>
  <c r="E165" i="24"/>
  <c r="D165" i="24"/>
  <c r="L164" i="24"/>
  <c r="J164" i="24"/>
  <c r="H164" i="24"/>
  <c r="E164" i="24"/>
  <c r="D164" i="24"/>
  <c r="L162" i="24"/>
  <c r="J162" i="24"/>
  <c r="H162" i="24"/>
  <c r="E162" i="24"/>
  <c r="D162" i="24"/>
  <c r="L160" i="24"/>
  <c r="J160" i="24"/>
  <c r="H160" i="24"/>
  <c r="E160" i="24"/>
  <c r="D160" i="24"/>
  <c r="L159" i="24"/>
  <c r="J159" i="24"/>
  <c r="H159" i="24"/>
  <c r="E159" i="24"/>
  <c r="D159" i="24"/>
  <c r="L158" i="24"/>
  <c r="J158" i="24"/>
  <c r="H158" i="24"/>
  <c r="E158" i="24"/>
  <c r="D158" i="24"/>
  <c r="J157" i="24"/>
  <c r="H157" i="24"/>
  <c r="E157" i="24"/>
  <c r="D157" i="24"/>
  <c r="F155" i="24"/>
  <c r="E155" i="24"/>
  <c r="D155" i="24"/>
  <c r="L154" i="24"/>
  <c r="J154" i="24"/>
  <c r="H154" i="24"/>
  <c r="E154" i="24"/>
  <c r="D154" i="24"/>
  <c r="L152" i="24"/>
  <c r="J152" i="24"/>
  <c r="H152" i="24"/>
  <c r="E152" i="24"/>
  <c r="D152" i="24"/>
  <c r="F150" i="24"/>
  <c r="E150" i="24"/>
  <c r="D150" i="24"/>
  <c r="L149" i="24"/>
  <c r="J149" i="24"/>
  <c r="H149" i="24"/>
  <c r="E149" i="24"/>
  <c r="D149" i="24"/>
  <c r="H147" i="24"/>
  <c r="G193" i="34"/>
  <c r="H146" i="24"/>
  <c r="E146" i="24"/>
  <c r="D146" i="24"/>
  <c r="F144" i="24"/>
  <c r="E144" i="24"/>
  <c r="D144" i="24"/>
  <c r="L143" i="24"/>
  <c r="J143" i="24"/>
  <c r="H143" i="24"/>
  <c r="E143" i="24"/>
  <c r="D143" i="24"/>
  <c r="L141" i="24"/>
  <c r="J141" i="24"/>
  <c r="H141" i="24"/>
  <c r="E141" i="24"/>
  <c r="D141" i="24"/>
  <c r="F139" i="24"/>
  <c r="E139" i="24"/>
  <c r="D139" i="24"/>
  <c r="H138" i="24"/>
  <c r="G320" i="19"/>
  <c r="L137" i="24"/>
  <c r="J137" i="24"/>
  <c r="H137" i="24"/>
  <c r="E137" i="24"/>
  <c r="D137" i="24"/>
  <c r="L136" i="24"/>
  <c r="J136" i="24"/>
  <c r="H136" i="24"/>
  <c r="E136" i="24"/>
  <c r="D136" i="24"/>
  <c r="L135" i="24"/>
  <c r="J135" i="24"/>
  <c r="H135" i="24"/>
  <c r="E135" i="24"/>
  <c r="D135" i="24"/>
  <c r="L133" i="24"/>
  <c r="J133" i="24"/>
  <c r="H133" i="24"/>
  <c r="E133" i="24"/>
  <c r="D133" i="24"/>
  <c r="H131" i="24"/>
  <c r="L130" i="24"/>
  <c r="J130" i="24"/>
  <c r="H130" i="24"/>
  <c r="E130" i="24"/>
  <c r="D130" i="24"/>
  <c r="L129" i="24"/>
  <c r="J129" i="24"/>
  <c r="H129" i="24"/>
  <c r="E129" i="24"/>
  <c r="D129" i="24"/>
  <c r="J128" i="24"/>
  <c r="H128" i="24"/>
  <c r="E128" i="24"/>
  <c r="D128" i="24"/>
  <c r="F126" i="24"/>
  <c r="E126" i="24"/>
  <c r="D126" i="24"/>
  <c r="L113" i="24"/>
  <c r="J113" i="24"/>
  <c r="H113" i="24"/>
  <c r="E113" i="24"/>
  <c r="D113" i="24"/>
  <c r="F111" i="24"/>
  <c r="E111" i="24"/>
  <c r="D111" i="24"/>
  <c r="L110" i="24"/>
  <c r="J110" i="24"/>
  <c r="H110" i="24"/>
  <c r="E110" i="24"/>
  <c r="D110" i="24"/>
  <c r="L109" i="24"/>
  <c r="J109" i="24"/>
  <c r="H109" i="24"/>
  <c r="E109" i="24"/>
  <c r="D109" i="24"/>
  <c r="L107" i="24"/>
  <c r="J107" i="24"/>
  <c r="H107" i="24"/>
  <c r="E107" i="24"/>
  <c r="D107" i="24"/>
  <c r="F105" i="24"/>
  <c r="E105" i="24"/>
  <c r="D105" i="24"/>
  <c r="L104" i="24"/>
  <c r="J104" i="24"/>
  <c r="H104" i="24"/>
  <c r="E104" i="24"/>
  <c r="D104" i="24"/>
  <c r="L103" i="24"/>
  <c r="J103" i="24"/>
  <c r="H103" i="24"/>
  <c r="E103" i="24"/>
  <c r="D103" i="24"/>
  <c r="L101" i="24"/>
  <c r="J101" i="24"/>
  <c r="H101" i="24"/>
  <c r="E101" i="24"/>
  <c r="D101" i="24"/>
  <c r="F99" i="24"/>
  <c r="E99" i="24"/>
  <c r="D99" i="24"/>
  <c r="L98" i="24"/>
  <c r="J98" i="24"/>
  <c r="H98" i="24"/>
  <c r="E98" i="24"/>
  <c r="D98" i="24"/>
  <c r="L97" i="24"/>
  <c r="J97" i="24"/>
  <c r="H97" i="24"/>
  <c r="E97" i="24"/>
  <c r="D97" i="24"/>
  <c r="L95" i="24"/>
  <c r="J95" i="24"/>
  <c r="H95" i="24"/>
  <c r="E95" i="24"/>
  <c r="D95" i="24"/>
  <c r="F93" i="24"/>
  <c r="E93" i="24"/>
  <c r="D93" i="24"/>
  <c r="L92" i="24"/>
  <c r="J92" i="24"/>
  <c r="H92" i="24"/>
  <c r="E92" i="24"/>
  <c r="D92" i="24"/>
  <c r="L91" i="24"/>
  <c r="J91" i="24"/>
  <c r="H91" i="24"/>
  <c r="E91" i="24"/>
  <c r="D91" i="24"/>
  <c r="L89" i="24"/>
  <c r="J89" i="24"/>
  <c r="H89" i="24"/>
  <c r="E89" i="24"/>
  <c r="D89" i="24"/>
  <c r="F87" i="24"/>
  <c r="E87" i="24"/>
  <c r="D87" i="24"/>
  <c r="L86" i="24"/>
  <c r="J86" i="24"/>
  <c r="H86" i="24"/>
  <c r="E86" i="24"/>
  <c r="D86" i="24"/>
  <c r="L84" i="24"/>
  <c r="J84" i="24"/>
  <c r="H84" i="24"/>
  <c r="E84" i="24"/>
  <c r="D84" i="24"/>
  <c r="L82" i="24"/>
  <c r="J82" i="24"/>
  <c r="H82" i="24"/>
  <c r="E82" i="24"/>
  <c r="D82" i="24"/>
  <c r="F80" i="24"/>
  <c r="E80" i="24"/>
  <c r="D80" i="24"/>
  <c r="L79" i="24"/>
  <c r="J79" i="24"/>
  <c r="H79" i="24"/>
  <c r="E79" i="24"/>
  <c r="D79" i="24"/>
  <c r="L77" i="24"/>
  <c r="J77" i="24"/>
  <c r="H77" i="24"/>
  <c r="E77" i="24"/>
  <c r="D77" i="24"/>
  <c r="L75" i="24"/>
  <c r="J75" i="24"/>
  <c r="H75" i="24"/>
  <c r="E75" i="24"/>
  <c r="D75" i="24"/>
  <c r="L74" i="24"/>
  <c r="J74" i="24"/>
  <c r="H74" i="24"/>
  <c r="E74" i="24"/>
  <c r="D74" i="24"/>
  <c r="F72" i="24"/>
  <c r="E72" i="24"/>
  <c r="D72" i="24"/>
  <c r="L71" i="24"/>
  <c r="J71" i="24"/>
  <c r="H71" i="24"/>
  <c r="E71" i="24"/>
  <c r="D71" i="24"/>
  <c r="L69" i="24"/>
  <c r="J69" i="24"/>
  <c r="H69" i="24"/>
  <c r="E69" i="24"/>
  <c r="D69" i="24"/>
  <c r="H67" i="24"/>
  <c r="G162" i="19"/>
  <c r="L66" i="24"/>
  <c r="L67" i="24" s="1"/>
  <c r="M110" i="3" s="1"/>
  <c r="R110" i="3" s="1"/>
  <c r="J66" i="24"/>
  <c r="J67" i="24" s="1"/>
  <c r="K110" i="3" s="1"/>
  <c r="H66" i="24"/>
  <c r="E66" i="24"/>
  <c r="D66" i="24"/>
  <c r="F64" i="24"/>
  <c r="E64" i="24"/>
  <c r="D64" i="24"/>
  <c r="H63" i="24"/>
  <c r="L62" i="24"/>
  <c r="L63" i="24" s="1"/>
  <c r="M94" i="12" s="1"/>
  <c r="J62" i="24"/>
  <c r="J63" i="24" s="1"/>
  <c r="K94" i="12" s="1"/>
  <c r="H62" i="24"/>
  <c r="E62" i="24"/>
  <c r="D62" i="24"/>
  <c r="L60" i="24"/>
  <c r="J60" i="24"/>
  <c r="H60" i="24"/>
  <c r="E60" i="24"/>
  <c r="D60" i="24"/>
  <c r="H58" i="24"/>
  <c r="G86" i="34"/>
  <c r="L57" i="24"/>
  <c r="J57" i="24"/>
  <c r="H57" i="24"/>
  <c r="E57" i="24"/>
  <c r="D57" i="24"/>
  <c r="H56" i="24"/>
  <c r="E56" i="24"/>
  <c r="D56" i="24"/>
  <c r="F54" i="24"/>
  <c r="D54" i="24"/>
  <c r="L53" i="24"/>
  <c r="J53" i="24"/>
  <c r="H53" i="24"/>
  <c r="E53" i="24"/>
  <c r="D53" i="24"/>
  <c r="H51" i="24"/>
  <c r="G79" i="34"/>
  <c r="J50" i="24"/>
  <c r="J51" i="24" s="1"/>
  <c r="K111" i="3" s="1"/>
  <c r="H50" i="24"/>
  <c r="E50" i="24"/>
  <c r="D50" i="24"/>
  <c r="F48" i="24"/>
  <c r="D48" i="24"/>
  <c r="H47" i="24"/>
  <c r="G72" i="34"/>
  <c r="L46" i="24"/>
  <c r="L47" i="24" s="1"/>
  <c r="M99" i="12" s="1"/>
  <c r="R99" i="12" s="1"/>
  <c r="J46" i="24"/>
  <c r="J47" i="24" s="1"/>
  <c r="K99" i="12" s="1"/>
  <c r="H46" i="24"/>
  <c r="E46" i="24"/>
  <c r="D46" i="24"/>
  <c r="L44" i="24"/>
  <c r="J44" i="24"/>
  <c r="H44" i="24"/>
  <c r="E44" i="24"/>
  <c r="D44" i="24"/>
  <c r="J42" i="24"/>
  <c r="H42" i="24"/>
  <c r="E42" i="24"/>
  <c r="D42" i="24"/>
  <c r="F40" i="24"/>
  <c r="E40" i="24"/>
  <c r="D40" i="24"/>
  <c r="H39" i="24"/>
  <c r="L38" i="24"/>
  <c r="J38" i="24"/>
  <c r="H38" i="24"/>
  <c r="E38" i="24"/>
  <c r="D38" i="24"/>
  <c r="L37" i="24"/>
  <c r="J37" i="24"/>
  <c r="H37" i="24"/>
  <c r="E37" i="24"/>
  <c r="D37" i="24"/>
  <c r="L35" i="24"/>
  <c r="J35" i="24"/>
  <c r="H35" i="24"/>
  <c r="E35" i="24"/>
  <c r="D35" i="24"/>
  <c r="H33" i="24"/>
  <c r="L32" i="24"/>
  <c r="J32" i="24"/>
  <c r="H32" i="24"/>
  <c r="E32" i="24"/>
  <c r="D32" i="24"/>
  <c r="L31" i="24"/>
  <c r="J31" i="24"/>
  <c r="H31" i="24"/>
  <c r="E31" i="24"/>
  <c r="D31" i="24"/>
  <c r="L30" i="24"/>
  <c r="J30" i="24"/>
  <c r="H30" i="24"/>
  <c r="F28" i="24"/>
  <c r="E28" i="24"/>
  <c r="D28" i="24"/>
  <c r="G42" i="34"/>
  <c r="L27" i="24"/>
  <c r="J27" i="24"/>
  <c r="H27" i="24"/>
  <c r="E27" i="24"/>
  <c r="D27" i="24"/>
  <c r="L26" i="24"/>
  <c r="J26" i="24"/>
  <c r="H26" i="24"/>
  <c r="D26" i="24"/>
  <c r="L25" i="24"/>
  <c r="J25" i="24"/>
  <c r="H25" i="24"/>
  <c r="E25" i="24"/>
  <c r="D25" i="24"/>
  <c r="L24" i="24"/>
  <c r="J24" i="24"/>
  <c r="H24" i="24"/>
  <c r="E24" i="24"/>
  <c r="D24" i="24"/>
  <c r="L22" i="24"/>
  <c r="J22" i="24"/>
  <c r="H22" i="24"/>
  <c r="E22" i="24"/>
  <c r="D22" i="24"/>
  <c r="L20" i="24"/>
  <c r="J20" i="24"/>
  <c r="H20" i="24"/>
  <c r="E20" i="24"/>
  <c r="D20" i="24"/>
  <c r="J19" i="24"/>
  <c r="H19" i="24"/>
  <c r="E19" i="24"/>
  <c r="D19" i="24"/>
  <c r="F17" i="24"/>
  <c r="E17" i="24"/>
  <c r="D17" i="24"/>
  <c r="L16" i="24"/>
  <c r="J16" i="24"/>
  <c r="H16" i="24"/>
  <c r="E16" i="24"/>
  <c r="D16" i="24"/>
  <c r="L15" i="24"/>
  <c r="J15" i="24"/>
  <c r="H15" i="24"/>
  <c r="E15" i="24"/>
  <c r="D15" i="24"/>
  <c r="L14" i="24"/>
  <c r="J14" i="24"/>
  <c r="H14" i="24"/>
  <c r="E14" i="24"/>
  <c r="D14" i="24"/>
  <c r="L13" i="24"/>
  <c r="J13" i="24"/>
  <c r="H13" i="24"/>
  <c r="D13" i="24"/>
  <c r="L11" i="24"/>
  <c r="J11" i="24"/>
  <c r="H11" i="24"/>
  <c r="E11" i="24"/>
  <c r="D11" i="24"/>
  <c r="L9" i="24"/>
  <c r="J9" i="24"/>
  <c r="H9" i="24"/>
  <c r="E9" i="24"/>
  <c r="D9" i="24"/>
  <c r="J8" i="24"/>
  <c r="H8" i="24"/>
  <c r="E8" i="24"/>
  <c r="D8" i="24"/>
  <c r="F6" i="24"/>
  <c r="E6" i="24"/>
  <c r="D6" i="24"/>
  <c r="J71" i="22"/>
  <c r="G70" i="22"/>
  <c r="F70" i="22"/>
  <c r="G69" i="22"/>
  <c r="F69" i="22"/>
  <c r="G68" i="22"/>
  <c r="F68" i="22"/>
  <c r="G67" i="22"/>
  <c r="F67" i="22"/>
  <c r="G66" i="22"/>
  <c r="F66" i="22"/>
  <c r="G65" i="22"/>
  <c r="F65" i="22"/>
  <c r="G64" i="22"/>
  <c r="F64" i="22"/>
  <c r="G63" i="22"/>
  <c r="F63" i="22"/>
  <c r="G62" i="22"/>
  <c r="F62" i="22"/>
  <c r="G61" i="22"/>
  <c r="F61" i="22"/>
  <c r="G60" i="22"/>
  <c r="F60" i="22"/>
  <c r="G59" i="22"/>
  <c r="F59" i="22"/>
  <c r="G58" i="22"/>
  <c r="F58" i="22"/>
  <c r="G57" i="22"/>
  <c r="F57" i="22"/>
  <c r="G56" i="22"/>
  <c r="F56" i="22"/>
  <c r="G55" i="22"/>
  <c r="F55" i="22"/>
  <c r="G54" i="22"/>
  <c r="F54" i="22"/>
  <c r="G53" i="22"/>
  <c r="F53" i="22"/>
  <c r="G52" i="22"/>
  <c r="F52" i="22"/>
  <c r="G51" i="22"/>
  <c r="F51" i="22"/>
  <c r="G50" i="22"/>
  <c r="F50" i="22"/>
  <c r="G49" i="22"/>
  <c r="F49" i="22"/>
  <c r="G48" i="22"/>
  <c r="F48" i="22"/>
  <c r="G47" i="22"/>
  <c r="F47" i="22"/>
  <c r="G44" i="22"/>
  <c r="F44" i="22"/>
  <c r="G43" i="22"/>
  <c r="F43" i="22"/>
  <c r="G42" i="22"/>
  <c r="F42" i="22"/>
  <c r="G41" i="22"/>
  <c r="F41" i="22"/>
  <c r="G40" i="22"/>
  <c r="F40" i="22"/>
  <c r="J37" i="22"/>
  <c r="F36" i="22"/>
  <c r="F35" i="22"/>
  <c r="G29" i="22"/>
  <c r="F29" i="22"/>
  <c r="G28" i="22"/>
  <c r="F28" i="22"/>
  <c r="G27" i="22"/>
  <c r="F27" i="22"/>
  <c r="G26" i="22"/>
  <c r="F26" i="22"/>
  <c r="G25" i="22"/>
  <c r="F25" i="22"/>
  <c r="G24" i="22"/>
  <c r="F24" i="22"/>
  <c r="G23" i="22"/>
  <c r="F23" i="22"/>
  <c r="G22" i="22"/>
  <c r="F22" i="22"/>
  <c r="G21" i="22"/>
  <c r="F21" i="22"/>
  <c r="G20" i="22"/>
  <c r="F20" i="22"/>
  <c r="G19" i="22"/>
  <c r="F19" i="22"/>
  <c r="G18" i="22"/>
  <c r="F18" i="22"/>
  <c r="F17" i="22"/>
  <c r="G16" i="22"/>
  <c r="F16" i="22"/>
  <c r="G14" i="22"/>
  <c r="F14" i="22"/>
  <c r="G13" i="22"/>
  <c r="F13" i="22"/>
  <c r="G12" i="22"/>
  <c r="F12" i="22"/>
  <c r="G11" i="22"/>
  <c r="G10" i="22"/>
  <c r="F10" i="22"/>
  <c r="F9" i="22"/>
  <c r="G8" i="22"/>
  <c r="F8" i="22"/>
  <c r="F7" i="22"/>
  <c r="J71" i="21"/>
  <c r="G70" i="21"/>
  <c r="F70" i="21"/>
  <c r="G69" i="21"/>
  <c r="F69" i="21"/>
  <c r="G68" i="21"/>
  <c r="F68" i="21"/>
  <c r="G67" i="21"/>
  <c r="F67" i="21"/>
  <c r="G66" i="21"/>
  <c r="F66" i="21"/>
  <c r="G65" i="21"/>
  <c r="F65" i="21"/>
  <c r="G64" i="21"/>
  <c r="F64" i="21"/>
  <c r="G63" i="21"/>
  <c r="F63" i="21"/>
  <c r="G62" i="21"/>
  <c r="F62" i="21"/>
  <c r="G61" i="21"/>
  <c r="F61" i="21"/>
  <c r="G60" i="21"/>
  <c r="F60" i="21"/>
  <c r="G59" i="21"/>
  <c r="F59" i="21"/>
  <c r="G58" i="21"/>
  <c r="F58" i="21"/>
  <c r="G57" i="21"/>
  <c r="F57" i="21"/>
  <c r="G56" i="21"/>
  <c r="F56" i="21"/>
  <c r="G55" i="21"/>
  <c r="F55" i="21"/>
  <c r="G54" i="21"/>
  <c r="F54" i="21"/>
  <c r="G53" i="21"/>
  <c r="F53" i="21"/>
  <c r="G52" i="21"/>
  <c r="F52" i="21"/>
  <c r="G51" i="21"/>
  <c r="F51" i="21"/>
  <c r="G50" i="21"/>
  <c r="F50" i="21"/>
  <c r="G49" i="21"/>
  <c r="F49" i="21"/>
  <c r="G48" i="21"/>
  <c r="F48" i="21"/>
  <c r="G47" i="21"/>
  <c r="F47" i="21"/>
  <c r="G44" i="21"/>
  <c r="F44" i="21"/>
  <c r="G43" i="21"/>
  <c r="F43" i="21"/>
  <c r="G42" i="21"/>
  <c r="F42" i="21"/>
  <c r="G41" i="21"/>
  <c r="F41" i="21"/>
  <c r="G40" i="21"/>
  <c r="F40" i="21"/>
  <c r="J37" i="21"/>
  <c r="F35" i="21"/>
  <c r="G29" i="21"/>
  <c r="F29" i="21"/>
  <c r="F28" i="21"/>
  <c r="G27" i="21"/>
  <c r="F27" i="21"/>
  <c r="G26" i="21"/>
  <c r="F26" i="21"/>
  <c r="G25" i="21"/>
  <c r="F25" i="21"/>
  <c r="G24" i="21"/>
  <c r="F24" i="21"/>
  <c r="G23" i="21"/>
  <c r="F23" i="21"/>
  <c r="G22" i="21"/>
  <c r="F22" i="21"/>
  <c r="G21" i="21"/>
  <c r="F21" i="21"/>
  <c r="G20" i="21"/>
  <c r="F20" i="21"/>
  <c r="G19" i="21"/>
  <c r="F19" i="21"/>
  <c r="G18" i="21"/>
  <c r="F18" i="21"/>
  <c r="F17" i="21"/>
  <c r="G16" i="21"/>
  <c r="F16" i="21"/>
  <c r="G14" i="21"/>
  <c r="F14" i="21"/>
  <c r="G13" i="21"/>
  <c r="F13" i="21"/>
  <c r="G12" i="21"/>
  <c r="F12" i="21"/>
  <c r="G11" i="21"/>
  <c r="G10" i="21"/>
  <c r="F10" i="21"/>
  <c r="F9" i="21"/>
  <c r="G8" i="21"/>
  <c r="F8" i="21"/>
  <c r="F7" i="21"/>
  <c r="F46" i="20"/>
  <c r="E46" i="20"/>
  <c r="D46" i="20"/>
  <c r="C46" i="20"/>
  <c r="F45" i="20"/>
  <c r="E45" i="20"/>
  <c r="D45" i="20"/>
  <c r="C45" i="20"/>
  <c r="F44" i="20"/>
  <c r="E44" i="20"/>
  <c r="D44" i="20"/>
  <c r="C44" i="20"/>
  <c r="F43" i="20"/>
  <c r="E43" i="20"/>
  <c r="D43" i="20"/>
  <c r="C43" i="20"/>
  <c r="F42" i="20"/>
  <c r="E42" i="20"/>
  <c r="D42" i="20"/>
  <c r="C42" i="20"/>
  <c r="F41" i="20"/>
  <c r="E41" i="20"/>
  <c r="D41" i="20"/>
  <c r="C41" i="20"/>
  <c r="F40" i="20"/>
  <c r="E40" i="20"/>
  <c r="D40" i="20"/>
  <c r="C40" i="20"/>
  <c r="F39" i="20"/>
  <c r="E39" i="20"/>
  <c r="D39" i="20"/>
  <c r="C39" i="20"/>
  <c r="F38" i="20"/>
  <c r="E38" i="20"/>
  <c r="D38" i="20"/>
  <c r="C38" i="20"/>
  <c r="F37" i="20"/>
  <c r="E37" i="20"/>
  <c r="D37" i="20"/>
  <c r="C37" i="20"/>
  <c r="F36" i="20"/>
  <c r="E36" i="20"/>
  <c r="D36" i="20"/>
  <c r="C36" i="20"/>
  <c r="F35" i="20"/>
  <c r="E35" i="20"/>
  <c r="D35" i="20"/>
  <c r="C35" i="20"/>
  <c r="F34" i="20"/>
  <c r="E34" i="20"/>
  <c r="D34" i="20"/>
  <c r="C34" i="20"/>
  <c r="F33" i="20"/>
  <c r="E33" i="20"/>
  <c r="D33" i="20"/>
  <c r="C33" i="20"/>
  <c r="F32" i="20"/>
  <c r="E32" i="20"/>
  <c r="D32" i="20"/>
  <c r="C32" i="20"/>
  <c r="F31" i="20"/>
  <c r="E31" i="20"/>
  <c r="D31" i="20"/>
  <c r="C31" i="20"/>
  <c r="F30" i="20"/>
  <c r="E30" i="20"/>
  <c r="D30" i="20"/>
  <c r="C30" i="20"/>
  <c r="F29" i="20"/>
  <c r="E29" i="20"/>
  <c r="D29" i="20"/>
  <c r="C29" i="20"/>
  <c r="F28" i="20"/>
  <c r="E28" i="20"/>
  <c r="D28" i="20"/>
  <c r="C28" i="20"/>
  <c r="F27" i="20"/>
  <c r="E27" i="20"/>
  <c r="D27" i="20"/>
  <c r="C27" i="20"/>
  <c r="F26" i="20"/>
  <c r="E26" i="20"/>
  <c r="D26" i="20"/>
  <c r="C26" i="20"/>
  <c r="F25" i="20"/>
  <c r="E25" i="20"/>
  <c r="D25" i="20"/>
  <c r="C25" i="20"/>
  <c r="F24" i="20"/>
  <c r="E24" i="20"/>
  <c r="D24" i="20"/>
  <c r="C24" i="20"/>
  <c r="F23" i="20"/>
  <c r="E23" i="20"/>
  <c r="D23" i="20"/>
  <c r="C23" i="20"/>
  <c r="F22" i="20"/>
  <c r="E22" i="20"/>
  <c r="D22" i="20"/>
  <c r="C22" i="20"/>
  <c r="F21" i="20"/>
  <c r="E21" i="20"/>
  <c r="D21" i="20"/>
  <c r="C21" i="20"/>
  <c r="F20" i="20"/>
  <c r="E20" i="20"/>
  <c r="D20" i="20"/>
  <c r="C20" i="20"/>
  <c r="F19" i="20"/>
  <c r="E19" i="20"/>
  <c r="D19" i="20"/>
  <c r="C19" i="20"/>
  <c r="F18" i="20"/>
  <c r="E18" i="20"/>
  <c r="D18" i="20"/>
  <c r="C18" i="20"/>
  <c r="F17" i="20"/>
  <c r="E17" i="20"/>
  <c r="D17" i="20"/>
  <c r="C17" i="20"/>
  <c r="F16" i="20"/>
  <c r="E16" i="20"/>
  <c r="D16" i="20"/>
  <c r="C16" i="20"/>
  <c r="F15" i="20"/>
  <c r="E15" i="20"/>
  <c r="D15" i="20"/>
  <c r="C15" i="20"/>
  <c r="F14" i="20"/>
  <c r="E14" i="20"/>
  <c r="D14" i="20"/>
  <c r="C14" i="20"/>
  <c r="F13" i="20"/>
  <c r="E13" i="20"/>
  <c r="D13" i="20"/>
  <c r="C13" i="20"/>
  <c r="F12" i="20"/>
  <c r="D12" i="20"/>
  <c r="C12" i="20"/>
  <c r="F11" i="20"/>
  <c r="D11" i="20"/>
  <c r="C11" i="20"/>
  <c r="F10" i="20"/>
  <c r="E10" i="20"/>
  <c r="D10" i="20"/>
  <c r="C10" i="20"/>
  <c r="F9" i="20"/>
  <c r="E9" i="20"/>
  <c r="D9" i="20"/>
  <c r="C9" i="20"/>
  <c r="F8" i="20"/>
  <c r="E8" i="20"/>
  <c r="D8" i="20"/>
  <c r="C8" i="20"/>
  <c r="F7" i="20"/>
  <c r="E7" i="20"/>
  <c r="D7" i="20"/>
  <c r="C7" i="20"/>
  <c r="F6" i="20"/>
  <c r="E6" i="20"/>
  <c r="D6" i="20"/>
  <c r="C6" i="20"/>
  <c r="G840" i="19"/>
  <c r="G838" i="19"/>
  <c r="G836" i="19"/>
  <c r="G834" i="19"/>
  <c r="I829" i="19"/>
  <c r="G829" i="19"/>
  <c r="I828" i="19"/>
  <c r="G828" i="19"/>
  <c r="F828" i="19"/>
  <c r="E828" i="19"/>
  <c r="I827" i="19"/>
  <c r="G827" i="19"/>
  <c r="F827" i="19"/>
  <c r="E827" i="19"/>
  <c r="I825" i="19"/>
  <c r="G825" i="19"/>
  <c r="F825" i="19"/>
  <c r="E825" i="19"/>
  <c r="I823" i="19"/>
  <c r="G823" i="19"/>
  <c r="F823" i="19"/>
  <c r="E823" i="19"/>
  <c r="F821" i="19"/>
  <c r="E821" i="19"/>
  <c r="D821" i="19"/>
  <c r="C821" i="19"/>
  <c r="G819" i="19"/>
  <c r="G817" i="19"/>
  <c r="G815" i="19"/>
  <c r="G814" i="19"/>
  <c r="I808" i="19"/>
  <c r="G808" i="19"/>
  <c r="F808" i="19"/>
  <c r="E808" i="19"/>
  <c r="I807" i="19"/>
  <c r="G807" i="19"/>
  <c r="F807" i="19"/>
  <c r="E807" i="19"/>
  <c r="I806" i="19"/>
  <c r="G806" i="19"/>
  <c r="F806" i="19"/>
  <c r="E806" i="19"/>
  <c r="I805" i="19"/>
  <c r="G805" i="19"/>
  <c r="F805" i="19"/>
  <c r="E805" i="19"/>
  <c r="I803" i="19"/>
  <c r="G803" i="19"/>
  <c r="F803" i="19"/>
  <c r="E803" i="19"/>
  <c r="I801" i="19"/>
  <c r="G801" i="19"/>
  <c r="F801" i="19"/>
  <c r="E801" i="19"/>
  <c r="I800" i="19"/>
  <c r="G800" i="19"/>
  <c r="F800" i="19"/>
  <c r="E800" i="19"/>
  <c r="F798" i="19"/>
  <c r="E798" i="19"/>
  <c r="D798" i="19"/>
  <c r="C798" i="19"/>
  <c r="G796" i="19"/>
  <c r="G794" i="19"/>
  <c r="G792" i="19"/>
  <c r="G790" i="19"/>
  <c r="I785" i="19"/>
  <c r="I784" i="19"/>
  <c r="G784" i="19"/>
  <c r="F784" i="19"/>
  <c r="E784" i="19"/>
  <c r="I782" i="19"/>
  <c r="G782" i="19"/>
  <c r="F782" i="19"/>
  <c r="E782" i="19"/>
  <c r="I780" i="19"/>
  <c r="G780" i="19"/>
  <c r="I779" i="19"/>
  <c r="G779" i="19"/>
  <c r="F779" i="19"/>
  <c r="E779" i="19"/>
  <c r="I778" i="19"/>
  <c r="G778" i="19"/>
  <c r="F778" i="19"/>
  <c r="E778" i="19"/>
  <c r="F776" i="19"/>
  <c r="E776" i="19"/>
  <c r="D776" i="19"/>
  <c r="C776" i="19"/>
  <c r="G774" i="19"/>
  <c r="G772" i="19"/>
  <c r="G770" i="19"/>
  <c r="G768" i="19"/>
  <c r="I765" i="19"/>
  <c r="G765" i="19"/>
  <c r="F765" i="19"/>
  <c r="E765" i="19"/>
  <c r="I763" i="19"/>
  <c r="G763" i="19"/>
  <c r="I762" i="19"/>
  <c r="G762" i="19"/>
  <c r="F762" i="19"/>
  <c r="E762" i="19"/>
  <c r="F760" i="19"/>
  <c r="E760" i="19"/>
  <c r="D760" i="19"/>
  <c r="C760" i="19"/>
  <c r="G758" i="19"/>
  <c r="G756" i="19"/>
  <c r="G754" i="19"/>
  <c r="I747" i="19"/>
  <c r="G747" i="19"/>
  <c r="I746" i="19"/>
  <c r="G746" i="19"/>
  <c r="F746" i="19"/>
  <c r="E746" i="19"/>
  <c r="I744" i="19"/>
  <c r="G744" i="19"/>
  <c r="F744" i="19"/>
  <c r="E744" i="19"/>
  <c r="I742" i="19"/>
  <c r="G742" i="19"/>
  <c r="F742" i="19"/>
  <c r="E742" i="19"/>
  <c r="F740" i="19"/>
  <c r="E740" i="19"/>
  <c r="D740" i="19"/>
  <c r="C740" i="19"/>
  <c r="G738" i="19"/>
  <c r="G736" i="19"/>
  <c r="G734" i="19"/>
  <c r="I727" i="19"/>
  <c r="G727" i="19"/>
  <c r="I726" i="19"/>
  <c r="G726" i="19"/>
  <c r="F726" i="19"/>
  <c r="E726" i="19"/>
  <c r="I725" i="19"/>
  <c r="G725" i="19"/>
  <c r="F725" i="19"/>
  <c r="E725" i="19"/>
  <c r="I724" i="19"/>
  <c r="G724" i="19"/>
  <c r="F724" i="19"/>
  <c r="E724" i="19"/>
  <c r="I722" i="19"/>
  <c r="G722" i="19"/>
  <c r="F722" i="19"/>
  <c r="E722" i="19"/>
  <c r="I720" i="19"/>
  <c r="G720" i="19"/>
  <c r="I719" i="19"/>
  <c r="G719" i="19"/>
  <c r="F719" i="19"/>
  <c r="E719" i="19"/>
  <c r="I718" i="19"/>
  <c r="G718" i="19"/>
  <c r="F718" i="19"/>
  <c r="E718" i="19"/>
  <c r="I717" i="19"/>
  <c r="G717" i="19"/>
  <c r="F717" i="19"/>
  <c r="E717" i="19"/>
  <c r="I716" i="19"/>
  <c r="G716" i="19"/>
  <c r="F716" i="19"/>
  <c r="E716" i="19"/>
  <c r="I715" i="19"/>
  <c r="G715" i="19"/>
  <c r="F715" i="19"/>
  <c r="E715" i="19"/>
  <c r="I714" i="19"/>
  <c r="G714" i="19"/>
  <c r="F714" i="19"/>
  <c r="E714" i="19"/>
  <c r="F712" i="19"/>
  <c r="E712" i="19"/>
  <c r="D712" i="19"/>
  <c r="C712" i="19"/>
  <c r="G710" i="19"/>
  <c r="G708" i="19"/>
  <c r="G706" i="19"/>
  <c r="G705" i="19"/>
  <c r="I699" i="19"/>
  <c r="G699" i="19"/>
  <c r="F699" i="19"/>
  <c r="E699" i="19"/>
  <c r="I697" i="19"/>
  <c r="G697" i="19"/>
  <c r="F697" i="19"/>
  <c r="E697" i="19"/>
  <c r="F694" i="19"/>
  <c r="E694" i="19"/>
  <c r="D694" i="19"/>
  <c r="C694" i="19"/>
  <c r="G692" i="19"/>
  <c r="G690" i="19"/>
  <c r="G688" i="19"/>
  <c r="G686" i="19"/>
  <c r="I681" i="19"/>
  <c r="G681" i="19"/>
  <c r="F681" i="19"/>
  <c r="E681" i="19"/>
  <c r="I679" i="19"/>
  <c r="G679" i="19"/>
  <c r="F679" i="19"/>
  <c r="E679" i="19"/>
  <c r="F676" i="19"/>
  <c r="E676" i="19"/>
  <c r="D676" i="19"/>
  <c r="C676" i="19"/>
  <c r="G674" i="19"/>
  <c r="G672" i="19"/>
  <c r="G670" i="19"/>
  <c r="G669" i="19"/>
  <c r="G668" i="19"/>
  <c r="I663" i="19"/>
  <c r="G663" i="19"/>
  <c r="F663" i="19"/>
  <c r="E663" i="19"/>
  <c r="I662" i="19"/>
  <c r="G662" i="19"/>
  <c r="F662" i="19"/>
  <c r="E662" i="19"/>
  <c r="I660" i="19"/>
  <c r="G660" i="19"/>
  <c r="F660" i="19"/>
  <c r="E660" i="19"/>
  <c r="F657" i="19"/>
  <c r="E657" i="19"/>
  <c r="D657" i="19"/>
  <c r="C657" i="19"/>
  <c r="G655" i="19"/>
  <c r="G653" i="19"/>
  <c r="G651" i="19"/>
  <c r="G649" i="19"/>
  <c r="I644" i="19"/>
  <c r="G644" i="19"/>
  <c r="F644" i="19"/>
  <c r="E644" i="19"/>
  <c r="I642" i="19"/>
  <c r="G642" i="19"/>
  <c r="F642" i="19"/>
  <c r="E642" i="19"/>
  <c r="I640" i="19"/>
  <c r="G640" i="19"/>
  <c r="F640" i="19"/>
  <c r="E640" i="19"/>
  <c r="I639" i="19"/>
  <c r="G639" i="19"/>
  <c r="F639" i="19"/>
  <c r="E639" i="19"/>
  <c r="F637" i="19"/>
  <c r="E637" i="19"/>
  <c r="D637" i="19"/>
  <c r="C637" i="19"/>
  <c r="G635" i="19"/>
  <c r="G633" i="19"/>
  <c r="G631" i="19"/>
  <c r="G630" i="19"/>
  <c r="I626" i="19"/>
  <c r="G626" i="19"/>
  <c r="F626" i="19"/>
  <c r="E626" i="19"/>
  <c r="I624" i="19"/>
  <c r="G624" i="19"/>
  <c r="F624" i="19"/>
  <c r="E624" i="19"/>
  <c r="I623" i="19"/>
  <c r="G623" i="19"/>
  <c r="F623" i="19"/>
  <c r="E623" i="19"/>
  <c r="F621" i="19"/>
  <c r="E621" i="19"/>
  <c r="D621" i="19"/>
  <c r="C621" i="19"/>
  <c r="G619" i="19"/>
  <c r="G617" i="19"/>
  <c r="G615" i="19"/>
  <c r="G613" i="19"/>
  <c r="I608" i="19"/>
  <c r="G608" i="19"/>
  <c r="I607" i="19"/>
  <c r="G607" i="19"/>
  <c r="F607" i="19"/>
  <c r="E607" i="19"/>
  <c r="I606" i="19"/>
  <c r="G606" i="19"/>
  <c r="F606" i="19"/>
  <c r="E606" i="19"/>
  <c r="I605" i="19"/>
  <c r="G605" i="19"/>
  <c r="F605" i="19"/>
  <c r="E605" i="19"/>
  <c r="I603" i="19"/>
  <c r="G603" i="19"/>
  <c r="F603" i="19"/>
  <c r="E603" i="19"/>
  <c r="I601" i="19"/>
  <c r="I600" i="19"/>
  <c r="G600" i="19"/>
  <c r="F600" i="19"/>
  <c r="E600" i="19"/>
  <c r="I599" i="19"/>
  <c r="G599" i="19"/>
  <c r="F599" i="19"/>
  <c r="E599" i="19"/>
  <c r="I598" i="19"/>
  <c r="G598" i="19"/>
  <c r="F598" i="19"/>
  <c r="E598" i="19"/>
  <c r="I597" i="19"/>
  <c r="G597" i="19"/>
  <c r="F597" i="19"/>
  <c r="E597" i="19"/>
  <c r="F595" i="19"/>
  <c r="E595" i="19"/>
  <c r="D595" i="19"/>
  <c r="C595" i="19"/>
  <c r="G593" i="19"/>
  <c r="G591" i="19"/>
  <c r="G589" i="19"/>
  <c r="G587" i="19"/>
  <c r="I582" i="19"/>
  <c r="G582" i="19"/>
  <c r="F582" i="19"/>
  <c r="E582" i="19"/>
  <c r="I581" i="19"/>
  <c r="G581" i="19"/>
  <c r="F581" i="19"/>
  <c r="E581" i="19"/>
  <c r="I579" i="19"/>
  <c r="G579" i="19"/>
  <c r="F579" i="19"/>
  <c r="E579" i="19"/>
  <c r="I577" i="19"/>
  <c r="G577" i="19"/>
  <c r="I576" i="19"/>
  <c r="G576" i="19"/>
  <c r="F576" i="19"/>
  <c r="E576" i="19"/>
  <c r="I575" i="19"/>
  <c r="G575" i="19"/>
  <c r="F575" i="19"/>
  <c r="E575" i="19"/>
  <c r="I574" i="19"/>
  <c r="G574" i="19"/>
  <c r="F574" i="19"/>
  <c r="E574" i="19"/>
  <c r="I573" i="19"/>
  <c r="G573" i="19"/>
  <c r="F573" i="19"/>
  <c r="E573" i="19"/>
  <c r="F571" i="19"/>
  <c r="E571" i="19"/>
  <c r="D571" i="19"/>
  <c r="C571" i="19"/>
  <c r="G569" i="19"/>
  <c r="G567" i="19"/>
  <c r="G565" i="19"/>
  <c r="G564" i="19"/>
  <c r="I558" i="19"/>
  <c r="I557" i="19"/>
  <c r="G557" i="19"/>
  <c r="F557" i="19"/>
  <c r="E557" i="19"/>
  <c r="I555" i="19"/>
  <c r="G555" i="19"/>
  <c r="F555" i="19"/>
  <c r="E555" i="19"/>
  <c r="I553" i="19"/>
  <c r="G553" i="19"/>
  <c r="I552" i="19"/>
  <c r="G552" i="19"/>
  <c r="F552" i="19"/>
  <c r="E552" i="19"/>
  <c r="I551" i="19"/>
  <c r="G551" i="19"/>
  <c r="F551" i="19"/>
  <c r="E551" i="19"/>
  <c r="I550" i="19"/>
  <c r="G550" i="19"/>
  <c r="F550" i="19"/>
  <c r="E550" i="19"/>
  <c r="F548" i="19"/>
  <c r="E548" i="19"/>
  <c r="D548" i="19"/>
  <c r="C548" i="19"/>
  <c r="G546" i="19"/>
  <c r="G544" i="19"/>
  <c r="G542" i="19"/>
  <c r="G541" i="19"/>
  <c r="I535" i="19"/>
  <c r="G535" i="19"/>
  <c r="F535" i="19"/>
  <c r="E535" i="19"/>
  <c r="I534" i="19"/>
  <c r="G534" i="19"/>
  <c r="F534" i="19"/>
  <c r="E534" i="19"/>
  <c r="I532" i="19"/>
  <c r="G532" i="19"/>
  <c r="F532" i="19"/>
  <c r="E532" i="19"/>
  <c r="I530" i="19"/>
  <c r="I529" i="19"/>
  <c r="G529" i="19"/>
  <c r="F529" i="19"/>
  <c r="E529" i="19"/>
  <c r="I528" i="19"/>
  <c r="G528" i="19"/>
  <c r="F528" i="19"/>
  <c r="E528" i="19"/>
  <c r="I527" i="19"/>
  <c r="G527" i="19"/>
  <c r="F527" i="19"/>
  <c r="E527" i="19"/>
  <c r="I526" i="19"/>
  <c r="G526" i="19"/>
  <c r="F526" i="19"/>
  <c r="E526" i="19"/>
  <c r="F524" i="19"/>
  <c r="E524" i="19"/>
  <c r="D524" i="19"/>
  <c r="C524" i="19"/>
  <c r="G522" i="19"/>
  <c r="G520" i="19"/>
  <c r="G518" i="19"/>
  <c r="I511" i="19"/>
  <c r="G511" i="19"/>
  <c r="I510" i="19"/>
  <c r="G510" i="19"/>
  <c r="F510" i="19"/>
  <c r="E510" i="19"/>
  <c r="I509" i="19"/>
  <c r="G509" i="19"/>
  <c r="F509" i="19"/>
  <c r="E509" i="19"/>
  <c r="I508" i="19"/>
  <c r="G508" i="19"/>
  <c r="F508" i="19"/>
  <c r="E508" i="19"/>
  <c r="I506" i="19"/>
  <c r="G506" i="19"/>
  <c r="F506" i="19"/>
  <c r="E506" i="19"/>
  <c r="I504" i="19"/>
  <c r="I503" i="19"/>
  <c r="G503" i="19"/>
  <c r="F503" i="19"/>
  <c r="E503" i="19"/>
  <c r="I502" i="19"/>
  <c r="G502" i="19"/>
  <c r="F502" i="19"/>
  <c r="E502" i="19"/>
  <c r="I501" i="19"/>
  <c r="G501" i="19"/>
  <c r="F501" i="19"/>
  <c r="E501" i="19"/>
  <c r="I500" i="19"/>
  <c r="G500" i="19"/>
  <c r="F500" i="19"/>
  <c r="E500" i="19"/>
  <c r="F498" i="19"/>
  <c r="E498" i="19"/>
  <c r="D498" i="19"/>
  <c r="C498" i="19"/>
  <c r="G496" i="19"/>
  <c r="G494" i="19"/>
  <c r="G492" i="19"/>
  <c r="G491" i="19"/>
  <c r="G490" i="19"/>
  <c r="I485" i="19"/>
  <c r="G485" i="19"/>
  <c r="F485" i="19"/>
  <c r="E485" i="19"/>
  <c r="I484" i="19"/>
  <c r="G484" i="19"/>
  <c r="F484" i="19"/>
  <c r="E484" i="19"/>
  <c r="I482" i="19"/>
  <c r="G482" i="19"/>
  <c r="F482" i="19"/>
  <c r="E482" i="19"/>
  <c r="I480" i="19"/>
  <c r="G480" i="19"/>
  <c r="F480" i="19"/>
  <c r="E480" i="19"/>
  <c r="I479" i="19"/>
  <c r="G479" i="19"/>
  <c r="F479" i="19"/>
  <c r="E479" i="19"/>
  <c r="I478" i="19"/>
  <c r="G478" i="19"/>
  <c r="F478" i="19"/>
  <c r="E478" i="19"/>
  <c r="F476" i="19"/>
  <c r="E476" i="19"/>
  <c r="D476" i="19"/>
  <c r="C476" i="19"/>
  <c r="G474" i="19"/>
  <c r="G472" i="19"/>
  <c r="G470" i="19"/>
  <c r="G468" i="19"/>
  <c r="I463" i="19"/>
  <c r="G463" i="19"/>
  <c r="F463" i="19"/>
  <c r="E463" i="19"/>
  <c r="I461" i="19"/>
  <c r="G461" i="19"/>
  <c r="F461" i="19"/>
  <c r="E461" i="19"/>
  <c r="I459" i="19"/>
  <c r="G459" i="19"/>
  <c r="F459" i="19"/>
  <c r="E459" i="19"/>
  <c r="I458" i="19"/>
  <c r="G458" i="19"/>
  <c r="F458" i="19"/>
  <c r="E458" i="19"/>
  <c r="F456" i="19"/>
  <c r="E456" i="19"/>
  <c r="D456" i="19"/>
  <c r="C456" i="19"/>
  <c r="G454" i="19"/>
  <c r="G452" i="19"/>
  <c r="G450" i="19"/>
  <c r="G448" i="19"/>
  <c r="I443" i="19"/>
  <c r="G443" i="19"/>
  <c r="F443" i="19"/>
  <c r="E443" i="19"/>
  <c r="I442" i="19"/>
  <c r="G442" i="19"/>
  <c r="F442" i="19"/>
  <c r="E442" i="19"/>
  <c r="I440" i="19"/>
  <c r="G440" i="19"/>
  <c r="F440" i="19"/>
  <c r="E440" i="19"/>
  <c r="I438" i="19"/>
  <c r="G438" i="19"/>
  <c r="I437" i="19"/>
  <c r="G437" i="19"/>
  <c r="F437" i="19"/>
  <c r="E437" i="19"/>
  <c r="I436" i="19"/>
  <c r="G436" i="19"/>
  <c r="F436" i="19"/>
  <c r="E436" i="19"/>
  <c r="I435" i="19"/>
  <c r="G435" i="19"/>
  <c r="F435" i="19"/>
  <c r="E435" i="19"/>
  <c r="I434" i="19"/>
  <c r="G434" i="19"/>
  <c r="F434" i="19"/>
  <c r="E434" i="19"/>
  <c r="F432" i="19"/>
  <c r="E432" i="19"/>
  <c r="D432" i="19"/>
  <c r="C432" i="19"/>
  <c r="G430" i="19"/>
  <c r="G428" i="19"/>
  <c r="G426" i="19"/>
  <c r="G424" i="19"/>
  <c r="I421" i="19"/>
  <c r="G421" i="19"/>
  <c r="F421" i="19"/>
  <c r="E421" i="19"/>
  <c r="F418" i="19"/>
  <c r="E418" i="19"/>
  <c r="D418" i="19"/>
  <c r="C418" i="19"/>
  <c r="G416" i="19"/>
  <c r="G414" i="19"/>
  <c r="G412" i="19"/>
  <c r="G411" i="19"/>
  <c r="G410" i="19"/>
  <c r="I407" i="19"/>
  <c r="G407" i="19"/>
  <c r="F407" i="19"/>
  <c r="E407" i="19"/>
  <c r="F404" i="19"/>
  <c r="E404" i="19"/>
  <c r="D404" i="19"/>
  <c r="C404" i="19"/>
  <c r="G402" i="19"/>
  <c r="G400" i="19"/>
  <c r="G398" i="19"/>
  <c r="G396" i="19"/>
  <c r="I391" i="19"/>
  <c r="G391" i="19"/>
  <c r="F391" i="19"/>
  <c r="E391" i="19"/>
  <c r="I389" i="19"/>
  <c r="G389" i="19"/>
  <c r="F389" i="19"/>
  <c r="E389" i="19"/>
  <c r="I387" i="19"/>
  <c r="G387" i="19"/>
  <c r="F387" i="19"/>
  <c r="E387" i="19"/>
  <c r="I386" i="19"/>
  <c r="G386" i="19"/>
  <c r="F386" i="19"/>
  <c r="E386" i="19"/>
  <c r="I385" i="19"/>
  <c r="G385" i="19"/>
  <c r="F385" i="19"/>
  <c r="E385" i="19"/>
  <c r="I384" i="19"/>
  <c r="G384" i="19"/>
  <c r="F384" i="19"/>
  <c r="E384" i="19"/>
  <c r="F382" i="19"/>
  <c r="E382" i="19"/>
  <c r="D382" i="19"/>
  <c r="C382" i="19"/>
  <c r="G380" i="19"/>
  <c r="G378" i="19"/>
  <c r="G376" i="19"/>
  <c r="G374" i="19"/>
  <c r="I371" i="19"/>
  <c r="G371" i="19"/>
  <c r="F371" i="19"/>
  <c r="E371" i="19"/>
  <c r="I369" i="19"/>
  <c r="G369" i="19"/>
  <c r="F369" i="19"/>
  <c r="E369" i="19"/>
  <c r="F367" i="19"/>
  <c r="E367" i="19"/>
  <c r="D367" i="19"/>
  <c r="C367" i="19"/>
  <c r="G365" i="19"/>
  <c r="G363" i="19"/>
  <c r="G361" i="19"/>
  <c r="G359" i="19"/>
  <c r="I356" i="19"/>
  <c r="G356" i="19"/>
  <c r="F356" i="19"/>
  <c r="E356" i="19"/>
  <c r="I354" i="19"/>
  <c r="G354" i="19"/>
  <c r="I353" i="19"/>
  <c r="G353" i="19"/>
  <c r="F353" i="19"/>
  <c r="E353" i="19"/>
  <c r="F351" i="19"/>
  <c r="E351" i="19"/>
  <c r="D351" i="19"/>
  <c r="C351" i="19"/>
  <c r="G349" i="19"/>
  <c r="G347" i="19"/>
  <c r="G345" i="19"/>
  <c r="G344" i="19"/>
  <c r="G343" i="19"/>
  <c r="I338" i="19"/>
  <c r="G338" i="19"/>
  <c r="F338" i="19"/>
  <c r="E338" i="19"/>
  <c r="I336" i="19"/>
  <c r="G336" i="19"/>
  <c r="F336" i="19"/>
  <c r="E336" i="19"/>
  <c r="F333" i="19"/>
  <c r="E333" i="19"/>
  <c r="D333" i="19"/>
  <c r="C333" i="19"/>
  <c r="G331" i="19"/>
  <c r="G329" i="19"/>
  <c r="G327" i="19"/>
  <c r="G325" i="19"/>
  <c r="I320" i="19"/>
  <c r="I319" i="19"/>
  <c r="F319" i="19"/>
  <c r="E319" i="19"/>
  <c r="I318" i="19"/>
  <c r="F318" i="19"/>
  <c r="E318" i="19"/>
  <c r="I317" i="19"/>
  <c r="F317" i="19"/>
  <c r="E317" i="19"/>
  <c r="I315" i="19"/>
  <c r="F315" i="19"/>
  <c r="E315" i="19"/>
  <c r="I313" i="19"/>
  <c r="G313" i="19"/>
  <c r="I312" i="19"/>
  <c r="F312" i="19"/>
  <c r="E312" i="19"/>
  <c r="I311" i="19"/>
  <c r="G311" i="19"/>
  <c r="F311" i="19"/>
  <c r="E311" i="19"/>
  <c r="I310" i="19"/>
  <c r="F310" i="19"/>
  <c r="E310" i="19"/>
  <c r="F308" i="19"/>
  <c r="E308" i="19"/>
  <c r="D308" i="19"/>
  <c r="C308" i="19"/>
  <c r="G306" i="19"/>
  <c r="G304" i="19"/>
  <c r="G302" i="19"/>
  <c r="G300" i="19"/>
  <c r="I297" i="19"/>
  <c r="G297" i="19"/>
  <c r="F297" i="19"/>
  <c r="E297" i="19"/>
  <c r="F294" i="19"/>
  <c r="E294" i="19"/>
  <c r="D294" i="19"/>
  <c r="C294" i="19"/>
  <c r="G292" i="19"/>
  <c r="G290" i="19"/>
  <c r="G288" i="19"/>
  <c r="G287" i="19"/>
  <c r="G286" i="19"/>
  <c r="I281" i="19"/>
  <c r="G281" i="19"/>
  <c r="F281" i="19"/>
  <c r="E281" i="19"/>
  <c r="I280" i="19"/>
  <c r="G280" i="19"/>
  <c r="F280" i="19"/>
  <c r="E280" i="19"/>
  <c r="I278" i="19"/>
  <c r="G278" i="19"/>
  <c r="F278" i="19"/>
  <c r="E278" i="19"/>
  <c r="F275" i="19"/>
  <c r="E275" i="19"/>
  <c r="D275" i="19"/>
  <c r="C275" i="19"/>
  <c r="G273" i="19"/>
  <c r="G271" i="19"/>
  <c r="G269" i="19"/>
  <c r="G267" i="19"/>
  <c r="I262" i="19"/>
  <c r="G262" i="19"/>
  <c r="F262" i="19"/>
  <c r="E262" i="19"/>
  <c r="I261" i="19"/>
  <c r="G261" i="19"/>
  <c r="F261" i="19"/>
  <c r="E261" i="19"/>
  <c r="I259" i="19"/>
  <c r="G259" i="19"/>
  <c r="F259" i="19"/>
  <c r="E259" i="19"/>
  <c r="F256" i="19"/>
  <c r="E256" i="19"/>
  <c r="D256" i="19"/>
  <c r="C256" i="19"/>
  <c r="G254" i="19"/>
  <c r="G252" i="19"/>
  <c r="G250" i="19"/>
  <c r="G248" i="19"/>
  <c r="I243" i="19"/>
  <c r="G243" i="19"/>
  <c r="F243" i="19"/>
  <c r="E243" i="19"/>
  <c r="I242" i="19"/>
  <c r="G242" i="19"/>
  <c r="F242" i="19"/>
  <c r="E242" i="19"/>
  <c r="I240" i="19"/>
  <c r="G240" i="19"/>
  <c r="F240" i="19"/>
  <c r="E240" i="19"/>
  <c r="F237" i="19"/>
  <c r="E237" i="19"/>
  <c r="D237" i="19"/>
  <c r="C237" i="19"/>
  <c r="G235" i="19"/>
  <c r="G233" i="19"/>
  <c r="G231" i="19"/>
  <c r="G229" i="19"/>
  <c r="I224" i="19"/>
  <c r="G224" i="19"/>
  <c r="F224" i="19"/>
  <c r="E224" i="19"/>
  <c r="I223" i="19"/>
  <c r="G223" i="19"/>
  <c r="F223" i="19"/>
  <c r="E223" i="19"/>
  <c r="I221" i="19"/>
  <c r="G221" i="19"/>
  <c r="F221" i="19"/>
  <c r="E221" i="19"/>
  <c r="F218" i="19"/>
  <c r="E218" i="19"/>
  <c r="D218" i="19"/>
  <c r="C218" i="19"/>
  <c r="G216" i="19"/>
  <c r="G214" i="19"/>
  <c r="G212" i="19"/>
  <c r="G211" i="19"/>
  <c r="G210" i="19"/>
  <c r="I205" i="19"/>
  <c r="G205" i="19"/>
  <c r="F205" i="19"/>
  <c r="E205" i="19"/>
  <c r="I203" i="19"/>
  <c r="G203" i="19"/>
  <c r="F203" i="19"/>
  <c r="E203" i="19"/>
  <c r="I201" i="19"/>
  <c r="G201" i="19"/>
  <c r="F201" i="19"/>
  <c r="E201" i="19"/>
  <c r="F199" i="19"/>
  <c r="E199" i="19"/>
  <c r="D199" i="19"/>
  <c r="C199" i="19"/>
  <c r="G197" i="19"/>
  <c r="G195" i="19"/>
  <c r="G193" i="19"/>
  <c r="G191" i="19"/>
  <c r="I186" i="19"/>
  <c r="G186" i="19"/>
  <c r="F186" i="19"/>
  <c r="E186" i="19"/>
  <c r="I184" i="19"/>
  <c r="G184" i="19"/>
  <c r="F184" i="19"/>
  <c r="E184" i="19"/>
  <c r="I182" i="19"/>
  <c r="G182" i="19"/>
  <c r="F182" i="19"/>
  <c r="E182" i="19"/>
  <c r="I181" i="19"/>
  <c r="G181" i="19"/>
  <c r="F181" i="19"/>
  <c r="E181" i="19"/>
  <c r="F179" i="19"/>
  <c r="E179" i="19"/>
  <c r="D179" i="19"/>
  <c r="C179" i="19"/>
  <c r="G177" i="19"/>
  <c r="G175" i="19"/>
  <c r="G173" i="19"/>
  <c r="G171" i="19"/>
  <c r="I166" i="19"/>
  <c r="G166" i="19"/>
  <c r="F166" i="19"/>
  <c r="E166" i="19"/>
  <c r="I164" i="19"/>
  <c r="G164" i="19"/>
  <c r="F164" i="19"/>
  <c r="E164" i="19"/>
  <c r="I162" i="19"/>
  <c r="I161" i="19"/>
  <c r="G161" i="19"/>
  <c r="F161" i="19"/>
  <c r="E161" i="19"/>
  <c r="F159" i="19"/>
  <c r="E159" i="19"/>
  <c r="D159" i="19"/>
  <c r="C159" i="19"/>
  <c r="G157" i="19"/>
  <c r="G155" i="19"/>
  <c r="G153" i="19"/>
  <c r="G152" i="19"/>
  <c r="G151" i="19"/>
  <c r="I146" i="19"/>
  <c r="G146" i="19"/>
  <c r="I145" i="19"/>
  <c r="G145" i="19"/>
  <c r="F145" i="19"/>
  <c r="E145" i="19"/>
  <c r="I143" i="19"/>
  <c r="G143" i="19"/>
  <c r="F143" i="19"/>
  <c r="E143" i="19"/>
  <c r="I141" i="19"/>
  <c r="I140" i="19"/>
  <c r="G140" i="19"/>
  <c r="F140" i="19"/>
  <c r="E140" i="19"/>
  <c r="I139" i="19"/>
  <c r="G139" i="19"/>
  <c r="F139" i="19"/>
  <c r="E139" i="19"/>
  <c r="E137" i="19"/>
  <c r="D137" i="19"/>
  <c r="C137" i="19"/>
  <c r="G135" i="19"/>
  <c r="G133" i="19"/>
  <c r="G131" i="19"/>
  <c r="G129" i="19"/>
  <c r="I126" i="19"/>
  <c r="G126" i="19"/>
  <c r="F126" i="19"/>
  <c r="E126" i="19"/>
  <c r="I124" i="19"/>
  <c r="G124" i="19"/>
  <c r="I123" i="19"/>
  <c r="G123" i="19"/>
  <c r="F123" i="19"/>
  <c r="E123" i="19"/>
  <c r="E121" i="19"/>
  <c r="D121" i="19"/>
  <c r="C121" i="19"/>
  <c r="G119" i="19"/>
  <c r="G117" i="19"/>
  <c r="G115" i="19"/>
  <c r="G113" i="19"/>
  <c r="I108" i="19"/>
  <c r="I107" i="19"/>
  <c r="G107" i="19"/>
  <c r="F107" i="19"/>
  <c r="E107" i="19"/>
  <c r="I105" i="19"/>
  <c r="G105" i="19"/>
  <c r="F105" i="19"/>
  <c r="E105" i="19"/>
  <c r="I103" i="19"/>
  <c r="G103" i="19"/>
  <c r="F103" i="19"/>
  <c r="E103" i="19"/>
  <c r="F101" i="19"/>
  <c r="E101" i="19"/>
  <c r="D101" i="19"/>
  <c r="C101" i="19"/>
  <c r="G99" i="19"/>
  <c r="G97" i="19"/>
  <c r="G95" i="19"/>
  <c r="G93" i="19"/>
  <c r="I88" i="19"/>
  <c r="I87" i="19"/>
  <c r="G87" i="19"/>
  <c r="F87" i="19"/>
  <c r="E87" i="19"/>
  <c r="I86" i="19"/>
  <c r="G86" i="19"/>
  <c r="F86" i="19"/>
  <c r="E86" i="19"/>
  <c r="I85" i="19"/>
  <c r="G85" i="19"/>
  <c r="F85" i="19"/>
  <c r="E85" i="19"/>
  <c r="I83" i="19"/>
  <c r="G83" i="19"/>
  <c r="F83" i="19"/>
  <c r="E83" i="19"/>
  <c r="I81" i="19"/>
  <c r="G81" i="19"/>
  <c r="I80" i="19"/>
  <c r="G80" i="19"/>
  <c r="F80" i="19"/>
  <c r="E80" i="19"/>
  <c r="I79" i="19"/>
  <c r="G79" i="19"/>
  <c r="F79" i="19"/>
  <c r="E79" i="19"/>
  <c r="I78" i="19"/>
  <c r="G78" i="19"/>
  <c r="F78" i="19"/>
  <c r="E78" i="19"/>
  <c r="I77" i="19"/>
  <c r="G77" i="19"/>
  <c r="F77" i="19"/>
  <c r="E77" i="19"/>
  <c r="I76" i="19"/>
  <c r="G76" i="19"/>
  <c r="F76" i="19"/>
  <c r="E76" i="19"/>
  <c r="I75" i="19"/>
  <c r="G75" i="19"/>
  <c r="F75" i="19"/>
  <c r="E75" i="19"/>
  <c r="F73" i="19"/>
  <c r="E73" i="19"/>
  <c r="D73" i="19"/>
  <c r="C73" i="19"/>
  <c r="G71" i="19"/>
  <c r="G69" i="19"/>
  <c r="G67" i="19"/>
  <c r="G65" i="19"/>
  <c r="I60" i="19"/>
  <c r="I59" i="19"/>
  <c r="G59" i="19"/>
  <c r="F59" i="19"/>
  <c r="E59" i="19"/>
  <c r="I58" i="19"/>
  <c r="G58" i="19"/>
  <c r="F58" i="19"/>
  <c r="E58" i="19"/>
  <c r="I56" i="19"/>
  <c r="G56" i="19"/>
  <c r="F56" i="19"/>
  <c r="E56" i="19"/>
  <c r="I54" i="19"/>
  <c r="G54" i="19"/>
  <c r="F54" i="19"/>
  <c r="E54" i="19"/>
  <c r="F52" i="19"/>
  <c r="E52" i="19"/>
  <c r="D52" i="19"/>
  <c r="C52" i="19"/>
  <c r="G50" i="19"/>
  <c r="G48" i="19"/>
  <c r="G46" i="19"/>
  <c r="G44" i="19"/>
  <c r="I39" i="19"/>
  <c r="F39" i="19"/>
  <c r="E39" i="19"/>
  <c r="I38" i="19"/>
  <c r="G38" i="19"/>
  <c r="F38" i="19"/>
  <c r="E38" i="19"/>
  <c r="I37" i="19"/>
  <c r="G37" i="19"/>
  <c r="F37" i="19"/>
  <c r="E37" i="19"/>
  <c r="I36" i="19"/>
  <c r="G36" i="19"/>
  <c r="F36" i="19"/>
  <c r="E36" i="19"/>
  <c r="I34" i="19"/>
  <c r="F34" i="19"/>
  <c r="E34" i="19"/>
  <c r="I32" i="19"/>
  <c r="G32" i="19"/>
  <c r="F32" i="19"/>
  <c r="E32" i="19"/>
  <c r="I31" i="19"/>
  <c r="F31" i="19"/>
  <c r="E31" i="19"/>
  <c r="F29" i="19"/>
  <c r="E29" i="19"/>
  <c r="D29" i="19"/>
  <c r="C29" i="19"/>
  <c r="G27" i="19"/>
  <c r="G25" i="19"/>
  <c r="G23" i="19"/>
  <c r="G21" i="19"/>
  <c r="I16" i="19"/>
  <c r="G16" i="19"/>
  <c r="F16" i="19"/>
  <c r="E16" i="19"/>
  <c r="I15" i="19"/>
  <c r="G15" i="19"/>
  <c r="F15" i="19"/>
  <c r="E15" i="19"/>
  <c r="I14" i="19"/>
  <c r="G14" i="19"/>
  <c r="F14" i="19"/>
  <c r="E14" i="19"/>
  <c r="I13" i="19"/>
  <c r="G13" i="19"/>
  <c r="F13" i="19"/>
  <c r="E13" i="19"/>
  <c r="I11" i="19"/>
  <c r="G11" i="19"/>
  <c r="F11" i="19"/>
  <c r="E11" i="19"/>
  <c r="I9" i="19"/>
  <c r="G9" i="19"/>
  <c r="F9" i="19"/>
  <c r="E9" i="19"/>
  <c r="I8" i="19"/>
  <c r="G8" i="19"/>
  <c r="F8" i="19"/>
  <c r="E8" i="19"/>
  <c r="F6" i="19"/>
  <c r="E6" i="19"/>
  <c r="D6" i="19"/>
  <c r="C6" i="19"/>
  <c r="F53" i="18"/>
  <c r="G50" i="18"/>
  <c r="H50" i="18" s="1"/>
  <c r="F48" i="18"/>
  <c r="F45" i="18"/>
  <c r="F43" i="18"/>
  <c r="F42" i="18"/>
  <c r="F41" i="18"/>
  <c r="G41" i="18" s="1"/>
  <c r="F40" i="18"/>
  <c r="G40" i="18" s="1"/>
  <c r="H40" i="18" s="1"/>
  <c r="G39" i="18"/>
  <c r="F39" i="18"/>
  <c r="F38" i="18"/>
  <c r="F37" i="18"/>
  <c r="G37" i="18" s="1"/>
  <c r="H37" i="18" s="1"/>
  <c r="F36" i="18"/>
  <c r="G31" i="18"/>
  <c r="H31" i="18" s="1"/>
  <c r="C29" i="18"/>
  <c r="C28" i="18"/>
  <c r="G27" i="18"/>
  <c r="H27" i="18" s="1"/>
  <c r="G19" i="18"/>
  <c r="H19" i="18" s="1"/>
  <c r="F16" i="18"/>
  <c r="F15" i="18"/>
  <c r="G15" i="18" s="1"/>
  <c r="G14" i="18"/>
  <c r="H9" i="18"/>
  <c r="G9" i="18"/>
  <c r="F9" i="18"/>
  <c r="F56" i="18" s="1"/>
  <c r="G56" i="18" s="1"/>
  <c r="J12" i="17"/>
  <c r="I12" i="17"/>
  <c r="H1" i="17"/>
  <c r="I4" i="17" s="1"/>
  <c r="I262" i="16"/>
  <c r="I261" i="16"/>
  <c r="I260" i="16"/>
  <c r="I259" i="16"/>
  <c r="I258" i="16"/>
  <c r="I257" i="16"/>
  <c r="I256" i="16"/>
  <c r="I255" i="16"/>
  <c r="I254" i="16"/>
  <c r="I253" i="16"/>
  <c r="I252" i="16"/>
  <c r="I251" i="16"/>
  <c r="I250" i="16"/>
  <c r="I249" i="16"/>
  <c r="I248" i="16"/>
  <c r="I247" i="16"/>
  <c r="I246" i="16"/>
  <c r="I245" i="16"/>
  <c r="I244" i="16"/>
  <c r="I243" i="16"/>
  <c r="J242" i="16"/>
  <c r="I241" i="16"/>
  <c r="I240" i="16"/>
  <c r="I239" i="16"/>
  <c r="I238" i="16"/>
  <c r="I237" i="16"/>
  <c r="I236" i="16"/>
  <c r="I235" i="16"/>
  <c r="I234" i="16"/>
  <c r="I233" i="16"/>
  <c r="I232" i="16"/>
  <c r="J231" i="16"/>
  <c r="I231" i="16"/>
  <c r="I230" i="16"/>
  <c r="I229" i="16"/>
  <c r="I228" i="16"/>
  <c r="I227" i="16"/>
  <c r="I226" i="16"/>
  <c r="I225" i="16"/>
  <c r="I224" i="16"/>
  <c r="I223" i="16"/>
  <c r="I220" i="16" s="1"/>
  <c r="I222" i="16"/>
  <c r="I221" i="16"/>
  <c r="J220" i="16"/>
  <c r="I219" i="16"/>
  <c r="I218" i="16"/>
  <c r="I217" i="16"/>
  <c r="I216" i="16"/>
  <c r="I215" i="16"/>
  <c r="I214" i="16"/>
  <c r="I213" i="16"/>
  <c r="I212" i="16"/>
  <c r="I211" i="16"/>
  <c r="I210" i="16"/>
  <c r="J209" i="16"/>
  <c r="I208" i="16"/>
  <c r="I207" i="16"/>
  <c r="I206" i="16"/>
  <c r="I205" i="16"/>
  <c r="I204" i="16"/>
  <c r="I203" i="16"/>
  <c r="I202" i="16"/>
  <c r="I201" i="16"/>
  <c r="I200" i="16"/>
  <c r="I199" i="16"/>
  <c r="L198" i="16"/>
  <c r="J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J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J6" i="16"/>
  <c r="I30" i="15"/>
  <c r="I29" i="15"/>
  <c r="I28" i="15"/>
  <c r="L27" i="15"/>
  <c r="J27" i="15"/>
  <c r="I26" i="15"/>
  <c r="I25" i="15"/>
  <c r="I24" i="15"/>
  <c r="I23" i="15"/>
  <c r="I22" i="15"/>
  <c r="I21" i="15"/>
  <c r="I20" i="15"/>
  <c r="I19" i="15"/>
  <c r="I18" i="15"/>
  <c r="I17" i="15"/>
  <c r="L16" i="15"/>
  <c r="J16" i="15"/>
  <c r="I15" i="15"/>
  <c r="I14" i="15"/>
  <c r="I13" i="15"/>
  <c r="I12" i="15"/>
  <c r="I11" i="15"/>
  <c r="I10" i="15"/>
  <c r="I9" i="15"/>
  <c r="I8" i="15"/>
  <c r="I7" i="15"/>
  <c r="L6" i="15"/>
  <c r="J6" i="15"/>
  <c r="K76" i="13"/>
  <c r="I76" i="13"/>
  <c r="H76" i="13"/>
  <c r="I75" i="13"/>
  <c r="H75" i="13"/>
  <c r="I73" i="13"/>
  <c r="H73" i="13"/>
  <c r="K71" i="13"/>
  <c r="I71" i="13"/>
  <c r="H71" i="13"/>
  <c r="I70" i="13"/>
  <c r="H70" i="13"/>
  <c r="K68" i="13"/>
  <c r="I68" i="13"/>
  <c r="H68" i="13"/>
  <c r="I67" i="13"/>
  <c r="H67" i="13"/>
  <c r="K65" i="13"/>
  <c r="I65" i="13"/>
  <c r="L65" i="13" s="1"/>
  <c r="M65" i="13" s="1"/>
  <c r="H65" i="13"/>
  <c r="I64" i="13"/>
  <c r="H64" i="13"/>
  <c r="K62" i="13"/>
  <c r="I62" i="13"/>
  <c r="H62" i="13"/>
  <c r="I61" i="13"/>
  <c r="H61" i="13"/>
  <c r="K59" i="13"/>
  <c r="I59" i="13"/>
  <c r="H59" i="13"/>
  <c r="I58" i="13"/>
  <c r="H58" i="13"/>
  <c r="K56" i="13"/>
  <c r="I56" i="13"/>
  <c r="H56" i="13"/>
  <c r="I55" i="13"/>
  <c r="H55" i="13"/>
  <c r="I54" i="13"/>
  <c r="H54" i="13"/>
  <c r="K52" i="13"/>
  <c r="I52" i="13"/>
  <c r="H52" i="13"/>
  <c r="I51" i="13"/>
  <c r="H51" i="13"/>
  <c r="I50" i="13"/>
  <c r="H50" i="13"/>
  <c r="K48" i="13"/>
  <c r="I48" i="13"/>
  <c r="H48" i="13"/>
  <c r="I47" i="13"/>
  <c r="H47" i="13"/>
  <c r="K45" i="13"/>
  <c r="I45" i="13"/>
  <c r="H45" i="13"/>
  <c r="K44" i="13"/>
  <c r="I44" i="13"/>
  <c r="H44" i="13"/>
  <c r="K42" i="13"/>
  <c r="I42" i="13"/>
  <c r="H42" i="13"/>
  <c r="K40" i="13"/>
  <c r="I40" i="13"/>
  <c r="L40" i="13" s="1"/>
  <c r="H40" i="13"/>
  <c r="I39" i="13"/>
  <c r="H39" i="13"/>
  <c r="K37" i="13"/>
  <c r="I37" i="13"/>
  <c r="H37" i="13"/>
  <c r="I36" i="13"/>
  <c r="H36" i="13"/>
  <c r="K34" i="13"/>
  <c r="I34" i="13"/>
  <c r="H34" i="13"/>
  <c r="I33" i="13"/>
  <c r="H33" i="13"/>
  <c r="K31" i="13"/>
  <c r="I31" i="13"/>
  <c r="H31" i="13"/>
  <c r="I30" i="13"/>
  <c r="H30" i="13"/>
  <c r="K28" i="13"/>
  <c r="I28" i="13"/>
  <c r="H28" i="13"/>
  <c r="I27" i="13"/>
  <c r="H27" i="13"/>
  <c r="L25" i="13"/>
  <c r="K25" i="13"/>
  <c r="I25" i="13"/>
  <c r="H25" i="13"/>
  <c r="I24" i="13"/>
  <c r="H24" i="13"/>
  <c r="K22" i="13"/>
  <c r="I22" i="13"/>
  <c r="H22" i="13"/>
  <c r="I21" i="13"/>
  <c r="H21" i="13"/>
  <c r="K19" i="13"/>
  <c r="I19" i="13"/>
  <c r="H19" i="13"/>
  <c r="I18" i="13"/>
  <c r="H18" i="13"/>
  <c r="K16" i="13"/>
  <c r="I16" i="13"/>
  <c r="H16" i="13"/>
  <c r="R15" i="13"/>
  <c r="I15" i="13"/>
  <c r="H15" i="13"/>
  <c r="R14" i="13"/>
  <c r="K55" i="13" s="1"/>
  <c r="R13" i="13"/>
  <c r="K70" i="13" s="1"/>
  <c r="K13" i="13"/>
  <c r="L13" i="13" s="1"/>
  <c r="M13" i="13" s="1"/>
  <c r="I13" i="13"/>
  <c r="H13" i="13"/>
  <c r="R12" i="13"/>
  <c r="K50" i="13" s="1"/>
  <c r="I12" i="13"/>
  <c r="H12" i="13"/>
  <c r="K10" i="13"/>
  <c r="I10" i="13"/>
  <c r="H10" i="13"/>
  <c r="R9" i="13"/>
  <c r="L107" i="16" s="1"/>
  <c r="I9" i="13"/>
  <c r="H9" i="13"/>
  <c r="I8" i="13"/>
  <c r="H8" i="13"/>
  <c r="R7" i="13"/>
  <c r="K9" i="13" s="1"/>
  <c r="L9" i="13" s="1"/>
  <c r="R6" i="13"/>
  <c r="M6" i="13"/>
  <c r="U106" i="12"/>
  <c r="I105" i="12"/>
  <c r="H105" i="12"/>
  <c r="G105" i="12"/>
  <c r="F105" i="12"/>
  <c r="E105" i="12"/>
  <c r="C105" i="12"/>
  <c r="I104" i="12"/>
  <c r="H104" i="12"/>
  <c r="G104" i="12"/>
  <c r="F104" i="12"/>
  <c r="E104" i="12"/>
  <c r="C104" i="12"/>
  <c r="I103" i="12"/>
  <c r="H103" i="12"/>
  <c r="G103" i="12"/>
  <c r="F103" i="12"/>
  <c r="E103" i="12"/>
  <c r="C103" i="12"/>
  <c r="I102" i="12"/>
  <c r="H102" i="12"/>
  <c r="G102" i="12"/>
  <c r="F102" i="12"/>
  <c r="E102" i="12"/>
  <c r="C102" i="12"/>
  <c r="I101" i="12"/>
  <c r="H101" i="12"/>
  <c r="G101" i="12"/>
  <c r="F101" i="12"/>
  <c r="E101" i="12"/>
  <c r="C101" i="12"/>
  <c r="I100" i="12"/>
  <c r="G100" i="12"/>
  <c r="F100" i="12"/>
  <c r="E100" i="12"/>
  <c r="C100" i="12"/>
  <c r="I99" i="12"/>
  <c r="G99" i="12"/>
  <c r="F99" i="12"/>
  <c r="E99" i="12"/>
  <c r="C99" i="12"/>
  <c r="I98" i="12"/>
  <c r="G98" i="12"/>
  <c r="F98" i="12"/>
  <c r="E98" i="12"/>
  <c r="C98" i="12"/>
  <c r="I97" i="12"/>
  <c r="H97" i="12"/>
  <c r="G97" i="12"/>
  <c r="F97" i="12"/>
  <c r="E97" i="12"/>
  <c r="C97" i="12"/>
  <c r="I96" i="12"/>
  <c r="G96" i="12"/>
  <c r="F96" i="12"/>
  <c r="E96" i="12"/>
  <c r="C96" i="12"/>
  <c r="I95" i="12"/>
  <c r="G95" i="12"/>
  <c r="F95" i="12"/>
  <c r="E95" i="12"/>
  <c r="C95" i="12"/>
  <c r="I94" i="12"/>
  <c r="H94" i="12"/>
  <c r="G94" i="12"/>
  <c r="E94" i="12"/>
  <c r="C94" i="12"/>
  <c r="I92" i="12"/>
  <c r="H92" i="12"/>
  <c r="G92" i="12"/>
  <c r="F92" i="12"/>
  <c r="E92" i="12"/>
  <c r="C92" i="12"/>
  <c r="I91" i="12"/>
  <c r="H91" i="12"/>
  <c r="G91" i="12"/>
  <c r="F91" i="12"/>
  <c r="E91" i="12"/>
  <c r="C91" i="12"/>
  <c r="I90" i="12"/>
  <c r="H90" i="12"/>
  <c r="G90" i="12"/>
  <c r="F90" i="12"/>
  <c r="E90" i="12"/>
  <c r="C90" i="12"/>
  <c r="M89" i="12"/>
  <c r="K89" i="12"/>
  <c r="E89" i="12"/>
  <c r="D89" i="12"/>
  <c r="I88" i="12"/>
  <c r="G88" i="12"/>
  <c r="F88" i="12"/>
  <c r="E88" i="12"/>
  <c r="C88" i="12"/>
  <c r="M87" i="12"/>
  <c r="K87" i="12"/>
  <c r="E87" i="12"/>
  <c r="D87" i="12"/>
  <c r="I86" i="12"/>
  <c r="H86" i="12"/>
  <c r="G86" i="12"/>
  <c r="F86" i="12"/>
  <c r="E86" i="12"/>
  <c r="C86" i="12"/>
  <c r="I85" i="12"/>
  <c r="H85" i="12"/>
  <c r="G85" i="12"/>
  <c r="F85" i="12"/>
  <c r="E85" i="12"/>
  <c r="C85" i="12"/>
  <c r="I84" i="12"/>
  <c r="H84" i="12"/>
  <c r="G84" i="12"/>
  <c r="F84" i="12"/>
  <c r="E84" i="12"/>
  <c r="C84" i="12"/>
  <c r="M83" i="12"/>
  <c r="R83" i="12" s="1"/>
  <c r="K83" i="12"/>
  <c r="E83" i="12"/>
  <c r="D83" i="12"/>
  <c r="I82" i="12"/>
  <c r="H82" i="12"/>
  <c r="G82" i="12"/>
  <c r="F82" i="12"/>
  <c r="E82" i="12"/>
  <c r="C82" i="12"/>
  <c r="I81" i="12"/>
  <c r="G81" i="12"/>
  <c r="F81" i="12"/>
  <c r="E81" i="12"/>
  <c r="C81" i="12"/>
  <c r="M80" i="12"/>
  <c r="R80" i="12" s="1"/>
  <c r="K80" i="12"/>
  <c r="E80" i="12"/>
  <c r="D80" i="12"/>
  <c r="I79" i="12"/>
  <c r="H79" i="12"/>
  <c r="G79" i="12"/>
  <c r="F79" i="12"/>
  <c r="E79" i="12"/>
  <c r="C79" i="12"/>
  <c r="I78" i="12"/>
  <c r="H78" i="12"/>
  <c r="G78" i="12"/>
  <c r="F78" i="12"/>
  <c r="E78" i="12"/>
  <c r="C78" i="12"/>
  <c r="M77" i="12"/>
  <c r="K77" i="12"/>
  <c r="E77" i="12"/>
  <c r="D77" i="12"/>
  <c r="I76" i="12"/>
  <c r="H76" i="12"/>
  <c r="G76" i="12"/>
  <c r="F76" i="12"/>
  <c r="E76" i="12"/>
  <c r="C76" i="12"/>
  <c r="I75" i="12"/>
  <c r="H75" i="12"/>
  <c r="G75" i="12"/>
  <c r="F75" i="12"/>
  <c r="E75" i="12"/>
  <c r="C75" i="12"/>
  <c r="I74" i="12"/>
  <c r="H74" i="12"/>
  <c r="G74" i="12"/>
  <c r="F74" i="12"/>
  <c r="E74" i="12"/>
  <c r="C74" i="12"/>
  <c r="I73" i="12"/>
  <c r="H73" i="12"/>
  <c r="G73" i="12"/>
  <c r="F73" i="12"/>
  <c r="E73" i="12"/>
  <c r="C73" i="12"/>
  <c r="M72" i="12"/>
  <c r="R72" i="12" s="1"/>
  <c r="K72" i="12"/>
  <c r="E72" i="12"/>
  <c r="D72" i="12"/>
  <c r="I71" i="12"/>
  <c r="H71" i="12"/>
  <c r="G71" i="12"/>
  <c r="F71" i="12"/>
  <c r="E71" i="12"/>
  <c r="C71" i="12"/>
  <c r="I70" i="12"/>
  <c r="H70" i="12"/>
  <c r="G70" i="12"/>
  <c r="F70" i="12"/>
  <c r="E70" i="12"/>
  <c r="C70" i="12"/>
  <c r="I69" i="12"/>
  <c r="H69" i="12"/>
  <c r="G69" i="12"/>
  <c r="F69" i="12"/>
  <c r="E69" i="12"/>
  <c r="C69" i="12"/>
  <c r="I68" i="12"/>
  <c r="H68" i="12"/>
  <c r="G68" i="12"/>
  <c r="F68" i="12"/>
  <c r="E68" i="12"/>
  <c r="C68" i="12"/>
  <c r="I67" i="12"/>
  <c r="H67" i="12"/>
  <c r="G67" i="12"/>
  <c r="F67" i="12"/>
  <c r="E67" i="12"/>
  <c r="C67" i="12"/>
  <c r="M66" i="12"/>
  <c r="R66" i="12" s="1"/>
  <c r="K66" i="12"/>
  <c r="E66" i="12"/>
  <c r="D66" i="12"/>
  <c r="I65" i="12"/>
  <c r="H65" i="12"/>
  <c r="G65" i="12"/>
  <c r="F65" i="12"/>
  <c r="E65" i="12"/>
  <c r="C65" i="12"/>
  <c r="I64" i="12"/>
  <c r="H64" i="12"/>
  <c r="G64" i="12"/>
  <c r="F64" i="12"/>
  <c r="E64" i="12"/>
  <c r="C64" i="12"/>
  <c r="I63" i="12"/>
  <c r="H63" i="12"/>
  <c r="G63" i="12"/>
  <c r="F63" i="12"/>
  <c r="E63" i="12"/>
  <c r="C63" i="12"/>
  <c r="M62" i="12"/>
  <c r="R62" i="12" s="1"/>
  <c r="K62" i="12"/>
  <c r="E62" i="12"/>
  <c r="D62" i="12"/>
  <c r="I61" i="12"/>
  <c r="H61" i="12"/>
  <c r="G61" i="12"/>
  <c r="F61" i="12"/>
  <c r="E61" i="12"/>
  <c r="C61" i="12"/>
  <c r="I60" i="12"/>
  <c r="H60" i="12"/>
  <c r="G60" i="12"/>
  <c r="F60" i="12"/>
  <c r="E60" i="12"/>
  <c r="C60" i="12"/>
  <c r="M59" i="12"/>
  <c r="K59" i="12"/>
  <c r="E59" i="12"/>
  <c r="D59" i="12"/>
  <c r="I58" i="12"/>
  <c r="H58" i="12"/>
  <c r="G58" i="12"/>
  <c r="F58" i="12"/>
  <c r="E58" i="12"/>
  <c r="C58" i="12"/>
  <c r="I57" i="12"/>
  <c r="H57" i="12"/>
  <c r="G57" i="12"/>
  <c r="F57" i="12"/>
  <c r="E57" i="12"/>
  <c r="C57" i="12"/>
  <c r="I56" i="12"/>
  <c r="H56" i="12"/>
  <c r="G56" i="12"/>
  <c r="F56" i="12"/>
  <c r="E56" i="12"/>
  <c r="C56" i="12"/>
  <c r="I55" i="12"/>
  <c r="G55" i="12"/>
  <c r="F55" i="12"/>
  <c r="E55" i="12"/>
  <c r="C55" i="12"/>
  <c r="I54" i="12"/>
  <c r="H54" i="12"/>
  <c r="G54" i="12"/>
  <c r="F54" i="12"/>
  <c r="E54" i="12"/>
  <c r="C54" i="12"/>
  <c r="M53" i="12"/>
  <c r="R53" i="12" s="1"/>
  <c r="K53" i="12"/>
  <c r="E53" i="12"/>
  <c r="D53" i="12"/>
  <c r="I52" i="12"/>
  <c r="H52" i="12"/>
  <c r="G52" i="12"/>
  <c r="F52" i="12"/>
  <c r="E52" i="12"/>
  <c r="C52" i="12"/>
  <c r="I51" i="12"/>
  <c r="H51" i="12"/>
  <c r="G51" i="12"/>
  <c r="F51" i="12"/>
  <c r="E51" i="12"/>
  <c r="C51" i="12"/>
  <c r="M50" i="12"/>
  <c r="R50" i="12" s="1"/>
  <c r="K50" i="12"/>
  <c r="E50" i="12"/>
  <c r="D50" i="12"/>
  <c r="I49" i="12"/>
  <c r="H49" i="12"/>
  <c r="G49" i="12"/>
  <c r="F49" i="12"/>
  <c r="E49" i="12"/>
  <c r="C49" i="12"/>
  <c r="M48" i="12"/>
  <c r="R48" i="12" s="1"/>
  <c r="K48" i="12"/>
  <c r="E48" i="12"/>
  <c r="D48" i="12"/>
  <c r="I47" i="12"/>
  <c r="H47" i="12"/>
  <c r="G47" i="12"/>
  <c r="F47" i="12"/>
  <c r="E47" i="12"/>
  <c r="C47" i="12"/>
  <c r="I46" i="12"/>
  <c r="H46" i="12"/>
  <c r="G46" i="12"/>
  <c r="F46" i="12"/>
  <c r="E46" i="12"/>
  <c r="C46" i="12"/>
  <c r="I45" i="12"/>
  <c r="H45" i="12"/>
  <c r="G45" i="12"/>
  <c r="F45" i="12"/>
  <c r="E45" i="12"/>
  <c r="C45" i="12"/>
  <c r="I44" i="12"/>
  <c r="H44" i="12"/>
  <c r="G44" i="12"/>
  <c r="F44" i="12"/>
  <c r="E44" i="12"/>
  <c r="C44" i="12"/>
  <c r="I43" i="12"/>
  <c r="H43" i="12"/>
  <c r="G43" i="12"/>
  <c r="F43" i="12"/>
  <c r="E43" i="12"/>
  <c r="C43" i="12"/>
  <c r="I42" i="12"/>
  <c r="H42" i="12"/>
  <c r="G42" i="12"/>
  <c r="E42" i="12"/>
  <c r="C42" i="12"/>
  <c r="M41" i="12"/>
  <c r="K41" i="12"/>
  <c r="E41" i="12"/>
  <c r="D41" i="12"/>
  <c r="I40" i="12"/>
  <c r="H40" i="12"/>
  <c r="G40" i="12"/>
  <c r="F40" i="12"/>
  <c r="E40" i="12"/>
  <c r="C40" i="12"/>
  <c r="I39" i="12"/>
  <c r="H39" i="12"/>
  <c r="G39" i="12"/>
  <c r="F39" i="12"/>
  <c r="E39" i="12"/>
  <c r="C39" i="12"/>
  <c r="I38" i="12"/>
  <c r="H38" i="12"/>
  <c r="G38" i="12"/>
  <c r="F38" i="12"/>
  <c r="E38" i="12"/>
  <c r="C38" i="12"/>
  <c r="I37" i="12"/>
  <c r="H37" i="12"/>
  <c r="G37" i="12"/>
  <c r="F37" i="12"/>
  <c r="E37" i="12"/>
  <c r="C37" i="12"/>
  <c r="M36" i="12"/>
  <c r="R36" i="12" s="1"/>
  <c r="K36" i="12"/>
  <c r="E36" i="12"/>
  <c r="D36" i="12"/>
  <c r="I35" i="12"/>
  <c r="H35" i="12"/>
  <c r="G35" i="12"/>
  <c r="F35" i="12"/>
  <c r="E35" i="12"/>
  <c r="C35" i="12"/>
  <c r="M34" i="12"/>
  <c r="R34" i="12" s="1"/>
  <c r="K34" i="12"/>
  <c r="E34" i="12"/>
  <c r="D34" i="12"/>
  <c r="I33" i="12"/>
  <c r="H33" i="12"/>
  <c r="G33" i="12"/>
  <c r="F33" i="12"/>
  <c r="E33" i="12"/>
  <c r="C33" i="12"/>
  <c r="I32" i="12"/>
  <c r="H32" i="12"/>
  <c r="G32" i="12"/>
  <c r="F32" i="12"/>
  <c r="E32" i="12"/>
  <c r="C32" i="12"/>
  <c r="I31" i="12"/>
  <c r="H31" i="12"/>
  <c r="G31" i="12"/>
  <c r="F31" i="12"/>
  <c r="E31" i="12"/>
  <c r="C31" i="12"/>
  <c r="I30" i="12"/>
  <c r="H30" i="12"/>
  <c r="G30" i="12"/>
  <c r="F30" i="12"/>
  <c r="E30" i="12"/>
  <c r="C30" i="12"/>
  <c r="I29" i="12"/>
  <c r="H29" i="12"/>
  <c r="G29" i="12"/>
  <c r="F29" i="12"/>
  <c r="E29" i="12"/>
  <c r="C29" i="12"/>
  <c r="M28" i="12"/>
  <c r="R28" i="12" s="1"/>
  <c r="K28" i="12"/>
  <c r="E28" i="12"/>
  <c r="D28" i="12"/>
  <c r="I27" i="12"/>
  <c r="H27" i="12"/>
  <c r="G27" i="12"/>
  <c r="F27" i="12"/>
  <c r="E27" i="12"/>
  <c r="C27" i="12"/>
  <c r="I26" i="12"/>
  <c r="H26" i="12"/>
  <c r="G26" i="12"/>
  <c r="F26" i="12"/>
  <c r="E26" i="12"/>
  <c r="C26" i="12"/>
  <c r="I25" i="12"/>
  <c r="H25" i="12"/>
  <c r="G25" i="12"/>
  <c r="F25" i="12"/>
  <c r="E25" i="12"/>
  <c r="C25" i="12"/>
  <c r="M24" i="12"/>
  <c r="K24" i="12"/>
  <c r="E24" i="12"/>
  <c r="D24" i="12"/>
  <c r="I23" i="12"/>
  <c r="H23" i="12"/>
  <c r="G23" i="12"/>
  <c r="F23" i="12"/>
  <c r="E23" i="12"/>
  <c r="C23" i="12"/>
  <c r="I22" i="12"/>
  <c r="H22" i="12"/>
  <c r="G22" i="12"/>
  <c r="F22" i="12"/>
  <c r="E22" i="12"/>
  <c r="C22" i="12"/>
  <c r="M21" i="12"/>
  <c r="R21" i="12" s="1"/>
  <c r="K21" i="12"/>
  <c r="E21" i="12"/>
  <c r="D21" i="12"/>
  <c r="I20" i="12"/>
  <c r="H20" i="12"/>
  <c r="G20" i="12"/>
  <c r="F20" i="12"/>
  <c r="E20" i="12"/>
  <c r="C20" i="12"/>
  <c r="I19" i="12"/>
  <c r="H19" i="12"/>
  <c r="G19" i="12"/>
  <c r="F19" i="12"/>
  <c r="E19" i="12"/>
  <c r="C19" i="12"/>
  <c r="M18" i="12"/>
  <c r="R18" i="12" s="1"/>
  <c r="K18" i="12"/>
  <c r="E18" i="12"/>
  <c r="D18" i="12"/>
  <c r="I17" i="12"/>
  <c r="H17" i="12"/>
  <c r="G17" i="12"/>
  <c r="F17" i="12"/>
  <c r="E17" i="12"/>
  <c r="C17" i="12"/>
  <c r="M16" i="12"/>
  <c r="R16" i="12" s="1"/>
  <c r="K16" i="12"/>
  <c r="E16" i="12"/>
  <c r="D16" i="12"/>
  <c r="I15" i="12"/>
  <c r="H15" i="12"/>
  <c r="G15" i="12"/>
  <c r="F15" i="12"/>
  <c r="E15" i="12"/>
  <c r="C15" i="12"/>
  <c r="I14" i="12"/>
  <c r="H14" i="12"/>
  <c r="G14" i="12"/>
  <c r="F14" i="12"/>
  <c r="E14" i="12"/>
  <c r="C14" i="12"/>
  <c r="M13" i="12"/>
  <c r="R13" i="12" s="1"/>
  <c r="K13" i="12"/>
  <c r="E13" i="12"/>
  <c r="D13" i="12"/>
  <c r="I12" i="12"/>
  <c r="G12" i="12"/>
  <c r="F12" i="12"/>
  <c r="E12" i="12"/>
  <c r="C12" i="12"/>
  <c r="M11" i="12"/>
  <c r="R11" i="12" s="1"/>
  <c r="K11" i="12"/>
  <c r="E11" i="12"/>
  <c r="D11" i="12"/>
  <c r="I10" i="12"/>
  <c r="H10" i="12"/>
  <c r="G10" i="12"/>
  <c r="F10" i="12"/>
  <c r="E10" i="12"/>
  <c r="C10" i="12"/>
  <c r="I9" i="12"/>
  <c r="H9" i="12"/>
  <c r="G9" i="12"/>
  <c r="F9" i="12"/>
  <c r="E9" i="12"/>
  <c r="C9" i="12"/>
  <c r="M8" i="12"/>
  <c r="R8" i="12" s="1"/>
  <c r="K8" i="12"/>
  <c r="E8" i="12"/>
  <c r="D8" i="12"/>
  <c r="I7" i="12"/>
  <c r="H7" i="12"/>
  <c r="G7" i="12"/>
  <c r="F7" i="12"/>
  <c r="E7" i="12"/>
  <c r="C7" i="12"/>
  <c r="M6" i="12"/>
  <c r="R6" i="12" s="1"/>
  <c r="K6" i="12"/>
  <c r="E6" i="12"/>
  <c r="D6" i="12"/>
  <c r="H38" i="19"/>
  <c r="H724" i="19"/>
  <c r="H13" i="19"/>
  <c r="V48" i="12"/>
  <c r="H87" i="19"/>
  <c r="V6" i="12"/>
  <c r="K13" i="10"/>
  <c r="J13" i="10"/>
  <c r="I13" i="10"/>
  <c r="H13" i="10"/>
  <c r="G13" i="10"/>
  <c r="M13" i="10" s="1"/>
  <c r="K12" i="10"/>
  <c r="J12" i="10"/>
  <c r="I12" i="10"/>
  <c r="H12" i="10"/>
  <c r="G12" i="10"/>
  <c r="K11" i="10"/>
  <c r="J11" i="10"/>
  <c r="I11" i="10"/>
  <c r="H11" i="10"/>
  <c r="G11" i="10"/>
  <c r="O11" i="10" s="1"/>
  <c r="N10" i="10"/>
  <c r="K10" i="10"/>
  <c r="J10" i="10"/>
  <c r="I10" i="10"/>
  <c r="H10" i="10"/>
  <c r="G10" i="10"/>
  <c r="L10" i="10" s="1"/>
  <c r="O9" i="10"/>
  <c r="N9" i="10"/>
  <c r="K9" i="10"/>
  <c r="J9" i="10"/>
  <c r="I9" i="10"/>
  <c r="H9" i="10"/>
  <c r="G9" i="10"/>
  <c r="M9" i="10" s="1"/>
  <c r="I51" i="9"/>
  <c r="H51" i="9"/>
  <c r="G51" i="9"/>
  <c r="F51" i="9"/>
  <c r="E51" i="9"/>
  <c r="C51" i="9"/>
  <c r="A51" i="9"/>
  <c r="I50" i="9"/>
  <c r="H50" i="9"/>
  <c r="G50" i="9"/>
  <c r="F50" i="9"/>
  <c r="E50" i="9"/>
  <c r="C50" i="9"/>
  <c r="A50" i="9"/>
  <c r="I49" i="9"/>
  <c r="H49" i="9"/>
  <c r="G49" i="9"/>
  <c r="F49" i="9"/>
  <c r="E49" i="9"/>
  <c r="C49" i="9"/>
  <c r="A49" i="9"/>
  <c r="I48" i="9"/>
  <c r="H48" i="9"/>
  <c r="G48" i="9"/>
  <c r="F48" i="9"/>
  <c r="E48" i="9"/>
  <c r="C48" i="9"/>
  <c r="A48" i="9"/>
  <c r="I47" i="9"/>
  <c r="H47" i="9"/>
  <c r="G47" i="9"/>
  <c r="F47" i="9"/>
  <c r="E47" i="9"/>
  <c r="C47" i="9"/>
  <c r="A47" i="9"/>
  <c r="I46" i="9"/>
  <c r="H46" i="9"/>
  <c r="G46" i="9"/>
  <c r="F46" i="9"/>
  <c r="E46" i="9"/>
  <c r="C46" i="9"/>
  <c r="A46" i="9"/>
  <c r="I45" i="9"/>
  <c r="H45" i="9"/>
  <c r="G45" i="9"/>
  <c r="F45" i="9"/>
  <c r="E45" i="9"/>
  <c r="C45" i="9"/>
  <c r="A45" i="9"/>
  <c r="I44" i="9"/>
  <c r="H44" i="9"/>
  <c r="G44" i="9"/>
  <c r="E44" i="9"/>
  <c r="C44" i="9"/>
  <c r="A44" i="9"/>
  <c r="M43" i="9"/>
  <c r="R43" i="9" s="1"/>
  <c r="K43" i="9"/>
  <c r="E43" i="9"/>
  <c r="D43" i="9"/>
  <c r="I42" i="9"/>
  <c r="H42" i="9"/>
  <c r="G42" i="9"/>
  <c r="F42" i="9"/>
  <c r="E42" i="9"/>
  <c r="C42" i="9"/>
  <c r="A42" i="9"/>
  <c r="I41" i="9"/>
  <c r="H41" i="9"/>
  <c r="G41" i="9"/>
  <c r="F41" i="9"/>
  <c r="E41" i="9"/>
  <c r="C41" i="9"/>
  <c r="A41" i="9"/>
  <c r="I40" i="9"/>
  <c r="H40" i="9"/>
  <c r="G40" i="9"/>
  <c r="F40" i="9"/>
  <c r="E40" i="9"/>
  <c r="C40" i="9"/>
  <c r="A40" i="9"/>
  <c r="I39" i="9"/>
  <c r="H39" i="9"/>
  <c r="G39" i="9"/>
  <c r="F39" i="9"/>
  <c r="E39" i="9"/>
  <c r="C39" i="9"/>
  <c r="A39" i="9"/>
  <c r="I38" i="9"/>
  <c r="H38" i="9"/>
  <c r="G38" i="9"/>
  <c r="F38" i="9"/>
  <c r="E38" i="9"/>
  <c r="C38" i="9"/>
  <c r="A38" i="9"/>
  <c r="I37" i="9"/>
  <c r="H37" i="9"/>
  <c r="G37" i="9"/>
  <c r="F37" i="9"/>
  <c r="E37" i="9"/>
  <c r="C37" i="9"/>
  <c r="A37" i="9"/>
  <c r="I36" i="9"/>
  <c r="H36" i="9"/>
  <c r="G36" i="9"/>
  <c r="F36" i="9"/>
  <c r="E36" i="9"/>
  <c r="C36" i="9"/>
  <c r="A36" i="9"/>
  <c r="I35" i="9"/>
  <c r="H35" i="9"/>
  <c r="G35" i="9"/>
  <c r="F35" i="9"/>
  <c r="E35" i="9"/>
  <c r="C35" i="9"/>
  <c r="A35" i="9"/>
  <c r="I34" i="9"/>
  <c r="H34" i="9"/>
  <c r="G34" i="9"/>
  <c r="F34" i="9"/>
  <c r="E34" i="9"/>
  <c r="C34" i="9"/>
  <c r="A34" i="9"/>
  <c r="I33" i="9"/>
  <c r="H33" i="9"/>
  <c r="G33" i="9"/>
  <c r="F33" i="9"/>
  <c r="E33" i="9"/>
  <c r="C33" i="9"/>
  <c r="A33" i="9"/>
  <c r="I32" i="9"/>
  <c r="H32" i="9"/>
  <c r="G32" i="9"/>
  <c r="F32" i="9"/>
  <c r="E32" i="9"/>
  <c r="C32" i="9"/>
  <c r="A32" i="9"/>
  <c r="I31" i="9"/>
  <c r="G31" i="9"/>
  <c r="F31" i="9"/>
  <c r="E31" i="9"/>
  <c r="C31" i="9"/>
  <c r="A31" i="9"/>
  <c r="I30" i="9"/>
  <c r="H30" i="9"/>
  <c r="G30" i="9"/>
  <c r="F30" i="9"/>
  <c r="E30" i="9"/>
  <c r="C30" i="9"/>
  <c r="A30" i="9"/>
  <c r="I29" i="9"/>
  <c r="H29" i="9"/>
  <c r="G29" i="9"/>
  <c r="E29" i="9"/>
  <c r="C29" i="9"/>
  <c r="A29" i="9"/>
  <c r="I28" i="9"/>
  <c r="H28" i="9"/>
  <c r="G28" i="9"/>
  <c r="F28" i="9"/>
  <c r="E28" i="9"/>
  <c r="C28" i="9"/>
  <c r="A28" i="9"/>
  <c r="I27" i="9"/>
  <c r="H27" i="9"/>
  <c r="G27" i="9"/>
  <c r="F27" i="9"/>
  <c r="E27" i="9"/>
  <c r="C27" i="9"/>
  <c r="A27" i="9"/>
  <c r="I26" i="9"/>
  <c r="G26" i="9"/>
  <c r="F26" i="9"/>
  <c r="E26" i="9"/>
  <c r="C26" i="9"/>
  <c r="A26" i="9"/>
  <c r="I25" i="9"/>
  <c r="H25" i="9"/>
  <c r="G25" i="9"/>
  <c r="F25" i="9"/>
  <c r="E25" i="9"/>
  <c r="C25" i="9"/>
  <c r="A25" i="9"/>
  <c r="M24" i="9"/>
  <c r="K24" i="9"/>
  <c r="E24" i="9"/>
  <c r="D24" i="9"/>
  <c r="I23" i="9"/>
  <c r="H23" i="9"/>
  <c r="G23" i="9"/>
  <c r="F23" i="9"/>
  <c r="E23" i="9"/>
  <c r="C23" i="9"/>
  <c r="A23" i="9"/>
  <c r="M22" i="9"/>
  <c r="K22" i="9"/>
  <c r="E22" i="9"/>
  <c r="D22" i="9"/>
  <c r="I21" i="9"/>
  <c r="H21" i="9"/>
  <c r="G21" i="9"/>
  <c r="F21" i="9"/>
  <c r="E21" i="9"/>
  <c r="C21" i="9"/>
  <c r="A21" i="9"/>
  <c r="M20" i="9"/>
  <c r="R20" i="9" s="1"/>
  <c r="K20" i="9"/>
  <c r="E20" i="9"/>
  <c r="D20" i="9"/>
  <c r="I19" i="9"/>
  <c r="H19" i="9"/>
  <c r="G19" i="9"/>
  <c r="F19" i="9"/>
  <c r="E19" i="9"/>
  <c r="C19" i="9"/>
  <c r="A19" i="9"/>
  <c r="I18" i="9"/>
  <c r="H18" i="9"/>
  <c r="G18" i="9"/>
  <c r="F18" i="9"/>
  <c r="E18" i="9"/>
  <c r="C18" i="9"/>
  <c r="A18" i="9"/>
  <c r="I17" i="9"/>
  <c r="H17" i="9"/>
  <c r="G17" i="9"/>
  <c r="F17" i="9"/>
  <c r="E17" i="9"/>
  <c r="C17" i="9"/>
  <c r="A17" i="9"/>
  <c r="I16" i="9"/>
  <c r="H16" i="9"/>
  <c r="G16" i="9"/>
  <c r="F16" i="9"/>
  <c r="E16" i="9"/>
  <c r="C16" i="9"/>
  <c r="A16" i="9"/>
  <c r="I15" i="9"/>
  <c r="H15" i="9"/>
  <c r="G15" i="9"/>
  <c r="F15" i="9"/>
  <c r="E15" i="9"/>
  <c r="C15" i="9"/>
  <c r="A15" i="9"/>
  <c r="I14" i="9"/>
  <c r="H14" i="9"/>
  <c r="G14" i="9"/>
  <c r="F14" i="9"/>
  <c r="E14" i="9"/>
  <c r="C14" i="9"/>
  <c r="A14" i="9"/>
  <c r="I13" i="9"/>
  <c r="H13" i="9"/>
  <c r="G13" i="9"/>
  <c r="F13" i="9"/>
  <c r="E13" i="9"/>
  <c r="C13" i="9"/>
  <c r="A13" i="9"/>
  <c r="I12" i="9"/>
  <c r="H12" i="9"/>
  <c r="G12" i="9"/>
  <c r="F12" i="9"/>
  <c r="E12" i="9"/>
  <c r="C12" i="9"/>
  <c r="A12" i="9"/>
  <c r="I11" i="9"/>
  <c r="H11" i="9"/>
  <c r="G11" i="9"/>
  <c r="F11" i="9"/>
  <c r="E11" i="9"/>
  <c r="C11" i="9"/>
  <c r="A11" i="9"/>
  <c r="I10" i="9"/>
  <c r="H10" i="9"/>
  <c r="G10" i="9"/>
  <c r="F10" i="9"/>
  <c r="E10" i="9"/>
  <c r="C10" i="9"/>
  <c r="A10" i="9"/>
  <c r="I9" i="9"/>
  <c r="H9" i="9"/>
  <c r="G9" i="9"/>
  <c r="F9" i="9"/>
  <c r="E9" i="9"/>
  <c r="C9" i="9"/>
  <c r="A9" i="9"/>
  <c r="I8" i="9"/>
  <c r="H8" i="9"/>
  <c r="G8" i="9"/>
  <c r="F8" i="9"/>
  <c r="E8" i="9"/>
  <c r="C8" i="9"/>
  <c r="A8" i="9"/>
  <c r="I7" i="9"/>
  <c r="H7" i="9"/>
  <c r="G7" i="9"/>
  <c r="F7" i="9"/>
  <c r="E7" i="9"/>
  <c r="C7" i="9"/>
  <c r="A7" i="9"/>
  <c r="M6" i="9"/>
  <c r="R6" i="9" s="1"/>
  <c r="K6" i="9"/>
  <c r="E6" i="9"/>
  <c r="D6" i="9"/>
  <c r="K9" i="8"/>
  <c r="P60" i="24" s="1"/>
  <c r="J9" i="8"/>
  <c r="K8" i="8"/>
  <c r="J8" i="8"/>
  <c r="K7" i="8"/>
  <c r="J7" i="8"/>
  <c r="K6" i="8"/>
  <c r="X20" i="9" s="1"/>
  <c r="Z20" i="9" s="1"/>
  <c r="J6" i="8"/>
  <c r="K5" i="8"/>
  <c r="P118" i="24" s="1"/>
  <c r="Q118" i="24" s="1"/>
  <c r="Q117" i="24" s="1"/>
  <c r="P22" i="1" s="1"/>
  <c r="T22" i="1" s="1"/>
  <c r="J5" i="8"/>
  <c r="Q12" i="7"/>
  <c r="N35" i="6"/>
  <c r="P35" i="6" s="1"/>
  <c r="O37" i="2" s="1"/>
  <c r="L35" i="6"/>
  <c r="M35" i="6" s="1"/>
  <c r="N34" i="6"/>
  <c r="P34" i="6" s="1"/>
  <c r="L34" i="6"/>
  <c r="M34" i="6" s="1"/>
  <c r="N33" i="6"/>
  <c r="P33" i="6" s="1"/>
  <c r="O32" i="2" s="1"/>
  <c r="L33" i="6"/>
  <c r="M33" i="6" s="1"/>
  <c r="P32" i="6"/>
  <c r="O31" i="2" s="1"/>
  <c r="N32" i="6"/>
  <c r="L32" i="6"/>
  <c r="M32" i="6" s="1"/>
  <c r="N31" i="6"/>
  <c r="P31" i="6" s="1"/>
  <c r="L31" i="6"/>
  <c r="M31" i="6" s="1"/>
  <c r="N30" i="6"/>
  <c r="P30" i="6" s="1"/>
  <c r="O29" i="2" s="1"/>
  <c r="L30" i="6"/>
  <c r="M30" i="6" s="1"/>
  <c r="N29" i="6"/>
  <c r="P29" i="6" s="1"/>
  <c r="O28" i="2" s="1"/>
  <c r="L29" i="6"/>
  <c r="M29" i="6" s="1"/>
  <c r="N28" i="6"/>
  <c r="P28" i="6" s="1"/>
  <c r="O27" i="2" s="1"/>
  <c r="L28" i="6"/>
  <c r="M28" i="6" s="1"/>
  <c r="N27" i="6"/>
  <c r="P27" i="6" s="1"/>
  <c r="O26" i="2" s="1"/>
  <c r="L27" i="6"/>
  <c r="M27" i="6" s="1"/>
  <c r="N26" i="6"/>
  <c r="P26" i="6" s="1"/>
  <c r="O25" i="2" s="1"/>
  <c r="L26" i="6"/>
  <c r="M26" i="6" s="1"/>
  <c r="N25" i="6"/>
  <c r="P25" i="6" s="1"/>
  <c r="O24" i="2" s="1"/>
  <c r="L25" i="6"/>
  <c r="M25" i="6" s="1"/>
  <c r="N24" i="6"/>
  <c r="P24" i="6" s="1"/>
  <c r="O23" i="2" s="1"/>
  <c r="L24" i="6"/>
  <c r="M24" i="6" s="1"/>
  <c r="N23" i="6"/>
  <c r="P23" i="6" s="1"/>
  <c r="L23" i="6"/>
  <c r="M23" i="6" s="1"/>
  <c r="N22" i="6"/>
  <c r="P22" i="6" s="1"/>
  <c r="O22" i="2" s="1"/>
  <c r="L22" i="6"/>
  <c r="M22" i="6" s="1"/>
  <c r="N21" i="6"/>
  <c r="P21" i="6" s="1"/>
  <c r="O21" i="2" s="1"/>
  <c r="L21" i="6"/>
  <c r="M21" i="6" s="1"/>
  <c r="N20" i="6"/>
  <c r="P20" i="6" s="1"/>
  <c r="L20" i="6"/>
  <c r="M20" i="6" s="1"/>
  <c r="N19" i="6"/>
  <c r="P19" i="6" s="1"/>
  <c r="O19" i="2" s="1"/>
  <c r="L19" i="6"/>
  <c r="M19" i="6" s="1"/>
  <c r="P18" i="6"/>
  <c r="O18" i="2" s="1"/>
  <c r="N18" i="6"/>
  <c r="L18" i="6"/>
  <c r="M18" i="6" s="1"/>
  <c r="N17" i="6"/>
  <c r="P17" i="6" s="1"/>
  <c r="O17" i="2" s="1"/>
  <c r="L17" i="6"/>
  <c r="M17" i="6" s="1"/>
  <c r="N16" i="6"/>
  <c r="P16" i="6" s="1"/>
  <c r="O16" i="2" s="1"/>
  <c r="M16" i="6"/>
  <c r="L16" i="6"/>
  <c r="N15" i="6"/>
  <c r="P15" i="6" s="1"/>
  <c r="O15" i="2" s="1"/>
  <c r="L15" i="6"/>
  <c r="M15" i="6" s="1"/>
  <c r="P14" i="6"/>
  <c r="O14" i="2" s="1"/>
  <c r="N14" i="6"/>
  <c r="L14" i="6"/>
  <c r="M14" i="6" s="1"/>
  <c r="N13" i="6"/>
  <c r="P13" i="6" s="1"/>
  <c r="O13" i="2" s="1"/>
  <c r="L13" i="6"/>
  <c r="M13" i="6" s="1"/>
  <c r="N12" i="6"/>
  <c r="P12" i="6" s="1"/>
  <c r="O12" i="2" s="1"/>
  <c r="M12" i="6"/>
  <c r="L12" i="6"/>
  <c r="N11" i="6"/>
  <c r="P11" i="6" s="1"/>
  <c r="O11" i="2" s="1"/>
  <c r="L11" i="6"/>
  <c r="M11" i="6" s="1"/>
  <c r="N10" i="6"/>
  <c r="P10" i="6" s="1"/>
  <c r="O10" i="2" s="1"/>
  <c r="L10" i="6"/>
  <c r="M10" i="6" s="1"/>
  <c r="N9" i="6"/>
  <c r="P9" i="6" s="1"/>
  <c r="O9" i="2" s="1"/>
  <c r="L9" i="6"/>
  <c r="M9" i="6" s="1"/>
  <c r="N8" i="6"/>
  <c r="P8" i="6" s="1"/>
  <c r="O8" i="2" s="1"/>
  <c r="M8" i="6"/>
  <c r="L8" i="6"/>
  <c r="N7" i="6"/>
  <c r="P7" i="6" s="1"/>
  <c r="O7" i="2" s="1"/>
  <c r="L7" i="6"/>
  <c r="M7" i="6" s="1"/>
  <c r="P6" i="6"/>
  <c r="N6" i="6"/>
  <c r="L6" i="6"/>
  <c r="M6" i="6" s="1"/>
  <c r="AJ73" i="5"/>
  <c r="AH73" i="5"/>
  <c r="AF73" i="5"/>
  <c r="AE73" i="5"/>
  <c r="AD73" i="5"/>
  <c r="AC73" i="5"/>
  <c r="AF72" i="5"/>
  <c r="AE72" i="5"/>
  <c r="AD72" i="5"/>
  <c r="AC72" i="5"/>
  <c r="AF71" i="5"/>
  <c r="AE71" i="5"/>
  <c r="AD71" i="5"/>
  <c r="AC71" i="5"/>
  <c r="AJ70" i="5"/>
  <c r="AH70" i="5"/>
  <c r="AF70" i="5"/>
  <c r="AE70" i="5"/>
  <c r="AD70" i="5"/>
  <c r="AC70" i="5"/>
  <c r="M70" i="5"/>
  <c r="M71" i="5" s="1"/>
  <c r="K70" i="5"/>
  <c r="AF69" i="5"/>
  <c r="AE69" i="5"/>
  <c r="AD69" i="5"/>
  <c r="AC69" i="5"/>
  <c r="AF68" i="5"/>
  <c r="AE68" i="5"/>
  <c r="AD68" i="5"/>
  <c r="AC68" i="5"/>
  <c r="AJ67" i="5"/>
  <c r="AH67" i="5"/>
  <c r="AF67" i="5"/>
  <c r="AE67" i="5"/>
  <c r="AD67" i="5"/>
  <c r="AC67" i="5"/>
  <c r="M67" i="5"/>
  <c r="M68" i="5" s="1"/>
  <c r="K67" i="5"/>
  <c r="AF66" i="5"/>
  <c r="AE66" i="5"/>
  <c r="AD66" i="5"/>
  <c r="AC66" i="5"/>
  <c r="AF65" i="5"/>
  <c r="AE65" i="5"/>
  <c r="AD65" i="5"/>
  <c r="AC65" i="5"/>
  <c r="AJ64" i="5"/>
  <c r="AH64" i="5"/>
  <c r="AF64" i="5"/>
  <c r="AE64" i="5"/>
  <c r="AD64" i="5"/>
  <c r="AC64" i="5"/>
  <c r="M64" i="5"/>
  <c r="M65" i="5" s="1"/>
  <c r="K64" i="5"/>
  <c r="AF63" i="5"/>
  <c r="AE63" i="5"/>
  <c r="AD63" i="5"/>
  <c r="AC63" i="5"/>
  <c r="AF62" i="5"/>
  <c r="AE62" i="5"/>
  <c r="AD62" i="5"/>
  <c r="AC62" i="5"/>
  <c r="AJ61" i="5"/>
  <c r="AH61" i="5"/>
  <c r="AF61" i="5"/>
  <c r="AE61" i="5"/>
  <c r="AD61" i="5"/>
  <c r="AC61" i="5"/>
  <c r="M61" i="5"/>
  <c r="M62" i="5" s="1"/>
  <c r="K61" i="5"/>
  <c r="AF60" i="5"/>
  <c r="AE60" i="5"/>
  <c r="AD60" i="5"/>
  <c r="AC60" i="5"/>
  <c r="AF59" i="5"/>
  <c r="AE59" i="5"/>
  <c r="AD59" i="5"/>
  <c r="AC59" i="5"/>
  <c r="AJ58" i="5"/>
  <c r="AH58" i="5"/>
  <c r="AF58" i="5"/>
  <c r="AE58" i="5"/>
  <c r="AD58" i="5"/>
  <c r="AC58" i="5"/>
  <c r="M58" i="5"/>
  <c r="M59" i="5" s="1"/>
  <c r="K58" i="5"/>
  <c r="AJ57" i="5"/>
  <c r="AH57" i="5"/>
  <c r="AF57" i="5"/>
  <c r="AE57" i="5"/>
  <c r="AD57" i="5"/>
  <c r="AC57" i="5"/>
  <c r="M57" i="5"/>
  <c r="K57" i="5"/>
  <c r="AJ56" i="5"/>
  <c r="AH56" i="5"/>
  <c r="AF56" i="5"/>
  <c r="AE56" i="5"/>
  <c r="AD56" i="5"/>
  <c r="AC56" i="5"/>
  <c r="N56" i="5"/>
  <c r="M56" i="5"/>
  <c r="K56" i="5"/>
  <c r="AJ55" i="5"/>
  <c r="AH55" i="5"/>
  <c r="AF55" i="5"/>
  <c r="AE55" i="5"/>
  <c r="AD55" i="5"/>
  <c r="AC55" i="5"/>
  <c r="M55" i="5"/>
  <c r="K55" i="5"/>
  <c r="AJ54" i="5"/>
  <c r="AH54" i="5"/>
  <c r="AF54" i="5"/>
  <c r="AE54" i="5"/>
  <c r="AD54" i="5"/>
  <c r="AC54" i="5"/>
  <c r="M54" i="5"/>
  <c r="K54" i="5"/>
  <c r="AJ53" i="5"/>
  <c r="AH53" i="5"/>
  <c r="AF53" i="5"/>
  <c r="AE53" i="5"/>
  <c r="AD53" i="5"/>
  <c r="AC53" i="5"/>
  <c r="M53" i="5"/>
  <c r="K53" i="5"/>
  <c r="AJ52" i="5"/>
  <c r="AH52" i="5"/>
  <c r="AF52" i="5"/>
  <c r="AE52" i="5"/>
  <c r="AD52" i="5"/>
  <c r="AC52" i="5"/>
  <c r="M52" i="5"/>
  <c r="N52" i="5" s="1"/>
  <c r="K52" i="5"/>
  <c r="AF51" i="5"/>
  <c r="AE51" i="5"/>
  <c r="AD51" i="5"/>
  <c r="AC51" i="5"/>
  <c r="AF50" i="5"/>
  <c r="AE50" i="5"/>
  <c r="AD50" i="5"/>
  <c r="AC50" i="5"/>
  <c r="AF49" i="5"/>
  <c r="AE49" i="5"/>
  <c r="AD49" i="5"/>
  <c r="AC49" i="5"/>
  <c r="AF48" i="5"/>
  <c r="AE48" i="5"/>
  <c r="AD48" i="5"/>
  <c r="AC48" i="5"/>
  <c r="AF47" i="5"/>
  <c r="AE47" i="5"/>
  <c r="AD47" i="5"/>
  <c r="AC47" i="5"/>
  <c r="AF46" i="5"/>
  <c r="AE46" i="5"/>
  <c r="AD46" i="5"/>
  <c r="AC46" i="5"/>
  <c r="M46" i="5"/>
  <c r="AF45" i="5"/>
  <c r="AE45" i="5"/>
  <c r="AD45" i="5"/>
  <c r="AC45" i="5"/>
  <c r="AJ44" i="5"/>
  <c r="AH44" i="5"/>
  <c r="AF44" i="5"/>
  <c r="AE44" i="5"/>
  <c r="AD44" i="5"/>
  <c r="AC44" i="5"/>
  <c r="M44" i="5"/>
  <c r="M45" i="5" s="1"/>
  <c r="N45" i="5" s="1"/>
  <c r="K44" i="5"/>
  <c r="AF43" i="5"/>
  <c r="AE43" i="5"/>
  <c r="AD43" i="5"/>
  <c r="AC43" i="5"/>
  <c r="AF42" i="5"/>
  <c r="AE42" i="5"/>
  <c r="AD42" i="5"/>
  <c r="AC42" i="5"/>
  <c r="AJ41" i="5"/>
  <c r="AH41" i="5"/>
  <c r="AF41" i="5"/>
  <c r="AE41" i="5"/>
  <c r="AD41" i="5"/>
  <c r="AC41" i="5"/>
  <c r="M41" i="5"/>
  <c r="M42" i="5" s="1"/>
  <c r="N42" i="5" s="1"/>
  <c r="K41" i="5"/>
  <c r="AJ40" i="5"/>
  <c r="AH40" i="5"/>
  <c r="AF40" i="5"/>
  <c r="AE40" i="5"/>
  <c r="AD40" i="5"/>
  <c r="AC40" i="5"/>
  <c r="M40" i="5"/>
  <c r="K40" i="5"/>
  <c r="AF39" i="5"/>
  <c r="AE39" i="5"/>
  <c r="AD39" i="5"/>
  <c r="AC39" i="5"/>
  <c r="AF38" i="5"/>
  <c r="AE38" i="5"/>
  <c r="AD38" i="5"/>
  <c r="AC38" i="5"/>
  <c r="AJ37" i="5"/>
  <c r="AH37" i="5"/>
  <c r="AF37" i="5"/>
  <c r="AE37" i="5"/>
  <c r="AD37" i="5"/>
  <c r="AC37" i="5"/>
  <c r="M37" i="5"/>
  <c r="M38" i="5" s="1"/>
  <c r="K37" i="5"/>
  <c r="AJ36" i="5"/>
  <c r="AH36" i="5"/>
  <c r="AF36" i="5"/>
  <c r="AE36" i="5"/>
  <c r="AD36" i="5"/>
  <c r="AC36" i="5"/>
  <c r="M36" i="5"/>
  <c r="N36" i="5" s="1"/>
  <c r="K36" i="5"/>
  <c r="AJ35" i="5"/>
  <c r="AH35" i="5"/>
  <c r="AF35" i="5"/>
  <c r="AE35" i="5"/>
  <c r="AD35" i="5"/>
  <c r="AC35" i="5"/>
  <c r="M35" i="5"/>
  <c r="K35" i="5"/>
  <c r="AF34" i="5"/>
  <c r="AE34" i="5"/>
  <c r="AD34" i="5"/>
  <c r="AC34" i="5"/>
  <c r="AF33" i="5"/>
  <c r="AE33" i="5"/>
  <c r="AD33" i="5"/>
  <c r="AC33" i="5"/>
  <c r="AF32" i="5"/>
  <c r="AE32" i="5"/>
  <c r="AD32" i="5"/>
  <c r="AC32" i="5"/>
  <c r="AJ31" i="5"/>
  <c r="AH31" i="5"/>
  <c r="AF31" i="5"/>
  <c r="AE31" i="5"/>
  <c r="AD31" i="5"/>
  <c r="AC31" i="5"/>
  <c r="M31" i="5"/>
  <c r="N31" i="5" s="1"/>
  <c r="K31" i="5"/>
  <c r="AJ30" i="5"/>
  <c r="AH30" i="5"/>
  <c r="AF30" i="5"/>
  <c r="AE30" i="5"/>
  <c r="AD30" i="5"/>
  <c r="AC30" i="5"/>
  <c r="M30" i="5"/>
  <c r="K30" i="5"/>
  <c r="AJ29" i="5"/>
  <c r="AH29" i="5"/>
  <c r="AF29" i="5"/>
  <c r="AE29" i="5"/>
  <c r="AD29" i="5"/>
  <c r="AC29" i="5"/>
  <c r="M29" i="5"/>
  <c r="K29" i="5"/>
  <c r="AF28" i="5"/>
  <c r="AE28" i="5"/>
  <c r="AD28" i="5"/>
  <c r="AC28" i="5"/>
  <c r="AF27" i="5"/>
  <c r="AE27" i="5"/>
  <c r="AD27" i="5"/>
  <c r="AC27" i="5"/>
  <c r="AJ26" i="5"/>
  <c r="AH26" i="5"/>
  <c r="AF26" i="5"/>
  <c r="AE26" i="5"/>
  <c r="AD26" i="5"/>
  <c r="AC26" i="5"/>
  <c r="M26" i="5"/>
  <c r="M27" i="5" s="1"/>
  <c r="K26" i="5"/>
  <c r="AJ25" i="5"/>
  <c r="AH25" i="5"/>
  <c r="AF25" i="5"/>
  <c r="AE25" i="5"/>
  <c r="AD25" i="5"/>
  <c r="AC25" i="5"/>
  <c r="M25" i="5"/>
  <c r="K25" i="5"/>
  <c r="AF24" i="5"/>
  <c r="AE24" i="5"/>
  <c r="AD24" i="5"/>
  <c r="AC24" i="5"/>
  <c r="AF23" i="5"/>
  <c r="AE23" i="5"/>
  <c r="AD23" i="5"/>
  <c r="AC23" i="5"/>
  <c r="AJ22" i="5"/>
  <c r="AH22" i="5"/>
  <c r="AF22" i="5"/>
  <c r="AE22" i="5"/>
  <c r="AD22" i="5"/>
  <c r="AC22" i="5"/>
  <c r="M22" i="5"/>
  <c r="K22" i="5"/>
  <c r="AF21" i="5"/>
  <c r="AE21" i="5"/>
  <c r="AD21" i="5"/>
  <c r="AC21" i="5"/>
  <c r="AF20" i="5"/>
  <c r="AE20" i="5"/>
  <c r="AD20" i="5"/>
  <c r="AC20" i="5"/>
  <c r="AJ19" i="5"/>
  <c r="AH19" i="5"/>
  <c r="AF19" i="5"/>
  <c r="AE19" i="5"/>
  <c r="AD19" i="5"/>
  <c r="AC19" i="5"/>
  <c r="M19" i="5"/>
  <c r="M20" i="5" s="1"/>
  <c r="N20" i="5" s="1"/>
  <c r="K19" i="5"/>
  <c r="AF18" i="5"/>
  <c r="AE18" i="5"/>
  <c r="AD18" i="5"/>
  <c r="AC18" i="5"/>
  <c r="AF17" i="5"/>
  <c r="AE17" i="5"/>
  <c r="AD17" i="5"/>
  <c r="AC17" i="5"/>
  <c r="AJ16" i="5"/>
  <c r="AH16" i="5"/>
  <c r="AF16" i="5"/>
  <c r="AE16" i="5"/>
  <c r="AD16" i="5"/>
  <c r="AC16" i="5"/>
  <c r="M16" i="5"/>
  <c r="K16" i="5"/>
  <c r="AF15" i="5"/>
  <c r="AE15" i="5"/>
  <c r="AD15" i="5"/>
  <c r="AC15" i="5"/>
  <c r="AF14" i="5"/>
  <c r="AE14" i="5"/>
  <c r="AD14" i="5"/>
  <c r="AC14" i="5"/>
  <c r="AJ13" i="5"/>
  <c r="AH13" i="5"/>
  <c r="AF13" i="5"/>
  <c r="AE13" i="5"/>
  <c r="AD13" i="5"/>
  <c r="AC13" i="5"/>
  <c r="M13" i="5"/>
  <c r="M14" i="5" s="1"/>
  <c r="N14" i="5" s="1"/>
  <c r="K13" i="5"/>
  <c r="AF12" i="5"/>
  <c r="AE12" i="5"/>
  <c r="AD12" i="5"/>
  <c r="AC12" i="5"/>
  <c r="AF11" i="5"/>
  <c r="AE11" i="5"/>
  <c r="AD11" i="5"/>
  <c r="AC11" i="5"/>
  <c r="AJ10" i="5"/>
  <c r="AH10" i="5"/>
  <c r="AF10" i="5"/>
  <c r="AE10" i="5"/>
  <c r="AD10" i="5"/>
  <c r="AC10" i="5"/>
  <c r="M10" i="5"/>
  <c r="K10" i="5"/>
  <c r="AF9" i="5"/>
  <c r="AE9" i="5"/>
  <c r="AD9" i="5"/>
  <c r="AC9" i="5"/>
  <c r="AF8" i="5"/>
  <c r="AE8" i="5"/>
  <c r="AD8" i="5"/>
  <c r="AC8" i="5"/>
  <c r="AJ7" i="5"/>
  <c r="AH7" i="5"/>
  <c r="AF7" i="5"/>
  <c r="AE7" i="5"/>
  <c r="AD7" i="5"/>
  <c r="AC7" i="5"/>
  <c r="M7" i="5"/>
  <c r="N7" i="5" s="1"/>
  <c r="O7" i="5" s="1"/>
  <c r="P7" i="5" s="1"/>
  <c r="K7" i="5"/>
  <c r="AJ6" i="5"/>
  <c r="AH6" i="5"/>
  <c r="AF6" i="5"/>
  <c r="AE6" i="5"/>
  <c r="AD6" i="5"/>
  <c r="AC6" i="5"/>
  <c r="M6" i="5"/>
  <c r="N6" i="5" s="1"/>
  <c r="K6" i="5"/>
  <c r="T38" i="4"/>
  <c r="P38" i="4"/>
  <c r="Q38" i="4" s="1"/>
  <c r="Y38" i="4" s="1"/>
  <c r="M37" i="2" s="1"/>
  <c r="N38" i="4"/>
  <c r="T37" i="4"/>
  <c r="P37" i="4"/>
  <c r="Q37" i="4" s="1"/>
  <c r="Y37" i="4" s="1"/>
  <c r="M33" i="2" s="1"/>
  <c r="N37" i="4"/>
  <c r="T36" i="4"/>
  <c r="P36" i="4"/>
  <c r="Q36" i="4" s="1"/>
  <c r="N36" i="4"/>
  <c r="T35" i="4"/>
  <c r="P35" i="4"/>
  <c r="Q35" i="4" s="1"/>
  <c r="N35" i="4"/>
  <c r="T34" i="4"/>
  <c r="P34" i="4"/>
  <c r="Q34" i="4" s="1"/>
  <c r="N34" i="4"/>
  <c r="T33" i="4"/>
  <c r="P33" i="4"/>
  <c r="Q33" i="4" s="1"/>
  <c r="N33" i="4"/>
  <c r="T32" i="4"/>
  <c r="P32" i="4"/>
  <c r="Q32" i="4" s="1"/>
  <c r="N32" i="4"/>
  <c r="T31" i="4"/>
  <c r="P31" i="4"/>
  <c r="Q31" i="4" s="1"/>
  <c r="N31" i="4"/>
  <c r="T30" i="4"/>
  <c r="P30" i="4"/>
  <c r="Q30" i="4" s="1"/>
  <c r="N30" i="4"/>
  <c r="T29" i="4"/>
  <c r="P29" i="4"/>
  <c r="Q29" i="4" s="1"/>
  <c r="Y29" i="4" s="1"/>
  <c r="M25" i="2" s="1"/>
  <c r="N29" i="4"/>
  <c r="T28" i="4"/>
  <c r="P28" i="4"/>
  <c r="Q28" i="4" s="1"/>
  <c r="N28" i="4"/>
  <c r="T27" i="4"/>
  <c r="P27" i="4"/>
  <c r="Q27" i="4" s="1"/>
  <c r="N27" i="4"/>
  <c r="T26" i="4"/>
  <c r="P26" i="4"/>
  <c r="Q26" i="4" s="1"/>
  <c r="N26" i="4"/>
  <c r="T25" i="4"/>
  <c r="P25" i="4"/>
  <c r="Q25" i="4" s="1"/>
  <c r="Y25" i="4" s="1"/>
  <c r="M22" i="2" s="1"/>
  <c r="N25" i="4"/>
  <c r="T24" i="4"/>
  <c r="P24" i="4"/>
  <c r="Q24" i="4" s="1"/>
  <c r="N24" i="4"/>
  <c r="T23" i="4"/>
  <c r="P23" i="4"/>
  <c r="Q23" i="4" s="1"/>
  <c r="N23" i="4"/>
  <c r="T22" i="4"/>
  <c r="P22" i="4"/>
  <c r="Q22" i="4" s="1"/>
  <c r="Y22" i="4" s="1"/>
  <c r="M19" i="2" s="1"/>
  <c r="N22" i="4"/>
  <c r="T21" i="4"/>
  <c r="Y21" i="4" s="1"/>
  <c r="M18" i="2" s="1"/>
  <c r="P21" i="4"/>
  <c r="Q21" i="4" s="1"/>
  <c r="N21" i="4"/>
  <c r="T20" i="4"/>
  <c r="P20" i="4"/>
  <c r="Q20" i="4" s="1"/>
  <c r="N20" i="4"/>
  <c r="T19" i="4"/>
  <c r="P19" i="4"/>
  <c r="Q19" i="4" s="1"/>
  <c r="N19" i="4"/>
  <c r="T18" i="4"/>
  <c r="Q18" i="4"/>
  <c r="P18" i="4"/>
  <c r="N18" i="4"/>
  <c r="T17" i="4"/>
  <c r="P17" i="4"/>
  <c r="Q17" i="4" s="1"/>
  <c r="N17" i="4"/>
  <c r="T16" i="4"/>
  <c r="P16" i="4"/>
  <c r="Q16" i="4" s="1"/>
  <c r="N16" i="4"/>
  <c r="T15" i="4"/>
  <c r="P15" i="4"/>
  <c r="Q15" i="4" s="1"/>
  <c r="N15" i="4"/>
  <c r="T14" i="4"/>
  <c r="P14" i="4"/>
  <c r="Q14" i="4" s="1"/>
  <c r="N14" i="4"/>
  <c r="T13" i="4"/>
  <c r="P13" i="4"/>
  <c r="Q13" i="4" s="1"/>
  <c r="N13" i="4"/>
  <c r="T12" i="4"/>
  <c r="P12" i="4"/>
  <c r="Q12" i="4" s="1"/>
  <c r="Y12" i="4" s="1"/>
  <c r="M9" i="2" s="1"/>
  <c r="N12" i="4"/>
  <c r="T11" i="4"/>
  <c r="P11" i="4"/>
  <c r="Q11" i="4" s="1"/>
  <c r="N11" i="4"/>
  <c r="T10" i="4"/>
  <c r="P10" i="4"/>
  <c r="Q10" i="4" s="1"/>
  <c r="N10" i="4"/>
  <c r="T9" i="4"/>
  <c r="P9" i="4"/>
  <c r="Q9" i="4" s="1"/>
  <c r="N9" i="4"/>
  <c r="U125" i="3"/>
  <c r="I124" i="3"/>
  <c r="H124" i="3"/>
  <c r="G124" i="3"/>
  <c r="F124" i="3"/>
  <c r="E124" i="3"/>
  <c r="C124" i="3"/>
  <c r="I123" i="3"/>
  <c r="H123" i="3"/>
  <c r="G123" i="3"/>
  <c r="F123" i="3"/>
  <c r="E123" i="3"/>
  <c r="C123" i="3"/>
  <c r="I122" i="3"/>
  <c r="H122" i="3"/>
  <c r="G122" i="3"/>
  <c r="F122" i="3"/>
  <c r="E122" i="3"/>
  <c r="C122" i="3"/>
  <c r="I121" i="3"/>
  <c r="H121" i="3"/>
  <c r="G121" i="3"/>
  <c r="F121" i="3"/>
  <c r="E121" i="3"/>
  <c r="C121" i="3"/>
  <c r="I120" i="3"/>
  <c r="G120" i="3"/>
  <c r="F120" i="3"/>
  <c r="E120" i="3"/>
  <c r="C120" i="3"/>
  <c r="I119" i="3"/>
  <c r="H119" i="3"/>
  <c r="G119" i="3"/>
  <c r="F119" i="3"/>
  <c r="E119" i="3"/>
  <c r="C119" i="3"/>
  <c r="I118" i="3"/>
  <c r="G118" i="3"/>
  <c r="F118" i="3"/>
  <c r="E118" i="3"/>
  <c r="C118" i="3"/>
  <c r="I117" i="3"/>
  <c r="G117" i="3"/>
  <c r="F117" i="3"/>
  <c r="E117" i="3"/>
  <c r="C117" i="3"/>
  <c r="I116" i="3"/>
  <c r="H116" i="3"/>
  <c r="G116" i="3"/>
  <c r="F116" i="3"/>
  <c r="E116" i="3"/>
  <c r="C116" i="3"/>
  <c r="I115" i="3"/>
  <c r="H115" i="3"/>
  <c r="G115" i="3"/>
  <c r="F115" i="3"/>
  <c r="E115" i="3"/>
  <c r="C115" i="3"/>
  <c r="I114" i="3"/>
  <c r="H114" i="3"/>
  <c r="G114" i="3"/>
  <c r="F114" i="3"/>
  <c r="E114" i="3"/>
  <c r="C114" i="3"/>
  <c r="I113" i="3"/>
  <c r="G113" i="3"/>
  <c r="E113" i="3"/>
  <c r="C113" i="3"/>
  <c r="I112" i="3"/>
  <c r="H112" i="3"/>
  <c r="G112" i="3"/>
  <c r="F112" i="3"/>
  <c r="E112" i="3"/>
  <c r="C112" i="3"/>
  <c r="I111" i="3"/>
  <c r="H111" i="3"/>
  <c r="G111" i="3"/>
  <c r="E111" i="3"/>
  <c r="C111" i="3"/>
  <c r="I110" i="3"/>
  <c r="G110" i="3"/>
  <c r="F110" i="3"/>
  <c r="E110" i="3"/>
  <c r="C110" i="3"/>
  <c r="I108" i="3"/>
  <c r="H108" i="3"/>
  <c r="G108" i="3"/>
  <c r="F108" i="3"/>
  <c r="E108" i="3"/>
  <c r="C108" i="3"/>
  <c r="I107" i="3"/>
  <c r="H107" i="3"/>
  <c r="G107" i="3"/>
  <c r="F107" i="3"/>
  <c r="E107" i="3"/>
  <c r="C107" i="3"/>
  <c r="I106" i="3"/>
  <c r="H106" i="3"/>
  <c r="G106" i="3"/>
  <c r="F106" i="3"/>
  <c r="E106" i="3"/>
  <c r="C106" i="3"/>
  <c r="I105" i="3"/>
  <c r="H105" i="3"/>
  <c r="G105" i="3"/>
  <c r="F105" i="3"/>
  <c r="E105" i="3"/>
  <c r="C105" i="3"/>
  <c r="I104" i="3"/>
  <c r="H104" i="3"/>
  <c r="G104" i="3"/>
  <c r="F104" i="3"/>
  <c r="E104" i="3"/>
  <c r="C104" i="3"/>
  <c r="I103" i="3"/>
  <c r="H103" i="3"/>
  <c r="G103" i="3"/>
  <c r="F103" i="3"/>
  <c r="E103" i="3"/>
  <c r="C103" i="3"/>
  <c r="M102" i="3"/>
  <c r="R102" i="3" s="1"/>
  <c r="F102" i="3"/>
  <c r="E102" i="3"/>
  <c r="I101" i="3"/>
  <c r="H101" i="3"/>
  <c r="G101" i="3"/>
  <c r="F101" i="3"/>
  <c r="E101" i="3"/>
  <c r="C101" i="3"/>
  <c r="K100" i="3"/>
  <c r="F100" i="3"/>
  <c r="E100" i="3"/>
  <c r="I99" i="3"/>
  <c r="H99" i="3"/>
  <c r="G99" i="3"/>
  <c r="F99" i="3"/>
  <c r="E99" i="3"/>
  <c r="C99" i="3"/>
  <c r="F98" i="3"/>
  <c r="E98" i="3"/>
  <c r="I97" i="3"/>
  <c r="H97" i="3"/>
  <c r="G97" i="3"/>
  <c r="F97" i="3"/>
  <c r="E97" i="3"/>
  <c r="C97" i="3"/>
  <c r="I96" i="3"/>
  <c r="H96" i="3"/>
  <c r="G96" i="3"/>
  <c r="F96" i="3"/>
  <c r="E96" i="3"/>
  <c r="C96" i="3"/>
  <c r="I95" i="3"/>
  <c r="H95" i="3"/>
  <c r="G95" i="3"/>
  <c r="F95" i="3"/>
  <c r="E95" i="3"/>
  <c r="C95" i="3"/>
  <c r="F94" i="3"/>
  <c r="E94" i="3"/>
  <c r="I93" i="3"/>
  <c r="H93" i="3"/>
  <c r="G93" i="3"/>
  <c r="F93" i="3"/>
  <c r="E93" i="3"/>
  <c r="C93" i="3"/>
  <c r="I92" i="3"/>
  <c r="H92" i="3"/>
  <c r="G92" i="3"/>
  <c r="E92" i="3"/>
  <c r="C92" i="3"/>
  <c r="F91" i="3"/>
  <c r="E91" i="3"/>
  <c r="I90" i="3"/>
  <c r="H90" i="3"/>
  <c r="G90" i="3"/>
  <c r="F90" i="3"/>
  <c r="E90" i="3"/>
  <c r="C90" i="3"/>
  <c r="I89" i="3"/>
  <c r="H89" i="3"/>
  <c r="G89" i="3"/>
  <c r="F89" i="3"/>
  <c r="E89" i="3"/>
  <c r="C89" i="3"/>
  <c r="I88" i="3"/>
  <c r="H88" i="3"/>
  <c r="G88" i="3"/>
  <c r="F88" i="3"/>
  <c r="E88" i="3"/>
  <c r="C88" i="3"/>
  <c r="F87" i="3"/>
  <c r="E87" i="3"/>
  <c r="I86" i="3"/>
  <c r="H86" i="3"/>
  <c r="G86" i="3"/>
  <c r="F86" i="3"/>
  <c r="E86" i="3"/>
  <c r="C86" i="3"/>
  <c r="F85" i="3"/>
  <c r="E85" i="3"/>
  <c r="I84" i="3"/>
  <c r="H84" i="3"/>
  <c r="G84" i="3"/>
  <c r="F84" i="3"/>
  <c r="E84" i="3"/>
  <c r="C84" i="3"/>
  <c r="M83" i="3"/>
  <c r="R83" i="3" s="1"/>
  <c r="K83" i="3"/>
  <c r="F83" i="3"/>
  <c r="E83" i="3"/>
  <c r="I82" i="3"/>
  <c r="G82" i="3"/>
  <c r="F82" i="3"/>
  <c r="E82" i="3"/>
  <c r="C82" i="3"/>
  <c r="K81" i="3"/>
  <c r="F81" i="3"/>
  <c r="E81" i="3"/>
  <c r="I80" i="3"/>
  <c r="H80" i="3"/>
  <c r="G80" i="3"/>
  <c r="F80" i="3"/>
  <c r="E80" i="3"/>
  <c r="C80" i="3"/>
  <c r="I79" i="3"/>
  <c r="H79" i="3"/>
  <c r="G79" i="3"/>
  <c r="F79" i="3"/>
  <c r="E79" i="3"/>
  <c r="C79" i="3"/>
  <c r="I78" i="3"/>
  <c r="H78" i="3"/>
  <c r="G78" i="3"/>
  <c r="F78" i="3"/>
  <c r="E78" i="3"/>
  <c r="C78" i="3"/>
  <c r="I77" i="3"/>
  <c r="H77" i="3"/>
  <c r="G77" i="3"/>
  <c r="F77" i="3"/>
  <c r="E77" i="3"/>
  <c r="C77" i="3"/>
  <c r="I76" i="3"/>
  <c r="H76" i="3"/>
  <c r="G76" i="3"/>
  <c r="F76" i="3"/>
  <c r="E76" i="3"/>
  <c r="C76" i="3"/>
  <c r="I75" i="3"/>
  <c r="H75" i="3"/>
  <c r="G75" i="3"/>
  <c r="E75" i="3"/>
  <c r="C75" i="3"/>
  <c r="M74" i="3"/>
  <c r="R74" i="3" s="1"/>
  <c r="K74" i="3"/>
  <c r="F74" i="3"/>
  <c r="E74" i="3"/>
  <c r="I73" i="3"/>
  <c r="H73" i="3"/>
  <c r="G73" i="3"/>
  <c r="F73" i="3"/>
  <c r="E73" i="3"/>
  <c r="C73" i="3"/>
  <c r="I72" i="3"/>
  <c r="H72" i="3"/>
  <c r="G72" i="3"/>
  <c r="F72" i="3"/>
  <c r="E72" i="3"/>
  <c r="C72" i="3"/>
  <c r="M71" i="3"/>
  <c r="K71" i="3"/>
  <c r="F71" i="3"/>
  <c r="E71" i="3"/>
  <c r="I70" i="3"/>
  <c r="H70" i="3"/>
  <c r="G70" i="3"/>
  <c r="F70" i="3"/>
  <c r="E70" i="3"/>
  <c r="C70" i="3"/>
  <c r="I69" i="3"/>
  <c r="H69" i="3"/>
  <c r="G69" i="3"/>
  <c r="F69" i="3"/>
  <c r="E69" i="3"/>
  <c r="C69" i="3"/>
  <c r="I68" i="3"/>
  <c r="H68" i="3"/>
  <c r="G68" i="3"/>
  <c r="F68" i="3"/>
  <c r="E68" i="3"/>
  <c r="C68" i="3"/>
  <c r="I67" i="3"/>
  <c r="H67" i="3"/>
  <c r="G67" i="3"/>
  <c r="F67" i="3"/>
  <c r="E67" i="3"/>
  <c r="C67" i="3"/>
  <c r="I66" i="3"/>
  <c r="H66" i="3"/>
  <c r="G66" i="3"/>
  <c r="F66" i="3"/>
  <c r="E66" i="3"/>
  <c r="C66" i="3"/>
  <c r="I65" i="3"/>
  <c r="H65" i="3"/>
  <c r="G65" i="3"/>
  <c r="F65" i="3"/>
  <c r="E65" i="3"/>
  <c r="C65" i="3"/>
  <c r="I64" i="3"/>
  <c r="H64" i="3"/>
  <c r="G64" i="3"/>
  <c r="F64" i="3"/>
  <c r="E64" i="3"/>
  <c r="C64" i="3"/>
  <c r="I63" i="3"/>
  <c r="H63" i="3"/>
  <c r="G63" i="3"/>
  <c r="F63" i="3"/>
  <c r="E63" i="3"/>
  <c r="C63" i="3"/>
  <c r="I62" i="3"/>
  <c r="H62" i="3"/>
  <c r="G62" i="3"/>
  <c r="F62" i="3"/>
  <c r="E62" i="3"/>
  <c r="C62" i="3"/>
  <c r="M61" i="3"/>
  <c r="R61" i="3" s="1"/>
  <c r="K61" i="3"/>
  <c r="F61" i="3"/>
  <c r="E61" i="3"/>
  <c r="I60" i="3"/>
  <c r="H60" i="3"/>
  <c r="G60" i="3"/>
  <c r="F60" i="3"/>
  <c r="E60" i="3"/>
  <c r="C60" i="3"/>
  <c r="I59" i="3"/>
  <c r="H59" i="3"/>
  <c r="G59" i="3"/>
  <c r="F59" i="3"/>
  <c r="E59" i="3"/>
  <c r="C59" i="3"/>
  <c r="M58" i="3"/>
  <c r="K58" i="3"/>
  <c r="F58" i="3"/>
  <c r="E58" i="3"/>
  <c r="I57" i="3"/>
  <c r="H57" i="3"/>
  <c r="G57" i="3"/>
  <c r="F57" i="3"/>
  <c r="E57" i="3"/>
  <c r="C57" i="3"/>
  <c r="I56" i="3"/>
  <c r="H56" i="3"/>
  <c r="G56" i="3"/>
  <c r="F56" i="3"/>
  <c r="E56" i="3"/>
  <c r="C56" i="3"/>
  <c r="M55" i="3"/>
  <c r="K55" i="3"/>
  <c r="F55" i="3"/>
  <c r="E55" i="3"/>
  <c r="I54" i="3"/>
  <c r="H54" i="3"/>
  <c r="G54" i="3"/>
  <c r="F54" i="3"/>
  <c r="E54" i="3"/>
  <c r="C54" i="3"/>
  <c r="M53" i="3"/>
  <c r="R53" i="3" s="1"/>
  <c r="K53" i="3"/>
  <c r="F53" i="3"/>
  <c r="E53" i="3"/>
  <c r="I52" i="3"/>
  <c r="H52" i="3"/>
  <c r="G52" i="3"/>
  <c r="F52" i="3"/>
  <c r="E52" i="3"/>
  <c r="C52" i="3"/>
  <c r="M51" i="3"/>
  <c r="R51" i="3" s="1"/>
  <c r="K51" i="3"/>
  <c r="F51" i="3"/>
  <c r="E51" i="3"/>
  <c r="I50" i="3"/>
  <c r="H50" i="3"/>
  <c r="G50" i="3"/>
  <c r="F50" i="3"/>
  <c r="E50" i="3"/>
  <c r="C50" i="3"/>
  <c r="I49" i="3"/>
  <c r="H49" i="3"/>
  <c r="G49" i="3"/>
  <c r="F49" i="3"/>
  <c r="E49" i="3"/>
  <c r="C49" i="3"/>
  <c r="M48" i="3"/>
  <c r="R48" i="3" s="1"/>
  <c r="K48" i="3"/>
  <c r="F48" i="3"/>
  <c r="E48" i="3"/>
  <c r="I47" i="3"/>
  <c r="H47" i="3"/>
  <c r="G47" i="3"/>
  <c r="F47" i="3"/>
  <c r="E47" i="3"/>
  <c r="C47" i="3"/>
  <c r="M46" i="3"/>
  <c r="R46" i="3" s="1"/>
  <c r="K46" i="3"/>
  <c r="F46" i="3"/>
  <c r="E46" i="3"/>
  <c r="I45" i="3"/>
  <c r="H45" i="3"/>
  <c r="G45" i="3"/>
  <c r="F45" i="3"/>
  <c r="E45" i="3"/>
  <c r="C45" i="3"/>
  <c r="I44" i="3"/>
  <c r="H44" i="3"/>
  <c r="G44" i="3"/>
  <c r="F44" i="3"/>
  <c r="E44" i="3"/>
  <c r="C44" i="3"/>
  <c r="M43" i="3"/>
  <c r="K43" i="3"/>
  <c r="F43" i="3"/>
  <c r="E43" i="3"/>
  <c r="I42" i="3"/>
  <c r="H42" i="3"/>
  <c r="G42" i="3"/>
  <c r="F42" i="3"/>
  <c r="E42" i="3"/>
  <c r="C42" i="3"/>
  <c r="I41" i="3"/>
  <c r="H41" i="3"/>
  <c r="G41" i="3"/>
  <c r="E41" i="3"/>
  <c r="C41" i="3"/>
  <c r="K40" i="3"/>
  <c r="F40" i="3"/>
  <c r="E40" i="3"/>
  <c r="I39" i="3"/>
  <c r="G39" i="3"/>
  <c r="F39" i="3"/>
  <c r="E39" i="3"/>
  <c r="C39" i="3"/>
  <c r="M38" i="3"/>
  <c r="K38" i="3"/>
  <c r="F38" i="3"/>
  <c r="E38" i="3"/>
  <c r="I37" i="3"/>
  <c r="H37" i="3"/>
  <c r="G37" i="3"/>
  <c r="F37" i="3"/>
  <c r="E37" i="3"/>
  <c r="C37" i="3"/>
  <c r="I36" i="3"/>
  <c r="H36" i="3"/>
  <c r="G36" i="3"/>
  <c r="F36" i="3"/>
  <c r="E36" i="3"/>
  <c r="C36" i="3"/>
  <c r="K35" i="3"/>
  <c r="F35" i="3"/>
  <c r="E35" i="3"/>
  <c r="I34" i="3"/>
  <c r="H34" i="3"/>
  <c r="G34" i="3"/>
  <c r="F34" i="3"/>
  <c r="E34" i="3"/>
  <c r="C34" i="3"/>
  <c r="M33" i="3"/>
  <c r="R33" i="3" s="1"/>
  <c r="K33" i="3"/>
  <c r="F33" i="3"/>
  <c r="E33" i="3"/>
  <c r="I32" i="3"/>
  <c r="H32" i="3"/>
  <c r="G32" i="3"/>
  <c r="F32" i="3"/>
  <c r="E32" i="3"/>
  <c r="C32" i="3"/>
  <c r="I31" i="3"/>
  <c r="H31" i="3"/>
  <c r="G31" i="3"/>
  <c r="F31" i="3"/>
  <c r="E31" i="3"/>
  <c r="C31" i="3"/>
  <c r="I30" i="3"/>
  <c r="H30" i="3"/>
  <c r="G30" i="3"/>
  <c r="F30" i="3"/>
  <c r="E30" i="3"/>
  <c r="C30" i="3"/>
  <c r="I29" i="3"/>
  <c r="H29" i="3"/>
  <c r="G29" i="3"/>
  <c r="F29" i="3"/>
  <c r="E29" i="3"/>
  <c r="C29" i="3"/>
  <c r="M28" i="3"/>
  <c r="R28" i="3" s="1"/>
  <c r="K28" i="3"/>
  <c r="F28" i="3"/>
  <c r="E28" i="3"/>
  <c r="I27" i="3"/>
  <c r="H27" i="3"/>
  <c r="G27" i="3"/>
  <c r="F27" i="3"/>
  <c r="E27" i="3"/>
  <c r="C27" i="3"/>
  <c r="I26" i="3"/>
  <c r="H26" i="3"/>
  <c r="G26" i="3"/>
  <c r="F26" i="3"/>
  <c r="E26" i="3"/>
  <c r="C26" i="3"/>
  <c r="M25" i="3"/>
  <c r="R25" i="3" s="1"/>
  <c r="K25" i="3"/>
  <c r="F25" i="3"/>
  <c r="E25" i="3"/>
  <c r="I24" i="3"/>
  <c r="H24" i="3"/>
  <c r="G24" i="3"/>
  <c r="F24" i="3"/>
  <c r="E24" i="3"/>
  <c r="C24" i="3"/>
  <c r="I23" i="3"/>
  <c r="H23" i="3"/>
  <c r="G23" i="3"/>
  <c r="F23" i="3"/>
  <c r="E23" i="3"/>
  <c r="C23" i="3"/>
  <c r="M22" i="3"/>
  <c r="F22" i="3"/>
  <c r="E22" i="3"/>
  <c r="I21" i="3"/>
  <c r="H21" i="3"/>
  <c r="G21" i="3"/>
  <c r="F21" i="3"/>
  <c r="E21" i="3"/>
  <c r="C21" i="3"/>
  <c r="I20" i="3"/>
  <c r="H20" i="3"/>
  <c r="G20" i="3"/>
  <c r="F20" i="3"/>
  <c r="E20" i="3"/>
  <c r="C20" i="3"/>
  <c r="I19" i="3"/>
  <c r="H19" i="3"/>
  <c r="G19" i="3"/>
  <c r="F19" i="3"/>
  <c r="E19" i="3"/>
  <c r="C19" i="3"/>
  <c r="I18" i="3"/>
  <c r="H18" i="3"/>
  <c r="G18" i="3"/>
  <c r="F18" i="3"/>
  <c r="E18" i="3"/>
  <c r="C18" i="3"/>
  <c r="I17" i="3"/>
  <c r="H17" i="3"/>
  <c r="G17" i="3"/>
  <c r="F17" i="3"/>
  <c r="E17" i="3"/>
  <c r="C17" i="3"/>
  <c r="I16" i="3"/>
  <c r="H16" i="3"/>
  <c r="G16" i="3"/>
  <c r="F16" i="3"/>
  <c r="E16" i="3"/>
  <c r="C16" i="3"/>
  <c r="M15" i="3"/>
  <c r="K15" i="3"/>
  <c r="F15" i="3"/>
  <c r="E15" i="3"/>
  <c r="I14" i="3"/>
  <c r="H14" i="3"/>
  <c r="G14" i="3"/>
  <c r="F14" i="3"/>
  <c r="E14" i="3"/>
  <c r="C14" i="3"/>
  <c r="I13" i="3"/>
  <c r="H13" i="3"/>
  <c r="G13" i="3"/>
  <c r="F13" i="3"/>
  <c r="E13" i="3"/>
  <c r="C13" i="3"/>
  <c r="K12" i="3"/>
  <c r="F12" i="3"/>
  <c r="E12" i="3"/>
  <c r="I11" i="3"/>
  <c r="H11" i="3"/>
  <c r="G11" i="3"/>
  <c r="F11" i="3"/>
  <c r="E11" i="3"/>
  <c r="C11" i="3"/>
  <c r="M10" i="3"/>
  <c r="R10" i="3" s="1"/>
  <c r="K10" i="3"/>
  <c r="F10" i="3"/>
  <c r="E10" i="3"/>
  <c r="I9" i="3"/>
  <c r="H9" i="3"/>
  <c r="G9" i="3"/>
  <c r="F9" i="3"/>
  <c r="E9" i="3"/>
  <c r="C9" i="3"/>
  <c r="I8" i="3"/>
  <c r="G8" i="3"/>
  <c r="F8" i="3"/>
  <c r="E8" i="3"/>
  <c r="C8" i="3"/>
  <c r="I7" i="3"/>
  <c r="H7" i="3"/>
  <c r="G7" i="3"/>
  <c r="F7" i="3"/>
  <c r="E7" i="3"/>
  <c r="C7" i="3"/>
  <c r="K6" i="3"/>
  <c r="F6" i="3"/>
  <c r="E6" i="3"/>
  <c r="O33" i="2"/>
  <c r="L31" i="2"/>
  <c r="O30" i="2"/>
  <c r="L27" i="2"/>
  <c r="N26" i="2"/>
  <c r="N25" i="2"/>
  <c r="L25" i="2"/>
  <c r="L24" i="2"/>
  <c r="L23" i="2"/>
  <c r="L21" i="2"/>
  <c r="O20" i="2"/>
  <c r="N20" i="2"/>
  <c r="L20" i="2"/>
  <c r="N19" i="2"/>
  <c r="L19" i="2"/>
  <c r="L18" i="2"/>
  <c r="L17" i="2"/>
  <c r="N16" i="2"/>
  <c r="L15" i="2"/>
  <c r="N14" i="2"/>
  <c r="L13" i="2"/>
  <c r="L12" i="2"/>
  <c r="L11" i="2"/>
  <c r="N10" i="2"/>
  <c r="L10" i="2"/>
  <c r="L9" i="2"/>
  <c r="L8" i="2"/>
  <c r="L7" i="2"/>
  <c r="O6" i="2"/>
  <c r="O49" i="1"/>
  <c r="S49" i="1" s="1"/>
  <c r="L49" i="1"/>
  <c r="O48" i="1"/>
  <c r="S48" i="1" s="1"/>
  <c r="L48" i="1"/>
  <c r="Q47" i="1"/>
  <c r="U47" i="1" s="1"/>
  <c r="O47" i="1"/>
  <c r="S47" i="1" s="1"/>
  <c r="L47" i="1"/>
  <c r="O46" i="1"/>
  <c r="S46" i="1" s="1"/>
  <c r="L46" i="1"/>
  <c r="O45" i="1"/>
  <c r="S45" i="1" s="1"/>
  <c r="L45" i="1"/>
  <c r="O44" i="1"/>
  <c r="S44" i="1" s="1"/>
  <c r="N44" i="1"/>
  <c r="R44" i="1" s="1"/>
  <c r="L44" i="1"/>
  <c r="O43" i="1"/>
  <c r="S43" i="1" s="1"/>
  <c r="N43" i="1"/>
  <c r="R43" i="1" s="1"/>
  <c r="L43" i="1"/>
  <c r="O42" i="1"/>
  <c r="S42" i="1" s="1"/>
  <c r="N42" i="1"/>
  <c r="R42" i="1" s="1"/>
  <c r="L42" i="1"/>
  <c r="O41" i="1"/>
  <c r="S41" i="1" s="1"/>
  <c r="L41" i="1"/>
  <c r="Q40" i="1"/>
  <c r="U40" i="1" s="1"/>
  <c r="O40" i="1"/>
  <c r="S40" i="1" s="1"/>
  <c r="L40" i="1"/>
  <c r="O39" i="1"/>
  <c r="S39" i="1" s="1"/>
  <c r="L39" i="1"/>
  <c r="O38" i="1"/>
  <c r="S38" i="1" s="1"/>
  <c r="L38" i="1"/>
  <c r="O37" i="1"/>
  <c r="S37" i="1" s="1"/>
  <c r="L37" i="1"/>
  <c r="O36" i="1"/>
  <c r="S36" i="1" s="1"/>
  <c r="L36" i="1"/>
  <c r="O35" i="1"/>
  <c r="S35" i="1" s="1"/>
  <c r="L35" i="1"/>
  <c r="O34" i="1"/>
  <c r="S34" i="1" s="1"/>
  <c r="L34" i="1"/>
  <c r="O33" i="1"/>
  <c r="S33" i="1" s="1"/>
  <c r="L33" i="1"/>
  <c r="O32" i="1"/>
  <c r="S32" i="1" s="1"/>
  <c r="L32" i="1"/>
  <c r="Q30" i="1"/>
  <c r="U30" i="1" s="1"/>
  <c r="O30" i="1"/>
  <c r="S30" i="1" s="1"/>
  <c r="N30" i="1"/>
  <c r="R30" i="1" s="1"/>
  <c r="L30" i="1"/>
  <c r="Q29" i="1"/>
  <c r="U29" i="1" s="1"/>
  <c r="O29" i="1"/>
  <c r="S29" i="1" s="1"/>
  <c r="N29" i="1"/>
  <c r="R29" i="1" s="1"/>
  <c r="L29" i="1"/>
  <c r="O28" i="1"/>
  <c r="S28" i="1" s="1"/>
  <c r="L28" i="1"/>
  <c r="Q27" i="1"/>
  <c r="U27" i="1" s="1"/>
  <c r="O27" i="1"/>
  <c r="S27" i="1" s="1"/>
  <c r="L27" i="1"/>
  <c r="Q26" i="1"/>
  <c r="U26" i="1" s="1"/>
  <c r="O26" i="1"/>
  <c r="S26" i="1" s="1"/>
  <c r="L26" i="1"/>
  <c r="O25" i="1"/>
  <c r="S25" i="1" s="1"/>
  <c r="N25" i="1"/>
  <c r="R25" i="1" s="1"/>
  <c r="L25" i="1"/>
  <c r="O24" i="1"/>
  <c r="S24" i="1" s="1"/>
  <c r="L24" i="1"/>
  <c r="Q21" i="1"/>
  <c r="U21" i="1" s="1"/>
  <c r="O21" i="1"/>
  <c r="S21" i="1" s="1"/>
  <c r="N21" i="1"/>
  <c r="R21" i="1" s="1"/>
  <c r="L21" i="1"/>
  <c r="O20" i="1"/>
  <c r="S20" i="1" s="1"/>
  <c r="N20" i="1"/>
  <c r="R20" i="1" s="1"/>
  <c r="L20" i="1"/>
  <c r="O19" i="1"/>
  <c r="S19" i="1" s="1"/>
  <c r="N19" i="1"/>
  <c r="R19" i="1" s="1"/>
  <c r="L19" i="1"/>
  <c r="O18" i="1"/>
  <c r="S18" i="1" s="1"/>
  <c r="N18" i="1"/>
  <c r="R18" i="1" s="1"/>
  <c r="L18" i="1"/>
  <c r="O17" i="1"/>
  <c r="S17" i="1" s="1"/>
  <c r="N17" i="1"/>
  <c r="R17" i="1" s="1"/>
  <c r="L17" i="1"/>
  <c r="O16" i="1"/>
  <c r="S16" i="1" s="1"/>
  <c r="L16" i="1"/>
  <c r="O15" i="1"/>
  <c r="S15" i="1" s="1"/>
  <c r="L15" i="1"/>
  <c r="O14" i="1"/>
  <c r="S14" i="1" s="1"/>
  <c r="L14" i="1"/>
  <c r="O13" i="1"/>
  <c r="S13" i="1" s="1"/>
  <c r="L13" i="1"/>
  <c r="Q12" i="1"/>
  <c r="U12" i="1" s="1"/>
  <c r="O12" i="1"/>
  <c r="S12" i="1" s="1"/>
  <c r="L12" i="1"/>
  <c r="O11" i="1"/>
  <c r="S11" i="1" s="1"/>
  <c r="L11" i="1"/>
  <c r="O10" i="1"/>
  <c r="S10" i="1" s="1"/>
  <c r="L10" i="1"/>
  <c r="O9" i="1"/>
  <c r="S9" i="1" s="1"/>
  <c r="L9" i="1"/>
  <c r="O8" i="1"/>
  <c r="S8" i="1" s="1"/>
  <c r="L8" i="1"/>
  <c r="K12" i="13" l="1"/>
  <c r="L12" i="13" s="1"/>
  <c r="M12" i="13" s="1"/>
  <c r="L6" i="11" s="1"/>
  <c r="G172" i="19"/>
  <c r="G249" i="19"/>
  <c r="G449" i="19"/>
  <c r="G732" i="19"/>
  <c r="G753" i="19"/>
  <c r="R271" i="37"/>
  <c r="T271" i="37" s="1"/>
  <c r="R290" i="37"/>
  <c r="T290" i="37" s="1"/>
  <c r="Y16" i="4"/>
  <c r="M13" i="2" s="1"/>
  <c r="F17" i="18"/>
  <c r="G17" i="18" s="1"/>
  <c r="G45" i="19"/>
  <c r="G192" i="19"/>
  <c r="G326" i="19"/>
  <c r="G425" i="19"/>
  <c r="G469" i="19"/>
  <c r="G733" i="19"/>
  <c r="T272" i="37"/>
  <c r="R277" i="37"/>
  <c r="K47" i="13"/>
  <c r="L61" i="13"/>
  <c r="M61" i="13" s="1"/>
  <c r="L21" i="11" s="1"/>
  <c r="F18" i="18"/>
  <c r="G9" i="28"/>
  <c r="M11" i="10"/>
  <c r="Y9" i="4"/>
  <c r="M6" i="2" s="1"/>
  <c r="Y24" i="4"/>
  <c r="M21" i="2" s="1"/>
  <c r="M10" i="10"/>
  <c r="K61" i="13"/>
  <c r="K75" i="13"/>
  <c r="G66" i="19"/>
  <c r="G230" i="19"/>
  <c r="G540" i="19"/>
  <c r="G563" i="19"/>
  <c r="G588" i="19"/>
  <c r="G629" i="19"/>
  <c r="G687" i="19"/>
  <c r="G704" i="19"/>
  <c r="G769" i="19"/>
  <c r="G813" i="19"/>
  <c r="R274" i="37"/>
  <c r="T274" i="37" s="1"/>
  <c r="R278" i="37"/>
  <c r="T278" i="37" s="1"/>
  <c r="Y27" i="4"/>
  <c r="M23" i="2" s="1"/>
  <c r="Y32" i="4"/>
  <c r="M28" i="2" s="1"/>
  <c r="G114" i="19"/>
  <c r="G268" i="19"/>
  <c r="G360" i="19"/>
  <c r="G516" i="19"/>
  <c r="G650" i="19"/>
  <c r="R275" i="37"/>
  <c r="T275" i="37" s="1"/>
  <c r="R288" i="37"/>
  <c r="T288" i="37" s="1"/>
  <c r="L62" i="13"/>
  <c r="M62" i="13" s="1"/>
  <c r="L71" i="13"/>
  <c r="M71" i="13" s="1"/>
  <c r="L76" i="13"/>
  <c r="M76" i="13" s="1"/>
  <c r="F29" i="18"/>
  <c r="G29" i="18" s="1"/>
  <c r="H29" i="18" s="1"/>
  <c r="G375" i="19"/>
  <c r="G517" i="19"/>
  <c r="R270" i="37"/>
  <c r="T270" i="37" s="1"/>
  <c r="Y33" i="4"/>
  <c r="M29" i="2" s="1"/>
  <c r="I5" i="17"/>
  <c r="G22" i="19"/>
  <c r="G94" i="19"/>
  <c r="G130" i="19"/>
  <c r="G301" i="19"/>
  <c r="G397" i="19"/>
  <c r="G614" i="19"/>
  <c r="G791" i="19"/>
  <c r="R276" i="37"/>
  <c r="T276" i="37" s="1"/>
  <c r="R122" i="24"/>
  <c r="R119" i="24" s="1"/>
  <c r="O24" i="9"/>
  <c r="L16" i="2"/>
  <c r="F36" i="21"/>
  <c r="J315" i="24"/>
  <c r="J317" i="24" s="1"/>
  <c r="K114" i="3" s="1"/>
  <c r="I237" i="24"/>
  <c r="R237" i="24" s="1"/>
  <c r="R241" i="24" s="1"/>
  <c r="R236" i="24" s="1"/>
  <c r="K102" i="3"/>
  <c r="J237" i="24"/>
  <c r="G28" i="21"/>
  <c r="L19" i="24"/>
  <c r="L56" i="24"/>
  <c r="G32" i="22"/>
  <c r="M81" i="3"/>
  <c r="R81" i="3" s="1"/>
  <c r="L315" i="24"/>
  <c r="M315" i="24" s="1"/>
  <c r="L26" i="2"/>
  <c r="L8" i="24"/>
  <c r="M8" i="24" s="1"/>
  <c r="L6" i="2"/>
  <c r="L30" i="2"/>
  <c r="M6" i="3"/>
  <c r="O6" i="3" s="1"/>
  <c r="M91" i="3"/>
  <c r="R91" i="3" s="1"/>
  <c r="G7" i="21"/>
  <c r="F30" i="22"/>
  <c r="R24" i="9"/>
  <c r="F31" i="21"/>
  <c r="G34" i="22"/>
  <c r="K87" i="3"/>
  <c r="K94" i="3"/>
  <c r="G9" i="22"/>
  <c r="J226" i="24"/>
  <c r="K226" i="24" s="1"/>
  <c r="J227" i="24"/>
  <c r="K227" i="24" s="1"/>
  <c r="M98" i="3"/>
  <c r="R98" i="3" s="1"/>
  <c r="F31" i="22"/>
  <c r="L185" i="24"/>
  <c r="J249" i="24"/>
  <c r="K249" i="24" s="1"/>
  <c r="J250" i="24"/>
  <c r="L32" i="2"/>
  <c r="F33" i="21"/>
  <c r="F33" i="22"/>
  <c r="J203" i="24"/>
  <c r="K203" i="24" s="1"/>
  <c r="J204" i="24"/>
  <c r="R22" i="9"/>
  <c r="O22" i="9"/>
  <c r="L13" i="10"/>
  <c r="Y11" i="4"/>
  <c r="M8" i="2" s="1"/>
  <c r="Y15" i="4"/>
  <c r="M12" i="2" s="1"/>
  <c r="Y31" i="4"/>
  <c r="M27" i="2" s="1"/>
  <c r="X6" i="9"/>
  <c r="Z6" i="9" s="1"/>
  <c r="O20" i="9"/>
  <c r="O43" i="9"/>
  <c r="L45" i="13"/>
  <c r="M45" i="13" s="1"/>
  <c r="L56" i="13"/>
  <c r="M56" i="13" s="1"/>
  <c r="G38" i="18"/>
  <c r="H38" i="18" s="1"/>
  <c r="H45" i="18"/>
  <c r="Y14" i="4"/>
  <c r="M11" i="2" s="1"/>
  <c r="Y19" i="4"/>
  <c r="M16" i="2" s="1"/>
  <c r="U16" i="2" s="1"/>
  <c r="V16" i="2" s="1"/>
  <c r="Y30" i="4"/>
  <c r="M26" i="2" s="1"/>
  <c r="U26" i="2" s="1"/>
  <c r="Y35" i="4"/>
  <c r="M31" i="2" s="1"/>
  <c r="L12" i="10"/>
  <c r="N12" i="10"/>
  <c r="M12" i="10"/>
  <c r="L16" i="13"/>
  <c r="L34" i="13"/>
  <c r="M34" i="13" s="1"/>
  <c r="L44" i="13"/>
  <c r="M44" i="13" s="1"/>
  <c r="L17" i="11" s="1"/>
  <c r="N6" i="15"/>
  <c r="I27" i="15"/>
  <c r="K27" i="15" s="1"/>
  <c r="I6" i="16"/>
  <c r="N198" i="16"/>
  <c r="L209" i="16"/>
  <c r="N209" i="16" s="1"/>
  <c r="H39" i="18"/>
  <c r="G45" i="18"/>
  <c r="L214" i="24"/>
  <c r="L218" i="24" s="1"/>
  <c r="M120" i="3" s="1"/>
  <c r="R120" i="3" s="1"/>
  <c r="L173" i="24"/>
  <c r="L177" i="24" s="1"/>
  <c r="M122" i="3" s="1"/>
  <c r="R122" i="3" s="1"/>
  <c r="G36" i="21"/>
  <c r="L157" i="24"/>
  <c r="M157" i="24" s="1"/>
  <c r="L237" i="24"/>
  <c r="M237" i="24" s="1"/>
  <c r="G36" i="22"/>
  <c r="Y17" i="4"/>
  <c r="M14" i="2" s="1"/>
  <c r="U14" i="2" s="1"/>
  <c r="Y23" i="4"/>
  <c r="M20" i="2" s="1"/>
  <c r="U20" i="2" s="1"/>
  <c r="V20" i="2" s="1"/>
  <c r="H21" i="22" s="1"/>
  <c r="H10" i="28"/>
  <c r="R229" i="37"/>
  <c r="T229" i="37" s="1"/>
  <c r="R259" i="37"/>
  <c r="T259" i="37" s="1"/>
  <c r="T268" i="37"/>
  <c r="T277" i="37"/>
  <c r="R231" i="37"/>
  <c r="T231" i="37" s="1"/>
  <c r="R236" i="37"/>
  <c r="R235" i="37"/>
  <c r="T235" i="37" s="1"/>
  <c r="R258" i="37"/>
  <c r="T258" i="37" s="1"/>
  <c r="Y18" i="4"/>
  <c r="M15" i="2" s="1"/>
  <c r="Y26" i="4"/>
  <c r="Y34" i="4"/>
  <c r="M30" i="2" s="1"/>
  <c r="N107" i="16"/>
  <c r="L50" i="13"/>
  <c r="M50" i="13" s="1"/>
  <c r="L19" i="13"/>
  <c r="M19" i="13" s="1"/>
  <c r="M25" i="13"/>
  <c r="L28" i="13"/>
  <c r="M28" i="13" s="1"/>
  <c r="K33" i="13"/>
  <c r="L33" i="13" s="1"/>
  <c r="M33" i="13" s="1"/>
  <c r="L13" i="11" s="1"/>
  <c r="L37" i="13"/>
  <c r="M37" i="13" s="1"/>
  <c r="L42" i="13"/>
  <c r="M42" i="13" s="1"/>
  <c r="M41" i="13" s="1"/>
  <c r="L52" i="13"/>
  <c r="M52" i="13" s="1"/>
  <c r="L59" i="13"/>
  <c r="M59" i="13" s="1"/>
  <c r="N16" i="15"/>
  <c r="M27" i="15"/>
  <c r="L220" i="16"/>
  <c r="S7" i="1"/>
  <c r="S31" i="1"/>
  <c r="Y10" i="4"/>
  <c r="M7" i="2" s="1"/>
  <c r="Y13" i="4"/>
  <c r="M10" i="2" s="1"/>
  <c r="U10" i="2" s="1"/>
  <c r="V10" i="2" s="1"/>
  <c r="Y20" i="4"/>
  <c r="M17" i="2" s="1"/>
  <c r="Y28" i="4"/>
  <c r="M24" i="2" s="1"/>
  <c r="Y36" i="4"/>
  <c r="M32" i="2" s="1"/>
  <c r="L11" i="10"/>
  <c r="L48" i="13"/>
  <c r="M48" i="13" s="1"/>
  <c r="I16" i="15"/>
  <c r="N27" i="15"/>
  <c r="I209" i="16"/>
  <c r="K209" i="16" s="1"/>
  <c r="I242" i="16"/>
  <c r="H15" i="18"/>
  <c r="H17" i="18"/>
  <c r="R230" i="37"/>
  <c r="T230" i="37" s="1"/>
  <c r="R232" i="37"/>
  <c r="T232" i="37" s="1"/>
  <c r="T269" i="37"/>
  <c r="R282" i="37"/>
  <c r="T282" i="37" s="1"/>
  <c r="R291" i="37"/>
  <c r="T291" i="37" s="1"/>
  <c r="J340" i="19"/>
  <c r="P125" i="24"/>
  <c r="R25" i="24"/>
  <c r="K124" i="24"/>
  <c r="H8" i="3"/>
  <c r="G31" i="19"/>
  <c r="R22" i="24"/>
  <c r="R21" i="24" s="1"/>
  <c r="G34" i="19"/>
  <c r="H26" i="9"/>
  <c r="J26" i="9" s="1"/>
  <c r="R27" i="24"/>
  <c r="R23" i="24" s="1"/>
  <c r="H39" i="3"/>
  <c r="J39" i="3" s="1"/>
  <c r="J38" i="3" s="1"/>
  <c r="E16" i="21" s="1"/>
  <c r="H55" i="12"/>
  <c r="J55" i="12" s="1"/>
  <c r="G39" i="19"/>
  <c r="J42" i="19" s="1"/>
  <c r="R96" i="24"/>
  <c r="R124" i="24"/>
  <c r="R133" i="24"/>
  <c r="R132" i="24" s="1"/>
  <c r="G315" i="19"/>
  <c r="H31" i="9"/>
  <c r="R135" i="24"/>
  <c r="H88" i="12"/>
  <c r="J88" i="12" s="1"/>
  <c r="J87" i="12" s="1"/>
  <c r="L87" i="12" s="1"/>
  <c r="R198" i="24"/>
  <c r="G317" i="19"/>
  <c r="J323" i="19" s="1"/>
  <c r="L68" i="13"/>
  <c r="M68" i="13" s="1"/>
  <c r="M60" i="13"/>
  <c r="V72" i="12"/>
  <c r="M15" i="5"/>
  <c r="U22" i="2"/>
  <c r="V22" i="2" s="1"/>
  <c r="N22" i="5"/>
  <c r="O22" i="5" s="1"/>
  <c r="M23" i="5"/>
  <c r="N37" i="5"/>
  <c r="O37" i="5" s="1"/>
  <c r="N16" i="5"/>
  <c r="M17" i="5"/>
  <c r="N17" i="5" s="1"/>
  <c r="M11" i="5"/>
  <c r="N11" i="5" s="1"/>
  <c r="M8" i="5"/>
  <c r="G17" i="22"/>
  <c r="K91" i="3"/>
  <c r="L50" i="24"/>
  <c r="L51" i="24" s="1"/>
  <c r="M111" i="3" s="1"/>
  <c r="R111" i="3" s="1"/>
  <c r="K22" i="3"/>
  <c r="O22" i="3" s="1"/>
  <c r="M40" i="3"/>
  <c r="R40" i="3" s="1"/>
  <c r="G17" i="21"/>
  <c r="K98" i="3"/>
  <c r="F11" i="21"/>
  <c r="G15" i="21"/>
  <c r="F34" i="22"/>
  <c r="J56" i="24"/>
  <c r="J58" i="24" s="1"/>
  <c r="K113" i="3" s="1"/>
  <c r="J185" i="24"/>
  <c r="K185" i="24" s="1"/>
  <c r="M12" i="3"/>
  <c r="R12" i="3" s="1"/>
  <c r="G9" i="21"/>
  <c r="F34" i="21"/>
  <c r="F32" i="22"/>
  <c r="L186" i="24"/>
  <c r="M186" i="24" s="1"/>
  <c r="L14" i="2"/>
  <c r="M35" i="3"/>
  <c r="R35" i="3" s="1"/>
  <c r="F32" i="21"/>
  <c r="F11" i="22"/>
  <c r="G15" i="22"/>
  <c r="L42" i="24"/>
  <c r="M42" i="24" s="1"/>
  <c r="M41" i="24" s="1"/>
  <c r="I214" i="24"/>
  <c r="R214" i="24" s="1"/>
  <c r="R213" i="24" s="1"/>
  <c r="L33" i="2"/>
  <c r="K85" i="3"/>
  <c r="M94" i="3"/>
  <c r="R94" i="3" s="1"/>
  <c r="M100" i="3"/>
  <c r="R100" i="3" s="1"/>
  <c r="F30" i="21"/>
  <c r="J146" i="24"/>
  <c r="J147" i="24" s="1"/>
  <c r="K115" i="3" s="1"/>
  <c r="L193" i="24"/>
  <c r="M193" i="24" s="1"/>
  <c r="J194" i="24"/>
  <c r="K194" i="24" s="1"/>
  <c r="L226" i="24"/>
  <c r="L249" i="24"/>
  <c r="M249" i="24" s="1"/>
  <c r="F15" i="22"/>
  <c r="G31" i="22"/>
  <c r="G33" i="22"/>
  <c r="G35" i="22"/>
  <c r="J186" i="24"/>
  <c r="K186" i="24" s="1"/>
  <c r="L203" i="24"/>
  <c r="M203" i="24" s="1"/>
  <c r="L227" i="24"/>
  <c r="M227" i="24" s="1"/>
  <c r="L250" i="24"/>
  <c r="M250" i="24" s="1"/>
  <c r="L29" i="2"/>
  <c r="M87" i="3"/>
  <c r="R87" i="3" s="1"/>
  <c r="F15" i="21"/>
  <c r="G31" i="21"/>
  <c r="O21" i="12"/>
  <c r="O34" i="12"/>
  <c r="H81" i="12"/>
  <c r="J81" i="12" s="1"/>
  <c r="H12" i="12"/>
  <c r="J12" i="12" s="1"/>
  <c r="J11" i="12" s="1"/>
  <c r="N11" i="12" s="1"/>
  <c r="G312" i="19"/>
  <c r="M53" i="24"/>
  <c r="M52" i="24" s="1"/>
  <c r="G177" i="34"/>
  <c r="R130" i="24"/>
  <c r="R137" i="24"/>
  <c r="M289" i="24"/>
  <c r="G30" i="22"/>
  <c r="G30" i="21"/>
  <c r="M85" i="3"/>
  <c r="R85" i="3" s="1"/>
  <c r="L146" i="24"/>
  <c r="L147" i="24" s="1"/>
  <c r="M115" i="3" s="1"/>
  <c r="R115" i="3" s="1"/>
  <c r="L28" i="2"/>
  <c r="I203" i="24"/>
  <c r="R203" i="24" s="1"/>
  <c r="I146" i="24"/>
  <c r="R146" i="24" s="1"/>
  <c r="R147" i="24" s="1"/>
  <c r="G310" i="19"/>
  <c r="G168" i="34"/>
  <c r="R136" i="24"/>
  <c r="G176" i="34"/>
  <c r="R128" i="24"/>
  <c r="K31" i="24"/>
  <c r="L33" i="24"/>
  <c r="M124" i="3" s="1"/>
  <c r="R124" i="3" s="1"/>
  <c r="M92" i="24"/>
  <c r="M143" i="24"/>
  <c r="M142" i="24" s="1"/>
  <c r="M162" i="24"/>
  <c r="M161" i="24" s="1"/>
  <c r="M176" i="24"/>
  <c r="M199" i="24"/>
  <c r="M205" i="24"/>
  <c r="O58" i="3"/>
  <c r="K71" i="24"/>
  <c r="K70" i="24" s="1"/>
  <c r="K74" i="24"/>
  <c r="M109" i="24"/>
  <c r="M276" i="24"/>
  <c r="M279" i="24"/>
  <c r="M278" i="24" s="1"/>
  <c r="O59" i="12"/>
  <c r="O77" i="12"/>
  <c r="K110" i="24"/>
  <c r="K128" i="24"/>
  <c r="K133" i="24"/>
  <c r="K132" i="24" s="1"/>
  <c r="J211" i="24"/>
  <c r="K101" i="12" s="1"/>
  <c r="K243" i="24"/>
  <c r="K242" i="24" s="1"/>
  <c r="R90" i="24"/>
  <c r="M129" i="24"/>
  <c r="M251" i="24"/>
  <c r="K13" i="24"/>
  <c r="K95" i="24"/>
  <c r="K94" i="24" s="1"/>
  <c r="K104" i="24"/>
  <c r="M107" i="24"/>
  <c r="M106" i="24" s="1"/>
  <c r="J138" i="24"/>
  <c r="K103" i="12" s="1"/>
  <c r="K275" i="24"/>
  <c r="R102" i="24"/>
  <c r="R209" i="24"/>
  <c r="R274" i="24"/>
  <c r="R324" i="24"/>
  <c r="R192" i="24"/>
  <c r="U25" i="2"/>
  <c r="V25" i="2" s="1"/>
  <c r="K20" i="24"/>
  <c r="I204" i="24"/>
  <c r="R204" i="24" s="1"/>
  <c r="M238" i="24"/>
  <c r="R73" i="24"/>
  <c r="I226" i="24"/>
  <c r="R226" i="24" s="1"/>
  <c r="K159" i="24"/>
  <c r="K195" i="24"/>
  <c r="K239" i="24"/>
  <c r="K309" i="24"/>
  <c r="I56" i="24"/>
  <c r="R56" i="24" s="1"/>
  <c r="R58" i="24" s="1"/>
  <c r="R55" i="24" s="1"/>
  <c r="I157" i="24"/>
  <c r="R157" i="24" s="1"/>
  <c r="R156" i="24" s="1"/>
  <c r="I173" i="24"/>
  <c r="R173" i="24" s="1"/>
  <c r="R177" i="24" s="1"/>
  <c r="R172" i="24" s="1"/>
  <c r="I186" i="24"/>
  <c r="R186" i="24" s="1"/>
  <c r="R184" i="24" s="1"/>
  <c r="I227" i="24"/>
  <c r="R227" i="24" s="1"/>
  <c r="R234" i="24"/>
  <c r="R232" i="24" s="1"/>
  <c r="R45" i="24"/>
  <c r="R47" i="24"/>
  <c r="R306" i="24"/>
  <c r="R304" i="24" s="1"/>
  <c r="K11" i="24"/>
  <c r="K10" i="24" s="1"/>
  <c r="K25" i="24"/>
  <c r="K30" i="24"/>
  <c r="K57" i="24"/>
  <c r="K62" i="24"/>
  <c r="K75" i="24"/>
  <c r="R39" i="24"/>
  <c r="R36" i="24" s="1"/>
  <c r="R218" i="24"/>
  <c r="R216" i="24" s="1"/>
  <c r="R252" i="24"/>
  <c r="R248" i="24" s="1"/>
  <c r="M204" i="24"/>
  <c r="M216" i="24"/>
  <c r="M301" i="24"/>
  <c r="M300" i="24" s="1"/>
  <c r="R63" i="24"/>
  <c r="R61" i="24" s="1"/>
  <c r="R322" i="24"/>
  <c r="R320" i="24" s="1"/>
  <c r="R329" i="24"/>
  <c r="R67" i="24"/>
  <c r="R65" i="24" s="1"/>
  <c r="R211" i="24"/>
  <c r="O36" i="12"/>
  <c r="M96" i="12"/>
  <c r="R96" i="12" s="1"/>
  <c r="K46" i="24"/>
  <c r="K79" i="24"/>
  <c r="K78" i="24" s="1"/>
  <c r="R257" i="24"/>
  <c r="R255" i="24" s="1"/>
  <c r="R221" i="24"/>
  <c r="R244" i="24"/>
  <c r="R33" i="24"/>
  <c r="R29" i="24" s="1"/>
  <c r="R108" i="24"/>
  <c r="R264" i="24"/>
  <c r="R292" i="24"/>
  <c r="R288" i="24" s="1"/>
  <c r="R314" i="24"/>
  <c r="R298" i="24"/>
  <c r="R295" i="24" s="1"/>
  <c r="K182" i="24"/>
  <c r="K200" i="24"/>
  <c r="J218" i="24"/>
  <c r="K120" i="3" s="1"/>
  <c r="K266" i="24"/>
  <c r="L298" i="24"/>
  <c r="M105" i="12" s="1"/>
  <c r="R105" i="12" s="1"/>
  <c r="K316" i="24"/>
  <c r="K84" i="24"/>
  <c r="K83" i="24" s="1"/>
  <c r="K149" i="24"/>
  <c r="K148" i="24" s="1"/>
  <c r="K175" i="24"/>
  <c r="K179" i="24"/>
  <c r="K178" i="24" s="1"/>
  <c r="K208" i="24"/>
  <c r="K207" i="24" s="1"/>
  <c r="K217" i="24"/>
  <c r="K222" i="24"/>
  <c r="K245" i="24"/>
  <c r="K256" i="24"/>
  <c r="R259" i="24"/>
  <c r="R51" i="24"/>
  <c r="R49" i="24" s="1"/>
  <c r="R310" i="24"/>
  <c r="R308" i="24" s="1"/>
  <c r="J12" i="9"/>
  <c r="J37" i="9"/>
  <c r="J78" i="12"/>
  <c r="J9" i="12"/>
  <c r="M330" i="24"/>
  <c r="K330" i="24"/>
  <c r="M262" i="24"/>
  <c r="M261" i="24" s="1"/>
  <c r="K181" i="24"/>
  <c r="K205" i="24"/>
  <c r="M240" i="24"/>
  <c r="I402" i="37"/>
  <c r="I403" i="37" s="1"/>
  <c r="H403" i="37" s="1"/>
  <c r="K91" i="24"/>
  <c r="K22" i="24"/>
  <c r="K21" i="24" s="1"/>
  <c r="M91" i="24"/>
  <c r="M37" i="24"/>
  <c r="K113" i="24"/>
  <c r="K112" i="24" s="1"/>
  <c r="J36" i="9"/>
  <c r="J38" i="19"/>
  <c r="J19" i="9"/>
  <c r="M30" i="24"/>
  <c r="K136" i="24"/>
  <c r="M136" i="24"/>
  <c r="J56" i="3"/>
  <c r="J70" i="3"/>
  <c r="J107" i="3"/>
  <c r="J82" i="12"/>
  <c r="J91" i="12"/>
  <c r="J8" i="3"/>
  <c r="J73" i="3"/>
  <c r="J17" i="9"/>
  <c r="AA17" i="9" s="1"/>
  <c r="J19" i="12"/>
  <c r="O83" i="12"/>
  <c r="H117" i="3"/>
  <c r="J117" i="3" s="1"/>
  <c r="O24" i="12"/>
  <c r="J37" i="12"/>
  <c r="J44" i="12"/>
  <c r="K143" i="24"/>
  <c r="K142" i="24" s="1"/>
  <c r="K97" i="12"/>
  <c r="J104" i="3"/>
  <c r="H118" i="3"/>
  <c r="J118" i="3" s="1"/>
  <c r="W118" i="3" s="1"/>
  <c r="J188" i="34"/>
  <c r="G60" i="19"/>
  <c r="M75" i="24"/>
  <c r="J177" i="24"/>
  <c r="K122" i="3" s="1"/>
  <c r="K228" i="24"/>
  <c r="K240" i="24"/>
  <c r="M316" i="24"/>
  <c r="O11" i="12"/>
  <c r="K152" i="24"/>
  <c r="K151" i="24" s="1"/>
  <c r="K193" i="24"/>
  <c r="L211" i="24"/>
  <c r="K246" i="24"/>
  <c r="M303" i="24"/>
  <c r="M302" i="24" s="1"/>
  <c r="G504" i="19"/>
  <c r="J38" i="12"/>
  <c r="J71" i="12"/>
  <c r="J74" i="12"/>
  <c r="M14" i="24"/>
  <c r="K96" i="12"/>
  <c r="M60" i="24"/>
  <c r="M59" i="24" s="1"/>
  <c r="M77" i="24"/>
  <c r="M76" i="24" s="1"/>
  <c r="K135" i="24"/>
  <c r="M158" i="24"/>
  <c r="M220" i="24"/>
  <c r="M219" i="24" s="1"/>
  <c r="M245" i="24"/>
  <c r="M281" i="24"/>
  <c r="M280" i="24" s="1"/>
  <c r="R77" i="12"/>
  <c r="J7" i="9"/>
  <c r="H96" i="12"/>
  <c r="J96" i="12" s="1"/>
  <c r="W96" i="12" s="1"/>
  <c r="G601" i="19"/>
  <c r="K24" i="24"/>
  <c r="K103" i="24"/>
  <c r="M174" i="24"/>
  <c r="M246" i="24"/>
  <c r="K270" i="24"/>
  <c r="K269" i="24" s="1"/>
  <c r="K305" i="24"/>
  <c r="J49" i="3"/>
  <c r="J52" i="3"/>
  <c r="J51" i="3" s="1"/>
  <c r="E21" i="22" s="1"/>
  <c r="J64" i="3"/>
  <c r="J68" i="3"/>
  <c r="J97" i="3"/>
  <c r="J34" i="9"/>
  <c r="J24" i="3"/>
  <c r="J8" i="9"/>
  <c r="J63" i="3"/>
  <c r="J26" i="3"/>
  <c r="J29" i="3"/>
  <c r="O13" i="12"/>
  <c r="J75" i="3"/>
  <c r="J15" i="12"/>
  <c r="J63" i="12"/>
  <c r="H98" i="12"/>
  <c r="J98" i="12" s="1"/>
  <c r="H99" i="12"/>
  <c r="J99" i="12" s="1"/>
  <c r="H100" i="12"/>
  <c r="J100" i="12" s="1"/>
  <c r="H95" i="12"/>
  <c r="J95" i="12" s="1"/>
  <c r="G141" i="19"/>
  <c r="K306" i="24"/>
  <c r="H110" i="3"/>
  <c r="J110" i="3" s="1"/>
  <c r="N110" i="3" s="1"/>
  <c r="H113" i="3"/>
  <c r="J113" i="3" s="1"/>
  <c r="W113" i="3" s="1"/>
  <c r="M47" i="24"/>
  <c r="H120" i="3"/>
  <c r="J120" i="3" s="1"/>
  <c r="G108" i="19"/>
  <c r="G530" i="19"/>
  <c r="K310" i="24"/>
  <c r="J19" i="3"/>
  <c r="O25" i="3"/>
  <c r="J41" i="3"/>
  <c r="J88" i="3"/>
  <c r="O110" i="3"/>
  <c r="O16" i="12"/>
  <c r="J39" i="12"/>
  <c r="J42" i="12"/>
  <c r="J46" i="12"/>
  <c r="J75" i="12"/>
  <c r="O99" i="12"/>
  <c r="J105" i="12"/>
  <c r="J115" i="3"/>
  <c r="W115" i="3" s="1"/>
  <c r="J44" i="9"/>
  <c r="J32" i="12"/>
  <c r="O74" i="3"/>
  <c r="J36" i="3"/>
  <c r="J31" i="12"/>
  <c r="J23" i="3"/>
  <c r="O95" i="12"/>
  <c r="O33" i="3"/>
  <c r="O43" i="3"/>
  <c r="R59" i="12"/>
  <c r="R43" i="3"/>
  <c r="J123" i="3"/>
  <c r="W123" i="3" s="1"/>
  <c r="J17" i="12"/>
  <c r="J16" i="12" s="1"/>
  <c r="E51" i="21" s="1"/>
  <c r="O62" i="12"/>
  <c r="J69" i="12"/>
  <c r="J47" i="12"/>
  <c r="J61" i="12"/>
  <c r="J79" i="12"/>
  <c r="J101" i="12"/>
  <c r="J84" i="3"/>
  <c r="J83" i="3" s="1"/>
  <c r="N83" i="3" s="1"/>
  <c r="J90" i="3"/>
  <c r="J93" i="3"/>
  <c r="J96" i="3"/>
  <c r="J29" i="12"/>
  <c r="J68" i="12"/>
  <c r="J85" i="12"/>
  <c r="J7" i="3"/>
  <c r="J56" i="12"/>
  <c r="J16" i="3"/>
  <c r="O18" i="12"/>
  <c r="O10" i="3"/>
  <c r="O83" i="3"/>
  <c r="J119" i="3"/>
  <c r="W119" i="3" s="1"/>
  <c r="J9" i="9"/>
  <c r="J18" i="9"/>
  <c r="J47" i="9"/>
  <c r="K15" i="24"/>
  <c r="K162" i="24"/>
  <c r="K161" i="24" s="1"/>
  <c r="J33" i="12"/>
  <c r="M15" i="24"/>
  <c r="K199" i="24"/>
  <c r="K251" i="24"/>
  <c r="K289" i="24"/>
  <c r="M296" i="24"/>
  <c r="M39" i="35"/>
  <c r="J11" i="3"/>
  <c r="J10" i="3" s="1"/>
  <c r="J32" i="3"/>
  <c r="J78" i="3"/>
  <c r="J15" i="9"/>
  <c r="J29" i="9"/>
  <c r="J38" i="9"/>
  <c r="J7" i="12"/>
  <c r="J6" i="12" s="1"/>
  <c r="E47" i="21" s="1"/>
  <c r="J103" i="12"/>
  <c r="W103" i="12" s="1"/>
  <c r="J104" i="12"/>
  <c r="W104" i="12" s="1"/>
  <c r="K50" i="24"/>
  <c r="K69" i="24"/>
  <c r="K68" i="24" s="1"/>
  <c r="K14" i="24"/>
  <c r="M69" i="24"/>
  <c r="M68" i="24" s="1"/>
  <c r="K276" i="24"/>
  <c r="J42" i="9"/>
  <c r="J21" i="9"/>
  <c r="J20" i="9" s="1"/>
  <c r="J45" i="9"/>
  <c r="J27" i="12"/>
  <c r="J45" i="12"/>
  <c r="M25" i="24"/>
  <c r="M104" i="24"/>
  <c r="M222" i="24"/>
  <c r="K279" i="24"/>
  <c r="K278" i="24" s="1"/>
  <c r="J31" i="3"/>
  <c r="J76" i="3"/>
  <c r="J80" i="3"/>
  <c r="J89" i="3"/>
  <c r="J92" i="3"/>
  <c r="J25" i="9"/>
  <c r="J20" i="12"/>
  <c r="J30" i="12"/>
  <c r="J51" i="12"/>
  <c r="J54" i="12"/>
  <c r="M217" i="24"/>
  <c r="K291" i="24"/>
  <c r="J65" i="3"/>
  <c r="J69" i="3"/>
  <c r="J72" i="3"/>
  <c r="J86" i="3"/>
  <c r="J85" i="3" s="1"/>
  <c r="E30" i="21" s="1"/>
  <c r="J73" i="12"/>
  <c r="J169" i="19"/>
  <c r="J111" i="19"/>
  <c r="M24" i="24"/>
  <c r="M103" i="24"/>
  <c r="M275" i="24"/>
  <c r="J47" i="3"/>
  <c r="J46" i="3" s="1"/>
  <c r="E19" i="22" s="1"/>
  <c r="K51" i="24"/>
  <c r="K107" i="24"/>
  <c r="K106" i="24" s="1"/>
  <c r="J13" i="3"/>
  <c r="J17" i="3"/>
  <c r="J21" i="3"/>
  <c r="J99" i="3"/>
  <c r="J98" i="3" s="1"/>
  <c r="J106" i="3"/>
  <c r="J124" i="3"/>
  <c r="J16" i="9"/>
  <c r="J28" i="9"/>
  <c r="J46" i="9"/>
  <c r="J58" i="12"/>
  <c r="J92" i="12"/>
  <c r="K47" i="24"/>
  <c r="K98" i="24"/>
  <c r="M149" i="24"/>
  <c r="M148" i="24" s="1"/>
  <c r="M182" i="24"/>
  <c r="M195" i="24"/>
  <c r="M208" i="24"/>
  <c r="M207" i="24" s="1"/>
  <c r="K216" i="24"/>
  <c r="M260" i="24"/>
  <c r="M270" i="24"/>
  <c r="M269" i="24" s="1"/>
  <c r="M291" i="24"/>
  <c r="M27" i="35"/>
  <c r="M41" i="35"/>
  <c r="J35" i="12"/>
  <c r="J34" i="12" s="1"/>
  <c r="E56" i="21" s="1"/>
  <c r="J57" i="12"/>
  <c r="J84" i="12"/>
  <c r="M13" i="24"/>
  <c r="M20" i="24"/>
  <c r="M98" i="24"/>
  <c r="K101" i="24"/>
  <c r="K100" i="24" s="1"/>
  <c r="M152" i="24"/>
  <c r="M151" i="24" s="1"/>
  <c r="M185" i="24"/>
  <c r="K204" i="24"/>
  <c r="K220" i="24"/>
  <c r="K219" i="24" s="1"/>
  <c r="K268" i="24"/>
  <c r="K267" i="24" s="1"/>
  <c r="M273" i="24"/>
  <c r="M272" i="24" s="1"/>
  <c r="M305" i="24"/>
  <c r="O27" i="35"/>
  <c r="J9" i="3"/>
  <c r="J20" i="3"/>
  <c r="J42" i="3"/>
  <c r="J54" i="3"/>
  <c r="J53" i="3" s="1"/>
  <c r="L53" i="3" s="1"/>
  <c r="J57" i="3"/>
  <c r="J60" i="3"/>
  <c r="J105" i="3"/>
  <c r="J116" i="3"/>
  <c r="W116" i="3" s="1"/>
  <c r="J122" i="3"/>
  <c r="W122" i="3" s="1"/>
  <c r="J27" i="9"/>
  <c r="J33" i="9"/>
  <c r="J51" i="9"/>
  <c r="J22" i="12"/>
  <c r="J25" i="12"/>
  <c r="J65" i="12"/>
  <c r="J90" i="12"/>
  <c r="M84" i="24"/>
  <c r="M83" i="24" s="1"/>
  <c r="K97" i="24"/>
  <c r="M101" i="24"/>
  <c r="M100" i="24" s="1"/>
  <c r="M133" i="24"/>
  <c r="M132" i="24" s="1"/>
  <c r="M194" i="24"/>
  <c r="M268" i="24"/>
  <c r="M267" i="24" s="1"/>
  <c r="K8" i="24"/>
  <c r="J67" i="3"/>
  <c r="J79" i="3"/>
  <c r="J82" i="3"/>
  <c r="J81" i="3" s="1"/>
  <c r="N81" i="3" s="1"/>
  <c r="J95" i="3"/>
  <c r="J101" i="3"/>
  <c r="J100" i="3" s="1"/>
  <c r="J111" i="3"/>
  <c r="L111" i="3" s="1"/>
  <c r="J114" i="3"/>
  <c r="J121" i="3"/>
  <c r="W121" i="3" s="1"/>
  <c r="J14" i="9"/>
  <c r="J32" i="9"/>
  <c r="J35" i="9"/>
  <c r="J41" i="9"/>
  <c r="J50" i="9"/>
  <c r="J10" i="12"/>
  <c r="J14" i="12"/>
  <c r="J49" i="12"/>
  <c r="J48" i="12" s="1"/>
  <c r="S48" i="12" s="1"/>
  <c r="M11" i="24"/>
  <c r="M10" i="24" s="1"/>
  <c r="M82" i="24"/>
  <c r="M81" i="24" s="1"/>
  <c r="M181" i="24"/>
  <c r="K303" i="24"/>
  <c r="K302" i="24" s="1"/>
  <c r="M12" i="35"/>
  <c r="L21" i="35"/>
  <c r="J103" i="3"/>
  <c r="J27" i="3"/>
  <c r="J59" i="3"/>
  <c r="J108" i="3"/>
  <c r="J23" i="9"/>
  <c r="J22" i="9" s="1"/>
  <c r="E42" i="21" s="1"/>
  <c r="J31" i="9"/>
  <c r="J40" i="9"/>
  <c r="J49" i="9"/>
  <c r="J52" i="12"/>
  <c r="J60" i="12"/>
  <c r="K44" i="24"/>
  <c r="K43" i="24" s="1"/>
  <c r="M71" i="24"/>
  <c r="M70" i="24" s="1"/>
  <c r="M21" i="35"/>
  <c r="J18" i="3"/>
  <c r="J34" i="3"/>
  <c r="J33" i="3" s="1"/>
  <c r="J44" i="3"/>
  <c r="J50" i="3"/>
  <c r="J62" i="3"/>
  <c r="J66" i="3"/>
  <c r="J77" i="3"/>
  <c r="J112" i="3"/>
  <c r="L112" i="3" s="1"/>
  <c r="J10" i="9"/>
  <c r="J11" i="9"/>
  <c r="J13" i="9"/>
  <c r="J30" i="9"/>
  <c r="J39" i="9"/>
  <c r="J48" i="9"/>
  <c r="J43" i="12"/>
  <c r="J64" i="12"/>
  <c r="J67" i="12"/>
  <c r="J76" i="12"/>
  <c r="J94" i="12"/>
  <c r="W94" i="12" s="1"/>
  <c r="J102" i="12"/>
  <c r="W102" i="12" s="1"/>
  <c r="M44" i="24"/>
  <c r="M43" i="24" s="1"/>
  <c r="M46" i="24"/>
  <c r="M74" i="24"/>
  <c r="R58" i="3"/>
  <c r="J33" i="24"/>
  <c r="K124" i="3" s="1"/>
  <c r="J292" i="24"/>
  <c r="K123" i="3" s="1"/>
  <c r="O51" i="3"/>
  <c r="O48" i="3"/>
  <c r="O56" i="5"/>
  <c r="H158" i="34"/>
  <c r="J158" i="34" s="1"/>
  <c r="H280" i="19"/>
  <c r="J280" i="19" s="1"/>
  <c r="K242" i="16"/>
  <c r="N68" i="5"/>
  <c r="O68" i="5" s="1"/>
  <c r="P68" i="5" s="1"/>
  <c r="AL68" i="5" s="1"/>
  <c r="M69" i="5"/>
  <c r="H284" i="34"/>
  <c r="J284" i="34" s="1"/>
  <c r="J283" i="34" s="1"/>
  <c r="P220" i="24"/>
  <c r="Q220" i="24" s="1"/>
  <c r="Q219" i="24" s="1"/>
  <c r="P36" i="1" s="1"/>
  <c r="T36" i="1" s="1"/>
  <c r="H42" i="22"/>
  <c r="H42" i="21"/>
  <c r="H532" i="19"/>
  <c r="J532" i="19" s="1"/>
  <c r="J531" i="19" s="1"/>
  <c r="X22" i="9"/>
  <c r="Z22" i="9" s="1"/>
  <c r="M11" i="13"/>
  <c r="V11" i="12"/>
  <c r="R6" i="3"/>
  <c r="R22" i="3"/>
  <c r="J45" i="3"/>
  <c r="O6" i="5"/>
  <c r="P6" i="5" s="1"/>
  <c r="AL6" i="5" s="1"/>
  <c r="AN6" i="5" s="1"/>
  <c r="AO6" i="5" s="1"/>
  <c r="N27" i="5"/>
  <c r="O27" i="5" s="1"/>
  <c r="M28" i="5"/>
  <c r="O42" i="5"/>
  <c r="P42" i="5" s="1"/>
  <c r="AL42" i="5" s="1"/>
  <c r="N59" i="5"/>
  <c r="O59" i="5" s="1"/>
  <c r="M60" i="5"/>
  <c r="N71" i="5"/>
  <c r="O71" i="5" s="1"/>
  <c r="P71" i="5" s="1"/>
  <c r="M72" i="5"/>
  <c r="W52" i="9"/>
  <c r="H358" i="34"/>
  <c r="J358" i="34" s="1"/>
  <c r="H149" i="34"/>
  <c r="J149" i="34" s="1"/>
  <c r="H131" i="34"/>
  <c r="J131" i="34" s="1"/>
  <c r="H140" i="34"/>
  <c r="J140" i="34" s="1"/>
  <c r="H261" i="19"/>
  <c r="J261" i="19" s="1"/>
  <c r="H662" i="19"/>
  <c r="J662" i="19" s="1"/>
  <c r="H242" i="19"/>
  <c r="J242" i="19" s="1"/>
  <c r="H223" i="19"/>
  <c r="H448" i="34"/>
  <c r="H40" i="34"/>
  <c r="H827" i="19"/>
  <c r="J827" i="19" s="1"/>
  <c r="H58" i="19"/>
  <c r="J58" i="19" s="1"/>
  <c r="R38" i="3"/>
  <c r="O38" i="3"/>
  <c r="K231" i="16"/>
  <c r="R15" i="3"/>
  <c r="O15" i="3"/>
  <c r="J37" i="3"/>
  <c r="N35" i="5"/>
  <c r="O35" i="5" s="1"/>
  <c r="P35" i="5" s="1"/>
  <c r="M63" i="5"/>
  <c r="N62" i="5"/>
  <c r="H176" i="34"/>
  <c r="H318" i="19"/>
  <c r="J318" i="19" s="1"/>
  <c r="J125" i="34"/>
  <c r="M16" i="15"/>
  <c r="K16" i="15"/>
  <c r="O16" i="15"/>
  <c r="O36" i="5"/>
  <c r="P36" i="5" s="1"/>
  <c r="AL36" i="5" s="1"/>
  <c r="AN36" i="5" s="1"/>
  <c r="AO36" i="5" s="1"/>
  <c r="M47" i="5"/>
  <c r="O45" i="5"/>
  <c r="M32" i="13"/>
  <c r="V34" i="12"/>
  <c r="G48" i="18"/>
  <c r="H48" i="18" s="1"/>
  <c r="R55" i="3"/>
  <c r="O55" i="3"/>
  <c r="R71" i="3"/>
  <c r="O71" i="3"/>
  <c r="U19" i="2"/>
  <c r="V19" i="2" s="1"/>
  <c r="O31" i="5"/>
  <c r="P31" i="5" s="1"/>
  <c r="P37" i="5"/>
  <c r="M43" i="5"/>
  <c r="O52" i="5"/>
  <c r="M66" i="5"/>
  <c r="N65" i="5"/>
  <c r="M220" i="16"/>
  <c r="K220" i="16"/>
  <c r="J14" i="3"/>
  <c r="J30" i="3"/>
  <c r="P121" i="24"/>
  <c r="J153" i="34"/>
  <c r="J135" i="34"/>
  <c r="J362" i="34"/>
  <c r="J666" i="19"/>
  <c r="K8" i="13"/>
  <c r="L8" i="13" s="1"/>
  <c r="M8" i="13" s="1"/>
  <c r="K58" i="13"/>
  <c r="L58" i="13" s="1"/>
  <c r="M58" i="13" s="1"/>
  <c r="L20" i="11" s="1"/>
  <c r="K54" i="13"/>
  <c r="L54" i="13" s="1"/>
  <c r="M54" i="13" s="1"/>
  <c r="K30" i="13"/>
  <c r="L30" i="13" s="1"/>
  <c r="M30" i="13" s="1"/>
  <c r="L12" i="11" s="1"/>
  <c r="K15" i="13"/>
  <c r="L15" i="13" s="1"/>
  <c r="M15" i="13" s="1"/>
  <c r="L7" i="11" s="1"/>
  <c r="K21" i="13"/>
  <c r="L21" i="13" s="1"/>
  <c r="L6" i="16"/>
  <c r="N6" i="16" s="1"/>
  <c r="O6" i="16" s="1"/>
  <c r="K64" i="13"/>
  <c r="L64" i="13" s="1"/>
  <c r="K27" i="13"/>
  <c r="L27" i="13" s="1"/>
  <c r="M27" i="13" s="1"/>
  <c r="L11" i="11" s="1"/>
  <c r="L55" i="13"/>
  <c r="K24" i="13"/>
  <c r="L24" i="13" s="1"/>
  <c r="M24" i="13" s="1"/>
  <c r="L10" i="11" s="1"/>
  <c r="L75" i="13"/>
  <c r="H18" i="18"/>
  <c r="G18" i="18"/>
  <c r="J87" i="19"/>
  <c r="N30" i="5"/>
  <c r="N38" i="5"/>
  <c r="M39" i="5"/>
  <c r="N55" i="5"/>
  <c r="H446" i="34"/>
  <c r="J446" i="34" s="1"/>
  <c r="J445" i="34" s="1"/>
  <c r="H433" i="34"/>
  <c r="J433" i="34" s="1"/>
  <c r="J432" i="34" s="1"/>
  <c r="I46" i="35" s="1"/>
  <c r="N46" i="35" s="1"/>
  <c r="H81" i="34"/>
  <c r="J81" i="34" s="1"/>
  <c r="J80" i="34" s="1"/>
  <c r="I12" i="35" s="1"/>
  <c r="N12" i="35" s="1"/>
  <c r="H252" i="34"/>
  <c r="J252" i="34" s="1"/>
  <c r="J251" i="34" s="1"/>
  <c r="P328" i="24"/>
  <c r="Q328" i="24" s="1"/>
  <c r="Q327" i="24" s="1"/>
  <c r="P49" i="1" s="1"/>
  <c r="T49" i="1" s="1"/>
  <c r="P294" i="24"/>
  <c r="Q294" i="24" s="1"/>
  <c r="Q293" i="24" s="1"/>
  <c r="P45" i="1" s="1"/>
  <c r="T45" i="1" s="1"/>
  <c r="H240" i="34"/>
  <c r="J240" i="34" s="1"/>
  <c r="J239" i="34" s="1"/>
  <c r="H56" i="34"/>
  <c r="J56" i="34" s="1"/>
  <c r="J55" i="34" s="1"/>
  <c r="H25" i="34"/>
  <c r="H313" i="34"/>
  <c r="J313" i="34" s="1"/>
  <c r="J312" i="34" s="1"/>
  <c r="H228" i="34"/>
  <c r="J228" i="34" s="1"/>
  <c r="J227" i="34" s="1"/>
  <c r="H111" i="34"/>
  <c r="H38" i="34"/>
  <c r="H414" i="34"/>
  <c r="H173" i="34"/>
  <c r="J173" i="34" s="1"/>
  <c r="J172" i="34" s="1"/>
  <c r="I22" i="35" s="1"/>
  <c r="N22" i="35" s="1"/>
  <c r="H389" i="34"/>
  <c r="J389" i="34" s="1"/>
  <c r="J388" i="34" s="1"/>
  <c r="P197" i="24"/>
  <c r="Q197" i="24" s="1"/>
  <c r="Q196" i="24" s="1"/>
  <c r="P34" i="1" s="1"/>
  <c r="T34" i="1" s="1"/>
  <c r="P133" i="24"/>
  <c r="Q133" i="24" s="1"/>
  <c r="Q132" i="24" s="1"/>
  <c r="P24" i="1" s="1"/>
  <c r="T24" i="1" s="1"/>
  <c r="H208" i="34"/>
  <c r="J208" i="34" s="1"/>
  <c r="J207" i="34" s="1"/>
  <c r="P312" i="24"/>
  <c r="Q312" i="24" s="1"/>
  <c r="Q311" i="24" s="1"/>
  <c r="P47" i="1" s="1"/>
  <c r="T47" i="1" s="1"/>
  <c r="P162" i="24"/>
  <c r="Q162" i="24" s="1"/>
  <c r="Q161" i="24" s="1"/>
  <c r="P28" i="1" s="1"/>
  <c r="T28" i="1" s="1"/>
  <c r="P149" i="24"/>
  <c r="Q149" i="24" s="1"/>
  <c r="Q148" i="24" s="1"/>
  <c r="P26" i="1" s="1"/>
  <c r="T26" i="1" s="1"/>
  <c r="H348" i="34"/>
  <c r="J348" i="34" s="1"/>
  <c r="J347" i="34" s="1"/>
  <c r="I38" i="35" s="1"/>
  <c r="N38" i="35" s="1"/>
  <c r="P268" i="24"/>
  <c r="Q268" i="24" s="1"/>
  <c r="Q267" i="24" s="1"/>
  <c r="P41" i="1" s="1"/>
  <c r="T41" i="1" s="1"/>
  <c r="P188" i="24"/>
  <c r="Q188" i="24" s="1"/>
  <c r="Q187" i="24" s="1"/>
  <c r="P33" i="1" s="1"/>
  <c r="T33" i="1" s="1"/>
  <c r="P243" i="24"/>
  <c r="Q243" i="24" s="1"/>
  <c r="Q242" i="24" s="1"/>
  <c r="P38" i="1" s="1"/>
  <c r="T38" i="1" s="1"/>
  <c r="P35" i="24"/>
  <c r="Q35" i="24" s="1"/>
  <c r="Q34" i="24" s="1"/>
  <c r="P10" i="1" s="1"/>
  <c r="T10" i="1" s="1"/>
  <c r="P22" i="24"/>
  <c r="Q22" i="24" s="1"/>
  <c r="Q21" i="24" s="1"/>
  <c r="P9" i="1" s="1"/>
  <c r="T9" i="1" s="1"/>
  <c r="H11" i="34"/>
  <c r="P11" i="24"/>
  <c r="Q11" i="24" s="1"/>
  <c r="Q10" i="24" s="1"/>
  <c r="P8" i="1" s="1"/>
  <c r="T8" i="1" s="1"/>
  <c r="H43" i="21"/>
  <c r="P53" i="24"/>
  <c r="Q53" i="24" s="1"/>
  <c r="Q52" i="24" s="1"/>
  <c r="P12" i="1" s="1"/>
  <c r="T12" i="1" s="1"/>
  <c r="H642" i="19"/>
  <c r="J642" i="19" s="1"/>
  <c r="J641" i="19" s="1"/>
  <c r="H184" i="19"/>
  <c r="J184" i="19" s="1"/>
  <c r="J183" i="19" s="1"/>
  <c r="H83" i="19"/>
  <c r="J83" i="19" s="1"/>
  <c r="J82" i="19" s="1"/>
  <c r="H765" i="19"/>
  <c r="J765" i="19" s="1"/>
  <c r="J764" i="19" s="1"/>
  <c r="H195" i="34"/>
  <c r="J195" i="34" s="1"/>
  <c r="J194" i="34" s="1"/>
  <c r="I24" i="35" s="1"/>
  <c r="N24" i="35" s="1"/>
  <c r="H43" i="22"/>
  <c r="H440" i="19"/>
  <c r="J440" i="19" s="1"/>
  <c r="J439" i="19" s="1"/>
  <c r="P77" i="24"/>
  <c r="Q77" i="24" s="1"/>
  <c r="Q76" i="24" s="1"/>
  <c r="P15" i="1" s="1"/>
  <c r="T15" i="1" s="1"/>
  <c r="H356" i="19"/>
  <c r="J356" i="19" s="1"/>
  <c r="J355" i="19" s="1"/>
  <c r="H34" i="19"/>
  <c r="H825" i="19"/>
  <c r="J825" i="19" s="1"/>
  <c r="J824" i="19" s="1"/>
  <c r="H389" i="19"/>
  <c r="J389" i="19" s="1"/>
  <c r="J388" i="19" s="1"/>
  <c r="H315" i="19"/>
  <c r="H126" i="19"/>
  <c r="J126" i="19" s="1"/>
  <c r="J125" i="19" s="1"/>
  <c r="H803" i="19"/>
  <c r="J803" i="19" s="1"/>
  <c r="J802" i="19" s="1"/>
  <c r="H482" i="19"/>
  <c r="J482" i="19" s="1"/>
  <c r="J481" i="19" s="1"/>
  <c r="H461" i="19"/>
  <c r="J461" i="19" s="1"/>
  <c r="J460" i="19" s="1"/>
  <c r="H11" i="19"/>
  <c r="J11" i="19" s="1"/>
  <c r="J10" i="19" s="1"/>
  <c r="H722" i="19"/>
  <c r="J722" i="19" s="1"/>
  <c r="J721" i="19" s="1"/>
  <c r="H56" i="19"/>
  <c r="J56" i="19" s="1"/>
  <c r="J55" i="19" s="1"/>
  <c r="P179" i="24"/>
  <c r="Q179" i="24" s="1"/>
  <c r="Q178" i="24" s="1"/>
  <c r="P32" i="1" s="1"/>
  <c r="T32" i="1" s="1"/>
  <c r="H579" i="19"/>
  <c r="J579" i="19" s="1"/>
  <c r="J578" i="19" s="1"/>
  <c r="O12" i="10"/>
  <c r="P12" i="10" s="1"/>
  <c r="Q12" i="10" s="1"/>
  <c r="H102" i="34"/>
  <c r="J102" i="34" s="1"/>
  <c r="H166" i="19"/>
  <c r="J166" i="19" s="1"/>
  <c r="H186" i="34"/>
  <c r="J186" i="34" s="1"/>
  <c r="H338" i="19"/>
  <c r="J338" i="19" s="1"/>
  <c r="H391" i="34"/>
  <c r="J391" i="34" s="1"/>
  <c r="H58" i="34"/>
  <c r="H315" i="34"/>
  <c r="J315" i="34" s="1"/>
  <c r="H230" i="34"/>
  <c r="J230" i="34" s="1"/>
  <c r="H286" i="34"/>
  <c r="J286" i="34" s="1"/>
  <c r="H85" i="19"/>
  <c r="J85" i="19" s="1"/>
  <c r="H534" i="19"/>
  <c r="J534" i="19" s="1"/>
  <c r="H442" i="19"/>
  <c r="J442" i="19" s="1"/>
  <c r="J23" i="12"/>
  <c r="R24" i="12"/>
  <c r="M21" i="13"/>
  <c r="L9" i="11" s="1"/>
  <c r="M40" i="13"/>
  <c r="G43" i="18"/>
  <c r="H43" i="18" s="1"/>
  <c r="J394" i="19"/>
  <c r="J39" i="24"/>
  <c r="K104" i="12" s="1"/>
  <c r="K37" i="24"/>
  <c r="O46" i="3"/>
  <c r="O102" i="3"/>
  <c r="M21" i="5"/>
  <c r="N23" i="5"/>
  <c r="M24" i="5"/>
  <c r="N41" i="5"/>
  <c r="O41" i="5" s="1"/>
  <c r="N44" i="5"/>
  <c r="O44" i="5" s="1"/>
  <c r="O55" i="5"/>
  <c r="H271" i="34"/>
  <c r="H332" i="34"/>
  <c r="H607" i="19"/>
  <c r="J607" i="19" s="1"/>
  <c r="H510" i="19"/>
  <c r="J510" i="19" s="1"/>
  <c r="H367" i="34"/>
  <c r="J367" i="34" s="1"/>
  <c r="H681" i="19"/>
  <c r="J681" i="19" s="1"/>
  <c r="H449" i="34"/>
  <c r="H30" i="34"/>
  <c r="J30" i="34" s="1"/>
  <c r="H16" i="34"/>
  <c r="J16" i="34" s="1"/>
  <c r="H438" i="34"/>
  <c r="J438" i="34" s="1"/>
  <c r="H41" i="34"/>
  <c r="H828" i="19"/>
  <c r="J828" i="19" s="1"/>
  <c r="H808" i="19"/>
  <c r="J808" i="19" s="1"/>
  <c r="H59" i="19"/>
  <c r="J59" i="19" s="1"/>
  <c r="H39" i="19"/>
  <c r="H16" i="19"/>
  <c r="J16" i="19" s="1"/>
  <c r="H175" i="34"/>
  <c r="H317" i="19"/>
  <c r="O6" i="12"/>
  <c r="O8" i="12"/>
  <c r="K18" i="13"/>
  <c r="L18" i="13" s="1"/>
  <c r="M18" i="13" s="1"/>
  <c r="L8" i="11" s="1"/>
  <c r="I6" i="15"/>
  <c r="K6" i="16"/>
  <c r="I198" i="16"/>
  <c r="K27" i="24"/>
  <c r="M27" i="24"/>
  <c r="H177" i="34"/>
  <c r="H210" i="34"/>
  <c r="J210" i="34" s="1"/>
  <c r="H319" i="19"/>
  <c r="J319" i="19" s="1"/>
  <c r="H391" i="19"/>
  <c r="J391" i="19" s="1"/>
  <c r="O53" i="3"/>
  <c r="O61" i="3"/>
  <c r="O11" i="5"/>
  <c r="O14" i="5"/>
  <c r="N15" i="5"/>
  <c r="O15" i="5" s="1"/>
  <c r="O20" i="5"/>
  <c r="P20" i="5" s="1"/>
  <c r="N26" i="5"/>
  <c r="O26" i="5" s="1"/>
  <c r="N29" i="5"/>
  <c r="O29" i="5" s="1"/>
  <c r="M32" i="5"/>
  <c r="M33" i="5" s="1"/>
  <c r="N54" i="5"/>
  <c r="O54" i="5" s="1"/>
  <c r="N58" i="5"/>
  <c r="N61" i="5"/>
  <c r="N64" i="5"/>
  <c r="N67" i="5"/>
  <c r="O67" i="5" s="1"/>
  <c r="N70" i="5"/>
  <c r="N73" i="5"/>
  <c r="H356" i="34"/>
  <c r="J356" i="34" s="1"/>
  <c r="J355" i="34" s="1"/>
  <c r="H216" i="34"/>
  <c r="J216" i="34" s="1"/>
  <c r="J215" i="34" s="1"/>
  <c r="H165" i="34"/>
  <c r="J165" i="34" s="1"/>
  <c r="J164" i="34" s="1"/>
  <c r="H147" i="34"/>
  <c r="J147" i="34" s="1"/>
  <c r="J146" i="34" s="1"/>
  <c r="H129" i="34"/>
  <c r="J129" i="34" s="1"/>
  <c r="J128" i="34" s="1"/>
  <c r="H402" i="34"/>
  <c r="J402" i="34" s="1"/>
  <c r="J401" i="34" s="1"/>
  <c r="P303" i="24"/>
  <c r="Q303" i="24" s="1"/>
  <c r="Q302" i="24" s="1"/>
  <c r="P46" i="1" s="1"/>
  <c r="T46" i="1" s="1"/>
  <c r="P273" i="24"/>
  <c r="Q273" i="24" s="1"/>
  <c r="Q272" i="24" s="1"/>
  <c r="P42" i="1" s="1"/>
  <c r="T42" i="1" s="1"/>
  <c r="P279" i="24"/>
  <c r="Q279" i="24" s="1"/>
  <c r="Q278" i="24" s="1"/>
  <c r="P43" i="1" s="1"/>
  <c r="T43" i="1" s="1"/>
  <c r="H69" i="34"/>
  <c r="J69" i="34" s="1"/>
  <c r="J68" i="34" s="1"/>
  <c r="P170" i="24"/>
  <c r="Q170" i="24" s="1"/>
  <c r="Q169" i="24" s="1"/>
  <c r="P30" i="1" s="1"/>
  <c r="T30" i="1" s="1"/>
  <c r="P167" i="24"/>
  <c r="Q167" i="24" s="1"/>
  <c r="Q166" i="24" s="1"/>
  <c r="P29" i="1" s="1"/>
  <c r="T29" i="1" s="1"/>
  <c r="P141" i="24"/>
  <c r="Q141" i="24" s="1"/>
  <c r="Q140" i="24" s="1"/>
  <c r="P25" i="1" s="1"/>
  <c r="T25" i="1" s="1"/>
  <c r="P89" i="24"/>
  <c r="Q89" i="24" s="1"/>
  <c r="Q88" i="24" s="1"/>
  <c r="P17" i="1" s="1"/>
  <c r="T17" i="1" s="1"/>
  <c r="H219" i="34"/>
  <c r="J219" i="34" s="1"/>
  <c r="J218" i="34" s="1"/>
  <c r="P95" i="24"/>
  <c r="Q95" i="24" s="1"/>
  <c r="Q94" i="24" s="1"/>
  <c r="P18" i="1" s="1"/>
  <c r="T18" i="1" s="1"/>
  <c r="H373" i="34"/>
  <c r="J373" i="34" s="1"/>
  <c r="J372" i="34" s="1"/>
  <c r="H156" i="34"/>
  <c r="J156" i="34" s="1"/>
  <c r="J155" i="34" s="1"/>
  <c r="H138" i="34"/>
  <c r="J138" i="34" s="1"/>
  <c r="J137" i="34" s="1"/>
  <c r="P101" i="24"/>
  <c r="Q101" i="24" s="1"/>
  <c r="Q100" i="24" s="1"/>
  <c r="P19" i="1" s="1"/>
  <c r="T19" i="1" s="1"/>
  <c r="P284" i="24"/>
  <c r="Q284" i="24" s="1"/>
  <c r="Q283" i="24" s="1"/>
  <c r="P44" i="1" s="1"/>
  <c r="T44" i="1" s="1"/>
  <c r="P107" i="24"/>
  <c r="Q107" i="24" s="1"/>
  <c r="Q106" i="24" s="1"/>
  <c r="P20" i="1" s="1"/>
  <c r="T20" i="1" s="1"/>
  <c r="H40" i="22"/>
  <c r="P44" i="24"/>
  <c r="Q44" i="24" s="1"/>
  <c r="Q43" i="24" s="1"/>
  <c r="P11" i="1" s="1"/>
  <c r="T11" i="1" s="1"/>
  <c r="H184" i="34"/>
  <c r="J184" i="34" s="1"/>
  <c r="J183" i="34" s="1"/>
  <c r="P113" i="24"/>
  <c r="Q113" i="24" s="1"/>
  <c r="Q112" i="24" s="1"/>
  <c r="P21" i="1" s="1"/>
  <c r="T21" i="1" s="1"/>
  <c r="H365" i="34"/>
  <c r="J365" i="34" s="1"/>
  <c r="J364" i="34" s="1"/>
  <c r="H421" i="19"/>
  <c r="H278" i="19"/>
  <c r="J278" i="19" s="1"/>
  <c r="J277" i="19" s="1"/>
  <c r="H697" i="19"/>
  <c r="J697" i="19" s="1"/>
  <c r="J696" i="19" s="1"/>
  <c r="H240" i="19"/>
  <c r="J240" i="19" s="1"/>
  <c r="J239" i="19" s="1"/>
  <c r="H336" i="19"/>
  <c r="J336" i="19" s="1"/>
  <c r="J335" i="19" s="1"/>
  <c r="H221" i="19"/>
  <c r="J221" i="19" s="1"/>
  <c r="J220" i="19" s="1"/>
  <c r="H105" i="19"/>
  <c r="J105" i="19" s="1"/>
  <c r="J104" i="19" s="1"/>
  <c r="H297" i="19"/>
  <c r="J297" i="19" s="1"/>
  <c r="J296" i="19" s="1"/>
  <c r="J299" i="19" s="1"/>
  <c r="H259" i="19"/>
  <c r="J259" i="19" s="1"/>
  <c r="J258" i="19" s="1"/>
  <c r="H40" i="21"/>
  <c r="H679" i="19"/>
  <c r="J679" i="19" s="1"/>
  <c r="J678" i="19" s="1"/>
  <c r="H407" i="19"/>
  <c r="J407" i="19" s="1"/>
  <c r="J406" i="19" s="1"/>
  <c r="J409" i="19" s="1"/>
  <c r="H660" i="19"/>
  <c r="J660" i="19" s="1"/>
  <c r="J659" i="19" s="1"/>
  <c r="H744" i="19"/>
  <c r="J744" i="19" s="1"/>
  <c r="J743" i="19" s="1"/>
  <c r="H267" i="34"/>
  <c r="J267" i="34" s="1"/>
  <c r="J266" i="34" s="1"/>
  <c r="H421" i="34"/>
  <c r="J421" i="34" s="1"/>
  <c r="J420" i="34" s="1"/>
  <c r="H328" i="34"/>
  <c r="H298" i="34"/>
  <c r="J298" i="34" s="1"/>
  <c r="J297" i="34" s="1"/>
  <c r="H200" i="34"/>
  <c r="J200" i="34" s="1"/>
  <c r="J199" i="34" s="1"/>
  <c r="H88" i="34"/>
  <c r="J88" i="34" s="1"/>
  <c r="J87" i="34" s="1"/>
  <c r="P154" i="24"/>
  <c r="Q154" i="24" s="1"/>
  <c r="Q153" i="24" s="1"/>
  <c r="P27" i="1" s="1"/>
  <c r="T27" i="1" s="1"/>
  <c r="P254" i="24"/>
  <c r="Q254" i="24" s="1"/>
  <c r="Q253" i="24" s="1"/>
  <c r="P39" i="1" s="1"/>
  <c r="T39" i="1" s="1"/>
  <c r="P319" i="24"/>
  <c r="Q319" i="24" s="1"/>
  <c r="Q318" i="24" s="1"/>
  <c r="P48" i="1" s="1"/>
  <c r="T48" i="1" s="1"/>
  <c r="P208" i="24"/>
  <c r="Q208" i="24" s="1"/>
  <c r="Q207" i="24" s="1"/>
  <c r="P35" i="1" s="1"/>
  <c r="T35" i="1" s="1"/>
  <c r="P231" i="24"/>
  <c r="Q231" i="24" s="1"/>
  <c r="Q230" i="24" s="1"/>
  <c r="P37" i="1" s="1"/>
  <c r="T37" i="1" s="1"/>
  <c r="H342" i="34"/>
  <c r="J342" i="34" s="1"/>
  <c r="J341" i="34" s="1"/>
  <c r="I37" i="35" s="1"/>
  <c r="N37" i="35" s="1"/>
  <c r="P69" i="24"/>
  <c r="Q69" i="24" s="1"/>
  <c r="Q68" i="24" s="1"/>
  <c r="P14" i="1" s="1"/>
  <c r="T14" i="1" s="1"/>
  <c r="H44" i="21"/>
  <c r="H44" i="22"/>
  <c r="P262" i="24"/>
  <c r="Q262" i="24" s="1"/>
  <c r="Q261" i="24" s="1"/>
  <c r="P40" i="1" s="1"/>
  <c r="T40" i="1" s="1"/>
  <c r="H555" i="19"/>
  <c r="J555" i="19" s="1"/>
  <c r="J554" i="19" s="1"/>
  <c r="H506" i="19"/>
  <c r="J506" i="19" s="1"/>
  <c r="J505" i="19" s="1"/>
  <c r="H164" i="19"/>
  <c r="J164" i="19" s="1"/>
  <c r="J163" i="19" s="1"/>
  <c r="H100" i="34"/>
  <c r="J100" i="34" s="1"/>
  <c r="J99" i="34" s="1"/>
  <c r="H143" i="19"/>
  <c r="J143" i="19" s="1"/>
  <c r="J142" i="19" s="1"/>
  <c r="H626" i="19"/>
  <c r="J626" i="19" s="1"/>
  <c r="J625" i="19" s="1"/>
  <c r="H371" i="19"/>
  <c r="J371" i="19" s="1"/>
  <c r="J370" i="19" s="1"/>
  <c r="H782" i="19"/>
  <c r="J782" i="19" s="1"/>
  <c r="J781" i="19" s="1"/>
  <c r="H603" i="19"/>
  <c r="J603" i="19" s="1"/>
  <c r="J602" i="19" s="1"/>
  <c r="O6" i="9"/>
  <c r="X24" i="9"/>
  <c r="Z24" i="9" s="1"/>
  <c r="O10" i="10"/>
  <c r="P10" i="10" s="1"/>
  <c r="Q10" i="10" s="1"/>
  <c r="N13" i="10"/>
  <c r="P13" i="10" s="1"/>
  <c r="Q13" i="10" s="1"/>
  <c r="H392" i="34"/>
  <c r="J392" i="34" s="1"/>
  <c r="H59" i="34"/>
  <c r="J59" i="34" s="1"/>
  <c r="H725" i="19"/>
  <c r="J725" i="19" s="1"/>
  <c r="H86" i="19"/>
  <c r="J86" i="19" s="1"/>
  <c r="H270" i="34"/>
  <c r="J270" i="34" s="1"/>
  <c r="H331" i="34"/>
  <c r="H509" i="19"/>
  <c r="J509" i="19" s="1"/>
  <c r="H606" i="19"/>
  <c r="J606" i="19" s="1"/>
  <c r="O50" i="12"/>
  <c r="R89" i="12"/>
  <c r="O89" i="12"/>
  <c r="L10" i="13"/>
  <c r="M10" i="13" s="1"/>
  <c r="L47" i="13"/>
  <c r="M47" i="13" s="1"/>
  <c r="L18" i="11" s="1"/>
  <c r="H404" i="34"/>
  <c r="H405" i="34" s="1"/>
  <c r="J405" i="34" s="1"/>
  <c r="H71" i="34"/>
  <c r="J71" i="34" s="1"/>
  <c r="H699" i="19"/>
  <c r="J699" i="19" s="1"/>
  <c r="H746" i="19"/>
  <c r="J746" i="19" s="1"/>
  <c r="H107" i="19"/>
  <c r="J107" i="19" s="1"/>
  <c r="H375" i="34"/>
  <c r="J375" i="34" s="1"/>
  <c r="O28" i="3"/>
  <c r="N40" i="5"/>
  <c r="O61" i="5"/>
  <c r="O64" i="5"/>
  <c r="O73" i="5"/>
  <c r="X43" i="9"/>
  <c r="Z43" i="9" s="1"/>
  <c r="U52" i="9"/>
  <c r="O13" i="10"/>
  <c r="H113" i="34"/>
  <c r="J113" i="34" s="1"/>
  <c r="H350" i="34"/>
  <c r="J350" i="34" s="1"/>
  <c r="H644" i="19"/>
  <c r="J644" i="19" s="1"/>
  <c r="H186" i="19"/>
  <c r="J186" i="19" s="1"/>
  <c r="H269" i="34"/>
  <c r="H254" i="34"/>
  <c r="J254" i="34" s="1"/>
  <c r="H423" i="34"/>
  <c r="H330" i="34"/>
  <c r="J330" i="34" s="1"/>
  <c r="H300" i="34"/>
  <c r="H301" i="34" s="1"/>
  <c r="H90" i="34"/>
  <c r="J90" i="34" s="1"/>
  <c r="H784" i="19"/>
  <c r="J784" i="19" s="1"/>
  <c r="H508" i="19"/>
  <c r="J508" i="19" s="1"/>
  <c r="H484" i="19"/>
  <c r="J484" i="19" s="1"/>
  <c r="H605" i="19"/>
  <c r="J605" i="19" s="1"/>
  <c r="H557" i="19"/>
  <c r="J557" i="19" s="1"/>
  <c r="H145" i="19"/>
  <c r="J145" i="19" s="1"/>
  <c r="H435" i="34"/>
  <c r="J435" i="34" s="1"/>
  <c r="H13" i="34"/>
  <c r="J13" i="34" s="1"/>
  <c r="H27" i="34"/>
  <c r="J27" i="34" s="1"/>
  <c r="H36" i="19"/>
  <c r="J36" i="19" s="1"/>
  <c r="H805" i="19"/>
  <c r="J805" i="19" s="1"/>
  <c r="R41" i="12"/>
  <c r="O41" i="12"/>
  <c r="R87" i="12"/>
  <c r="O87" i="12"/>
  <c r="K67" i="13"/>
  <c r="L67" i="13" s="1"/>
  <c r="M67" i="13" s="1"/>
  <c r="L22" i="11" s="1"/>
  <c r="L231" i="16"/>
  <c r="N231" i="16" s="1"/>
  <c r="O231" i="16" s="1"/>
  <c r="L31" i="13"/>
  <c r="M31" i="13" s="1"/>
  <c r="L70" i="13"/>
  <c r="M70" i="13" s="1"/>
  <c r="L23" i="11" s="1"/>
  <c r="I107" i="16"/>
  <c r="N220" i="16"/>
  <c r="O220" i="16" s="1"/>
  <c r="N10" i="5"/>
  <c r="N13" i="5"/>
  <c r="N19" i="5"/>
  <c r="N25" i="5"/>
  <c r="N53" i="5"/>
  <c r="N57" i="5"/>
  <c r="O57" i="5" s="1"/>
  <c r="P84" i="24"/>
  <c r="Q84" i="24" s="1"/>
  <c r="Q83" i="24" s="1"/>
  <c r="P16" i="1" s="1"/>
  <c r="T16" i="1" s="1"/>
  <c r="H121" i="34"/>
  <c r="J121" i="34" s="1"/>
  <c r="J120" i="34" s="1"/>
  <c r="I16" i="35" s="1"/>
  <c r="N16" i="35" s="1"/>
  <c r="H41" i="22"/>
  <c r="H41" i="21"/>
  <c r="H203" i="19"/>
  <c r="J203" i="19" s="1"/>
  <c r="J202" i="19" s="1"/>
  <c r="L9" i="10"/>
  <c r="P9" i="10" s="1"/>
  <c r="Q9" i="10" s="1"/>
  <c r="N11" i="10"/>
  <c r="P11" i="10" s="1"/>
  <c r="Q11" i="10" s="1"/>
  <c r="H287" i="34"/>
  <c r="J287" i="34" s="1"/>
  <c r="H231" i="34"/>
  <c r="J231" i="34" s="1"/>
  <c r="H393" i="34"/>
  <c r="J393" i="34" s="1"/>
  <c r="H316" i="34"/>
  <c r="J316" i="34" s="1"/>
  <c r="H60" i="34"/>
  <c r="J60" i="34" s="1"/>
  <c r="H726" i="19"/>
  <c r="J726" i="19" s="1"/>
  <c r="H582" i="19"/>
  <c r="J582" i="19" s="1"/>
  <c r="H535" i="19"/>
  <c r="J535" i="19" s="1"/>
  <c r="H443" i="19"/>
  <c r="J443" i="19" s="1"/>
  <c r="H159" i="34"/>
  <c r="J159" i="34" s="1"/>
  <c r="H123" i="34"/>
  <c r="J123" i="34" s="1"/>
  <c r="H205" i="19"/>
  <c r="J205" i="19" s="1"/>
  <c r="H281" i="19"/>
  <c r="J281" i="19" s="1"/>
  <c r="H437" i="34"/>
  <c r="J437" i="34" s="1"/>
  <c r="H29" i="34"/>
  <c r="J29" i="34" s="1"/>
  <c r="H15" i="34"/>
  <c r="J15" i="34" s="1"/>
  <c r="H807" i="19"/>
  <c r="J807" i="19" s="1"/>
  <c r="H15" i="19"/>
  <c r="J15" i="19" s="1"/>
  <c r="O28" i="12"/>
  <c r="J40" i="12"/>
  <c r="O48" i="12"/>
  <c r="O66" i="12"/>
  <c r="O72" i="12"/>
  <c r="O80" i="12"/>
  <c r="J86" i="12"/>
  <c r="J97" i="12"/>
  <c r="R98" i="12"/>
  <c r="O98" i="12"/>
  <c r="R100" i="12"/>
  <c r="O100" i="12"/>
  <c r="M16" i="13"/>
  <c r="L22" i="13"/>
  <c r="M22" i="13" s="1"/>
  <c r="M64" i="13"/>
  <c r="O27" i="15"/>
  <c r="J421" i="19"/>
  <c r="J420" i="19" s="1"/>
  <c r="J423" i="19" s="1"/>
  <c r="H581" i="19"/>
  <c r="J581" i="19" s="1"/>
  <c r="H242" i="34"/>
  <c r="J242" i="34" s="1"/>
  <c r="H255" i="34"/>
  <c r="J255" i="34" s="1"/>
  <c r="H485" i="19"/>
  <c r="J485" i="19" s="1"/>
  <c r="H463" i="19"/>
  <c r="J463" i="19" s="1"/>
  <c r="H359" i="34"/>
  <c r="J359" i="34" s="1"/>
  <c r="H150" i="34"/>
  <c r="J150" i="34" s="1"/>
  <c r="H132" i="34"/>
  <c r="J132" i="34" s="1"/>
  <c r="H141" i="34"/>
  <c r="J141" i="34" s="1"/>
  <c r="H663" i="19"/>
  <c r="J663" i="19" s="1"/>
  <c r="H243" i="19"/>
  <c r="J243" i="19" s="1"/>
  <c r="H224" i="19"/>
  <c r="J224" i="19" s="1"/>
  <c r="H262" i="19"/>
  <c r="J262" i="19" s="1"/>
  <c r="H436" i="34"/>
  <c r="J436" i="34" s="1"/>
  <c r="H14" i="34"/>
  <c r="J14" i="34" s="1"/>
  <c r="H28" i="34"/>
  <c r="J28" i="34" s="1"/>
  <c r="H806" i="19"/>
  <c r="J806" i="19" s="1"/>
  <c r="H14" i="19"/>
  <c r="J14" i="19" s="1"/>
  <c r="H37" i="19"/>
  <c r="J37" i="19" s="1"/>
  <c r="J26" i="12"/>
  <c r="J70" i="12"/>
  <c r="R94" i="12"/>
  <c r="O94" i="12"/>
  <c r="M9" i="13"/>
  <c r="L242" i="16"/>
  <c r="N242" i="16" s="1"/>
  <c r="O242" i="16" s="1"/>
  <c r="K51" i="13"/>
  <c r="L51" i="13" s="1"/>
  <c r="M51" i="13" s="1"/>
  <c r="M55" i="13"/>
  <c r="M75" i="13"/>
  <c r="L25" i="11" s="1"/>
  <c r="H56" i="18"/>
  <c r="J13" i="19"/>
  <c r="J19" i="19"/>
  <c r="J724" i="19"/>
  <c r="H14" i="18"/>
  <c r="G36" i="18"/>
  <c r="H36" i="18" s="1"/>
  <c r="M286" i="24"/>
  <c r="M285" i="24" s="1"/>
  <c r="K312" i="24"/>
  <c r="K311" i="24" s="1"/>
  <c r="M312" i="24"/>
  <c r="M311" i="24" s="1"/>
  <c r="K319" i="24"/>
  <c r="K318" i="24" s="1"/>
  <c r="M319" i="24"/>
  <c r="M318" i="24" s="1"/>
  <c r="K36" i="13"/>
  <c r="L36" i="13" s="1"/>
  <c r="M36" i="13" s="1"/>
  <c r="L14" i="11" s="1"/>
  <c r="G53" i="18"/>
  <c r="H53" i="18" s="1"/>
  <c r="J284" i="19"/>
  <c r="M290" i="24"/>
  <c r="K290" i="24"/>
  <c r="O53" i="12"/>
  <c r="K73" i="13"/>
  <c r="L73" i="13" s="1"/>
  <c r="M73" i="13" s="1"/>
  <c r="L24" i="11" s="1"/>
  <c r="J149" i="19"/>
  <c r="K286" i="24"/>
  <c r="K285" i="24" s="1"/>
  <c r="H41" i="18"/>
  <c r="J811" i="19"/>
  <c r="K42" i="24"/>
  <c r="K41" i="24" s="1"/>
  <c r="K39" i="13"/>
  <c r="L39" i="13" s="1"/>
  <c r="M39" i="13" s="1"/>
  <c r="L15" i="11" s="1"/>
  <c r="G16" i="18"/>
  <c r="H16" i="18" s="1"/>
  <c r="J63" i="19"/>
  <c r="G61" i="34"/>
  <c r="G88" i="19"/>
  <c r="J223" i="19"/>
  <c r="J265" i="19"/>
  <c r="J832" i="19"/>
  <c r="M16" i="24"/>
  <c r="K16" i="24"/>
  <c r="M19" i="24"/>
  <c r="K19" i="24"/>
  <c r="M66" i="24"/>
  <c r="K66" i="24"/>
  <c r="K354" i="37"/>
  <c r="N378" i="37"/>
  <c r="O298" i="37"/>
  <c r="N322" i="37"/>
  <c r="N226" i="37"/>
  <c r="L155" i="37"/>
  <c r="N334" i="37"/>
  <c r="O310" i="37"/>
  <c r="O190" i="37"/>
  <c r="L136" i="37"/>
  <c r="C7" i="37"/>
  <c r="O202" i="37"/>
  <c r="L71" i="37"/>
  <c r="C6" i="37"/>
  <c r="O178" i="37"/>
  <c r="L46" i="37"/>
  <c r="G214" i="37"/>
  <c r="F28" i="18"/>
  <c r="J341" i="19"/>
  <c r="J339" i="19" s="1"/>
  <c r="M35" i="24"/>
  <c r="M34" i="24" s="1"/>
  <c r="K35" i="24"/>
  <c r="K34" i="24" s="1"/>
  <c r="K53" i="24"/>
  <c r="K52" i="24" s="1"/>
  <c r="J227" i="19"/>
  <c r="K231" i="24"/>
  <c r="K230" i="24" s="1"/>
  <c r="M231" i="24"/>
  <c r="M230" i="24" s="1"/>
  <c r="G301" i="34"/>
  <c r="M234" i="24"/>
  <c r="K234" i="24"/>
  <c r="M24" i="35"/>
  <c r="O24" i="35"/>
  <c r="G42" i="18"/>
  <c r="H42" i="18" s="1"/>
  <c r="J208" i="19"/>
  <c r="J246" i="19"/>
  <c r="J750" i="19"/>
  <c r="M56" i="24"/>
  <c r="J684" i="19"/>
  <c r="J702" i="19"/>
  <c r="M22" i="24"/>
  <c r="M21" i="24" s="1"/>
  <c r="M190" i="24"/>
  <c r="M189" i="24" s="1"/>
  <c r="K190" i="24"/>
  <c r="K189" i="24" s="1"/>
  <c r="G54" i="34"/>
  <c r="M26" i="24"/>
  <c r="K26" i="24"/>
  <c r="K77" i="24"/>
  <c r="K76" i="24" s="1"/>
  <c r="M79" i="24"/>
  <c r="M78" i="24" s="1"/>
  <c r="M130" i="24"/>
  <c r="K130" i="24"/>
  <c r="M223" i="24"/>
  <c r="K223" i="24"/>
  <c r="M38" i="24"/>
  <c r="K38" i="24"/>
  <c r="G98" i="34"/>
  <c r="M67" i="24"/>
  <c r="K67" i="24"/>
  <c r="L138" i="24"/>
  <c r="M103" i="12" s="1"/>
  <c r="M135" i="24"/>
  <c r="M32" i="24"/>
  <c r="K32" i="24"/>
  <c r="G91" i="34"/>
  <c r="M63" i="24"/>
  <c r="K63" i="24"/>
  <c r="G178" i="34"/>
  <c r="K188" i="24"/>
  <c r="K187" i="24" s="1"/>
  <c r="M188" i="24"/>
  <c r="M187" i="24" s="1"/>
  <c r="M226" i="24"/>
  <c r="J241" i="24"/>
  <c r="K121" i="3" s="1"/>
  <c r="J332" i="34"/>
  <c r="M9" i="24"/>
  <c r="K9" i="24"/>
  <c r="M31" i="24"/>
  <c r="L58" i="24"/>
  <c r="M57" i="24"/>
  <c r="K333" i="24"/>
  <c r="M333" i="24"/>
  <c r="J19" i="34"/>
  <c r="J213" i="34"/>
  <c r="L39" i="24"/>
  <c r="M104" i="12" s="1"/>
  <c r="K60" i="24"/>
  <c r="K59" i="24" s="1"/>
  <c r="Q60" i="24"/>
  <c r="Q59" i="24" s="1"/>
  <c r="P13" i="1" s="1"/>
  <c r="T13" i="1" s="1"/>
  <c r="M62" i="24"/>
  <c r="M95" i="24"/>
  <c r="M94" i="24" s="1"/>
  <c r="M154" i="24"/>
  <c r="M153" i="24" s="1"/>
  <c r="K154" i="24"/>
  <c r="K153" i="24" s="1"/>
  <c r="M215" i="24"/>
  <c r="K215" i="24"/>
  <c r="M233" i="24"/>
  <c r="K233" i="24"/>
  <c r="K157" i="24"/>
  <c r="K238" i="24"/>
  <c r="M321" i="24"/>
  <c r="K321" i="24"/>
  <c r="J58" i="34"/>
  <c r="J144" i="34"/>
  <c r="M86" i="24"/>
  <c r="M85" i="24" s="1"/>
  <c r="K86" i="24"/>
  <c r="K85" i="24" s="1"/>
  <c r="M141" i="24"/>
  <c r="M140" i="24" s="1"/>
  <c r="K141" i="24"/>
  <c r="K140" i="24" s="1"/>
  <c r="K237" i="24"/>
  <c r="M254" i="24"/>
  <c r="M253" i="24" s="1"/>
  <c r="K284" i="24"/>
  <c r="K283" i="24" s="1"/>
  <c r="J162" i="34"/>
  <c r="M15" i="35"/>
  <c r="M89" i="24"/>
  <c r="M88" i="24" s="1"/>
  <c r="K89" i="24"/>
  <c r="K88" i="24" s="1"/>
  <c r="M137" i="24"/>
  <c r="M164" i="24"/>
  <c r="M163" i="24" s="1"/>
  <c r="K164" i="24"/>
  <c r="K163" i="24" s="1"/>
  <c r="J257" i="24"/>
  <c r="K102" i="12" s="1"/>
  <c r="J33" i="34"/>
  <c r="G333" i="34"/>
  <c r="K109" i="24"/>
  <c r="J131" i="24"/>
  <c r="K119" i="3" s="1"/>
  <c r="G171" i="34"/>
  <c r="M160" i="24"/>
  <c r="M167" i="24"/>
  <c r="M166" i="24" s="1"/>
  <c r="K167" i="24"/>
  <c r="K166" i="24" s="1"/>
  <c r="K174" i="24"/>
  <c r="M200" i="24"/>
  <c r="K254" i="24"/>
  <c r="K253" i="24" s="1"/>
  <c r="M266" i="24"/>
  <c r="M284" i="24"/>
  <c r="M283" i="24" s="1"/>
  <c r="J328" i="34"/>
  <c r="J327" i="34" s="1"/>
  <c r="J414" i="34"/>
  <c r="J413" i="34" s="1"/>
  <c r="I44" i="35" s="1"/>
  <c r="N44" i="35" s="1"/>
  <c r="M170" i="24"/>
  <c r="M169" i="24" s="1"/>
  <c r="K170" i="24"/>
  <c r="K169" i="24" s="1"/>
  <c r="M197" i="24"/>
  <c r="M196" i="24" s="1"/>
  <c r="K197" i="24"/>
  <c r="K196" i="24" s="1"/>
  <c r="M210" i="24"/>
  <c r="K210" i="24"/>
  <c r="K214" i="24"/>
  <c r="L257" i="24"/>
  <c r="M102" i="12" s="1"/>
  <c r="J453" i="34"/>
  <c r="K82" i="24"/>
  <c r="K81" i="24" s="1"/>
  <c r="K92" i="24"/>
  <c r="L131" i="24"/>
  <c r="M119" i="3" s="1"/>
  <c r="K137" i="24"/>
  <c r="K158" i="24"/>
  <c r="K173" i="24"/>
  <c r="K265" i="24"/>
  <c r="M265" i="24"/>
  <c r="J38" i="34"/>
  <c r="J37" i="34" s="1"/>
  <c r="J41" i="34"/>
  <c r="M97" i="24"/>
  <c r="M110" i="24"/>
  <c r="M113" i="24"/>
  <c r="M112" i="24" s="1"/>
  <c r="M128" i="24"/>
  <c r="K129" i="24"/>
  <c r="M159" i="24"/>
  <c r="K160" i="24"/>
  <c r="M175" i="24"/>
  <c r="K176" i="24"/>
  <c r="M179" i="24"/>
  <c r="M178" i="24" s="1"/>
  <c r="M228" i="24"/>
  <c r="M239" i="24"/>
  <c r="M243" i="24"/>
  <c r="M242" i="24" s="1"/>
  <c r="M256" i="24"/>
  <c r="K260" i="24"/>
  <c r="K273" i="24"/>
  <c r="K272" i="24" s="1"/>
  <c r="M297" i="24"/>
  <c r="K297" i="24"/>
  <c r="M332" i="24"/>
  <c r="K332" i="24"/>
  <c r="J11" i="34"/>
  <c r="J10" i="34" s="1"/>
  <c r="I7" i="35" s="1"/>
  <c r="N7" i="35" s="1"/>
  <c r="J105" i="34"/>
  <c r="J271" i="34"/>
  <c r="K262" i="24"/>
  <c r="K261" i="24" s="1"/>
  <c r="M294" i="24"/>
  <c r="M293" i="24" s="1"/>
  <c r="K296" i="24"/>
  <c r="K326" i="24"/>
  <c r="M328" i="24"/>
  <c r="M327" i="24" s="1"/>
  <c r="J25" i="34"/>
  <c r="J24" i="34" s="1"/>
  <c r="I8" i="35" s="1"/>
  <c r="N8" i="35" s="1"/>
  <c r="J45" i="34"/>
  <c r="J331" i="34"/>
  <c r="J370" i="34"/>
  <c r="J378" i="34"/>
  <c r="K281" i="24"/>
  <c r="K280" i="24" s="1"/>
  <c r="G424" i="34"/>
  <c r="M322" i="24"/>
  <c r="K322" i="24"/>
  <c r="H9" i="28"/>
  <c r="J111" i="34"/>
  <c r="J110" i="34" s="1"/>
  <c r="I15" i="35" s="1"/>
  <c r="N15" i="35" s="1"/>
  <c r="J408" i="34"/>
  <c r="J298" i="24"/>
  <c r="K105" i="12" s="1"/>
  <c r="G394" i="34"/>
  <c r="L310" i="24"/>
  <c r="M309" i="24"/>
  <c r="M325" i="24"/>
  <c r="K325" i="24"/>
  <c r="H91" i="34"/>
  <c r="J189" i="34"/>
  <c r="L292" i="24"/>
  <c r="M123" i="3" s="1"/>
  <c r="K294" i="24"/>
  <c r="K293" i="24" s="1"/>
  <c r="M326" i="24"/>
  <c r="K328" i="24"/>
  <c r="K327" i="24" s="1"/>
  <c r="M97" i="12"/>
  <c r="J75" i="34"/>
  <c r="J126" i="34"/>
  <c r="M306" i="24"/>
  <c r="K331" i="24"/>
  <c r="G412" i="34"/>
  <c r="M22" i="35"/>
  <c r="O44" i="35"/>
  <c r="M44" i="35"/>
  <c r="L346" i="37"/>
  <c r="K346" i="37"/>
  <c r="K347" i="37" s="1"/>
  <c r="K436" i="37"/>
  <c r="L436" i="37"/>
  <c r="M331" i="24"/>
  <c r="J441" i="34"/>
  <c r="M20" i="35"/>
  <c r="L20" i="35"/>
  <c r="M40" i="35"/>
  <c r="L40" i="35"/>
  <c r="K301" i="24"/>
  <c r="K300" i="24" s="1"/>
  <c r="J449" i="34"/>
  <c r="M7" i="35"/>
  <c r="O37" i="35"/>
  <c r="M46" i="35"/>
  <c r="M18" i="35"/>
  <c r="L18" i="35"/>
  <c r="M16" i="35"/>
  <c r="O28" i="35"/>
  <c r="M28" i="35"/>
  <c r="R249" i="37"/>
  <c r="T249" i="37" s="1"/>
  <c r="R250" i="37"/>
  <c r="T250" i="37" s="1"/>
  <c r="R251" i="37"/>
  <c r="T251" i="37" s="1"/>
  <c r="R242" i="37"/>
  <c r="T242" i="37" s="1"/>
  <c r="R252" i="37"/>
  <c r="T252" i="37" s="1"/>
  <c r="R243" i="37"/>
  <c r="T243" i="37" s="1"/>
  <c r="R245" i="37"/>
  <c r="T245" i="37" s="1"/>
  <c r="R248" i="37"/>
  <c r="T248" i="37" s="1"/>
  <c r="R244" i="37"/>
  <c r="T244" i="37" s="1"/>
  <c r="R246" i="37"/>
  <c r="T246" i="37" s="1"/>
  <c r="M17" i="35"/>
  <c r="M19" i="35"/>
  <c r="M23" i="35"/>
  <c r="M8" i="35"/>
  <c r="R261" i="37"/>
  <c r="T261" i="37" s="1"/>
  <c r="R262" i="37"/>
  <c r="T262" i="37" s="1"/>
  <c r="R263" i="37"/>
  <c r="T263" i="37" s="1"/>
  <c r="R264" i="37"/>
  <c r="T264" i="37" s="1"/>
  <c r="R255" i="37"/>
  <c r="T255" i="37" s="1"/>
  <c r="R257" i="37"/>
  <c r="T257" i="37" s="1"/>
  <c r="R265" i="37"/>
  <c r="T265" i="37" s="1"/>
  <c r="K366" i="37"/>
  <c r="N390" i="37"/>
  <c r="T236" i="37"/>
  <c r="R233" i="37"/>
  <c r="T233" i="37" s="1"/>
  <c r="J403" i="37"/>
  <c r="R239" i="37"/>
  <c r="T239" i="37" s="1"/>
  <c r="R238" i="37"/>
  <c r="T238" i="37" s="1"/>
  <c r="R289" i="37"/>
  <c r="T289" i="37" s="1"/>
  <c r="R287" i="37"/>
  <c r="T287" i="37" s="1"/>
  <c r="R285" i="37"/>
  <c r="T285" i="37" s="1"/>
  <c r="R284" i="37"/>
  <c r="T284" i="37" s="1"/>
  <c r="P41" i="5" l="1"/>
  <c r="L19" i="11"/>
  <c r="P61" i="5"/>
  <c r="O17" i="5"/>
  <c r="P17" i="5" s="1"/>
  <c r="U6" i="2"/>
  <c r="V6" i="2" s="1"/>
  <c r="M43" i="13"/>
  <c r="AA10" i="9"/>
  <c r="AA18" i="9"/>
  <c r="AA8" i="9"/>
  <c r="AA7" i="9"/>
  <c r="AA9" i="9"/>
  <c r="AA19" i="9"/>
  <c r="L317" i="24"/>
  <c r="M114" i="3" s="1"/>
  <c r="R114" i="3" s="1"/>
  <c r="M173" i="24"/>
  <c r="O81" i="3"/>
  <c r="P81" i="3" s="1"/>
  <c r="K315" i="24"/>
  <c r="J252" i="24"/>
  <c r="K118" i="3" s="1"/>
  <c r="O91" i="3"/>
  <c r="V26" i="2"/>
  <c r="H28" i="21" s="1"/>
  <c r="J229" i="24"/>
  <c r="K116" i="3" s="1"/>
  <c r="L116" i="3" s="1"/>
  <c r="AA11" i="9"/>
  <c r="AA14" i="9"/>
  <c r="AA16" i="9"/>
  <c r="AA13" i="9"/>
  <c r="AA15" i="9"/>
  <c r="AA12" i="9"/>
  <c r="J34" i="19"/>
  <c r="J33" i="19" s="1"/>
  <c r="I42" i="21"/>
  <c r="N98" i="3"/>
  <c r="K250" i="24"/>
  <c r="O98" i="3"/>
  <c r="M214" i="24"/>
  <c r="L241" i="24"/>
  <c r="M121" i="3" s="1"/>
  <c r="N121" i="3" s="1"/>
  <c r="AA39" i="9"/>
  <c r="AA46" i="9"/>
  <c r="AA29" i="9"/>
  <c r="O209" i="16"/>
  <c r="M209" i="16"/>
  <c r="AA27" i="9"/>
  <c r="M18" i="5"/>
  <c r="N18" i="5" s="1"/>
  <c r="M231" i="16"/>
  <c r="AA48" i="9"/>
  <c r="AA38" i="9"/>
  <c r="T31" i="1"/>
  <c r="E24" i="45" s="1"/>
  <c r="T7" i="1"/>
  <c r="E10" i="45" s="1"/>
  <c r="J404" i="34"/>
  <c r="H333" i="34"/>
  <c r="J333" i="34" s="1"/>
  <c r="J39" i="19"/>
  <c r="J161" i="34"/>
  <c r="J160" i="34" s="1"/>
  <c r="J157" i="34" s="1"/>
  <c r="J300" i="34"/>
  <c r="H72" i="34"/>
  <c r="J72" i="34" s="1"/>
  <c r="H394" i="34"/>
  <c r="J394" i="34" s="1"/>
  <c r="Q121" i="24"/>
  <c r="P122" i="24"/>
  <c r="Q122" i="24" s="1"/>
  <c r="V14" i="2"/>
  <c r="H15" i="22" s="1"/>
  <c r="J15" i="22" s="1"/>
  <c r="J315" i="19"/>
  <c r="J314" i="19" s="1"/>
  <c r="H61" i="34"/>
  <c r="J61" i="34" s="1"/>
  <c r="L229" i="24"/>
  <c r="M229" i="24" s="1"/>
  <c r="M225" i="24" s="1"/>
  <c r="M108" i="24"/>
  <c r="O87" i="3"/>
  <c r="L252" i="24"/>
  <c r="M252" i="24" s="1"/>
  <c r="M248" i="24" s="1"/>
  <c r="J177" i="34"/>
  <c r="J317" i="19"/>
  <c r="H320" i="19" s="1"/>
  <c r="J320" i="19" s="1"/>
  <c r="O35" i="3"/>
  <c r="L206" i="24"/>
  <c r="M117" i="3" s="1"/>
  <c r="R117" i="3" s="1"/>
  <c r="S117" i="3" s="1"/>
  <c r="O111" i="3"/>
  <c r="P111" i="3" s="1"/>
  <c r="M51" i="24"/>
  <c r="K56" i="24"/>
  <c r="O40" i="3"/>
  <c r="J206" i="24"/>
  <c r="K117" i="3" s="1"/>
  <c r="L117" i="3" s="1"/>
  <c r="J50" i="12"/>
  <c r="E60" i="22" s="1"/>
  <c r="M50" i="24"/>
  <c r="J369" i="34"/>
  <c r="J368" i="34" s="1"/>
  <c r="J366" i="34" s="1"/>
  <c r="P281" i="24"/>
  <c r="Q281" i="24" s="1"/>
  <c r="Q280" i="24" s="1"/>
  <c r="Q43" i="1" s="1"/>
  <c r="U43" i="1" s="1"/>
  <c r="J683" i="19"/>
  <c r="J682" i="19" s="1"/>
  <c r="J680" i="19" s="1"/>
  <c r="J685" i="19" s="1"/>
  <c r="L101" i="12"/>
  <c r="R138" i="24"/>
  <c r="R134" i="24" s="1"/>
  <c r="P29" i="5"/>
  <c r="P64" i="5"/>
  <c r="P15" i="5"/>
  <c r="AL71" i="5"/>
  <c r="H201" i="19"/>
  <c r="J201" i="19" s="1"/>
  <c r="J200" i="19" s="1"/>
  <c r="P67" i="5"/>
  <c r="O70" i="5"/>
  <c r="P70" i="5" s="1"/>
  <c r="O23" i="5"/>
  <c r="P23" i="5" s="1"/>
  <c r="AL23" i="5" s="1"/>
  <c r="H119" i="34"/>
  <c r="J119" i="34" s="1"/>
  <c r="J118" i="34" s="1"/>
  <c r="G16" i="35" s="1"/>
  <c r="O16" i="5"/>
  <c r="P16" i="5" s="1"/>
  <c r="P22" i="5"/>
  <c r="P73" i="5"/>
  <c r="P55" i="5"/>
  <c r="AL55" i="5" s="1"/>
  <c r="AN55" i="5" s="1"/>
  <c r="AO55" i="5" s="1"/>
  <c r="O58" i="5"/>
  <c r="P58" i="5" s="1"/>
  <c r="P44" i="5"/>
  <c r="M48" i="5"/>
  <c r="M49" i="5" s="1"/>
  <c r="O38" i="5"/>
  <c r="P38" i="5" s="1"/>
  <c r="AL29" i="5"/>
  <c r="AN29" i="5" s="1"/>
  <c r="AO29" i="5" s="1"/>
  <c r="N27" i="2" s="1"/>
  <c r="U27" i="2" s="1"/>
  <c r="V27" i="2" s="1"/>
  <c r="H29" i="22" s="1"/>
  <c r="P26" i="5"/>
  <c r="M12" i="5"/>
  <c r="N8" i="5"/>
  <c r="M9" i="5"/>
  <c r="O100" i="3"/>
  <c r="P100" i="3" s="1"/>
  <c r="P82" i="24"/>
  <c r="Q82" i="24" s="1"/>
  <c r="Q81" i="24" s="1"/>
  <c r="N16" i="1" s="1"/>
  <c r="R16" i="1" s="1"/>
  <c r="H21" i="21"/>
  <c r="S100" i="3"/>
  <c r="X51" i="3"/>
  <c r="Z51" i="3" s="1"/>
  <c r="AA51" i="3" s="1"/>
  <c r="K147" i="24"/>
  <c r="O12" i="3"/>
  <c r="R131" i="24"/>
  <c r="R127" i="24" s="1"/>
  <c r="K264" i="24"/>
  <c r="K146" i="24"/>
  <c r="O94" i="3"/>
  <c r="K45" i="24"/>
  <c r="K73" i="24"/>
  <c r="J181" i="34"/>
  <c r="M274" i="24"/>
  <c r="K211" i="24"/>
  <c r="K209" i="24" s="1"/>
  <c r="R206" i="24"/>
  <c r="R202" i="24" s="1"/>
  <c r="K198" i="24"/>
  <c r="K102" i="24"/>
  <c r="P10" i="3"/>
  <c r="K90" i="24"/>
  <c r="K39" i="24"/>
  <c r="K36" i="24" s="1"/>
  <c r="O115" i="3"/>
  <c r="P115" i="3" s="1"/>
  <c r="J80" i="12"/>
  <c r="S80" i="12" s="1"/>
  <c r="O105" i="12"/>
  <c r="P105" i="12" s="1"/>
  <c r="K244" i="24"/>
  <c r="H411" i="34"/>
  <c r="H412" i="34" s="1"/>
  <c r="J412" i="34" s="1"/>
  <c r="H17" i="22"/>
  <c r="J17" i="22" s="1"/>
  <c r="H762" i="19"/>
  <c r="J762" i="19" s="1"/>
  <c r="H763" i="19" s="1"/>
  <c r="J763" i="19" s="1"/>
  <c r="J761" i="19" s="1"/>
  <c r="J767" i="19" s="1"/>
  <c r="P309" i="24"/>
  <c r="P310" i="24" s="1"/>
  <c r="P50" i="24"/>
  <c r="P51" i="24" s="1"/>
  <c r="H78" i="34"/>
  <c r="H17" i="21"/>
  <c r="J17" i="21" s="1"/>
  <c r="H123" i="19"/>
  <c r="J123" i="19" s="1"/>
  <c r="H124" i="19" s="1"/>
  <c r="J124" i="19" s="1"/>
  <c r="J122" i="19" s="1"/>
  <c r="J128" i="19" s="1"/>
  <c r="X40" i="3"/>
  <c r="Z40" i="3" s="1"/>
  <c r="N124" i="3"/>
  <c r="M147" i="24"/>
  <c r="M33" i="24"/>
  <c r="M29" i="24" s="1"/>
  <c r="O85" i="3"/>
  <c r="P85" i="3" s="1"/>
  <c r="O124" i="3"/>
  <c r="P124" i="3" s="1"/>
  <c r="M146" i="24"/>
  <c r="R145" i="24"/>
  <c r="K180" i="24"/>
  <c r="K33" i="24"/>
  <c r="K29" i="24" s="1"/>
  <c r="J176" i="34"/>
  <c r="O96" i="12"/>
  <c r="P96" i="12" s="1"/>
  <c r="E59" i="22"/>
  <c r="K317" i="24"/>
  <c r="M259" i="24"/>
  <c r="K58" i="24"/>
  <c r="M198" i="24"/>
  <c r="K221" i="24"/>
  <c r="M244" i="24"/>
  <c r="O120" i="3"/>
  <c r="P120" i="3" s="1"/>
  <c r="K138" i="24"/>
  <c r="K134" i="24" s="1"/>
  <c r="K229" i="24"/>
  <c r="K225" i="24" s="1"/>
  <c r="M218" i="24"/>
  <c r="E29" i="22"/>
  <c r="K108" i="24"/>
  <c r="K18" i="24"/>
  <c r="K257" i="24"/>
  <c r="K255" i="24" s="1"/>
  <c r="L121" i="3"/>
  <c r="K61" i="24"/>
  <c r="M298" i="24"/>
  <c r="M295" i="24" s="1"/>
  <c r="K177" i="24"/>
  <c r="K172" i="24" s="1"/>
  <c r="K7" i="24"/>
  <c r="L51" i="3"/>
  <c r="K274" i="24"/>
  <c r="K218" i="24"/>
  <c r="K213" i="24" s="1"/>
  <c r="M90" i="24"/>
  <c r="N105" i="12"/>
  <c r="M292" i="24"/>
  <c r="M288" i="24" s="1"/>
  <c r="E42" i="22"/>
  <c r="I42" i="22" s="1"/>
  <c r="R229" i="24"/>
  <c r="R225" i="24" s="1"/>
  <c r="I8" i="24"/>
  <c r="R8" i="24" s="1"/>
  <c r="I19" i="24"/>
  <c r="R19" i="24" s="1"/>
  <c r="M177" i="24"/>
  <c r="M172" i="24" s="1"/>
  <c r="K292" i="24"/>
  <c r="K288" i="24" s="1"/>
  <c r="I21" i="22"/>
  <c r="M184" i="24"/>
  <c r="K308" i="24"/>
  <c r="M317" i="24"/>
  <c r="M314" i="24" s="1"/>
  <c r="M257" i="24"/>
  <c r="M255" i="24" s="1"/>
  <c r="M138" i="24"/>
  <c r="M134" i="24" s="1"/>
  <c r="S16" i="12"/>
  <c r="E29" i="21"/>
  <c r="W101" i="12"/>
  <c r="M18" i="24"/>
  <c r="L16" i="12"/>
  <c r="N94" i="12"/>
  <c r="L104" i="12"/>
  <c r="P46" i="3"/>
  <c r="J8" i="12"/>
  <c r="E48" i="22" s="1"/>
  <c r="K192" i="24"/>
  <c r="J77" i="12"/>
  <c r="L77" i="12" s="1"/>
  <c r="AA23" i="9"/>
  <c r="M304" i="24"/>
  <c r="J94" i="3"/>
  <c r="N123" i="3"/>
  <c r="L103" i="12"/>
  <c r="L22" i="9"/>
  <c r="P53" i="3"/>
  <c r="N46" i="3"/>
  <c r="N22" i="9"/>
  <c r="L100" i="3"/>
  <c r="N10" i="3"/>
  <c r="K304" i="24"/>
  <c r="L123" i="3"/>
  <c r="J62" i="12"/>
  <c r="E63" i="21" s="1"/>
  <c r="J24" i="12"/>
  <c r="E54" i="22" s="1"/>
  <c r="S22" i="9"/>
  <c r="AA22" i="9"/>
  <c r="N100" i="3"/>
  <c r="E8" i="21"/>
  <c r="K259" i="24"/>
  <c r="E56" i="22"/>
  <c r="P22" i="9"/>
  <c r="E35" i="21"/>
  <c r="S51" i="3"/>
  <c r="J25" i="3"/>
  <c r="N25" i="3" s="1"/>
  <c r="M221" i="24"/>
  <c r="S94" i="12"/>
  <c r="L115" i="3"/>
  <c r="K184" i="24"/>
  <c r="M12" i="24"/>
  <c r="K49" i="24"/>
  <c r="K12" i="24"/>
  <c r="J71" i="3"/>
  <c r="E26" i="21" s="1"/>
  <c r="N87" i="12"/>
  <c r="J12" i="3"/>
  <c r="E9" i="21" s="1"/>
  <c r="N115" i="3"/>
  <c r="M73" i="24"/>
  <c r="S115" i="3"/>
  <c r="M180" i="24"/>
  <c r="P38" i="3"/>
  <c r="J43" i="3"/>
  <c r="L43" i="3" s="1"/>
  <c r="M102" i="24"/>
  <c r="J18" i="12"/>
  <c r="N18" i="12" s="1"/>
  <c r="N16" i="12"/>
  <c r="L38" i="3"/>
  <c r="L114" i="3"/>
  <c r="S83" i="3"/>
  <c r="M48" i="35"/>
  <c r="P16" i="12"/>
  <c r="N38" i="3"/>
  <c r="K23" i="24"/>
  <c r="S105" i="12"/>
  <c r="E51" i="22"/>
  <c r="E16" i="22"/>
  <c r="J55" i="3"/>
  <c r="S55" i="3" s="1"/>
  <c r="M23" i="24"/>
  <c r="W105" i="12"/>
  <c r="S124" i="3"/>
  <c r="L83" i="3"/>
  <c r="K96" i="24"/>
  <c r="W100" i="12"/>
  <c r="N100" i="12"/>
  <c r="L100" i="12"/>
  <c r="L119" i="3"/>
  <c r="N34" i="12"/>
  <c r="P100" i="12"/>
  <c r="E28" i="21"/>
  <c r="S98" i="3"/>
  <c r="N85" i="3"/>
  <c r="S100" i="12"/>
  <c r="N96" i="12"/>
  <c r="L98" i="3"/>
  <c r="N51" i="3"/>
  <c r="E28" i="22"/>
  <c r="J41" i="12"/>
  <c r="S41" i="12" s="1"/>
  <c r="P98" i="3"/>
  <c r="E34" i="21"/>
  <c r="E21" i="21"/>
  <c r="E22" i="21"/>
  <c r="J6" i="3"/>
  <c r="L6" i="3" s="1"/>
  <c r="L96" i="12"/>
  <c r="P51" i="3"/>
  <c r="AA51" i="9"/>
  <c r="W98" i="12"/>
  <c r="L98" i="12"/>
  <c r="N98" i="12"/>
  <c r="N99" i="12"/>
  <c r="S99" i="12"/>
  <c r="L99" i="12"/>
  <c r="W99" i="12"/>
  <c r="J48" i="3"/>
  <c r="N48" i="3" s="1"/>
  <c r="S38" i="3"/>
  <c r="L124" i="3"/>
  <c r="O122" i="3"/>
  <c r="P122" i="3" s="1"/>
  <c r="P98" i="12"/>
  <c r="N53" i="3"/>
  <c r="P33" i="3"/>
  <c r="J187" i="34"/>
  <c r="J185" i="34" s="1"/>
  <c r="J23" i="35" s="1"/>
  <c r="O23" i="35" s="1"/>
  <c r="S98" i="12"/>
  <c r="P6" i="12"/>
  <c r="N6" i="12"/>
  <c r="S53" i="3"/>
  <c r="W6" i="12"/>
  <c r="L6" i="12"/>
  <c r="S6" i="12"/>
  <c r="E47" i="22"/>
  <c r="P83" i="3"/>
  <c r="J36" i="12"/>
  <c r="E57" i="22" s="1"/>
  <c r="M45" i="24"/>
  <c r="W117" i="3"/>
  <c r="J58" i="3"/>
  <c r="L58" i="3" s="1"/>
  <c r="L94" i="12"/>
  <c r="J59" i="12"/>
  <c r="E62" i="22" s="1"/>
  <c r="J89" i="12"/>
  <c r="E70" i="22" s="1"/>
  <c r="J91" i="3"/>
  <c r="E32" i="21" s="1"/>
  <c r="L102" i="12"/>
  <c r="P94" i="12"/>
  <c r="J21" i="12"/>
  <c r="N21" i="12" s="1"/>
  <c r="O114" i="3"/>
  <c r="P114" i="3" s="1"/>
  <c r="W124" i="3"/>
  <c r="J28" i="3"/>
  <c r="E13" i="21" s="1"/>
  <c r="L85" i="3"/>
  <c r="L118" i="3"/>
  <c r="J22" i="3"/>
  <c r="S22" i="3" s="1"/>
  <c r="E30" i="22"/>
  <c r="M211" i="24"/>
  <c r="M209" i="24" s="1"/>
  <c r="M101" i="12"/>
  <c r="S114" i="3"/>
  <c r="N103" i="12"/>
  <c r="J83" i="12"/>
  <c r="P83" i="12" s="1"/>
  <c r="E8" i="22"/>
  <c r="J35" i="3"/>
  <c r="N35" i="3" s="1"/>
  <c r="J87" i="3"/>
  <c r="E31" i="21" s="1"/>
  <c r="E69" i="22"/>
  <c r="N111" i="3"/>
  <c r="J66" i="12"/>
  <c r="N66" i="12" s="1"/>
  <c r="E69" i="21"/>
  <c r="P87" i="12"/>
  <c r="J13" i="12"/>
  <c r="P13" i="12" s="1"/>
  <c r="L122" i="3"/>
  <c r="J28" i="12"/>
  <c r="P28" i="12" s="1"/>
  <c r="J53" i="12"/>
  <c r="E61" i="22" s="1"/>
  <c r="S87" i="12"/>
  <c r="S111" i="3"/>
  <c r="S10" i="3"/>
  <c r="P99" i="12"/>
  <c r="W111" i="3"/>
  <c r="L10" i="3"/>
  <c r="K232" i="24"/>
  <c r="W114" i="3"/>
  <c r="N114" i="3"/>
  <c r="E22" i="22"/>
  <c r="J40" i="3"/>
  <c r="N40" i="3" s="1"/>
  <c r="S85" i="3"/>
  <c r="J72" i="12"/>
  <c r="E65" i="22" s="1"/>
  <c r="AA21" i="9"/>
  <c r="P20" i="9"/>
  <c r="E41" i="21"/>
  <c r="K41" i="21" s="1"/>
  <c r="L20" i="9"/>
  <c r="N20" i="9"/>
  <c r="E41" i="22"/>
  <c r="I41" i="22" s="1"/>
  <c r="Y20" i="9"/>
  <c r="AA20" i="9"/>
  <c r="S20" i="9"/>
  <c r="W34" i="12"/>
  <c r="J15" i="3"/>
  <c r="L15" i="3" s="1"/>
  <c r="S34" i="12"/>
  <c r="L120" i="3"/>
  <c r="AA41" i="9"/>
  <c r="S110" i="3"/>
  <c r="S11" i="12"/>
  <c r="M329" i="24"/>
  <c r="W110" i="3"/>
  <c r="P11" i="12"/>
  <c r="J24" i="9"/>
  <c r="P24" i="9" s="1"/>
  <c r="J102" i="3"/>
  <c r="E36" i="21" s="1"/>
  <c r="J6" i="9"/>
  <c r="N6" i="9" s="1"/>
  <c r="P110" i="3"/>
  <c r="M192" i="24"/>
  <c r="M7" i="24"/>
  <c r="L110" i="3"/>
  <c r="W11" i="12"/>
  <c r="S33" i="3"/>
  <c r="J74" i="3"/>
  <c r="E27" i="21" s="1"/>
  <c r="J43" i="9"/>
  <c r="Y43" i="9" s="1"/>
  <c r="L33" i="3"/>
  <c r="N33" i="3"/>
  <c r="S120" i="3"/>
  <c r="E14" i="21"/>
  <c r="N122" i="3"/>
  <c r="E59" i="21"/>
  <c r="J124" i="34"/>
  <c r="J122" i="34" s="1"/>
  <c r="J16" i="35" s="1"/>
  <c r="O16" i="35" s="1"/>
  <c r="M96" i="24"/>
  <c r="L34" i="12"/>
  <c r="L113" i="3"/>
  <c r="L11" i="12"/>
  <c r="W120" i="3"/>
  <c r="E14" i="22"/>
  <c r="L46" i="3"/>
  <c r="K324" i="24"/>
  <c r="E49" i="21"/>
  <c r="N120" i="3"/>
  <c r="S46" i="3"/>
  <c r="S81" i="3"/>
  <c r="J61" i="3"/>
  <c r="P61" i="3" s="1"/>
  <c r="P34" i="12"/>
  <c r="J109" i="3"/>
  <c r="E37" i="21" s="1"/>
  <c r="E49" i="22"/>
  <c r="E19" i="21"/>
  <c r="W112" i="3"/>
  <c r="L48" i="12"/>
  <c r="M61" i="24"/>
  <c r="S96" i="12"/>
  <c r="P48" i="12"/>
  <c r="W48" i="12"/>
  <c r="S122" i="3"/>
  <c r="L81" i="3"/>
  <c r="N48" i="12"/>
  <c r="K252" i="24"/>
  <c r="K131" i="24"/>
  <c r="K127" i="24" s="1"/>
  <c r="M324" i="24"/>
  <c r="M156" i="24"/>
  <c r="M49" i="13"/>
  <c r="I23" i="35"/>
  <c r="M26" i="13"/>
  <c r="P325" i="24"/>
  <c r="Q325" i="24" s="1"/>
  <c r="H430" i="34"/>
  <c r="J430" i="34" s="1"/>
  <c r="H22" i="34"/>
  <c r="J22" i="34" s="1"/>
  <c r="P19" i="24"/>
  <c r="Q19" i="24" s="1"/>
  <c r="P8" i="24"/>
  <c r="Q8" i="24" s="1"/>
  <c r="H8" i="34"/>
  <c r="J8" i="34" s="1"/>
  <c r="H800" i="19"/>
  <c r="J800" i="19" s="1"/>
  <c r="H8" i="19"/>
  <c r="J8" i="19" s="1"/>
  <c r="H7" i="21"/>
  <c r="H7" i="22"/>
  <c r="H31" i="19"/>
  <c r="J31" i="19" s="1"/>
  <c r="X6" i="3"/>
  <c r="M35" i="13"/>
  <c r="H28" i="22"/>
  <c r="P128" i="24"/>
  <c r="X81" i="3"/>
  <c r="M69" i="13"/>
  <c r="H29" i="21"/>
  <c r="H311" i="19"/>
  <c r="J311" i="19" s="1"/>
  <c r="N33" i="5"/>
  <c r="O33" i="5" s="1"/>
  <c r="M46" i="13"/>
  <c r="M17" i="13"/>
  <c r="H747" i="19"/>
  <c r="J747" i="19" s="1"/>
  <c r="I41" i="35"/>
  <c r="J585" i="19"/>
  <c r="J64" i="34"/>
  <c r="J290" i="34"/>
  <c r="J397" i="34"/>
  <c r="J538" i="19"/>
  <c r="J730" i="19"/>
  <c r="J234" i="34"/>
  <c r="J91" i="19"/>
  <c r="J446" i="19"/>
  <c r="J319" i="34"/>
  <c r="M72" i="13"/>
  <c r="J245" i="34"/>
  <c r="J466" i="19"/>
  <c r="P27" i="5"/>
  <c r="AL27" i="5" s="1"/>
  <c r="L347" i="37"/>
  <c r="J347" i="37"/>
  <c r="J116" i="34"/>
  <c r="J647" i="19"/>
  <c r="J189" i="19"/>
  <c r="J207" i="19"/>
  <c r="J206" i="19" s="1"/>
  <c r="J204" i="19" s="1"/>
  <c r="N28" i="5"/>
  <c r="O28" i="5" s="1"/>
  <c r="M242" i="16"/>
  <c r="P11" i="5"/>
  <c r="AL11" i="5" s="1"/>
  <c r="R97" i="12"/>
  <c r="S97" i="12" s="1"/>
  <c r="O97" i="12"/>
  <c r="P97" i="12" s="1"/>
  <c r="K198" i="16"/>
  <c r="O198" i="16"/>
  <c r="M198" i="16"/>
  <c r="J275" i="34"/>
  <c r="J427" i="34"/>
  <c r="J258" i="34"/>
  <c r="J514" i="19"/>
  <c r="K329" i="24"/>
  <c r="M264" i="24"/>
  <c r="N46" i="37"/>
  <c r="M46" i="37"/>
  <c r="Q310" i="37"/>
  <c r="P310" i="37"/>
  <c r="J283" i="19"/>
  <c r="J282" i="19" s="1"/>
  <c r="J279" i="19" s="1"/>
  <c r="J285" i="19" s="1"/>
  <c r="J425" i="19"/>
  <c r="J424" i="19"/>
  <c r="J426" i="19"/>
  <c r="P143" i="24"/>
  <c r="Q143" i="24" s="1"/>
  <c r="Q142" i="24" s="1"/>
  <c r="Q25" i="1" s="1"/>
  <c r="U25" i="1" s="1"/>
  <c r="H59" i="22"/>
  <c r="X48" i="12"/>
  <c r="H59" i="21"/>
  <c r="J44" i="22"/>
  <c r="N21" i="5"/>
  <c r="M20" i="13"/>
  <c r="AL20" i="5"/>
  <c r="H250" i="34"/>
  <c r="J250" i="34" s="1"/>
  <c r="H264" i="34"/>
  <c r="J264" i="34" s="1"/>
  <c r="H325" i="34"/>
  <c r="J325" i="34" s="1"/>
  <c r="H295" i="34"/>
  <c r="J295" i="34" s="1"/>
  <c r="P316" i="24"/>
  <c r="Q316" i="24" s="1"/>
  <c r="H418" i="34"/>
  <c r="J418" i="34" s="1"/>
  <c r="P205" i="24"/>
  <c r="Q205" i="24" s="1"/>
  <c r="P195" i="24"/>
  <c r="Q195" i="24" s="1"/>
  <c r="H85" i="34"/>
  <c r="J85" i="34" s="1"/>
  <c r="P228" i="24"/>
  <c r="Q228" i="24" s="1"/>
  <c r="H27" i="22"/>
  <c r="P251" i="24"/>
  <c r="Q251" i="24" s="1"/>
  <c r="H27" i="21"/>
  <c r="P57" i="24"/>
  <c r="Q57" i="24" s="1"/>
  <c r="H779" i="19"/>
  <c r="J779" i="19" s="1"/>
  <c r="H503" i="19"/>
  <c r="J503" i="19" s="1"/>
  <c r="H480" i="19"/>
  <c r="J480" i="19" s="1"/>
  <c r="H600" i="19"/>
  <c r="J600" i="19" s="1"/>
  <c r="H552" i="19"/>
  <c r="J552" i="19" s="1"/>
  <c r="H140" i="19"/>
  <c r="J140" i="19" s="1"/>
  <c r="X74" i="3"/>
  <c r="Z74" i="3" s="1"/>
  <c r="P52" i="5"/>
  <c r="AL52" i="5" s="1"/>
  <c r="AN52" i="5" s="1"/>
  <c r="AO52" i="5" s="1"/>
  <c r="AA35" i="9"/>
  <c r="P59" i="5"/>
  <c r="AL59" i="5" s="1"/>
  <c r="N69" i="5"/>
  <c r="P56" i="5"/>
  <c r="AL56" i="5" s="1"/>
  <c r="AN56" i="5" s="1"/>
  <c r="AO56" i="5" s="1"/>
  <c r="AA50" i="9"/>
  <c r="R119" i="3"/>
  <c r="S119" i="3" s="1"/>
  <c r="O119" i="3"/>
  <c r="P119" i="3" s="1"/>
  <c r="I413" i="37"/>
  <c r="J94" i="37"/>
  <c r="M38" i="13"/>
  <c r="H511" i="19"/>
  <c r="J511" i="19" s="1"/>
  <c r="J301" i="19"/>
  <c r="J300" i="19"/>
  <c r="J302" i="19"/>
  <c r="I214" i="37"/>
  <c r="H214" i="37"/>
  <c r="L354" i="37"/>
  <c r="M354" i="37"/>
  <c r="I39" i="35"/>
  <c r="M310" i="24"/>
  <c r="M308" i="24" s="1"/>
  <c r="M112" i="3"/>
  <c r="J304" i="34"/>
  <c r="J94" i="34"/>
  <c r="Q178" i="37"/>
  <c r="P178" i="37"/>
  <c r="O334" i="37"/>
  <c r="P334" i="37"/>
  <c r="J561" i="19"/>
  <c r="O40" i="5"/>
  <c r="P40" i="5" s="1"/>
  <c r="J488" i="19"/>
  <c r="M66" i="13"/>
  <c r="J44" i="21"/>
  <c r="J412" i="19"/>
  <c r="J411" i="19"/>
  <c r="J410" i="19"/>
  <c r="J40" i="22"/>
  <c r="J217" i="34"/>
  <c r="I28" i="35"/>
  <c r="M6" i="16"/>
  <c r="N46" i="5"/>
  <c r="J43" i="21"/>
  <c r="AL17" i="5"/>
  <c r="M14" i="13"/>
  <c r="H444" i="34"/>
  <c r="J444" i="34" s="1"/>
  <c r="J443" i="34" s="1"/>
  <c r="H36" i="34"/>
  <c r="J36" i="34" s="1"/>
  <c r="J35" i="34" s="1"/>
  <c r="H24" i="21"/>
  <c r="H823" i="19"/>
  <c r="J823" i="19" s="1"/>
  <c r="J822" i="19" s="1"/>
  <c r="H24" i="22"/>
  <c r="X58" i="3"/>
  <c r="H54" i="19"/>
  <c r="J54" i="19" s="1"/>
  <c r="J53" i="19" s="1"/>
  <c r="P14" i="5"/>
  <c r="AL14" i="5" s="1"/>
  <c r="AA31" i="9"/>
  <c r="P45" i="5"/>
  <c r="AL45" i="5" s="1"/>
  <c r="AA32" i="9"/>
  <c r="AL35" i="5"/>
  <c r="AN35" i="5" s="1"/>
  <c r="AO35" i="5" s="1"/>
  <c r="AA49" i="9"/>
  <c r="AA42" i="9"/>
  <c r="J21" i="21"/>
  <c r="M366" i="37"/>
  <c r="L366" i="37"/>
  <c r="L437" i="37"/>
  <c r="L438" i="37"/>
  <c r="R102" i="12"/>
  <c r="S102" i="12" s="1"/>
  <c r="O102" i="12"/>
  <c r="P102" i="12" s="1"/>
  <c r="K320" i="24"/>
  <c r="K241" i="24"/>
  <c r="K236" i="24" s="1"/>
  <c r="J114" i="37"/>
  <c r="M124" i="37"/>
  <c r="J107" i="37"/>
  <c r="J27" i="37"/>
  <c r="J34" i="37"/>
  <c r="M17" i="37"/>
  <c r="M155" i="37"/>
  <c r="N155" i="37"/>
  <c r="M39" i="24"/>
  <c r="M36" i="24" s="1"/>
  <c r="O53" i="5"/>
  <c r="P53" i="5" s="1"/>
  <c r="AL53" i="5" s="1"/>
  <c r="AN53" i="5" s="1"/>
  <c r="AO53" i="5" s="1"/>
  <c r="J41" i="21"/>
  <c r="H558" i="19"/>
  <c r="J558" i="19" s="1"/>
  <c r="J423" i="34"/>
  <c r="H424" i="34"/>
  <c r="J424" i="34" s="1"/>
  <c r="L105" i="12"/>
  <c r="H178" i="34"/>
  <c r="J178" i="34" s="1"/>
  <c r="J175" i="34"/>
  <c r="AL15" i="5"/>
  <c r="J43" i="22"/>
  <c r="M23" i="13"/>
  <c r="M29" i="13"/>
  <c r="AA26" i="9"/>
  <c r="AA47" i="9"/>
  <c r="H829" i="19"/>
  <c r="J829" i="19" s="1"/>
  <c r="N72" i="5"/>
  <c r="O72" i="5" s="1"/>
  <c r="P72" i="5" s="1"/>
  <c r="K42" i="21"/>
  <c r="J42" i="21"/>
  <c r="AA37" i="9"/>
  <c r="J21" i="22"/>
  <c r="K21" i="22"/>
  <c r="N97" i="12"/>
  <c r="L97" i="12"/>
  <c r="W97" i="12"/>
  <c r="Q190" i="37"/>
  <c r="P190" i="37"/>
  <c r="K437" i="37"/>
  <c r="J437" i="37" s="1"/>
  <c r="C55" i="18" s="1"/>
  <c r="F55" i="18" s="1"/>
  <c r="K438" i="37"/>
  <c r="J438" i="37" s="1"/>
  <c r="C54" i="18" s="1"/>
  <c r="F54" i="18" s="1"/>
  <c r="H54" i="18" s="1"/>
  <c r="K298" i="24"/>
  <c r="K295" i="24" s="1"/>
  <c r="J353" i="34"/>
  <c r="M320" i="24"/>
  <c r="J336" i="34"/>
  <c r="M71" i="37"/>
  <c r="N71" i="37"/>
  <c r="P226" i="37"/>
  <c r="O226" i="37"/>
  <c r="K65" i="24"/>
  <c r="J611" i="19"/>
  <c r="H727" i="19"/>
  <c r="J727" i="19" s="1"/>
  <c r="M74" i="13"/>
  <c r="O13" i="5"/>
  <c r="J41" i="22"/>
  <c r="O25" i="5"/>
  <c r="P25" i="5"/>
  <c r="AL25" i="5" s="1"/>
  <c r="AN25" i="5" s="1"/>
  <c r="AO25" i="5" s="1"/>
  <c r="N23" i="2" s="1"/>
  <c r="U23" i="2" s="1"/>
  <c r="V23" i="2" s="1"/>
  <c r="H608" i="19"/>
  <c r="J608" i="19" s="1"/>
  <c r="J40" i="21"/>
  <c r="I17" i="35"/>
  <c r="M6" i="15"/>
  <c r="M31" i="15" s="1"/>
  <c r="K6" i="15"/>
  <c r="K31" i="15" s="1"/>
  <c r="O6" i="15"/>
  <c r="O31" i="15" s="1"/>
  <c r="M53" i="13"/>
  <c r="N102" i="12"/>
  <c r="P276" i="24"/>
  <c r="Q276" i="24" s="1"/>
  <c r="P92" i="24"/>
  <c r="Q92" i="24" s="1"/>
  <c r="P98" i="24"/>
  <c r="Q98" i="24" s="1"/>
  <c r="P104" i="24"/>
  <c r="Q104" i="24" s="1"/>
  <c r="H65" i="21"/>
  <c r="H65" i="22"/>
  <c r="X72" i="12"/>
  <c r="Y22" i="9"/>
  <c r="AA40" i="9"/>
  <c r="O65" i="5"/>
  <c r="P65" i="5" s="1"/>
  <c r="N43" i="5"/>
  <c r="O43" i="5" s="1"/>
  <c r="AA25" i="9"/>
  <c r="O62" i="5"/>
  <c r="P62" i="5" s="1"/>
  <c r="H42" i="34"/>
  <c r="J42" i="34" s="1"/>
  <c r="J40" i="34"/>
  <c r="J42" i="22"/>
  <c r="AA28" i="9"/>
  <c r="N119" i="3"/>
  <c r="P54" i="5"/>
  <c r="AL54" i="5" s="1"/>
  <c r="AN54" i="5" s="1"/>
  <c r="AO54" i="5" s="1"/>
  <c r="J91" i="34"/>
  <c r="M63" i="13"/>
  <c r="I40" i="35"/>
  <c r="R104" i="12"/>
  <c r="S104" i="12" s="1"/>
  <c r="O104" i="12"/>
  <c r="P104" i="12" s="1"/>
  <c r="N95" i="12"/>
  <c r="L95" i="12"/>
  <c r="W95" i="12"/>
  <c r="S95" i="12"/>
  <c r="P95" i="12"/>
  <c r="P390" i="37"/>
  <c r="O390" i="37"/>
  <c r="R123" i="3"/>
  <c r="S123" i="3" s="1"/>
  <c r="O123" i="3"/>
  <c r="P123" i="3" s="1"/>
  <c r="K156" i="24"/>
  <c r="M232" i="24"/>
  <c r="M58" i="24"/>
  <c r="M55" i="24" s="1"/>
  <c r="M113" i="3"/>
  <c r="R103" i="12"/>
  <c r="S103" i="12" s="1"/>
  <c r="O103" i="12"/>
  <c r="P103" i="12" s="1"/>
  <c r="P202" i="37"/>
  <c r="Q202" i="37"/>
  <c r="P322" i="37"/>
  <c r="O322" i="37"/>
  <c r="M65" i="24"/>
  <c r="H146" i="19"/>
  <c r="J146" i="19" s="1"/>
  <c r="O10" i="5"/>
  <c r="P10" i="5" s="1"/>
  <c r="O19" i="5"/>
  <c r="P19" i="5" s="1"/>
  <c r="K107" i="16"/>
  <c r="K263" i="16" s="1"/>
  <c r="O107" i="16"/>
  <c r="O263" i="16" s="1"/>
  <c r="M107" i="16"/>
  <c r="H272" i="34"/>
  <c r="J272" i="34" s="1"/>
  <c r="J269" i="34"/>
  <c r="I19" i="35"/>
  <c r="N32" i="5"/>
  <c r="O32" i="5" s="1"/>
  <c r="P32" i="5" s="1"/>
  <c r="J337" i="19"/>
  <c r="J342" i="19" s="1"/>
  <c r="N39" i="5"/>
  <c r="O39" i="5" s="1"/>
  <c r="M57" i="13"/>
  <c r="AA34" i="9"/>
  <c r="H450" i="34"/>
  <c r="J450" i="34" s="1"/>
  <c r="J448" i="34"/>
  <c r="I18" i="35"/>
  <c r="I21" i="35"/>
  <c r="J163" i="34"/>
  <c r="O30" i="5"/>
  <c r="P30" i="5" s="1"/>
  <c r="M7" i="13"/>
  <c r="AA45" i="9"/>
  <c r="AA30" i="9"/>
  <c r="N66" i="5"/>
  <c r="O66" i="5" s="1"/>
  <c r="P66" i="5" s="1"/>
  <c r="M34" i="5"/>
  <c r="AA36" i="9"/>
  <c r="P136" i="24"/>
  <c r="Q136" i="24" s="1"/>
  <c r="H49" i="22"/>
  <c r="H49" i="21"/>
  <c r="X11" i="12"/>
  <c r="N63" i="5"/>
  <c r="O63" i="5" s="1"/>
  <c r="H263" i="34"/>
  <c r="J263" i="34" s="1"/>
  <c r="H324" i="34"/>
  <c r="J324" i="34" s="1"/>
  <c r="H11" i="22"/>
  <c r="H599" i="19"/>
  <c r="J599" i="19" s="1"/>
  <c r="H502" i="19"/>
  <c r="J502" i="19" s="1"/>
  <c r="H11" i="21"/>
  <c r="X22" i="3"/>
  <c r="H386" i="34"/>
  <c r="J386" i="34" s="1"/>
  <c r="H53" i="34"/>
  <c r="J53" i="34" s="1"/>
  <c r="P291" i="24"/>
  <c r="Q291" i="24" s="1"/>
  <c r="H719" i="19"/>
  <c r="J719" i="19" s="1"/>
  <c r="H23" i="21"/>
  <c r="P32" i="24"/>
  <c r="Q32" i="24" s="1"/>
  <c r="H23" i="22"/>
  <c r="H80" i="19"/>
  <c r="J80" i="19" s="1"/>
  <c r="X55" i="3"/>
  <c r="Z55" i="3" s="1"/>
  <c r="AA44" i="9"/>
  <c r="AA33" i="9"/>
  <c r="Q298" i="37"/>
  <c r="P298" i="37"/>
  <c r="M131" i="24"/>
  <c r="M127" i="24" s="1"/>
  <c r="J301" i="34"/>
  <c r="G28" i="18"/>
  <c r="H28" i="18" s="1"/>
  <c r="M136" i="37"/>
  <c r="N136" i="37"/>
  <c r="P378" i="37"/>
  <c r="O378" i="37"/>
  <c r="H60" i="19"/>
  <c r="J60" i="19" s="1"/>
  <c r="J788" i="19"/>
  <c r="P57" i="5"/>
  <c r="AL57" i="5" s="1"/>
  <c r="AN57" i="5" s="1"/>
  <c r="AO57" i="5" s="1"/>
  <c r="J93" i="12"/>
  <c r="H785" i="19"/>
  <c r="J785" i="19" s="1"/>
  <c r="H108" i="19"/>
  <c r="J108" i="19" s="1"/>
  <c r="I20" i="35"/>
  <c r="I27" i="35"/>
  <c r="J214" i="34"/>
  <c r="O24" i="5"/>
  <c r="N24" i="5"/>
  <c r="H88" i="19"/>
  <c r="J88" i="19" s="1"/>
  <c r="N104" i="12"/>
  <c r="N60" i="5"/>
  <c r="O60" i="5" s="1"/>
  <c r="H108" i="34"/>
  <c r="J108" i="34" s="1"/>
  <c r="H345" i="34"/>
  <c r="J345" i="34" s="1"/>
  <c r="P265" i="24"/>
  <c r="Q265" i="24" s="1"/>
  <c r="P74" i="24"/>
  <c r="Q74" i="24" s="1"/>
  <c r="H639" i="19"/>
  <c r="J639" i="19" s="1"/>
  <c r="H20" i="21"/>
  <c r="H20" i="22"/>
  <c r="H181" i="19"/>
  <c r="J181" i="19" s="1"/>
  <c r="X48" i="3"/>
  <c r="Z48" i="3" s="1"/>
  <c r="H47" i="22"/>
  <c r="H47" i="21"/>
  <c r="P109" i="24"/>
  <c r="Q109" i="24" s="1"/>
  <c r="X6" i="12"/>
  <c r="K314" i="24" l="1"/>
  <c r="O18" i="5"/>
  <c r="P18" i="5" s="1"/>
  <c r="P129" i="24"/>
  <c r="Q129" i="24" s="1"/>
  <c r="H310" i="19"/>
  <c r="J310" i="19" s="1"/>
  <c r="H168" i="34"/>
  <c r="H479" i="19"/>
  <c r="J479" i="19" s="1"/>
  <c r="X83" i="3"/>
  <c r="H169" i="34"/>
  <c r="J169" i="34" s="1"/>
  <c r="M241" i="24"/>
  <c r="M236" i="24" s="1"/>
  <c r="O121" i="3"/>
  <c r="P121" i="3" s="1"/>
  <c r="R121" i="3"/>
  <c r="S121" i="3" s="1"/>
  <c r="K248" i="24"/>
  <c r="P194" i="24"/>
  <c r="Q194" i="24" s="1"/>
  <c r="H238" i="34"/>
  <c r="J238" i="34" s="1"/>
  <c r="H459" i="19"/>
  <c r="J459" i="19" s="1"/>
  <c r="H15" i="21"/>
  <c r="J15" i="21" s="1"/>
  <c r="M213" i="24"/>
  <c r="Y51" i="3"/>
  <c r="H249" i="34"/>
  <c r="J249" i="34" s="1"/>
  <c r="P186" i="24"/>
  <c r="Q186" i="24" s="1"/>
  <c r="X35" i="3"/>
  <c r="Z35" i="3" s="1"/>
  <c r="AA35" i="3" s="1"/>
  <c r="N117" i="3"/>
  <c r="I21" i="21"/>
  <c r="M116" i="3"/>
  <c r="R116" i="3" s="1"/>
  <c r="S116" i="3" s="1"/>
  <c r="M206" i="24"/>
  <c r="M202" i="24" s="1"/>
  <c r="N74" i="3"/>
  <c r="M263" i="16"/>
  <c r="Q119" i="24"/>
  <c r="Q22" i="1" s="1"/>
  <c r="U22" i="1" s="1"/>
  <c r="X34" i="12"/>
  <c r="Z34" i="12" s="1"/>
  <c r="AA34" i="12" s="1"/>
  <c r="H56" i="22"/>
  <c r="K56" i="22" s="1"/>
  <c r="H56" i="21"/>
  <c r="I56" i="21" s="1"/>
  <c r="M118" i="3"/>
  <c r="O118" i="3" s="1"/>
  <c r="P118" i="3" s="1"/>
  <c r="E26" i="22"/>
  <c r="P74" i="3"/>
  <c r="L62" i="12"/>
  <c r="K55" i="24"/>
  <c r="O117" i="3"/>
  <c r="P117" i="3" s="1"/>
  <c r="K206" i="24"/>
  <c r="K202" i="24" s="1"/>
  <c r="M49" i="24"/>
  <c r="P43" i="3"/>
  <c r="L48" i="3"/>
  <c r="E67" i="21"/>
  <c r="S50" i="12"/>
  <c r="E60" i="21"/>
  <c r="P50" i="12"/>
  <c r="L50" i="12"/>
  <c r="N50" i="12"/>
  <c r="K145" i="24"/>
  <c r="I59" i="22"/>
  <c r="I59" i="21"/>
  <c r="J209" i="19"/>
  <c r="J211" i="19" s="1"/>
  <c r="AL38" i="5"/>
  <c r="M50" i="5"/>
  <c r="M51" i="5" s="1"/>
  <c r="J411" i="34"/>
  <c r="J410" i="34" s="1"/>
  <c r="AL18" i="5"/>
  <c r="AL16" i="5" s="1"/>
  <c r="AN16" i="5" s="1"/>
  <c r="AO16" i="5" s="1"/>
  <c r="N15" i="2" s="1"/>
  <c r="U15" i="2" s="1"/>
  <c r="V15" i="2" s="1"/>
  <c r="N12" i="5"/>
  <c r="O8" i="5"/>
  <c r="N9" i="5"/>
  <c r="O9" i="5" s="1"/>
  <c r="P9" i="5" s="1"/>
  <c r="P94" i="3"/>
  <c r="I27" i="21"/>
  <c r="Q309" i="24"/>
  <c r="E67" i="22"/>
  <c r="S91" i="3"/>
  <c r="Q50" i="24"/>
  <c r="L80" i="12"/>
  <c r="P80" i="12"/>
  <c r="N80" i="12"/>
  <c r="E33" i="21"/>
  <c r="I29" i="21"/>
  <c r="M145" i="24"/>
  <c r="E64" i="22"/>
  <c r="N8" i="12"/>
  <c r="H79" i="34"/>
  <c r="J79" i="34" s="1"/>
  <c r="J78" i="34"/>
  <c r="I29" i="22"/>
  <c r="X111" i="3"/>
  <c r="Q51" i="24"/>
  <c r="AA74" i="3"/>
  <c r="P8" i="12"/>
  <c r="L8" i="12"/>
  <c r="E48" i="21"/>
  <c r="S8" i="12"/>
  <c r="L74" i="3"/>
  <c r="E27" i="22"/>
  <c r="I27" i="22" s="1"/>
  <c r="Y74" i="3"/>
  <c r="N71" i="3"/>
  <c r="E53" i="21"/>
  <c r="P55" i="3"/>
  <c r="L94" i="3"/>
  <c r="AA55" i="3"/>
  <c r="N94" i="3"/>
  <c r="K42" i="22"/>
  <c r="L55" i="3"/>
  <c r="S74" i="3"/>
  <c r="S94" i="3"/>
  <c r="E23" i="21"/>
  <c r="K23" i="21" s="1"/>
  <c r="N43" i="3"/>
  <c r="E66" i="21"/>
  <c r="I28" i="22"/>
  <c r="I28" i="21"/>
  <c r="I9" i="24"/>
  <c r="R9" i="24" s="1"/>
  <c r="R7" i="24" s="1"/>
  <c r="I20" i="24"/>
  <c r="R20" i="24" s="1"/>
  <c r="R18" i="24" s="1"/>
  <c r="P24" i="12"/>
  <c r="N55" i="3"/>
  <c r="S43" i="3"/>
  <c r="E18" i="21"/>
  <c r="P43" i="9"/>
  <c r="E53" i="22"/>
  <c r="S36" i="12"/>
  <c r="E66" i="22"/>
  <c r="P77" i="12"/>
  <c r="N77" i="12"/>
  <c r="S77" i="12"/>
  <c r="E12" i="21"/>
  <c r="N12" i="3"/>
  <c r="S12" i="3"/>
  <c r="S24" i="9"/>
  <c r="L12" i="3"/>
  <c r="P12" i="3"/>
  <c r="S25" i="3"/>
  <c r="L24" i="9"/>
  <c r="E44" i="21"/>
  <c r="I44" i="21" s="1"/>
  <c r="P62" i="12"/>
  <c r="E63" i="22"/>
  <c r="AA24" i="9"/>
  <c r="L71" i="3"/>
  <c r="E17" i="22"/>
  <c r="N62" i="12"/>
  <c r="S71" i="3"/>
  <c r="E44" i="22"/>
  <c r="I44" i="22" s="1"/>
  <c r="E70" i="21"/>
  <c r="S62" i="12"/>
  <c r="K21" i="21"/>
  <c r="E58" i="22"/>
  <c r="P71" i="3"/>
  <c r="E52" i="22"/>
  <c r="S24" i="12"/>
  <c r="L25" i="3"/>
  <c r="E10" i="22"/>
  <c r="E20" i="22"/>
  <c r="K20" i="22" s="1"/>
  <c r="S66" i="12"/>
  <c r="P91" i="3"/>
  <c r="L24" i="12"/>
  <c r="E54" i="21"/>
  <c r="L87" i="3"/>
  <c r="P66" i="12"/>
  <c r="N24" i="12"/>
  <c r="P25" i="3"/>
  <c r="P48" i="3"/>
  <c r="E64" i="21"/>
  <c r="L36" i="12"/>
  <c r="N36" i="12"/>
  <c r="S28" i="3"/>
  <c r="P36" i="12"/>
  <c r="S18" i="12"/>
  <c r="L18" i="12"/>
  <c r="L28" i="3"/>
  <c r="E57" i="21"/>
  <c r="N28" i="3"/>
  <c r="P28" i="3"/>
  <c r="P18" i="12"/>
  <c r="E52" i="21"/>
  <c r="F10" i="17"/>
  <c r="E58" i="21"/>
  <c r="N13" i="12"/>
  <c r="L41" i="12"/>
  <c r="L21" i="12"/>
  <c r="L59" i="12"/>
  <c r="N41" i="12"/>
  <c r="P21" i="12"/>
  <c r="L109" i="3"/>
  <c r="S40" i="3"/>
  <c r="E62" i="21"/>
  <c r="P41" i="12"/>
  <c r="S21" i="12"/>
  <c r="L40" i="3"/>
  <c r="E61" i="21"/>
  <c r="E17" i="21"/>
  <c r="K17" i="21" s="1"/>
  <c r="S59" i="12"/>
  <c r="AA43" i="9"/>
  <c r="P89" i="12"/>
  <c r="Y24" i="9"/>
  <c r="S83" i="12"/>
  <c r="P6" i="3"/>
  <c r="N43" i="9"/>
  <c r="S89" i="12"/>
  <c r="N24" i="9"/>
  <c r="N52" i="9" s="1"/>
  <c r="K41" i="22"/>
  <c r="N83" i="12"/>
  <c r="S6" i="3"/>
  <c r="N6" i="3"/>
  <c r="L83" i="12"/>
  <c r="S43" i="9"/>
  <c r="I49" i="21"/>
  <c r="E43" i="22"/>
  <c r="I43" i="22" s="1"/>
  <c r="W93" i="12"/>
  <c r="E68" i="21"/>
  <c r="L66" i="12"/>
  <c r="E50" i="21"/>
  <c r="E7" i="21"/>
  <c r="I7" i="21" s="1"/>
  <c r="L43" i="9"/>
  <c r="E43" i="21"/>
  <c r="I43" i="21" s="1"/>
  <c r="E68" i="22"/>
  <c r="E7" i="22"/>
  <c r="K7" i="22" s="1"/>
  <c r="W109" i="3"/>
  <c r="W125" i="3" s="1"/>
  <c r="L89" i="12"/>
  <c r="E10" i="21"/>
  <c r="S48" i="3"/>
  <c r="L102" i="3"/>
  <c r="P40" i="3"/>
  <c r="AA48" i="3"/>
  <c r="N89" i="12"/>
  <c r="I41" i="21"/>
  <c r="E20" i="21"/>
  <c r="K20" i="21" s="1"/>
  <c r="AA40" i="3"/>
  <c r="Y40" i="3"/>
  <c r="S28" i="12"/>
  <c r="P59" i="12"/>
  <c r="N59" i="12"/>
  <c r="L91" i="3"/>
  <c r="P35" i="3"/>
  <c r="N91" i="3"/>
  <c r="J40" i="35"/>
  <c r="O40" i="35" s="1"/>
  <c r="J363" i="34"/>
  <c r="N28" i="12"/>
  <c r="R101" i="12"/>
  <c r="S101" i="12" s="1"/>
  <c r="S93" i="12" s="1"/>
  <c r="O101" i="12"/>
  <c r="P101" i="12" s="1"/>
  <c r="N101" i="12"/>
  <c r="N93" i="12" s="1"/>
  <c r="E15" i="22"/>
  <c r="I15" i="22" s="1"/>
  <c r="L28" i="12"/>
  <c r="P58" i="3"/>
  <c r="S58" i="3"/>
  <c r="N58" i="3"/>
  <c r="E24" i="21"/>
  <c r="I24" i="21" s="1"/>
  <c r="AA6" i="9"/>
  <c r="S35" i="3"/>
  <c r="E55" i="22"/>
  <c r="Y6" i="9"/>
  <c r="E15" i="21"/>
  <c r="L35" i="3"/>
  <c r="E11" i="22"/>
  <c r="I11" i="22" s="1"/>
  <c r="E11" i="21"/>
  <c r="I11" i="21" s="1"/>
  <c r="N22" i="3"/>
  <c r="L22" i="3"/>
  <c r="P22" i="3"/>
  <c r="P87" i="3"/>
  <c r="P6" i="9"/>
  <c r="P52" i="9" s="1"/>
  <c r="S87" i="3"/>
  <c r="S6" i="9"/>
  <c r="L53" i="12"/>
  <c r="N72" i="12"/>
  <c r="N15" i="3"/>
  <c r="N87" i="3"/>
  <c r="E40" i="21"/>
  <c r="I40" i="21" s="1"/>
  <c r="S53" i="12"/>
  <c r="W72" i="12"/>
  <c r="S72" i="12"/>
  <c r="E55" i="21"/>
  <c r="S13" i="12"/>
  <c r="E50" i="22"/>
  <c r="L13" i="12"/>
  <c r="E40" i="22"/>
  <c r="I40" i="22" s="1"/>
  <c r="N53" i="12"/>
  <c r="L72" i="12"/>
  <c r="P15" i="3"/>
  <c r="S15" i="3"/>
  <c r="L6" i="9"/>
  <c r="P53" i="12"/>
  <c r="E65" i="21"/>
  <c r="I65" i="21" s="1"/>
  <c r="P72" i="12"/>
  <c r="S102" i="3"/>
  <c r="N102" i="3"/>
  <c r="L93" i="12"/>
  <c r="P102" i="3"/>
  <c r="E37" i="22"/>
  <c r="K37" i="22" s="1"/>
  <c r="S61" i="3"/>
  <c r="N61" i="3"/>
  <c r="L61" i="3"/>
  <c r="E25" i="22"/>
  <c r="E25" i="21"/>
  <c r="J688" i="19"/>
  <c r="J687" i="19"/>
  <c r="J686" i="19"/>
  <c r="P28" i="5"/>
  <c r="AL28" i="5" s="1"/>
  <c r="AL26" i="5" s="1"/>
  <c r="AN26" i="5" s="1"/>
  <c r="AO26" i="5" s="1"/>
  <c r="N24" i="2" s="1"/>
  <c r="U24" i="2" s="1"/>
  <c r="V24" i="2" s="1"/>
  <c r="P63" i="5"/>
  <c r="AL63" i="5" s="1"/>
  <c r="P60" i="5"/>
  <c r="AL60" i="5"/>
  <c r="AL58" i="5" s="1"/>
  <c r="AN58" i="5" s="1"/>
  <c r="AO58" i="5" s="1"/>
  <c r="N29" i="2" s="1"/>
  <c r="P43" i="5"/>
  <c r="AL43" i="5" s="1"/>
  <c r="AL41" i="5" s="1"/>
  <c r="AN41" i="5" s="1"/>
  <c r="AO41" i="5" s="1"/>
  <c r="J288" i="19"/>
  <c r="J287" i="19"/>
  <c r="J286" i="19"/>
  <c r="J20" i="35"/>
  <c r="O20" i="35" s="1"/>
  <c r="J154" i="34"/>
  <c r="J41" i="19"/>
  <c r="J40" i="19" s="1"/>
  <c r="J35" i="19" s="1"/>
  <c r="J18" i="19"/>
  <c r="J17" i="19" s="1"/>
  <c r="J12" i="19" s="1"/>
  <c r="J32" i="34"/>
  <c r="J31" i="34" s="1"/>
  <c r="J26" i="34" s="1"/>
  <c r="J8" i="35" s="1"/>
  <c r="O8" i="35" s="1"/>
  <c r="J18" i="34"/>
  <c r="J17" i="34" s="1"/>
  <c r="J12" i="34" s="1"/>
  <c r="J7" i="35" s="1"/>
  <c r="O7" i="35" s="1"/>
  <c r="J810" i="19"/>
  <c r="J809" i="19" s="1"/>
  <c r="J804" i="19" s="1"/>
  <c r="J440" i="34"/>
  <c r="J439" i="34" s="1"/>
  <c r="J434" i="34" s="1"/>
  <c r="J46" i="35" s="1"/>
  <c r="O46" i="35" s="1"/>
  <c r="J770" i="19"/>
  <c r="J769" i="19"/>
  <c r="J768" i="19"/>
  <c r="N19" i="35"/>
  <c r="O327" i="37"/>
  <c r="N327" i="37" s="1"/>
  <c r="O325" i="37"/>
  <c r="N325" i="37" s="1"/>
  <c r="C30" i="18" s="1"/>
  <c r="O323" i="37"/>
  <c r="N323" i="37" s="1"/>
  <c r="O324" i="37"/>
  <c r="O326" i="37"/>
  <c r="J65" i="22"/>
  <c r="K65" i="22"/>
  <c r="P291" i="37"/>
  <c r="P282" i="37"/>
  <c r="P283" i="37"/>
  <c r="P284" i="37"/>
  <c r="P285" i="37"/>
  <c r="P288" i="37"/>
  <c r="P271" i="37"/>
  <c r="P259" i="37"/>
  <c r="P248" i="37"/>
  <c r="P236" i="37"/>
  <c r="P272" i="37"/>
  <c r="P261" i="37"/>
  <c r="P249" i="37"/>
  <c r="P237" i="37"/>
  <c r="P274" i="37"/>
  <c r="P262" i="37"/>
  <c r="P250" i="37"/>
  <c r="P238" i="37"/>
  <c r="P229" i="37"/>
  <c r="P275" i="37"/>
  <c r="P263" i="37"/>
  <c r="P251" i="37"/>
  <c r="P242" i="37"/>
  <c r="P239" i="37"/>
  <c r="P230" i="37"/>
  <c r="P290" i="37"/>
  <c r="P268" i="37"/>
  <c r="P265" i="37"/>
  <c r="P256" i="37"/>
  <c r="P244" i="37"/>
  <c r="P232" i="37"/>
  <c r="P270" i="37"/>
  <c r="P258" i="37"/>
  <c r="P245" i="37"/>
  <c r="P289" i="37"/>
  <c r="P255" i="37"/>
  <c r="P277" i="37"/>
  <c r="P257" i="37"/>
  <c r="P281" i="37"/>
  <c r="P269" i="37"/>
  <c r="P276" i="37"/>
  <c r="P252" i="37"/>
  <c r="P264" i="37"/>
  <c r="P246" i="37"/>
  <c r="P243" i="37"/>
  <c r="P278" i="37"/>
  <c r="P235" i="37"/>
  <c r="P231" i="37"/>
  <c r="P233" i="37"/>
  <c r="P287" i="37"/>
  <c r="AL72" i="5"/>
  <c r="AL70" i="5" s="1"/>
  <c r="AN70" i="5" s="1"/>
  <c r="AO70" i="5" s="1"/>
  <c r="N33" i="2" s="1"/>
  <c r="U33" i="2" s="1"/>
  <c r="V33" i="2" s="1"/>
  <c r="V21" i="12"/>
  <c r="W21" i="12" s="1"/>
  <c r="Z58" i="3"/>
  <c r="AA58" i="3" s="1"/>
  <c r="Y58" i="3"/>
  <c r="O46" i="5"/>
  <c r="J393" i="19"/>
  <c r="J392" i="19" s="1"/>
  <c r="J390" i="19" s="1"/>
  <c r="J212" i="34"/>
  <c r="J211" i="34" s="1"/>
  <c r="J209" i="34" s="1"/>
  <c r="I219" i="37"/>
  <c r="I217" i="37"/>
  <c r="I215" i="37"/>
  <c r="I218" i="37"/>
  <c r="I216" i="37"/>
  <c r="Y55" i="3"/>
  <c r="O21" i="5"/>
  <c r="P21" i="5" s="1"/>
  <c r="K16" i="35"/>
  <c r="L16" i="35"/>
  <c r="P16" i="35" s="1"/>
  <c r="I65" i="22"/>
  <c r="K29" i="22"/>
  <c r="J29" i="22"/>
  <c r="N34" i="5"/>
  <c r="O34" i="5" s="1"/>
  <c r="V28" i="12"/>
  <c r="W28" i="12" s="1"/>
  <c r="N23" i="35"/>
  <c r="P23" i="35" s="1"/>
  <c r="K23" i="35"/>
  <c r="J47" i="21"/>
  <c r="K47" i="21"/>
  <c r="O290" i="37"/>
  <c r="N290" i="37" s="1"/>
  <c r="U290" i="37" s="1"/>
  <c r="O281" i="37"/>
  <c r="N281" i="37" s="1"/>
  <c r="U281" i="37" s="1"/>
  <c r="O278" i="37"/>
  <c r="N278" i="37" s="1"/>
  <c r="U278" i="37" s="1"/>
  <c r="O291" i="37"/>
  <c r="N291" i="37" s="1"/>
  <c r="U291" i="37" s="1"/>
  <c r="O282" i="37"/>
  <c r="N282" i="37" s="1"/>
  <c r="U282" i="37" s="1"/>
  <c r="O283" i="37"/>
  <c r="N283" i="37" s="1"/>
  <c r="U283" i="37" s="1"/>
  <c r="O284" i="37"/>
  <c r="N284" i="37" s="1"/>
  <c r="U284" i="37" s="1"/>
  <c r="O287" i="37"/>
  <c r="N287" i="37" s="1"/>
  <c r="U287" i="37" s="1"/>
  <c r="O289" i="37"/>
  <c r="N289" i="37" s="1"/>
  <c r="U289" i="37" s="1"/>
  <c r="O277" i="37"/>
  <c r="N277" i="37" s="1"/>
  <c r="U277" i="37" s="1"/>
  <c r="O270" i="37"/>
  <c r="N270" i="37" s="1"/>
  <c r="U270" i="37" s="1"/>
  <c r="O258" i="37"/>
  <c r="N258" i="37" s="1"/>
  <c r="U258" i="37" s="1"/>
  <c r="O246" i="37"/>
  <c r="N246" i="37" s="1"/>
  <c r="U246" i="37" s="1"/>
  <c r="O235" i="37"/>
  <c r="N235" i="37" s="1"/>
  <c r="U235" i="37" s="1"/>
  <c r="O271" i="37"/>
  <c r="N271" i="37" s="1"/>
  <c r="U271" i="37" s="1"/>
  <c r="O259" i="37"/>
  <c r="N259" i="37" s="1"/>
  <c r="U259" i="37" s="1"/>
  <c r="O248" i="37"/>
  <c r="N248" i="37" s="1"/>
  <c r="U248" i="37" s="1"/>
  <c r="O236" i="37"/>
  <c r="N236" i="37" s="1"/>
  <c r="U236" i="37" s="1"/>
  <c r="O285" i="37"/>
  <c r="N285" i="37" s="1"/>
  <c r="U285" i="37" s="1"/>
  <c r="O272" i="37"/>
  <c r="N272" i="37" s="1"/>
  <c r="U272" i="37" s="1"/>
  <c r="O261" i="37"/>
  <c r="N261" i="37" s="1"/>
  <c r="U261" i="37" s="1"/>
  <c r="O249" i="37"/>
  <c r="N249" i="37" s="1"/>
  <c r="U249" i="37" s="1"/>
  <c r="O237" i="37"/>
  <c r="N237" i="37" s="1"/>
  <c r="U237" i="37" s="1"/>
  <c r="O288" i="37"/>
  <c r="N288" i="37" s="1"/>
  <c r="U288" i="37" s="1"/>
  <c r="O274" i="37"/>
  <c r="N274" i="37" s="1"/>
  <c r="U274" i="37" s="1"/>
  <c r="O262" i="37"/>
  <c r="N262" i="37" s="1"/>
  <c r="U262" i="37" s="1"/>
  <c r="O250" i="37"/>
  <c r="N250" i="37" s="1"/>
  <c r="U250" i="37" s="1"/>
  <c r="O238" i="37"/>
  <c r="N238" i="37" s="1"/>
  <c r="U238" i="37" s="1"/>
  <c r="O229" i="37"/>
  <c r="N229" i="37" s="1"/>
  <c r="U229" i="37" s="1"/>
  <c r="O276" i="37"/>
  <c r="N276" i="37" s="1"/>
  <c r="U276" i="37" s="1"/>
  <c r="O264" i="37"/>
  <c r="N264" i="37" s="1"/>
  <c r="U264" i="37" s="1"/>
  <c r="O255" i="37"/>
  <c r="N255" i="37" s="1"/>
  <c r="U255" i="37" s="1"/>
  <c r="O252" i="37"/>
  <c r="N252" i="37" s="1"/>
  <c r="U252" i="37" s="1"/>
  <c r="O243" i="37"/>
  <c r="N243" i="37" s="1"/>
  <c r="U243" i="37" s="1"/>
  <c r="O231" i="37"/>
  <c r="N231" i="37" s="1"/>
  <c r="U231" i="37" s="1"/>
  <c r="O251" i="37"/>
  <c r="N251" i="37" s="1"/>
  <c r="U251" i="37" s="1"/>
  <c r="O245" i="37"/>
  <c r="N245" i="37" s="1"/>
  <c r="U245" i="37" s="1"/>
  <c r="O275" i="37"/>
  <c r="N275" i="37" s="1"/>
  <c r="U275" i="37" s="1"/>
  <c r="O232" i="37"/>
  <c r="N232" i="37" s="1"/>
  <c r="U232" i="37" s="1"/>
  <c r="O263" i="37"/>
  <c r="N263" i="37" s="1"/>
  <c r="U263" i="37" s="1"/>
  <c r="O257" i="37"/>
  <c r="N257" i="37" s="1"/>
  <c r="U257" i="37" s="1"/>
  <c r="O242" i="37"/>
  <c r="N242" i="37" s="1"/>
  <c r="U242" i="37" s="1"/>
  <c r="O230" i="37"/>
  <c r="N230" i="37" s="1"/>
  <c r="U230" i="37" s="1"/>
  <c r="O269" i="37"/>
  <c r="N269" i="37" s="1"/>
  <c r="U269" i="37" s="1"/>
  <c r="O239" i="37"/>
  <c r="N239" i="37" s="1"/>
  <c r="U239" i="37" s="1"/>
  <c r="O268" i="37"/>
  <c r="N268" i="37" s="1"/>
  <c r="U268" i="37" s="1"/>
  <c r="O233" i="37"/>
  <c r="N233" i="37" s="1"/>
  <c r="U233" i="37" s="1"/>
  <c r="O256" i="37"/>
  <c r="N256" i="37" s="1"/>
  <c r="U256" i="37" s="1"/>
  <c r="O244" i="37"/>
  <c r="N244" i="37" s="1"/>
  <c r="U244" i="37" s="1"/>
  <c r="O265" i="37"/>
  <c r="N265" i="37" s="1"/>
  <c r="U265" i="37" s="1"/>
  <c r="J27" i="22"/>
  <c r="I47" i="21"/>
  <c r="J7" i="21"/>
  <c r="P382" i="37"/>
  <c r="P380" i="37"/>
  <c r="P383" i="37"/>
  <c r="P381" i="37"/>
  <c r="P379" i="37"/>
  <c r="K49" i="21"/>
  <c r="J49" i="21"/>
  <c r="AL66" i="5"/>
  <c r="N18" i="35"/>
  <c r="J289" i="34"/>
  <c r="J288" i="34" s="1"/>
  <c r="J285" i="34" s="1"/>
  <c r="J537" i="19"/>
  <c r="J536" i="19" s="1"/>
  <c r="J533" i="19" s="1"/>
  <c r="J90" i="19"/>
  <c r="J729" i="19"/>
  <c r="J584" i="19"/>
  <c r="J583" i="19" s="1"/>
  <c r="J580" i="19" s="1"/>
  <c r="J396" i="34"/>
  <c r="J233" i="34"/>
  <c r="J232" i="34" s="1"/>
  <c r="J229" i="34" s="1"/>
  <c r="J63" i="34"/>
  <c r="J318" i="34"/>
  <c r="J317" i="34" s="1"/>
  <c r="J314" i="34" s="1"/>
  <c r="J445" i="19"/>
  <c r="J444" i="19" s="1"/>
  <c r="J441" i="19" s="1"/>
  <c r="AL30" i="5"/>
  <c r="AN30" i="5" s="1"/>
  <c r="AO30" i="5" s="1"/>
  <c r="N28" i="2" s="1"/>
  <c r="U28" i="2" s="1"/>
  <c r="V28" i="2" s="1"/>
  <c r="P326" i="37"/>
  <c r="P324" i="37"/>
  <c r="N326" i="37"/>
  <c r="N324" i="37"/>
  <c r="P327" i="37"/>
  <c r="P323" i="37"/>
  <c r="P325" i="37"/>
  <c r="R113" i="3"/>
  <c r="S113" i="3" s="1"/>
  <c r="O113" i="3"/>
  <c r="P113" i="3" s="1"/>
  <c r="N113" i="3"/>
  <c r="N40" i="35"/>
  <c r="J65" i="21"/>
  <c r="N82" i="37"/>
  <c r="N80" i="37"/>
  <c r="N77" i="37"/>
  <c r="N75" i="37"/>
  <c r="N166" i="37"/>
  <c r="N164" i="37"/>
  <c r="N161" i="37"/>
  <c r="N159" i="37"/>
  <c r="N157" i="37"/>
  <c r="N165" i="37"/>
  <c r="N83" i="37"/>
  <c r="N74" i="37"/>
  <c r="N160" i="37"/>
  <c r="N76" i="37"/>
  <c r="N167" i="37"/>
  <c r="N73" i="37"/>
  <c r="N163" i="37"/>
  <c r="N79" i="37"/>
  <c r="N81" i="37"/>
  <c r="N158" i="37"/>
  <c r="AL65" i="5"/>
  <c r="O17" i="37"/>
  <c r="N17" i="37"/>
  <c r="K24" i="22"/>
  <c r="I24" i="22"/>
  <c r="J24" i="22"/>
  <c r="N47" i="5"/>
  <c r="N48" i="5" s="1"/>
  <c r="N49" i="5" s="1"/>
  <c r="K28" i="35"/>
  <c r="N28" i="35"/>
  <c r="P28" i="35" s="1"/>
  <c r="N39" i="35"/>
  <c r="O69" i="5"/>
  <c r="P69" i="5" s="1"/>
  <c r="J117" i="34"/>
  <c r="P13" i="5"/>
  <c r="AL13" i="5" s="1"/>
  <c r="AN13" i="5" s="1"/>
  <c r="AO13" i="5" s="1"/>
  <c r="N9" i="2" s="1"/>
  <c r="Y48" i="3"/>
  <c r="J381" i="34"/>
  <c r="P33" i="5"/>
  <c r="J28" i="21"/>
  <c r="K28" i="21"/>
  <c r="J361" i="34"/>
  <c r="J360" i="34" s="1"/>
  <c r="J357" i="34" s="1"/>
  <c r="J152" i="34"/>
  <c r="J151" i="34" s="1"/>
  <c r="J148" i="34" s="1"/>
  <c r="J134" i="34"/>
  <c r="J133" i="34" s="1"/>
  <c r="J130" i="34" s="1"/>
  <c r="J245" i="19"/>
  <c r="J244" i="19" s="1"/>
  <c r="J241" i="19" s="1"/>
  <c r="J247" i="19" s="1"/>
  <c r="J665" i="19"/>
  <c r="J664" i="19" s="1"/>
  <c r="J661" i="19" s="1"/>
  <c r="J667" i="19" s="1"/>
  <c r="J226" i="19"/>
  <c r="J225" i="19" s="1"/>
  <c r="J222" i="19" s="1"/>
  <c r="J228" i="19" s="1"/>
  <c r="J143" i="34"/>
  <c r="J142" i="34" s="1"/>
  <c r="J139" i="34" s="1"/>
  <c r="J264" i="19"/>
  <c r="J263" i="19" s="1"/>
  <c r="J260" i="19" s="1"/>
  <c r="J266" i="19" s="1"/>
  <c r="J74" i="34"/>
  <c r="J377" i="34"/>
  <c r="J376" i="34" s="1"/>
  <c r="J374" i="34" s="1"/>
  <c r="J110" i="19"/>
  <c r="J701" i="19"/>
  <c r="J700" i="19" s="1"/>
  <c r="J698" i="19" s="1"/>
  <c r="J703" i="19" s="1"/>
  <c r="J749" i="19"/>
  <c r="J407" i="34"/>
  <c r="J44" i="34"/>
  <c r="J62" i="19"/>
  <c r="J831" i="19"/>
  <c r="J452" i="34"/>
  <c r="G55" i="18"/>
  <c r="H55" i="18" s="1"/>
  <c r="J131" i="19"/>
  <c r="J130" i="19"/>
  <c r="J129" i="19"/>
  <c r="P24" i="5"/>
  <c r="AL24" i="5" s="1"/>
  <c r="AL22" i="5" s="1"/>
  <c r="AN22" i="5" s="1"/>
  <c r="AO22" i="5" s="1"/>
  <c r="K21" i="35"/>
  <c r="N21" i="35"/>
  <c r="P21" i="35" s="1"/>
  <c r="P39" i="5"/>
  <c r="AL39" i="5" s="1"/>
  <c r="AL37" i="5" s="1"/>
  <c r="AN37" i="5" s="1"/>
  <c r="AO37" i="5" s="1"/>
  <c r="M370" i="37"/>
  <c r="M368" i="37"/>
  <c r="M369" i="37"/>
  <c r="M367" i="37"/>
  <c r="M371" i="37"/>
  <c r="K27" i="35"/>
  <c r="N27" i="35"/>
  <c r="P27" i="35" s="1"/>
  <c r="P302" i="37"/>
  <c r="P300" i="37"/>
  <c r="O300" i="37" s="1"/>
  <c r="P301" i="37"/>
  <c r="O301" i="37" s="1"/>
  <c r="C23" i="18" s="1"/>
  <c r="F23" i="18" s="1"/>
  <c r="P299" i="37"/>
  <c r="O299" i="37" s="1"/>
  <c r="P303" i="37"/>
  <c r="J49" i="22"/>
  <c r="K49" i="22"/>
  <c r="Q207" i="37"/>
  <c r="Q205" i="37"/>
  <c r="Q203" i="37"/>
  <c r="Q206" i="37"/>
  <c r="Q204" i="37"/>
  <c r="N17" i="35"/>
  <c r="M166" i="37"/>
  <c r="L166" i="37" s="1"/>
  <c r="M164" i="37"/>
  <c r="L164" i="37" s="1"/>
  <c r="M161" i="37"/>
  <c r="L161" i="37" s="1"/>
  <c r="M159" i="37"/>
  <c r="L159" i="37" s="1"/>
  <c r="C52" i="18" s="1"/>
  <c r="F52" i="18" s="1"/>
  <c r="M157" i="37"/>
  <c r="L157" i="37" s="1"/>
  <c r="M168" i="37"/>
  <c r="M83" i="37"/>
  <c r="L83" i="37" s="1"/>
  <c r="M81" i="37"/>
  <c r="L81" i="37" s="1"/>
  <c r="M79" i="37"/>
  <c r="L79" i="37" s="1"/>
  <c r="M76" i="37"/>
  <c r="L76" i="37" s="1"/>
  <c r="M74" i="37"/>
  <c r="L74" i="37" s="1"/>
  <c r="M158" i="37"/>
  <c r="L158" i="37" s="1"/>
  <c r="M165" i="37"/>
  <c r="L165" i="37" s="1"/>
  <c r="M80" i="37"/>
  <c r="L80" i="37" s="1"/>
  <c r="M160" i="37"/>
  <c r="L160" i="37" s="1"/>
  <c r="M82" i="37"/>
  <c r="L82" i="37" s="1"/>
  <c r="M75" i="37"/>
  <c r="L75" i="37" s="1"/>
  <c r="M167" i="37"/>
  <c r="L167" i="37" s="1"/>
  <c r="M84" i="37"/>
  <c r="M73" i="37"/>
  <c r="L73" i="37" s="1"/>
  <c r="M77" i="37"/>
  <c r="L77" i="37" s="1"/>
  <c r="M163" i="37"/>
  <c r="L163" i="37" s="1"/>
  <c r="L34" i="37"/>
  <c r="K34" i="37"/>
  <c r="K35" i="37" s="1"/>
  <c r="J93" i="34"/>
  <c r="J513" i="19"/>
  <c r="J560" i="19"/>
  <c r="J148" i="19"/>
  <c r="J487" i="19"/>
  <c r="J486" i="19" s="1"/>
  <c r="J483" i="19" s="1"/>
  <c r="J610" i="19"/>
  <c r="J274" i="34"/>
  <c r="J335" i="34"/>
  <c r="J787" i="19"/>
  <c r="J257" i="34"/>
  <c r="J256" i="34" s="1"/>
  <c r="J253" i="34" s="1"/>
  <c r="J426" i="34"/>
  <c r="J303" i="34"/>
  <c r="J427" i="19"/>
  <c r="N41" i="35"/>
  <c r="AL33" i="5"/>
  <c r="Q128" i="24"/>
  <c r="Q182" i="37"/>
  <c r="Q180" i="37"/>
  <c r="Q181" i="37"/>
  <c r="Q183" i="37"/>
  <c r="Q179" i="37"/>
  <c r="L358" i="37"/>
  <c r="K358" i="37" s="1"/>
  <c r="L356" i="37"/>
  <c r="L359" i="37"/>
  <c r="L355" i="37"/>
  <c r="K355" i="37" s="1"/>
  <c r="L357" i="37"/>
  <c r="K357" i="37" s="1"/>
  <c r="C35" i="18" s="1"/>
  <c r="F35" i="18" s="1"/>
  <c r="O382" i="37"/>
  <c r="N382" i="37" s="1"/>
  <c r="O380" i="37"/>
  <c r="N380" i="37" s="1"/>
  <c r="O381" i="37"/>
  <c r="N381" i="37" s="1"/>
  <c r="C44" i="18" s="1"/>
  <c r="F44" i="18" s="1"/>
  <c r="O379" i="37"/>
  <c r="N379" i="37" s="1"/>
  <c r="O383" i="37"/>
  <c r="N383" i="37" s="1"/>
  <c r="Z72" i="12"/>
  <c r="AA72" i="12" s="1"/>
  <c r="Y72" i="12"/>
  <c r="H219" i="37"/>
  <c r="G219" i="37" s="1"/>
  <c r="H217" i="37"/>
  <c r="G217" i="37" s="1"/>
  <c r="C22" i="18" s="1"/>
  <c r="F22" i="18" s="1"/>
  <c r="H215" i="37"/>
  <c r="G215" i="37" s="1"/>
  <c r="H216" i="37"/>
  <c r="G216" i="37" s="1"/>
  <c r="H218" i="37"/>
  <c r="G218" i="37" s="1"/>
  <c r="V53" i="12"/>
  <c r="W53" i="12" s="1"/>
  <c r="K29" i="21"/>
  <c r="J29" i="21"/>
  <c r="K47" i="22"/>
  <c r="J47" i="22"/>
  <c r="I47" i="22"/>
  <c r="Z11" i="12"/>
  <c r="AA11" i="12" s="1"/>
  <c r="Y11" i="12"/>
  <c r="Q302" i="37"/>
  <c r="Q300" i="37"/>
  <c r="O302" i="37"/>
  <c r="Q303" i="37"/>
  <c r="Q301" i="37"/>
  <c r="Q299" i="37"/>
  <c r="O303" i="37"/>
  <c r="Z22" i="3"/>
  <c r="AA22" i="3" s="1"/>
  <c r="Y22" i="3"/>
  <c r="AL32" i="5"/>
  <c r="P207" i="37"/>
  <c r="O207" i="37" s="1"/>
  <c r="P205" i="37"/>
  <c r="O205" i="37" s="1"/>
  <c r="C21" i="18" s="1"/>
  <c r="F21" i="18" s="1"/>
  <c r="P203" i="37"/>
  <c r="O203" i="37" s="1"/>
  <c r="P206" i="37"/>
  <c r="O206" i="37" s="1"/>
  <c r="P204" i="37"/>
  <c r="O204" i="37" s="1"/>
  <c r="O394" i="37"/>
  <c r="N394" i="37" s="1"/>
  <c r="O392" i="37"/>
  <c r="N392" i="37" s="1"/>
  <c r="O391" i="37"/>
  <c r="O393" i="37"/>
  <c r="O395" i="37"/>
  <c r="N395" i="37" s="1"/>
  <c r="V77" i="12"/>
  <c r="W77" i="12" s="1"/>
  <c r="X112" i="3"/>
  <c r="Q310" i="24"/>
  <c r="K27" i="37"/>
  <c r="K28" i="37" s="1"/>
  <c r="L27" i="37"/>
  <c r="J646" i="19"/>
  <c r="J645" i="19" s="1"/>
  <c r="J643" i="19" s="1"/>
  <c r="J188" i="19"/>
  <c r="J187" i="19" s="1"/>
  <c r="J185" i="19" s="1"/>
  <c r="J115" i="34"/>
  <c r="J114" i="34" s="1"/>
  <c r="J112" i="34" s="1"/>
  <c r="J15" i="35" s="1"/>
  <c r="O15" i="35" s="1"/>
  <c r="J352" i="34"/>
  <c r="J351" i="34" s="1"/>
  <c r="J349" i="34" s="1"/>
  <c r="J38" i="35" s="1"/>
  <c r="O38" i="35" s="1"/>
  <c r="J39" i="22"/>
  <c r="AL40" i="5"/>
  <c r="AN40" i="5" s="1"/>
  <c r="AO40" i="5" s="1"/>
  <c r="P339" i="37"/>
  <c r="P337" i="37"/>
  <c r="P335" i="37"/>
  <c r="P338" i="37"/>
  <c r="P336" i="37"/>
  <c r="K59" i="21"/>
  <c r="J59" i="21"/>
  <c r="P314" i="37"/>
  <c r="O314" i="37" s="1"/>
  <c r="P312" i="37"/>
  <c r="O312" i="37" s="1"/>
  <c r="P311" i="37"/>
  <c r="O311" i="37" s="1"/>
  <c r="P315" i="37"/>
  <c r="O315" i="37" s="1"/>
  <c r="P313" i="37"/>
  <c r="O313" i="37" s="1"/>
  <c r="C24" i="18" s="1"/>
  <c r="F24" i="18" s="1"/>
  <c r="V50" i="12"/>
  <c r="W50" i="12" s="1"/>
  <c r="J168" i="19"/>
  <c r="J167" i="19" s="1"/>
  <c r="J165" i="19" s="1"/>
  <c r="J104" i="34"/>
  <c r="J103" i="34" s="1"/>
  <c r="J101" i="34" s="1"/>
  <c r="K28" i="22"/>
  <c r="J28" i="22"/>
  <c r="AL9" i="5"/>
  <c r="J7" i="22"/>
  <c r="J11" i="22"/>
  <c r="J345" i="19"/>
  <c r="J344" i="19"/>
  <c r="J343" i="19"/>
  <c r="N20" i="35"/>
  <c r="J23" i="22"/>
  <c r="I23" i="22"/>
  <c r="K23" i="22"/>
  <c r="J11" i="21"/>
  <c r="N393" i="37"/>
  <c r="N391" i="37"/>
  <c r="P394" i="37"/>
  <c r="P392" i="37"/>
  <c r="P391" i="37"/>
  <c r="P393" i="37"/>
  <c r="P395" i="37"/>
  <c r="P195" i="37"/>
  <c r="O195" i="37" s="1"/>
  <c r="P193" i="37"/>
  <c r="O193" i="37" s="1"/>
  <c r="C20" i="18" s="1"/>
  <c r="F20" i="18" s="1"/>
  <c r="P191" i="37"/>
  <c r="P192" i="37"/>
  <c r="O192" i="37" s="1"/>
  <c r="P194" i="37"/>
  <c r="O194" i="37" s="1"/>
  <c r="L107" i="37"/>
  <c r="K107" i="37"/>
  <c r="K108" i="37" s="1"/>
  <c r="J24" i="21"/>
  <c r="O339" i="37"/>
  <c r="N339" i="37" s="1"/>
  <c r="O337" i="37"/>
  <c r="N337" i="37" s="1"/>
  <c r="C32" i="18" s="1"/>
  <c r="F32" i="18" s="1"/>
  <c r="O335" i="37"/>
  <c r="N335" i="37" s="1"/>
  <c r="O338" i="37"/>
  <c r="N338" i="37" s="1"/>
  <c r="O336" i="37"/>
  <c r="N336" i="37" s="1"/>
  <c r="O112" i="3"/>
  <c r="P112" i="3" s="1"/>
  <c r="R112" i="3"/>
  <c r="S112" i="3" s="1"/>
  <c r="N112" i="3"/>
  <c r="J303" i="19"/>
  <c r="L94" i="37"/>
  <c r="K94" i="37"/>
  <c r="J244" i="34"/>
  <c r="J243" i="34" s="1"/>
  <c r="J241" i="34" s="1"/>
  <c r="J465" i="19"/>
  <c r="J464" i="19" s="1"/>
  <c r="J462" i="19" s="1"/>
  <c r="Z48" i="12"/>
  <c r="AA48" i="12" s="1"/>
  <c r="Y48" i="12"/>
  <c r="Q314" i="37"/>
  <c r="Q312" i="37"/>
  <c r="Q311" i="37"/>
  <c r="Q313" i="37"/>
  <c r="Q315" i="37"/>
  <c r="J48" i="34"/>
  <c r="V83" i="12"/>
  <c r="W83" i="12" s="1"/>
  <c r="J168" i="34"/>
  <c r="Z6" i="3"/>
  <c r="AA6" i="3" s="1"/>
  <c r="Y6" i="3"/>
  <c r="J20" i="21"/>
  <c r="J23" i="21"/>
  <c r="K114" i="37"/>
  <c r="K115" i="37" s="1"/>
  <c r="L114" i="37"/>
  <c r="L370" i="37"/>
  <c r="K370" i="37" s="1"/>
  <c r="L368" i="37"/>
  <c r="K368" i="37" s="1"/>
  <c r="L371" i="37"/>
  <c r="K371" i="37" s="1"/>
  <c r="L369" i="37"/>
  <c r="K369" i="37" s="1"/>
  <c r="L367" i="37"/>
  <c r="K367" i="37" s="1"/>
  <c r="N148" i="37"/>
  <c r="N146" i="37"/>
  <c r="N144" i="37"/>
  <c r="N147" i="37"/>
  <c r="N142" i="37"/>
  <c r="N63" i="37"/>
  <c r="N61" i="37"/>
  <c r="N58" i="37"/>
  <c r="N56" i="37"/>
  <c r="N54" i="37"/>
  <c r="N48" i="37"/>
  <c r="N141" i="37"/>
  <c r="N138" i="37"/>
  <c r="N50" i="37"/>
  <c r="N140" i="37"/>
  <c r="N49" i="37"/>
  <c r="N62" i="37"/>
  <c r="N57" i="37"/>
  <c r="N52" i="37"/>
  <c r="N139" i="37"/>
  <c r="N55" i="37"/>
  <c r="N145" i="37"/>
  <c r="N64" i="37"/>
  <c r="N51" i="37"/>
  <c r="N60" i="37"/>
  <c r="V8" i="12"/>
  <c r="W8" i="12" s="1"/>
  <c r="V89" i="12"/>
  <c r="W89" i="12" s="1"/>
  <c r="I14" i="24"/>
  <c r="R14" i="24" s="1"/>
  <c r="R12" i="24" s="1"/>
  <c r="Z81" i="3"/>
  <c r="AA81" i="3" s="1"/>
  <c r="Y81" i="3"/>
  <c r="Z6" i="12"/>
  <c r="AA6" i="12" s="1"/>
  <c r="Y6" i="12"/>
  <c r="J20" i="22"/>
  <c r="E71" i="22"/>
  <c r="K71" i="22" s="1"/>
  <c r="E71" i="21"/>
  <c r="H10" i="36"/>
  <c r="I10" i="36" s="1"/>
  <c r="H25" i="36"/>
  <c r="I25" i="36" s="1"/>
  <c r="H30" i="36"/>
  <c r="I30" i="36" s="1"/>
  <c r="H20" i="36"/>
  <c r="I20" i="36" s="1"/>
  <c r="H281" i="34"/>
  <c r="J281" i="34" s="1"/>
  <c r="H51" i="34"/>
  <c r="J51" i="34" s="1"/>
  <c r="H23" i="34"/>
  <c r="J23" i="34" s="1"/>
  <c r="J21" i="34" s="1"/>
  <c r="Q289" i="24"/>
  <c r="H206" i="34"/>
  <c r="J206" i="34" s="1"/>
  <c r="H225" i="34"/>
  <c r="J225" i="34" s="1"/>
  <c r="H9" i="34"/>
  <c r="J9" i="34" s="1"/>
  <c r="J7" i="34" s="1"/>
  <c r="P240" i="24"/>
  <c r="Q240" i="24" s="1"/>
  <c r="P176" i="24"/>
  <c r="Q176" i="24" s="1"/>
  <c r="P160" i="24"/>
  <c r="Q160" i="24" s="1"/>
  <c r="H384" i="34"/>
  <c r="J384" i="34" s="1"/>
  <c r="H15" i="36"/>
  <c r="I15" i="36" s="1"/>
  <c r="P217" i="24"/>
  <c r="Q217" i="24" s="1"/>
  <c r="P9" i="24"/>
  <c r="Q9" i="24" s="1"/>
  <c r="Q7" i="24" s="1"/>
  <c r="N8" i="1" s="1"/>
  <c r="R8" i="1" s="1"/>
  <c r="H310" i="34"/>
  <c r="J310" i="34" s="1"/>
  <c r="Q30" i="24"/>
  <c r="H431" i="34"/>
  <c r="J431" i="34" s="1"/>
  <c r="J429" i="34" s="1"/>
  <c r="P326" i="24"/>
  <c r="Q326" i="24" s="1"/>
  <c r="Q324" i="24" s="1"/>
  <c r="N49" i="1" s="1"/>
  <c r="R49" i="1" s="1"/>
  <c r="H25" i="22"/>
  <c r="P20" i="24"/>
  <c r="Q20" i="24" s="1"/>
  <c r="Q18" i="24" s="1"/>
  <c r="N9" i="1" s="1"/>
  <c r="R9" i="1" s="1"/>
  <c r="H801" i="19"/>
  <c r="J801" i="19" s="1"/>
  <c r="J799" i="19" s="1"/>
  <c r="H387" i="19"/>
  <c r="J387" i="19" s="1"/>
  <c r="H32" i="19"/>
  <c r="J32" i="19" s="1"/>
  <c r="J30" i="19" s="1"/>
  <c r="H9" i="19"/>
  <c r="J9" i="19" s="1"/>
  <c r="J7" i="19" s="1"/>
  <c r="H529" i="19"/>
  <c r="J529" i="19" s="1"/>
  <c r="H717" i="19"/>
  <c r="J717" i="19" s="1"/>
  <c r="H576" i="19"/>
  <c r="J576" i="19" s="1"/>
  <c r="H78" i="19"/>
  <c r="J78" i="19" s="1"/>
  <c r="H25" i="21"/>
  <c r="H437" i="19"/>
  <c r="J437" i="19" s="1"/>
  <c r="X61" i="3"/>
  <c r="O191" i="37"/>
  <c r="Q194" i="37"/>
  <c r="Q192" i="37"/>
  <c r="Q195" i="37"/>
  <c r="Q191" i="37"/>
  <c r="Q193" i="37"/>
  <c r="AL62" i="5"/>
  <c r="O124" i="37"/>
  <c r="N124" i="37"/>
  <c r="J413" i="19"/>
  <c r="P182" i="37"/>
  <c r="O182" i="37" s="1"/>
  <c r="P180" i="37"/>
  <c r="O180" i="37" s="1"/>
  <c r="P179" i="37"/>
  <c r="O179" i="37" s="1"/>
  <c r="P181" i="37"/>
  <c r="O181" i="37" s="1"/>
  <c r="C12" i="18" s="1"/>
  <c r="F12" i="18" s="1"/>
  <c r="P183" i="37"/>
  <c r="O183" i="37" s="1"/>
  <c r="K356" i="37"/>
  <c r="M359" i="37"/>
  <c r="M357" i="37"/>
  <c r="M355" i="37"/>
  <c r="K359" i="37"/>
  <c r="M356" i="37"/>
  <c r="M358" i="37"/>
  <c r="K413" i="37"/>
  <c r="J413" i="37"/>
  <c r="I49" i="22"/>
  <c r="K27" i="21"/>
  <c r="J27" i="21"/>
  <c r="K59" i="22"/>
  <c r="J59" i="22"/>
  <c r="M147" i="37"/>
  <c r="L147" i="37" s="1"/>
  <c r="M145" i="37"/>
  <c r="L145" i="37" s="1"/>
  <c r="M142" i="37"/>
  <c r="L142" i="37" s="1"/>
  <c r="M140" i="37"/>
  <c r="L140" i="37" s="1"/>
  <c r="C51" i="18" s="1"/>
  <c r="F51" i="18" s="1"/>
  <c r="M138" i="37"/>
  <c r="L138" i="37" s="1"/>
  <c r="M149" i="37"/>
  <c r="L149" i="37" s="1"/>
  <c r="M139" i="37"/>
  <c r="L139" i="37" s="1"/>
  <c r="M51" i="37"/>
  <c r="L51" i="37" s="1"/>
  <c r="M63" i="37"/>
  <c r="L63" i="37" s="1"/>
  <c r="M61" i="37"/>
  <c r="L61" i="37" s="1"/>
  <c r="M58" i="37"/>
  <c r="L58" i="37" s="1"/>
  <c r="M56" i="37"/>
  <c r="L56" i="37" s="1"/>
  <c r="M54" i="37"/>
  <c r="L54" i="37" s="1"/>
  <c r="M48" i="37"/>
  <c r="L48" i="37" s="1"/>
  <c r="M146" i="37"/>
  <c r="L146" i="37" s="1"/>
  <c r="M65" i="37"/>
  <c r="L65" i="37" s="1"/>
  <c r="M141" i="37"/>
  <c r="L141" i="37" s="1"/>
  <c r="M50" i="37"/>
  <c r="L50" i="37" s="1"/>
  <c r="M64" i="37"/>
  <c r="L64" i="37" s="1"/>
  <c r="M62" i="37"/>
  <c r="L62" i="37" s="1"/>
  <c r="M60" i="37"/>
  <c r="L60" i="37" s="1"/>
  <c r="M57" i="37"/>
  <c r="L57" i="37" s="1"/>
  <c r="M55" i="37"/>
  <c r="L55" i="37" s="1"/>
  <c r="M52" i="37"/>
  <c r="L52" i="37" s="1"/>
  <c r="M148" i="37"/>
  <c r="L148" i="37" s="1"/>
  <c r="M144" i="37"/>
  <c r="L144" i="37" s="1"/>
  <c r="M49" i="37"/>
  <c r="L49" i="37" s="1"/>
  <c r="J180" i="34"/>
  <c r="J322" i="19"/>
  <c r="Z83" i="3"/>
  <c r="AA83" i="3" s="1"/>
  <c r="Y83" i="3"/>
  <c r="J182" i="34"/>
  <c r="I15" i="21" l="1"/>
  <c r="O116" i="3"/>
  <c r="P116" i="3" s="1"/>
  <c r="Y35" i="3"/>
  <c r="N116" i="3"/>
  <c r="N109" i="3" s="1"/>
  <c r="N125" i="3" s="1"/>
  <c r="R118" i="3"/>
  <c r="S118" i="3" s="1"/>
  <c r="AL64" i="5"/>
  <c r="AN64" i="5" s="1"/>
  <c r="AO64" i="5" s="1"/>
  <c r="N31" i="2" s="1"/>
  <c r="U31" i="2" s="1"/>
  <c r="V31" i="2" s="1"/>
  <c r="H261" i="34" s="1"/>
  <c r="J261" i="34" s="1"/>
  <c r="Y34" i="12"/>
  <c r="J56" i="22"/>
  <c r="I56" i="22"/>
  <c r="J56" i="21"/>
  <c r="K56" i="21"/>
  <c r="N118" i="3"/>
  <c r="Q125" i="24"/>
  <c r="Q124" i="24" s="1"/>
  <c r="Q23" i="1" s="1"/>
  <c r="U23" i="1" s="1"/>
  <c r="J212" i="19"/>
  <c r="J210" i="19"/>
  <c r="J812" i="19"/>
  <c r="J815" i="19" s="1"/>
  <c r="Q308" i="24"/>
  <c r="N47" i="1" s="1"/>
  <c r="R47" i="1" s="1"/>
  <c r="P20" i="35"/>
  <c r="H248" i="34"/>
  <c r="J248" i="34" s="1"/>
  <c r="J247" i="34" s="1"/>
  <c r="J246" i="34" s="1"/>
  <c r="X100" i="3"/>
  <c r="Z100" i="3" s="1"/>
  <c r="AA100" i="3" s="1"/>
  <c r="H35" i="22"/>
  <c r="J35" i="22" s="1"/>
  <c r="H478" i="19"/>
  <c r="J478" i="19" s="1"/>
  <c r="J477" i="19" s="1"/>
  <c r="J489" i="19" s="1"/>
  <c r="J492" i="19" s="1"/>
  <c r="H35" i="21"/>
  <c r="I35" i="21" s="1"/>
  <c r="P193" i="24"/>
  <c r="Q193" i="24" s="1"/>
  <c r="Q192" i="24" s="1"/>
  <c r="N34" i="1" s="1"/>
  <c r="R34" i="1" s="1"/>
  <c r="U21" i="2"/>
  <c r="V21" i="2" s="1"/>
  <c r="X53" i="3" s="1"/>
  <c r="N13" i="2"/>
  <c r="U13" i="2" s="1"/>
  <c r="V13" i="2" s="1"/>
  <c r="N12" i="2"/>
  <c r="U12" i="2" s="1"/>
  <c r="V12" i="2" s="1"/>
  <c r="P46" i="5"/>
  <c r="AL46" i="5" s="1"/>
  <c r="P34" i="5"/>
  <c r="AL34" i="5" s="1"/>
  <c r="AL31" i="5" s="1"/>
  <c r="AN31" i="5" s="1"/>
  <c r="AO31" i="5" s="1"/>
  <c r="P130" i="24"/>
  <c r="Q130" i="24" s="1"/>
  <c r="X38" i="3"/>
  <c r="Z38" i="3" s="1"/>
  <c r="AA38" i="3" s="1"/>
  <c r="H16" i="22"/>
  <c r="I16" i="22" s="1"/>
  <c r="H312" i="19"/>
  <c r="J312" i="19" s="1"/>
  <c r="H313" i="19" s="1"/>
  <c r="J313" i="19" s="1"/>
  <c r="J309" i="19" s="1"/>
  <c r="H170" i="34"/>
  <c r="J170" i="34" s="1"/>
  <c r="H16" i="21"/>
  <c r="K16" i="21" s="1"/>
  <c r="O12" i="5"/>
  <c r="P12" i="5" s="1"/>
  <c r="AL12" i="5" s="1"/>
  <c r="AL10" i="5" s="1"/>
  <c r="AN10" i="5" s="1"/>
  <c r="AO10" i="5" s="1"/>
  <c r="U9" i="2" s="1"/>
  <c r="V9" i="2" s="1"/>
  <c r="P8" i="5"/>
  <c r="AL8" i="5" s="1"/>
  <c r="AL7" i="5" s="1"/>
  <c r="AN7" i="5" s="1"/>
  <c r="AO7" i="5" s="1"/>
  <c r="Q49" i="24"/>
  <c r="N12" i="1" s="1"/>
  <c r="R12" i="1" s="1"/>
  <c r="I23" i="21"/>
  <c r="K20" i="35"/>
  <c r="J77" i="34"/>
  <c r="Z111" i="3"/>
  <c r="AA111" i="3" s="1"/>
  <c r="Y111" i="3"/>
  <c r="K27" i="22"/>
  <c r="K44" i="22"/>
  <c r="K44" i="21"/>
  <c r="K15" i="21"/>
  <c r="Y52" i="9"/>
  <c r="P40" i="35"/>
  <c r="I39" i="22"/>
  <c r="K40" i="35"/>
  <c r="L106" i="12"/>
  <c r="I17" i="22"/>
  <c r="K17" i="22"/>
  <c r="I20" i="22"/>
  <c r="K43" i="21"/>
  <c r="J20" i="19"/>
  <c r="J22" i="19" s="1"/>
  <c r="I20" i="21"/>
  <c r="K65" i="21"/>
  <c r="AA52" i="9"/>
  <c r="F11" i="17" s="1"/>
  <c r="F12" i="17" s="1"/>
  <c r="F9" i="17" s="1"/>
  <c r="K15" i="22"/>
  <c r="P106" i="12"/>
  <c r="L52" i="9"/>
  <c r="I7" i="22"/>
  <c r="I17" i="21"/>
  <c r="L125" i="3"/>
  <c r="K24" i="21"/>
  <c r="K11" i="22"/>
  <c r="S52" i="9"/>
  <c r="K43" i="22"/>
  <c r="K7" i="21"/>
  <c r="K40" i="22"/>
  <c r="I39" i="21"/>
  <c r="K40" i="21"/>
  <c r="K11" i="21"/>
  <c r="P125" i="3"/>
  <c r="N106" i="12"/>
  <c r="S106" i="12"/>
  <c r="J771" i="19"/>
  <c r="J772" i="19" s="1"/>
  <c r="J773" i="19" s="1"/>
  <c r="J774" i="19" s="1"/>
  <c r="J775" i="19" s="1"/>
  <c r="J132" i="19"/>
  <c r="J133" i="19" s="1"/>
  <c r="J134" i="19" s="1"/>
  <c r="J135" i="19" s="1"/>
  <c r="J136" i="19" s="1"/>
  <c r="J289" i="19"/>
  <c r="J290" i="19" s="1"/>
  <c r="J291" i="19" s="1"/>
  <c r="J43" i="19"/>
  <c r="J46" i="19" s="1"/>
  <c r="G44" i="18"/>
  <c r="H44" i="18" s="1"/>
  <c r="F58" i="18"/>
  <c r="H58" i="18" s="1"/>
  <c r="G22" i="18"/>
  <c r="H22" i="18" s="1"/>
  <c r="C26" i="18"/>
  <c r="F26" i="18" s="1"/>
  <c r="F30" i="18"/>
  <c r="G8" i="35"/>
  <c r="J20" i="34"/>
  <c r="G52" i="18"/>
  <c r="H52" i="18" s="1"/>
  <c r="H109" i="34"/>
  <c r="J109" i="34" s="1"/>
  <c r="J107" i="34" s="1"/>
  <c r="H346" i="34"/>
  <c r="J346" i="34" s="1"/>
  <c r="J344" i="34" s="1"/>
  <c r="P266" i="24"/>
  <c r="Q266" i="24" s="1"/>
  <c r="Q264" i="24" s="1"/>
  <c r="N41" i="1" s="1"/>
  <c r="R41" i="1" s="1"/>
  <c r="P75" i="24"/>
  <c r="Q75" i="24" s="1"/>
  <c r="Q73" i="24" s="1"/>
  <c r="N15" i="1" s="1"/>
  <c r="R15" i="1" s="1"/>
  <c r="H26" i="22"/>
  <c r="H26" i="21"/>
  <c r="H640" i="19"/>
  <c r="J640" i="19" s="1"/>
  <c r="J638" i="19" s="1"/>
  <c r="J648" i="19" s="1"/>
  <c r="X71" i="3"/>
  <c r="H182" i="19"/>
  <c r="J182" i="19" s="1"/>
  <c r="J180" i="19" s="1"/>
  <c r="J190" i="19" s="1"/>
  <c r="G21" i="18"/>
  <c r="H21" i="18" s="1"/>
  <c r="G23" i="18"/>
  <c r="H23" i="18" s="1"/>
  <c r="G12" i="18"/>
  <c r="H12" i="18" s="1"/>
  <c r="G51" i="18"/>
  <c r="H51" i="18" s="1"/>
  <c r="H198" i="34"/>
  <c r="J198" i="34" s="1"/>
  <c r="J197" i="34" s="1"/>
  <c r="J196" i="34" s="1"/>
  <c r="G32" i="18"/>
  <c r="H32" i="18" s="1"/>
  <c r="G7" i="35"/>
  <c r="J6" i="34"/>
  <c r="L115" i="37"/>
  <c r="J115" i="37"/>
  <c r="K98" i="37"/>
  <c r="J98" i="37" s="1"/>
  <c r="K97" i="37"/>
  <c r="J97" i="37" s="1"/>
  <c r="K95" i="37"/>
  <c r="J95" i="37" s="1"/>
  <c r="K96" i="37"/>
  <c r="J96" i="37" s="1"/>
  <c r="V41" i="12"/>
  <c r="W41" i="12" s="1"/>
  <c r="V24" i="12"/>
  <c r="W24" i="12" s="1"/>
  <c r="J414" i="19"/>
  <c r="J415" i="19" s="1"/>
  <c r="G20" i="18"/>
  <c r="G24" i="18"/>
  <c r="H24" i="18" s="1"/>
  <c r="F25" i="18"/>
  <c r="L98" i="37"/>
  <c r="L96" i="37"/>
  <c r="L95" i="37"/>
  <c r="L97" i="37"/>
  <c r="L108" i="37"/>
  <c r="J108" i="37"/>
  <c r="P86" i="24"/>
  <c r="Q86" i="24" s="1"/>
  <c r="Q85" i="24" s="1"/>
  <c r="Q16" i="1" s="1"/>
  <c r="U16" i="1" s="1"/>
  <c r="H60" i="22"/>
  <c r="P110" i="24"/>
  <c r="Q110" i="24" s="1"/>
  <c r="Q108" i="24" s="1"/>
  <c r="Q20" i="1" s="1"/>
  <c r="U20" i="1" s="1"/>
  <c r="H60" i="21"/>
  <c r="X50" i="12"/>
  <c r="O49" i="5"/>
  <c r="P49" i="5" s="1"/>
  <c r="AL49" i="5" s="1"/>
  <c r="L28" i="37"/>
  <c r="J28" i="37"/>
  <c r="P333" i="24"/>
  <c r="Q333" i="24" s="1"/>
  <c r="P16" i="24"/>
  <c r="Q16" i="24" s="1"/>
  <c r="H61" i="21"/>
  <c r="H61" i="22"/>
  <c r="P27" i="24"/>
  <c r="Q27" i="24" s="1"/>
  <c r="X53" i="12"/>
  <c r="V59" i="12"/>
  <c r="W59" i="12" s="1"/>
  <c r="J17" i="35"/>
  <c r="J127" i="34"/>
  <c r="J35" i="37"/>
  <c r="L35" i="37"/>
  <c r="J19" i="35"/>
  <c r="J145" i="34"/>
  <c r="V62" i="12"/>
  <c r="W62" i="12" s="1"/>
  <c r="J269" i="19"/>
  <c r="J268" i="19"/>
  <c r="J267" i="19"/>
  <c r="J39" i="35"/>
  <c r="J354" i="34"/>
  <c r="N18" i="37"/>
  <c r="M18" i="37" s="1"/>
  <c r="N125" i="37"/>
  <c r="M125" i="37" s="1"/>
  <c r="J25" i="22"/>
  <c r="K25" i="22"/>
  <c r="I25" i="22"/>
  <c r="G46" i="35"/>
  <c r="J428" i="34"/>
  <c r="F47" i="18"/>
  <c r="F46" i="18"/>
  <c r="G35" i="18"/>
  <c r="H35" i="18" s="1"/>
  <c r="Z61" i="3"/>
  <c r="AA61" i="3" s="1"/>
  <c r="Y61" i="3"/>
  <c r="P331" i="24"/>
  <c r="Q331" i="24" s="1"/>
  <c r="H70" i="21"/>
  <c r="P25" i="24"/>
  <c r="Q25" i="24" s="1"/>
  <c r="P14" i="24"/>
  <c r="Q14" i="24" s="1"/>
  <c r="H70" i="22"/>
  <c r="X89" i="12"/>
  <c r="S109" i="3"/>
  <c r="S125" i="3" s="1"/>
  <c r="V13" i="12"/>
  <c r="W13" i="12" s="1"/>
  <c r="J18" i="35"/>
  <c r="J136" i="34"/>
  <c r="O18" i="37"/>
  <c r="O125" i="37"/>
  <c r="P296" i="24"/>
  <c r="H53" i="21"/>
  <c r="H53" i="22"/>
  <c r="P37" i="24"/>
  <c r="X21" i="12"/>
  <c r="J250" i="19"/>
  <c r="J249" i="19"/>
  <c r="J248" i="19"/>
  <c r="V87" i="12"/>
  <c r="W87" i="12" s="1"/>
  <c r="Z112" i="3"/>
  <c r="AA112" i="3" s="1"/>
  <c r="Y112" i="3"/>
  <c r="AN73" i="5"/>
  <c r="AO73" i="5" s="1"/>
  <c r="N37" i="2" s="1"/>
  <c r="U37" i="2" s="1"/>
  <c r="V37" i="2" s="1"/>
  <c r="N48" i="35"/>
  <c r="J705" i="19"/>
  <c r="J704" i="19"/>
  <c r="J706" i="19"/>
  <c r="J231" i="19"/>
  <c r="J229" i="19"/>
  <c r="J230" i="19"/>
  <c r="O47" i="5"/>
  <c r="P47" i="5" s="1"/>
  <c r="V80" i="12"/>
  <c r="W80" i="12" s="1"/>
  <c r="P332" i="24"/>
  <c r="Q332" i="24" s="1"/>
  <c r="P26" i="24"/>
  <c r="Q26" i="24" s="1"/>
  <c r="H68" i="22"/>
  <c r="P15" i="24"/>
  <c r="Q15" i="24" s="1"/>
  <c r="H68" i="21"/>
  <c r="X83" i="12"/>
  <c r="H66" i="22"/>
  <c r="X77" i="12"/>
  <c r="H66" i="21"/>
  <c r="J419" i="37"/>
  <c r="I419" i="37" s="1"/>
  <c r="J416" i="37"/>
  <c r="I416" i="37" s="1"/>
  <c r="C57" i="18" s="1"/>
  <c r="F57" i="18" s="1"/>
  <c r="J414" i="37"/>
  <c r="I414" i="37" s="1"/>
  <c r="J418" i="37"/>
  <c r="I418" i="37" s="1"/>
  <c r="J417" i="37"/>
  <c r="I417" i="37" s="1"/>
  <c r="J415" i="37"/>
  <c r="I415" i="37" s="1"/>
  <c r="K25" i="21"/>
  <c r="J25" i="21"/>
  <c r="I25" i="21"/>
  <c r="H48" i="21"/>
  <c r="X8" i="12"/>
  <c r="H48" i="22"/>
  <c r="V18" i="12"/>
  <c r="W18" i="12" s="1"/>
  <c r="N50" i="5"/>
  <c r="O48" i="5"/>
  <c r="P48" i="5" s="1"/>
  <c r="AL48" i="5" s="1"/>
  <c r="V36" i="12"/>
  <c r="W36" i="12" s="1"/>
  <c r="H192" i="34"/>
  <c r="P146" i="24"/>
  <c r="H30" i="22"/>
  <c r="H353" i="19"/>
  <c r="J353" i="19" s="1"/>
  <c r="H30" i="21"/>
  <c r="X85" i="3"/>
  <c r="V66" i="12"/>
  <c r="W66" i="12" s="1"/>
  <c r="J689" i="19"/>
  <c r="V16" i="12"/>
  <c r="W16" i="12" s="1"/>
  <c r="AL69" i="5"/>
  <c r="AL67" i="5" s="1"/>
  <c r="AN67" i="5" s="1"/>
  <c r="AO67" i="5" s="1"/>
  <c r="N32" i="2" s="1"/>
  <c r="U32" i="2" s="1"/>
  <c r="V32" i="2" s="1"/>
  <c r="P297" i="24"/>
  <c r="Q297" i="24" s="1"/>
  <c r="P223" i="24"/>
  <c r="Q223" i="24" s="1"/>
  <c r="P246" i="24"/>
  <c r="Q246" i="24" s="1"/>
  <c r="P182" i="24"/>
  <c r="Q182" i="24" s="1"/>
  <c r="P38" i="24"/>
  <c r="Q38" i="24" s="1"/>
  <c r="H55" i="22"/>
  <c r="H55" i="21"/>
  <c r="X28" i="12"/>
  <c r="J304" i="19"/>
  <c r="J305" i="19" s="1"/>
  <c r="K416" i="37"/>
  <c r="K414" i="37"/>
  <c r="K418" i="37"/>
  <c r="K417" i="37"/>
  <c r="K415" i="37"/>
  <c r="K419" i="37"/>
  <c r="AL61" i="5"/>
  <c r="AN61" i="5" s="1"/>
  <c r="AO61" i="5" s="1"/>
  <c r="N30" i="2" s="1"/>
  <c r="U30" i="2" s="1"/>
  <c r="V30" i="2" s="1"/>
  <c r="J346" i="19"/>
  <c r="J409" i="34"/>
  <c r="G44" i="35"/>
  <c r="J428" i="19"/>
  <c r="J429" i="19" s="1"/>
  <c r="J41" i="35"/>
  <c r="J371" i="34"/>
  <c r="J668" i="19"/>
  <c r="J670" i="19"/>
  <c r="J669" i="19"/>
  <c r="AL21" i="5"/>
  <c r="AL19" i="5" s="1"/>
  <c r="AN19" i="5" s="1"/>
  <c r="AO19" i="5" s="1"/>
  <c r="O50" i="5" l="1"/>
  <c r="K35" i="22"/>
  <c r="H22" i="22"/>
  <c r="K35" i="21"/>
  <c r="H597" i="19"/>
  <c r="J597" i="19" s="1"/>
  <c r="X94" i="3"/>
  <c r="H500" i="19"/>
  <c r="J500" i="19" s="1"/>
  <c r="P249" i="24"/>
  <c r="Q249" i="24" s="1"/>
  <c r="I16" i="21"/>
  <c r="P152" i="24"/>
  <c r="Q152" i="24" s="1"/>
  <c r="Q151" i="24" s="1"/>
  <c r="N27" i="1" s="1"/>
  <c r="R27" i="1" s="1"/>
  <c r="H293" i="34"/>
  <c r="J293" i="34" s="1"/>
  <c r="H322" i="34"/>
  <c r="J322" i="34" s="1"/>
  <c r="H22" i="21"/>
  <c r="K22" i="21" s="1"/>
  <c r="H550" i="19"/>
  <c r="J550" i="19" s="1"/>
  <c r="P226" i="24"/>
  <c r="Q226" i="24" s="1"/>
  <c r="H33" i="21"/>
  <c r="J33" i="21" s="1"/>
  <c r="H171" i="34"/>
  <c r="J171" i="34" s="1"/>
  <c r="J167" i="34" s="1"/>
  <c r="G22" i="35" s="1"/>
  <c r="J35" i="21"/>
  <c r="Y38" i="3"/>
  <c r="H33" i="22"/>
  <c r="K33" i="22" s="1"/>
  <c r="P203" i="24"/>
  <c r="Q203" i="24" s="1"/>
  <c r="H12" i="36"/>
  <c r="I12" i="36" s="1"/>
  <c r="H278" i="34"/>
  <c r="J278" i="34" s="1"/>
  <c r="P157" i="24"/>
  <c r="Q157" i="24" s="1"/>
  <c r="H75" i="19"/>
  <c r="J75" i="19" s="1"/>
  <c r="H81" i="19" s="1"/>
  <c r="J81" i="19" s="1"/>
  <c r="J74" i="19" s="1"/>
  <c r="H526" i="19"/>
  <c r="J526" i="19" s="1"/>
  <c r="H714" i="19"/>
  <c r="J714" i="19" s="1"/>
  <c r="H720" i="19" s="1"/>
  <c r="J720" i="19" s="1"/>
  <c r="J713" i="19" s="1"/>
  <c r="H17" i="36"/>
  <c r="I17" i="36" s="1"/>
  <c r="H381" i="34"/>
  <c r="H48" i="34"/>
  <c r="H27" i="36"/>
  <c r="I27" i="36" s="1"/>
  <c r="H573" i="19"/>
  <c r="J573" i="19" s="1"/>
  <c r="H36" i="22"/>
  <c r="H7" i="36"/>
  <c r="I7" i="36" s="1"/>
  <c r="H307" i="34"/>
  <c r="J307" i="34" s="1"/>
  <c r="P237" i="24"/>
  <c r="Q237" i="24" s="1"/>
  <c r="P214" i="24"/>
  <c r="Q214" i="24" s="1"/>
  <c r="H384" i="19"/>
  <c r="J384" i="19" s="1"/>
  <c r="X102" i="3"/>
  <c r="H22" i="36"/>
  <c r="I22" i="36" s="1"/>
  <c r="H222" i="34"/>
  <c r="J222" i="34" s="1"/>
  <c r="P173" i="24"/>
  <c r="Q173" i="24" s="1"/>
  <c r="H203" i="34"/>
  <c r="J203" i="34" s="1"/>
  <c r="H36" i="21"/>
  <c r="H434" i="19"/>
  <c r="J434" i="19" s="1"/>
  <c r="N7" i="2"/>
  <c r="U7" i="2" s="1"/>
  <c r="V7" i="2" s="1"/>
  <c r="H8" i="21" s="1"/>
  <c r="N8" i="2"/>
  <c r="U8" i="2" s="1"/>
  <c r="V8" i="2" s="1"/>
  <c r="X12" i="3" s="1"/>
  <c r="J213" i="19"/>
  <c r="J214" i="19" s="1"/>
  <c r="J215" i="19" s="1"/>
  <c r="J814" i="19"/>
  <c r="J813" i="19"/>
  <c r="H369" i="19"/>
  <c r="J369" i="19" s="1"/>
  <c r="J368" i="19" s="1"/>
  <c r="J373" i="19" s="1"/>
  <c r="J376" i="19" s="1"/>
  <c r="Y100" i="3"/>
  <c r="I35" i="22"/>
  <c r="P131" i="24"/>
  <c r="Q131" i="24" s="1"/>
  <c r="Q127" i="24" s="1"/>
  <c r="N24" i="1" s="1"/>
  <c r="R24" i="1" s="1"/>
  <c r="H29" i="36"/>
  <c r="I29" i="36" s="1"/>
  <c r="H13" i="21"/>
  <c r="K13" i="21" s="1"/>
  <c r="H528" i="19"/>
  <c r="J528" i="19" s="1"/>
  <c r="J16" i="21"/>
  <c r="K16" i="22"/>
  <c r="H383" i="34"/>
  <c r="J16" i="22"/>
  <c r="X28" i="3"/>
  <c r="Y28" i="3" s="1"/>
  <c r="H339" i="34"/>
  <c r="J339" i="34" s="1"/>
  <c r="X33" i="3"/>
  <c r="P260" i="24"/>
  <c r="Q260" i="24" s="1"/>
  <c r="H14" i="21"/>
  <c r="H623" i="19"/>
  <c r="J623" i="19" s="1"/>
  <c r="H14" i="22"/>
  <c r="H77" i="19"/>
  <c r="J77" i="19" s="1"/>
  <c r="H716" i="19"/>
  <c r="J716" i="19" s="1"/>
  <c r="P216" i="24"/>
  <c r="Q216" i="24" s="1"/>
  <c r="H9" i="36"/>
  <c r="I9" i="36" s="1"/>
  <c r="Z94" i="3"/>
  <c r="AA94" i="3" s="1"/>
  <c r="Y94" i="3"/>
  <c r="H575" i="19"/>
  <c r="J575" i="19" s="1"/>
  <c r="H50" i="34"/>
  <c r="J50" i="34" s="1"/>
  <c r="H280" i="34"/>
  <c r="J280" i="34" s="1"/>
  <c r="H24" i="36"/>
  <c r="I24" i="36" s="1"/>
  <c r="U18" i="2"/>
  <c r="V18" i="2" s="1"/>
  <c r="H161" i="19" s="1"/>
  <c r="J161" i="19" s="1"/>
  <c r="N11" i="2"/>
  <c r="U11" i="2" s="1"/>
  <c r="V11" i="2" s="1"/>
  <c r="P315" i="24"/>
  <c r="H778" i="19"/>
  <c r="J778" i="19" s="1"/>
  <c r="H780" i="19" s="1"/>
  <c r="J780" i="19" s="1"/>
  <c r="J777" i="19" s="1"/>
  <c r="H32" i="21"/>
  <c r="H84" i="34"/>
  <c r="H32" i="22"/>
  <c r="X91" i="3"/>
  <c r="P56" i="24"/>
  <c r="H139" i="19"/>
  <c r="J139" i="19" s="1"/>
  <c r="H141" i="19" s="1"/>
  <c r="J141" i="19" s="1"/>
  <c r="J138" i="19" s="1"/>
  <c r="H417" i="34"/>
  <c r="H34" i="21"/>
  <c r="P185" i="24"/>
  <c r="Q185" i="24" s="1"/>
  <c r="Q184" i="24" s="1"/>
  <c r="N33" i="1" s="1"/>
  <c r="R33" i="1" s="1"/>
  <c r="H34" i="22"/>
  <c r="H237" i="34"/>
  <c r="J237" i="34" s="1"/>
  <c r="J236" i="34" s="1"/>
  <c r="J235" i="34" s="1"/>
  <c r="H458" i="19"/>
  <c r="J458" i="19" s="1"/>
  <c r="J457" i="19" s="1"/>
  <c r="J467" i="19" s="1"/>
  <c r="X98" i="3"/>
  <c r="P239" i="24"/>
  <c r="Q239" i="24" s="1"/>
  <c r="H13" i="22"/>
  <c r="I13" i="22" s="1"/>
  <c r="H309" i="34"/>
  <c r="J309" i="34" s="1"/>
  <c r="J33" i="22"/>
  <c r="O51" i="5"/>
  <c r="AL47" i="5"/>
  <c r="U29" i="2"/>
  <c r="V29" i="2" s="1"/>
  <c r="P250" i="24" s="1"/>
  <c r="N17" i="2"/>
  <c r="U17" i="2" s="1"/>
  <c r="V17" i="2" s="1"/>
  <c r="H28" i="36"/>
  <c r="I28" i="36" s="1"/>
  <c r="H308" i="34"/>
  <c r="J308" i="34" s="1"/>
  <c r="H279" i="34"/>
  <c r="J279" i="34" s="1"/>
  <c r="H715" i="19"/>
  <c r="J715" i="19" s="1"/>
  <c r="H76" i="19"/>
  <c r="J76" i="19" s="1"/>
  <c r="H527" i="19"/>
  <c r="J527" i="19" s="1"/>
  <c r="H18" i="36"/>
  <c r="I18" i="36" s="1"/>
  <c r="H223" i="34"/>
  <c r="H8" i="36"/>
  <c r="I8" i="36" s="1"/>
  <c r="P158" i="24"/>
  <c r="Q158" i="24" s="1"/>
  <c r="H574" i="19"/>
  <c r="J574" i="19" s="1"/>
  <c r="X15" i="3"/>
  <c r="H23" i="36"/>
  <c r="I23" i="36" s="1"/>
  <c r="H204" i="34"/>
  <c r="J204" i="34" s="1"/>
  <c r="H49" i="34"/>
  <c r="H10" i="22"/>
  <c r="P174" i="24"/>
  <c r="H10" i="21"/>
  <c r="H13" i="36"/>
  <c r="I13" i="36" s="1"/>
  <c r="H382" i="34"/>
  <c r="J382" i="34" s="1"/>
  <c r="P215" i="24"/>
  <c r="Q215" i="24" s="1"/>
  <c r="P238" i="24"/>
  <c r="Q238" i="24" s="1"/>
  <c r="H435" i="19"/>
  <c r="J435" i="19" s="1"/>
  <c r="H385" i="19"/>
  <c r="J385" i="19" s="1"/>
  <c r="G12" i="35"/>
  <c r="J76" i="34"/>
  <c r="Q296" i="24"/>
  <c r="P298" i="24"/>
  <c r="Q37" i="24"/>
  <c r="P39" i="24"/>
  <c r="J23" i="19"/>
  <c r="J21" i="19"/>
  <c r="K39" i="21"/>
  <c r="F13" i="18"/>
  <c r="K39" i="22"/>
  <c r="J44" i="19"/>
  <c r="J45" i="19"/>
  <c r="J47" i="34"/>
  <c r="J491" i="19"/>
  <c r="J490" i="19"/>
  <c r="W106" i="12"/>
  <c r="J671" i="19"/>
  <c r="J672" i="19" s="1"/>
  <c r="J673" i="19" s="1"/>
  <c r="J674" i="19" s="1"/>
  <c r="J675" i="19" s="1"/>
  <c r="J24" i="38"/>
  <c r="I23" i="39"/>
  <c r="G11" i="20"/>
  <c r="H11" i="20" s="1"/>
  <c r="J292" i="19"/>
  <c r="J293" i="19" s="1"/>
  <c r="G57" i="18"/>
  <c r="H57" i="18" s="1"/>
  <c r="H49" i="18" s="1"/>
  <c r="F49" i="18"/>
  <c r="J430" i="19"/>
  <c r="J431" i="19" s="1"/>
  <c r="J56" i="38"/>
  <c r="I55" i="39"/>
  <c r="G43" i="20"/>
  <c r="H43" i="20" s="1"/>
  <c r="J416" i="19"/>
  <c r="J417" i="19" s="1"/>
  <c r="J306" i="19"/>
  <c r="J307" i="19" s="1"/>
  <c r="Z83" i="12"/>
  <c r="AA83" i="12" s="1"/>
  <c r="Y83" i="12"/>
  <c r="G46" i="18"/>
  <c r="H46" i="18" s="1"/>
  <c r="O39" i="35"/>
  <c r="P39" i="35" s="1"/>
  <c r="K39" i="35"/>
  <c r="P330" i="24"/>
  <c r="Q330" i="24" s="1"/>
  <c r="Q329" i="24" s="1"/>
  <c r="Q49" i="1" s="1"/>
  <c r="U49" i="1" s="1"/>
  <c r="H63" i="22"/>
  <c r="P24" i="24"/>
  <c r="Q24" i="24" s="1"/>
  <c r="Q23" i="24" s="1"/>
  <c r="Q9" i="1" s="1"/>
  <c r="U9" i="1" s="1"/>
  <c r="H63" i="21"/>
  <c r="P13" i="24"/>
  <c r="Q13" i="24" s="1"/>
  <c r="Q12" i="24" s="1"/>
  <c r="Q8" i="1" s="1"/>
  <c r="U8" i="1" s="1"/>
  <c r="X62" i="12"/>
  <c r="K7" i="35"/>
  <c r="L7" i="35"/>
  <c r="Z53" i="3"/>
  <c r="AA53" i="3" s="1"/>
  <c r="Y53" i="3"/>
  <c r="Z71" i="3"/>
  <c r="AA71" i="3" s="1"/>
  <c r="Y71" i="3"/>
  <c r="G30" i="18"/>
  <c r="Z85" i="3"/>
  <c r="AA85" i="3" s="1"/>
  <c r="Y85" i="3"/>
  <c r="J68" i="21"/>
  <c r="K68" i="21"/>
  <c r="I68" i="21"/>
  <c r="Z21" i="12"/>
  <c r="AA21" i="12" s="1"/>
  <c r="Y21" i="12"/>
  <c r="G47" i="18"/>
  <c r="H47" i="18" s="1"/>
  <c r="G25" i="18"/>
  <c r="H25" i="18" s="1"/>
  <c r="P286" i="24"/>
  <c r="Q286" i="24" s="1"/>
  <c r="Q285" i="24" s="1"/>
  <c r="Q44" i="1" s="1"/>
  <c r="U44" i="1" s="1"/>
  <c r="P305" i="24"/>
  <c r="H54" i="21"/>
  <c r="P46" i="24"/>
  <c r="H54" i="22"/>
  <c r="X24" i="12"/>
  <c r="J649" i="19"/>
  <c r="J651" i="19"/>
  <c r="J650" i="19"/>
  <c r="G26" i="18"/>
  <c r="H26" i="18" s="1"/>
  <c r="K44" i="35"/>
  <c r="L44" i="35"/>
  <c r="P44" i="35" s="1"/>
  <c r="Z28" i="12"/>
  <c r="AA28" i="12" s="1"/>
  <c r="Y28" i="12"/>
  <c r="K30" i="21"/>
  <c r="J30" i="21"/>
  <c r="I30" i="21"/>
  <c r="K48" i="22"/>
  <c r="J48" i="22"/>
  <c r="I48" i="22"/>
  <c r="J55" i="21"/>
  <c r="K55" i="21"/>
  <c r="I55" i="21"/>
  <c r="P71" i="24"/>
  <c r="Q71" i="24" s="1"/>
  <c r="Q70" i="24" s="1"/>
  <c r="Q14" i="1" s="1"/>
  <c r="U14" i="1" s="1"/>
  <c r="H51" i="22"/>
  <c r="H51" i="21"/>
  <c r="X16" i="12"/>
  <c r="H354" i="19"/>
  <c r="J354" i="19" s="1"/>
  <c r="J352" i="19" s="1"/>
  <c r="J358" i="19" s="1"/>
  <c r="Z8" i="12"/>
  <c r="AA8" i="12" s="1"/>
  <c r="Y8" i="12"/>
  <c r="J707" i="19"/>
  <c r="Z89" i="12"/>
  <c r="AA89" i="12" s="1"/>
  <c r="Y89" i="12"/>
  <c r="Z53" i="12"/>
  <c r="AA53" i="12" s="1"/>
  <c r="Y53" i="12"/>
  <c r="Z50" i="12"/>
  <c r="AA50" i="12" s="1"/>
  <c r="Y50" i="12"/>
  <c r="K26" i="21"/>
  <c r="J26" i="21"/>
  <c r="I26" i="21"/>
  <c r="J383" i="34"/>
  <c r="J690" i="19"/>
  <c r="J691" i="19" s="1"/>
  <c r="P147" i="24"/>
  <c r="Q146" i="24"/>
  <c r="K53" i="21"/>
  <c r="J53" i="21"/>
  <c r="I53" i="21"/>
  <c r="K55" i="22"/>
  <c r="J55" i="22"/>
  <c r="I55" i="22"/>
  <c r="J30" i="22"/>
  <c r="K30" i="22"/>
  <c r="I30" i="22"/>
  <c r="K48" i="21"/>
  <c r="J48" i="21"/>
  <c r="I48" i="21"/>
  <c r="J66" i="21"/>
  <c r="K66" i="21"/>
  <c r="I66" i="21"/>
  <c r="K68" i="22"/>
  <c r="J68" i="22"/>
  <c r="I68" i="22"/>
  <c r="K53" i="22"/>
  <c r="J53" i="22"/>
  <c r="I53" i="22"/>
  <c r="J70" i="22"/>
  <c r="K70" i="22"/>
  <c r="I70" i="22"/>
  <c r="K46" i="35"/>
  <c r="L46" i="35"/>
  <c r="P46" i="35" s="1"/>
  <c r="J270" i="19"/>
  <c r="K60" i="21"/>
  <c r="J60" i="21"/>
  <c r="I60" i="21"/>
  <c r="P321" i="24"/>
  <c r="P210" i="24"/>
  <c r="P211" i="24" s="1"/>
  <c r="P233" i="24"/>
  <c r="P199" i="24"/>
  <c r="Q199" i="24" s="1"/>
  <c r="P256" i="24"/>
  <c r="P257" i="24" s="1"/>
  <c r="P62" i="24"/>
  <c r="H58" i="22"/>
  <c r="H58" i="21"/>
  <c r="X41" i="12"/>
  <c r="K22" i="22"/>
  <c r="J22" i="22"/>
  <c r="I22" i="22"/>
  <c r="K26" i="22"/>
  <c r="J26" i="22"/>
  <c r="I26" i="22"/>
  <c r="K8" i="35"/>
  <c r="L8" i="35"/>
  <c r="P8" i="35" s="1"/>
  <c r="J347" i="19"/>
  <c r="J348" i="19" s="1"/>
  <c r="J192" i="34"/>
  <c r="H193" i="34"/>
  <c r="J193" i="34" s="1"/>
  <c r="P50" i="5"/>
  <c r="AL50" i="5" s="1"/>
  <c r="N51" i="5"/>
  <c r="K66" i="22"/>
  <c r="J66" i="22"/>
  <c r="I66" i="22"/>
  <c r="J251" i="19"/>
  <c r="O18" i="35"/>
  <c r="P18" i="35" s="1"/>
  <c r="K18" i="35"/>
  <c r="P270" i="24"/>
  <c r="Q270" i="24" s="1"/>
  <c r="Q269" i="24" s="1"/>
  <c r="Q41" i="1" s="1"/>
  <c r="U41" i="1" s="1"/>
  <c r="P79" i="24"/>
  <c r="Q79" i="24" s="1"/>
  <c r="Q78" i="24" s="1"/>
  <c r="Q15" i="1" s="1"/>
  <c r="U15" i="1" s="1"/>
  <c r="H50" i="22"/>
  <c r="X13" i="12"/>
  <c r="H50" i="21"/>
  <c r="K61" i="22"/>
  <c r="J61" i="22"/>
  <c r="I61" i="22"/>
  <c r="J60" i="22"/>
  <c r="K60" i="22"/>
  <c r="I60" i="22"/>
  <c r="Z77" i="12"/>
  <c r="AA77" i="12" s="1"/>
  <c r="Y77" i="12"/>
  <c r="O41" i="35"/>
  <c r="P41" i="35" s="1"/>
  <c r="K41" i="35"/>
  <c r="P222" i="24"/>
  <c r="Q222" i="24" s="1"/>
  <c r="Q221" i="24" s="1"/>
  <c r="Q36" i="1" s="1"/>
  <c r="U36" i="1" s="1"/>
  <c r="P245" i="24"/>
  <c r="Q245" i="24" s="1"/>
  <c r="Q244" i="24" s="1"/>
  <c r="Q38" i="1" s="1"/>
  <c r="U38" i="1" s="1"/>
  <c r="H64" i="21"/>
  <c r="P181" i="24"/>
  <c r="Q181" i="24" s="1"/>
  <c r="Q180" i="24" s="1"/>
  <c r="Q32" i="1" s="1"/>
  <c r="U32" i="1" s="1"/>
  <c r="X66" i="12"/>
  <c r="H64" i="22"/>
  <c r="P275" i="24"/>
  <c r="Q275" i="24" s="1"/>
  <c r="Q274" i="24" s="1"/>
  <c r="Q42" i="1" s="1"/>
  <c r="U42" i="1" s="1"/>
  <c r="P91" i="24"/>
  <c r="Q91" i="24" s="1"/>
  <c r="Q90" i="24" s="1"/>
  <c r="Q17" i="1" s="1"/>
  <c r="U17" i="1" s="1"/>
  <c r="P103" i="24"/>
  <c r="Q103" i="24" s="1"/>
  <c r="Q102" i="24" s="1"/>
  <c r="Q19" i="1" s="1"/>
  <c r="U19" i="1" s="1"/>
  <c r="P97" i="24"/>
  <c r="Q97" i="24" s="1"/>
  <c r="Q96" i="24" s="1"/>
  <c r="Q18" i="1" s="1"/>
  <c r="U18" i="1" s="1"/>
  <c r="H57" i="22"/>
  <c r="H57" i="21"/>
  <c r="X36" i="12"/>
  <c r="P200" i="24"/>
  <c r="Q200" i="24" s="1"/>
  <c r="P190" i="24"/>
  <c r="Q190" i="24" s="1"/>
  <c r="Q189" i="24" s="1"/>
  <c r="Q33" i="1" s="1"/>
  <c r="U33" i="1" s="1"/>
  <c r="H52" i="22"/>
  <c r="X18" i="12"/>
  <c r="H52" i="21"/>
  <c r="P164" i="24"/>
  <c r="Q164" i="24" s="1"/>
  <c r="Q163" i="24" s="1"/>
  <c r="Q28" i="1" s="1"/>
  <c r="U28" i="1" s="1"/>
  <c r="P137" i="24"/>
  <c r="Q137" i="24" s="1"/>
  <c r="H67" i="21"/>
  <c r="H67" i="22"/>
  <c r="X80" i="12"/>
  <c r="J232" i="19"/>
  <c r="P135" i="24"/>
  <c r="H69" i="21"/>
  <c r="H69" i="22"/>
  <c r="X87" i="12"/>
  <c r="K70" i="21"/>
  <c r="J70" i="21"/>
  <c r="I70" i="21"/>
  <c r="O19" i="35"/>
  <c r="P19" i="35" s="1"/>
  <c r="K19" i="35"/>
  <c r="O17" i="35"/>
  <c r="K17" i="35"/>
  <c r="K61" i="21"/>
  <c r="J61" i="21"/>
  <c r="I61" i="21"/>
  <c r="H20" i="18"/>
  <c r="J343" i="34"/>
  <c r="G38" i="35"/>
  <c r="H62" i="21"/>
  <c r="X59" i="12"/>
  <c r="H62" i="22"/>
  <c r="J192" i="19"/>
  <c r="J191" i="19"/>
  <c r="J193" i="19"/>
  <c r="G15" i="35"/>
  <c r="J106" i="34"/>
  <c r="P252" i="24" l="1"/>
  <c r="I33" i="21"/>
  <c r="I22" i="21"/>
  <c r="J22" i="21"/>
  <c r="K33" i="21"/>
  <c r="X46" i="3"/>
  <c r="Z46" i="3" s="1"/>
  <c r="AA46" i="3" s="1"/>
  <c r="H97" i="34"/>
  <c r="H19" i="22"/>
  <c r="J19" i="22" s="1"/>
  <c r="I33" i="22"/>
  <c r="H19" i="21"/>
  <c r="I19" i="21" s="1"/>
  <c r="P66" i="24"/>
  <c r="P67" i="24" s="1"/>
  <c r="I13" i="21"/>
  <c r="J13" i="21"/>
  <c r="I6" i="36"/>
  <c r="I26" i="36"/>
  <c r="J374" i="19"/>
  <c r="J375" i="19"/>
  <c r="X119" i="3"/>
  <c r="Z119" i="3" s="1"/>
  <c r="AA119" i="3" s="1"/>
  <c r="K13" i="22"/>
  <c r="I21" i="36"/>
  <c r="I36" i="22"/>
  <c r="K36" i="22"/>
  <c r="J36" i="22"/>
  <c r="K36" i="21"/>
  <c r="I36" i="21"/>
  <c r="J36" i="21"/>
  <c r="Z102" i="3"/>
  <c r="AA102" i="3" s="1"/>
  <c r="Y102" i="3"/>
  <c r="J13" i="22"/>
  <c r="J816" i="19"/>
  <c r="J817" i="19" s="1"/>
  <c r="H530" i="19"/>
  <c r="J530" i="19" s="1"/>
  <c r="J525" i="19" s="1"/>
  <c r="J539" i="19" s="1"/>
  <c r="J540" i="19" s="1"/>
  <c r="H577" i="19"/>
  <c r="J577" i="19" s="1"/>
  <c r="J572" i="19" s="1"/>
  <c r="J586" i="19" s="1"/>
  <c r="J588" i="19" s="1"/>
  <c r="P241" i="24"/>
  <c r="X121" i="3" s="1"/>
  <c r="X87" i="3"/>
  <c r="Z87" i="3" s="1"/>
  <c r="AA87" i="3" s="1"/>
  <c r="H31" i="21"/>
  <c r="I31" i="21" s="1"/>
  <c r="H262" i="34"/>
  <c r="H265" i="34" s="1"/>
  <c r="J265" i="34" s="1"/>
  <c r="H31" i="22"/>
  <c r="K31" i="22" s="1"/>
  <c r="H294" i="34"/>
  <c r="J294" i="34" s="1"/>
  <c r="P227" i="24"/>
  <c r="P229" i="24" s="1"/>
  <c r="H551" i="19"/>
  <c r="J551" i="19" s="1"/>
  <c r="H553" i="19" s="1"/>
  <c r="J553" i="19" s="1"/>
  <c r="J549" i="19" s="1"/>
  <c r="P204" i="24"/>
  <c r="P206" i="24" s="1"/>
  <c r="H323" i="34"/>
  <c r="J323" i="34" s="1"/>
  <c r="H501" i="19"/>
  <c r="J501" i="19" s="1"/>
  <c r="H504" i="19" s="1"/>
  <c r="J504" i="19" s="1"/>
  <c r="J499" i="19" s="1"/>
  <c r="H598" i="19"/>
  <c r="J598" i="19" s="1"/>
  <c r="H601" i="19" s="1"/>
  <c r="J601" i="19" s="1"/>
  <c r="J596" i="19" s="1"/>
  <c r="H282" i="34"/>
  <c r="J282" i="34" s="1"/>
  <c r="J277" i="34" s="1"/>
  <c r="J276" i="34" s="1"/>
  <c r="Z28" i="3"/>
  <c r="AA28" i="3" s="1"/>
  <c r="P218" i="24"/>
  <c r="X120" i="3" s="1"/>
  <c r="H311" i="34"/>
  <c r="J311" i="34" s="1"/>
  <c r="J306" i="34" s="1"/>
  <c r="J305" i="34" s="1"/>
  <c r="H624" i="19"/>
  <c r="J624" i="19" s="1"/>
  <c r="J622" i="19" s="1"/>
  <c r="J628" i="19" s="1"/>
  <c r="J629" i="19" s="1"/>
  <c r="J470" i="19"/>
  <c r="J468" i="19"/>
  <c r="J469" i="19"/>
  <c r="I34" i="21"/>
  <c r="K34" i="21"/>
  <c r="J34" i="21"/>
  <c r="Z91" i="3"/>
  <c r="AA91" i="3" s="1"/>
  <c r="Y91" i="3"/>
  <c r="I14" i="21"/>
  <c r="K14" i="21"/>
  <c r="J14" i="21"/>
  <c r="H419" i="34"/>
  <c r="J419" i="34" s="1"/>
  <c r="J417" i="34"/>
  <c r="J32" i="22"/>
  <c r="K32" i="22"/>
  <c r="I32" i="22"/>
  <c r="P317" i="24"/>
  <c r="Q315" i="24"/>
  <c r="I34" i="22"/>
  <c r="K34" i="22"/>
  <c r="J34" i="22"/>
  <c r="J84" i="34"/>
  <c r="H86" i="34"/>
  <c r="J86" i="34" s="1"/>
  <c r="H14" i="36"/>
  <c r="I14" i="36" s="1"/>
  <c r="I11" i="36" s="1"/>
  <c r="H12" i="22"/>
  <c r="P175" i="24"/>
  <c r="Q175" i="24" s="1"/>
  <c r="H386" i="19"/>
  <c r="J386" i="19" s="1"/>
  <c r="J383" i="19" s="1"/>
  <c r="J395" i="19" s="1"/>
  <c r="H205" i="34"/>
  <c r="J205" i="34" s="1"/>
  <c r="J202" i="34" s="1"/>
  <c r="J201" i="34" s="1"/>
  <c r="H12" i="21"/>
  <c r="X25" i="3"/>
  <c r="H19" i="36"/>
  <c r="I19" i="36" s="1"/>
  <c r="I16" i="36" s="1"/>
  <c r="H224" i="34"/>
  <c r="J224" i="34" s="1"/>
  <c r="H436" i="19"/>
  <c r="J436" i="19" s="1"/>
  <c r="H438" i="19" s="1"/>
  <c r="J438" i="19" s="1"/>
  <c r="J433" i="19" s="1"/>
  <c r="J447" i="19" s="1"/>
  <c r="J448" i="19" s="1"/>
  <c r="P159" i="24"/>
  <c r="Q159" i="24" s="1"/>
  <c r="Q156" i="24" s="1"/>
  <c r="N28" i="1" s="1"/>
  <c r="R28" i="1" s="1"/>
  <c r="K14" i="22"/>
  <c r="J14" i="22"/>
  <c r="I14" i="22"/>
  <c r="Z33" i="3"/>
  <c r="AA33" i="3" s="1"/>
  <c r="Y33" i="3"/>
  <c r="Z98" i="3"/>
  <c r="AA98" i="3" s="1"/>
  <c r="Y98" i="3"/>
  <c r="P58" i="24"/>
  <c r="Q56" i="24"/>
  <c r="I32" i="21"/>
  <c r="K32" i="21"/>
  <c r="J32" i="21"/>
  <c r="H385" i="34"/>
  <c r="H18" i="21"/>
  <c r="X43" i="3"/>
  <c r="H18" i="22"/>
  <c r="P290" i="24"/>
  <c r="H79" i="19"/>
  <c r="J79" i="19" s="1"/>
  <c r="H52" i="34"/>
  <c r="J52" i="34" s="1"/>
  <c r="H718" i="19"/>
  <c r="J718" i="19" s="1"/>
  <c r="P31" i="24"/>
  <c r="H742" i="19"/>
  <c r="J742" i="19" s="1"/>
  <c r="J741" i="19" s="1"/>
  <c r="H400" i="34"/>
  <c r="J400" i="34" s="1"/>
  <c r="J399" i="34" s="1"/>
  <c r="H340" i="34"/>
  <c r="J340" i="34" s="1"/>
  <c r="J338" i="34" s="1"/>
  <c r="G37" i="35" s="1"/>
  <c r="L37" i="35" s="1"/>
  <c r="P37" i="35" s="1"/>
  <c r="H9" i="21"/>
  <c r="J9" i="21" s="1"/>
  <c r="H67" i="34"/>
  <c r="J67" i="34" s="1"/>
  <c r="J66" i="34" s="1"/>
  <c r="X10" i="3"/>
  <c r="H103" i="19"/>
  <c r="J103" i="19" s="1"/>
  <c r="J102" i="19" s="1"/>
  <c r="P42" i="24"/>
  <c r="Q42" i="24" s="1"/>
  <c r="Q41" i="24" s="1"/>
  <c r="N11" i="1" s="1"/>
  <c r="R11" i="1" s="1"/>
  <c r="H9" i="22"/>
  <c r="I9" i="22" s="1"/>
  <c r="P301" i="24"/>
  <c r="Q301" i="24" s="1"/>
  <c r="Q300" i="24" s="1"/>
  <c r="N46" i="1" s="1"/>
  <c r="R46" i="1" s="1"/>
  <c r="Y15" i="3"/>
  <c r="Z15" i="3"/>
  <c r="AA15" i="3" s="1"/>
  <c r="J49" i="34"/>
  <c r="J10" i="21"/>
  <c r="K10" i="21"/>
  <c r="I10" i="21"/>
  <c r="I10" i="22"/>
  <c r="K10" i="22"/>
  <c r="J10" i="22"/>
  <c r="J223" i="34"/>
  <c r="Q174" i="24"/>
  <c r="J8" i="21"/>
  <c r="K8" i="21"/>
  <c r="Q259" i="24"/>
  <c r="N40" i="1" s="1"/>
  <c r="R40" i="1" s="1"/>
  <c r="H8" i="22"/>
  <c r="J24" i="19"/>
  <c r="J25" i="19" s="1"/>
  <c r="J26" i="19" s="1"/>
  <c r="J27" i="19" s="1"/>
  <c r="K12" i="35"/>
  <c r="L12" i="35"/>
  <c r="P12" i="35" s="1"/>
  <c r="I8" i="21"/>
  <c r="Z12" i="3"/>
  <c r="AA12" i="3" s="1"/>
  <c r="Y12" i="3"/>
  <c r="J47" i="19"/>
  <c r="J48" i="19" s="1"/>
  <c r="J49" i="19" s="1"/>
  <c r="J50" i="19" s="1"/>
  <c r="J51" i="19" s="1"/>
  <c r="G13" i="18"/>
  <c r="F60" i="18"/>
  <c r="F59" i="18" s="1"/>
  <c r="F62" i="18" s="1"/>
  <c r="H30" i="18"/>
  <c r="G49" i="18"/>
  <c r="J493" i="19"/>
  <c r="J494" i="19" s="1"/>
  <c r="J495" i="19" s="1"/>
  <c r="J496" i="19" s="1"/>
  <c r="J497" i="19" s="1"/>
  <c r="J43" i="38" s="1"/>
  <c r="Q198" i="24"/>
  <c r="Q34" i="1" s="1"/>
  <c r="U34" i="1" s="1"/>
  <c r="J194" i="19"/>
  <c r="J195" i="19" s="1"/>
  <c r="J196" i="19" s="1"/>
  <c r="J197" i="19" s="1"/>
  <c r="J198" i="19" s="1"/>
  <c r="J692" i="19"/>
  <c r="J693" i="19" s="1"/>
  <c r="J216" i="19"/>
  <c r="J217" i="19" s="1"/>
  <c r="J51" i="38"/>
  <c r="I50" i="39"/>
  <c r="G38" i="20"/>
  <c r="H38" i="20" s="1"/>
  <c r="J360" i="19"/>
  <c r="J359" i="19"/>
  <c r="J361" i="19"/>
  <c r="J33" i="38"/>
  <c r="I32" i="39"/>
  <c r="G20" i="20"/>
  <c r="H20" i="20" s="1"/>
  <c r="J32" i="38"/>
  <c r="I31" i="39"/>
  <c r="G19" i="20"/>
  <c r="H19" i="20" s="1"/>
  <c r="Z18" i="12"/>
  <c r="AA18" i="12" s="1"/>
  <c r="Y18" i="12"/>
  <c r="J50" i="21"/>
  <c r="K50" i="21"/>
  <c r="I50" i="21"/>
  <c r="K52" i="22"/>
  <c r="J52" i="22"/>
  <c r="I52" i="22"/>
  <c r="J63" i="21"/>
  <c r="K63" i="21"/>
  <c r="I63" i="21"/>
  <c r="P56" i="38"/>
  <c r="O56" i="38"/>
  <c r="N56" i="38"/>
  <c r="L56" i="38"/>
  <c r="K62" i="21"/>
  <c r="J62" i="21"/>
  <c r="I62" i="21"/>
  <c r="L38" i="35"/>
  <c r="P38" i="35" s="1"/>
  <c r="K38" i="35"/>
  <c r="P138" i="24"/>
  <c r="Q135" i="24"/>
  <c r="K67" i="22"/>
  <c r="J67" i="22"/>
  <c r="I67" i="22"/>
  <c r="K64" i="22"/>
  <c r="J64" i="22"/>
  <c r="I64" i="22"/>
  <c r="P234" i="24"/>
  <c r="Q233" i="24"/>
  <c r="J271" i="19"/>
  <c r="J272" i="19" s="1"/>
  <c r="X115" i="3"/>
  <c r="Q147" i="24"/>
  <c r="Q145" i="24" s="1"/>
  <c r="N26" i="1" s="1"/>
  <c r="R26" i="1" s="1"/>
  <c r="Z59" i="12"/>
  <c r="AA59" i="12" s="1"/>
  <c r="Y59" i="12"/>
  <c r="J233" i="19"/>
  <c r="J234" i="19" s="1"/>
  <c r="Z13" i="12"/>
  <c r="AA13" i="12" s="1"/>
  <c r="Y13" i="12"/>
  <c r="J708" i="19"/>
  <c r="J709" i="19" s="1"/>
  <c r="J191" i="34"/>
  <c r="K67" i="21"/>
  <c r="J67" i="21"/>
  <c r="I67" i="21"/>
  <c r="Z24" i="12"/>
  <c r="AA24" i="12" s="1"/>
  <c r="Y24" i="12"/>
  <c r="K63" i="22"/>
  <c r="J63" i="22"/>
  <c r="I63" i="22"/>
  <c r="J40" i="38"/>
  <c r="I39" i="39"/>
  <c r="G27" i="20"/>
  <c r="H27" i="20" s="1"/>
  <c r="K15" i="35"/>
  <c r="L15" i="35"/>
  <c r="P15" i="35" s="1"/>
  <c r="P17" i="35"/>
  <c r="K57" i="21"/>
  <c r="J57" i="21"/>
  <c r="I57" i="21"/>
  <c r="P322" i="24"/>
  <c r="Q321" i="24"/>
  <c r="Z80" i="12"/>
  <c r="AA80" i="12" s="1"/>
  <c r="Y80" i="12"/>
  <c r="J97" i="34"/>
  <c r="H98" i="34"/>
  <c r="J98" i="34" s="1"/>
  <c r="K50" i="22"/>
  <c r="J50" i="22"/>
  <c r="I50" i="22"/>
  <c r="Z36" i="12"/>
  <c r="AA36" i="12" s="1"/>
  <c r="Y36" i="12"/>
  <c r="Q210" i="24"/>
  <c r="J652" i="19"/>
  <c r="J57" i="22"/>
  <c r="K57" i="22"/>
  <c r="I57" i="22"/>
  <c r="P51" i="5"/>
  <c r="AL51" i="5" s="1"/>
  <c r="AL44" i="5" s="1"/>
  <c r="AN44" i="5" s="1"/>
  <c r="AO44" i="5" s="1"/>
  <c r="J58" i="21"/>
  <c r="K58" i="21"/>
  <c r="I58" i="21"/>
  <c r="Z16" i="12"/>
  <c r="AA16" i="12" s="1"/>
  <c r="Y16" i="12"/>
  <c r="P47" i="24"/>
  <c r="Q46" i="24"/>
  <c r="P7" i="35"/>
  <c r="J39" i="38"/>
  <c r="I38" i="39"/>
  <c r="G26" i="20"/>
  <c r="H26" i="20" s="1"/>
  <c r="N23" i="39"/>
  <c r="M23" i="39"/>
  <c r="L23" i="39"/>
  <c r="K23" i="39"/>
  <c r="Z87" i="12"/>
  <c r="AA87" i="12" s="1"/>
  <c r="Y87" i="12"/>
  <c r="K64" i="21"/>
  <c r="J64" i="21"/>
  <c r="I64" i="21"/>
  <c r="Q66" i="24"/>
  <c r="J69" i="21"/>
  <c r="K69" i="21"/>
  <c r="I69" i="21"/>
  <c r="J349" i="19"/>
  <c r="J350" i="19" s="1"/>
  <c r="H13" i="18"/>
  <c r="Z66" i="12"/>
  <c r="AA66" i="12" s="1"/>
  <c r="Y66" i="12"/>
  <c r="Z41" i="12"/>
  <c r="AA41" i="12" s="1"/>
  <c r="Y41" i="12"/>
  <c r="Q250" i="24"/>
  <c r="J54" i="22"/>
  <c r="K54" i="22"/>
  <c r="I54" i="22"/>
  <c r="K52" i="21"/>
  <c r="J52" i="21"/>
  <c r="I52" i="21"/>
  <c r="H162" i="19"/>
  <c r="J162" i="19" s="1"/>
  <c r="J160" i="19" s="1"/>
  <c r="J170" i="19" s="1"/>
  <c r="J252" i="19"/>
  <c r="J253" i="19" s="1"/>
  <c r="K58" i="22"/>
  <c r="J58" i="22"/>
  <c r="I58" i="22"/>
  <c r="J380" i="34"/>
  <c r="K51" i="21"/>
  <c r="J51" i="21"/>
  <c r="I51" i="21"/>
  <c r="J54" i="21"/>
  <c r="K54" i="21"/>
  <c r="I54" i="21"/>
  <c r="L22" i="35"/>
  <c r="Q241" i="24"/>
  <c r="Q236" i="24" s="1"/>
  <c r="N38" i="1" s="1"/>
  <c r="R38" i="1" s="1"/>
  <c r="P24" i="38"/>
  <c r="O24" i="38"/>
  <c r="N24" i="38"/>
  <c r="L24" i="38"/>
  <c r="P63" i="24"/>
  <c r="Q62" i="24"/>
  <c r="K51" i="22"/>
  <c r="J51" i="22"/>
  <c r="I51" i="22"/>
  <c r="Q305" i="24"/>
  <c r="P306" i="24"/>
  <c r="Z62" i="12"/>
  <c r="AA62" i="12" s="1"/>
  <c r="Y62" i="12"/>
  <c r="J62" i="22"/>
  <c r="K62" i="22"/>
  <c r="I62" i="22"/>
  <c r="J69" i="22"/>
  <c r="K69" i="22"/>
  <c r="I69" i="22"/>
  <c r="Q256" i="24"/>
  <c r="N55" i="39"/>
  <c r="M55" i="39"/>
  <c r="L55" i="39"/>
  <c r="K55" i="39"/>
  <c r="G60" i="18"/>
  <c r="G59" i="18" s="1"/>
  <c r="I19" i="22" l="1"/>
  <c r="Y119" i="3"/>
  <c r="H296" i="34"/>
  <c r="J296" i="34" s="1"/>
  <c r="Y87" i="3"/>
  <c r="Y46" i="3"/>
  <c r="J19" i="21"/>
  <c r="H326" i="34"/>
  <c r="J326" i="34" s="1"/>
  <c r="K19" i="21"/>
  <c r="J377" i="19"/>
  <c r="J378" i="19" s="1"/>
  <c r="J379" i="19" s="1"/>
  <c r="J262" i="34"/>
  <c r="J260" i="34" s="1"/>
  <c r="K31" i="21"/>
  <c r="J31" i="22"/>
  <c r="I31" i="22"/>
  <c r="K19" i="22"/>
  <c r="Q204" i="24"/>
  <c r="J31" i="21"/>
  <c r="J818" i="19"/>
  <c r="J819" i="19" s="1"/>
  <c r="J820" i="19" s="1"/>
  <c r="I57" i="39" s="1"/>
  <c r="J541" i="19"/>
  <c r="J589" i="19"/>
  <c r="J587" i="19"/>
  <c r="J542" i="19"/>
  <c r="K37" i="35"/>
  <c r="P177" i="24"/>
  <c r="Q177" i="24" s="1"/>
  <c r="Q172" i="24" s="1"/>
  <c r="N32" i="1" s="1"/>
  <c r="R32" i="1" s="1"/>
  <c r="J337" i="34"/>
  <c r="Q227" i="24"/>
  <c r="Q218" i="24"/>
  <c r="Q213" i="24" s="1"/>
  <c r="N36" i="1" s="1"/>
  <c r="R36" i="1" s="1"/>
  <c r="J46" i="22"/>
  <c r="J83" i="34"/>
  <c r="J631" i="19"/>
  <c r="J630" i="19"/>
  <c r="J396" i="19"/>
  <c r="J397" i="19"/>
  <c r="J9" i="22"/>
  <c r="H226" i="34"/>
  <c r="J226" i="34" s="1"/>
  <c r="J221" i="34" s="1"/>
  <c r="J220" i="34" s="1"/>
  <c r="J450" i="19"/>
  <c r="J449" i="19"/>
  <c r="X113" i="3"/>
  <c r="Q58" i="24"/>
  <c r="Q55" i="24" s="1"/>
  <c r="N13" i="1" s="1"/>
  <c r="R13" i="1" s="1"/>
  <c r="K9" i="22"/>
  <c r="Z25" i="3"/>
  <c r="AA25" i="3" s="1"/>
  <c r="Y25" i="3"/>
  <c r="Q317" i="24"/>
  <c r="Q314" i="24" s="1"/>
  <c r="N48" i="1" s="1"/>
  <c r="R48" i="1" s="1"/>
  <c r="X114" i="3"/>
  <c r="J416" i="34"/>
  <c r="J471" i="19"/>
  <c r="J472" i="19" s="1"/>
  <c r="J473" i="19" s="1"/>
  <c r="J474" i="19" s="1"/>
  <c r="J475" i="19" s="1"/>
  <c r="J398" i="19"/>
  <c r="J12" i="21"/>
  <c r="K12" i="21"/>
  <c r="I12" i="21"/>
  <c r="I12" i="22"/>
  <c r="J12" i="22"/>
  <c r="K12" i="22"/>
  <c r="I18" i="22"/>
  <c r="J18" i="22"/>
  <c r="K18" i="22"/>
  <c r="J28" i="19"/>
  <c r="J19" i="38" s="1"/>
  <c r="O19" i="38" s="1"/>
  <c r="Z43" i="3"/>
  <c r="AA43" i="3" s="1"/>
  <c r="Y43" i="3"/>
  <c r="J18" i="21"/>
  <c r="I18" i="21"/>
  <c r="K18" i="21"/>
  <c r="H54" i="34"/>
  <c r="J54" i="34" s="1"/>
  <c r="Q31" i="24"/>
  <c r="P33" i="24"/>
  <c r="Q290" i="24"/>
  <c r="P292" i="24"/>
  <c r="J385" i="34"/>
  <c r="H387" i="34"/>
  <c r="J387" i="34" s="1"/>
  <c r="K9" i="21"/>
  <c r="I9" i="21"/>
  <c r="Z10" i="3"/>
  <c r="AA10" i="3" s="1"/>
  <c r="Y10" i="3"/>
  <c r="I8" i="22"/>
  <c r="I6" i="22" s="1"/>
  <c r="J8" i="22"/>
  <c r="K8" i="22"/>
  <c r="K6" i="22" s="1"/>
  <c r="I6" i="21"/>
  <c r="G62" i="18"/>
  <c r="H60" i="18"/>
  <c r="H59" i="18" s="1"/>
  <c r="G30" i="20"/>
  <c r="H30" i="20" s="1"/>
  <c r="I42" i="39"/>
  <c r="M42" i="39" s="1"/>
  <c r="I46" i="22"/>
  <c r="K46" i="22"/>
  <c r="I46" i="21"/>
  <c r="K46" i="21"/>
  <c r="K6" i="21"/>
  <c r="J20" i="38"/>
  <c r="I19" i="39"/>
  <c r="G7" i="20"/>
  <c r="H7" i="20" s="1"/>
  <c r="J235" i="19"/>
  <c r="J236" i="19" s="1"/>
  <c r="J273" i="19"/>
  <c r="J274" i="19" s="1"/>
  <c r="J710" i="19"/>
  <c r="J711" i="19" s="1"/>
  <c r="J35" i="38"/>
  <c r="I34" i="39"/>
  <c r="G22" i="20"/>
  <c r="H22" i="20" s="1"/>
  <c r="J27" i="38"/>
  <c r="I26" i="39"/>
  <c r="G14" i="20"/>
  <c r="H14" i="20" s="1"/>
  <c r="J28" i="38"/>
  <c r="I27" i="39"/>
  <c r="G15" i="20"/>
  <c r="H15" i="20" s="1"/>
  <c r="J58" i="38"/>
  <c r="Q63" i="24"/>
  <c r="Q61" i="24" s="1"/>
  <c r="Q13" i="1" s="1"/>
  <c r="U13" i="1" s="1"/>
  <c r="X94" i="12"/>
  <c r="Q322" i="24"/>
  <c r="Q320" i="24" s="1"/>
  <c r="Q48" i="1" s="1"/>
  <c r="U48" i="1" s="1"/>
  <c r="X95" i="12"/>
  <c r="Z120" i="3"/>
  <c r="AA120" i="3" s="1"/>
  <c r="Y120" i="3"/>
  <c r="N32" i="39"/>
  <c r="M32" i="39"/>
  <c r="L32" i="39"/>
  <c r="K32" i="39"/>
  <c r="X96" i="12"/>
  <c r="G24" i="35"/>
  <c r="J190" i="34"/>
  <c r="Z115" i="3"/>
  <c r="AA115" i="3" s="1"/>
  <c r="Y115" i="3"/>
  <c r="O33" i="38"/>
  <c r="N33" i="38"/>
  <c r="P33" i="38"/>
  <c r="L33" i="38"/>
  <c r="L43" i="38"/>
  <c r="P43" i="38"/>
  <c r="O43" i="38"/>
  <c r="N43" i="38"/>
  <c r="X118" i="3"/>
  <c r="Q252" i="24"/>
  <c r="Q248" i="24" s="1"/>
  <c r="N39" i="1" s="1"/>
  <c r="R39" i="1" s="1"/>
  <c r="J254" i="19"/>
  <c r="J255" i="19" s="1"/>
  <c r="N39" i="39"/>
  <c r="M39" i="39"/>
  <c r="L39" i="39"/>
  <c r="K39" i="39"/>
  <c r="P39" i="38"/>
  <c r="O39" i="38"/>
  <c r="N39" i="38"/>
  <c r="L39" i="38"/>
  <c r="X117" i="3"/>
  <c r="Q206" i="24"/>
  <c r="J321" i="34"/>
  <c r="X97" i="12"/>
  <c r="J292" i="34"/>
  <c r="J171" i="19"/>
  <c r="J173" i="19"/>
  <c r="J172" i="19"/>
  <c r="X110" i="3"/>
  <c r="Q67" i="24"/>
  <c r="Q65" i="24" s="1"/>
  <c r="N14" i="1" s="1"/>
  <c r="R14" i="1" s="1"/>
  <c r="J653" i="19"/>
  <c r="J654" i="19" s="1"/>
  <c r="X105" i="12"/>
  <c r="Q298" i="24"/>
  <c r="Q295" i="24" s="1"/>
  <c r="Q45" i="1" s="1"/>
  <c r="U45" i="1" s="1"/>
  <c r="N31" i="39"/>
  <c r="M31" i="39"/>
  <c r="L31" i="39"/>
  <c r="K31" i="39"/>
  <c r="M50" i="39"/>
  <c r="L50" i="39"/>
  <c r="N50" i="39"/>
  <c r="K50" i="39"/>
  <c r="X101" i="12"/>
  <c r="Q211" i="24"/>
  <c r="Q209" i="24" s="1"/>
  <c r="Q35" i="1" s="1"/>
  <c r="U35" i="1" s="1"/>
  <c r="P40" i="38"/>
  <c r="O40" i="38"/>
  <c r="N40" i="38"/>
  <c r="L40" i="38"/>
  <c r="X100" i="12"/>
  <c r="Q306" i="24"/>
  <c r="Q304" i="24" s="1"/>
  <c r="Q46" i="1" s="1"/>
  <c r="U46" i="1" s="1"/>
  <c r="Z121" i="3"/>
  <c r="AA121" i="3" s="1"/>
  <c r="Y121" i="3"/>
  <c r="X116" i="3"/>
  <c r="Q229" i="24"/>
  <c r="X98" i="12"/>
  <c r="Q234" i="24"/>
  <c r="Q232" i="24" s="1"/>
  <c r="Q37" i="1" s="1"/>
  <c r="U37" i="1" s="1"/>
  <c r="X103" i="12"/>
  <c r="Q138" i="24"/>
  <c r="Q134" i="24" s="1"/>
  <c r="Q24" i="1" s="1"/>
  <c r="U24" i="1" s="1"/>
  <c r="P32" i="38"/>
  <c r="O32" i="38"/>
  <c r="N32" i="38"/>
  <c r="L32" i="38"/>
  <c r="L51" i="38"/>
  <c r="P51" i="38"/>
  <c r="O51" i="38"/>
  <c r="N51" i="38"/>
  <c r="J52" i="38"/>
  <c r="I51" i="39"/>
  <c r="G39" i="20"/>
  <c r="H39" i="20" s="1"/>
  <c r="X99" i="12"/>
  <c r="Q47" i="24"/>
  <c r="Q45" i="24" s="1"/>
  <c r="Q11" i="1" s="1"/>
  <c r="U11" i="1" s="1"/>
  <c r="Q257" i="24"/>
  <c r="Q255" i="24" s="1"/>
  <c r="Q39" i="1" s="1"/>
  <c r="U39" i="1" s="1"/>
  <c r="X102" i="12"/>
  <c r="H65" i="18"/>
  <c r="H62" i="18"/>
  <c r="N38" i="39"/>
  <c r="M38" i="39"/>
  <c r="L38" i="39"/>
  <c r="K38" i="39"/>
  <c r="X104" i="12"/>
  <c r="Q39" i="24"/>
  <c r="Q36" i="24" s="1"/>
  <c r="Q10" i="1" s="1"/>
  <c r="U10" i="1" s="1"/>
  <c r="J96" i="34"/>
  <c r="J95" i="34" s="1"/>
  <c r="J362" i="19"/>
  <c r="G45" i="20" l="1"/>
  <c r="H45" i="20" s="1"/>
  <c r="Q202" i="24"/>
  <c r="N35" i="1" s="1"/>
  <c r="R35" i="1" s="1"/>
  <c r="J543" i="19"/>
  <c r="J544" i="19" s="1"/>
  <c r="J545" i="19" s="1"/>
  <c r="J546" i="19" s="1"/>
  <c r="J547" i="19" s="1"/>
  <c r="G32" i="20" s="1"/>
  <c r="H32" i="20" s="1"/>
  <c r="X122" i="3"/>
  <c r="Z122" i="3" s="1"/>
  <c r="AA122" i="3" s="1"/>
  <c r="J590" i="19"/>
  <c r="J591" i="19" s="1"/>
  <c r="J592" i="19" s="1"/>
  <c r="J593" i="19" s="1"/>
  <c r="J594" i="19" s="1"/>
  <c r="G34" i="20" s="1"/>
  <c r="H34" i="20" s="1"/>
  <c r="U31" i="1"/>
  <c r="E25" i="45" s="1"/>
  <c r="U7" i="1"/>
  <c r="E11" i="45" s="1"/>
  <c r="Q225" i="24"/>
  <c r="N37" i="1" s="1"/>
  <c r="R37" i="1" s="1"/>
  <c r="J399" i="19"/>
  <c r="J400" i="19" s="1"/>
  <c r="J401" i="19" s="1"/>
  <c r="J402" i="19" s="1"/>
  <c r="J403" i="19" s="1"/>
  <c r="J38" i="38" s="1"/>
  <c r="N19" i="38"/>
  <c r="J451" i="19"/>
  <c r="J452" i="19" s="1"/>
  <c r="J453" i="19" s="1"/>
  <c r="J454" i="19" s="1"/>
  <c r="J455" i="19" s="1"/>
  <c r="I40" i="39" s="1"/>
  <c r="J6" i="22"/>
  <c r="J632" i="19"/>
  <c r="J633" i="19" s="1"/>
  <c r="J634" i="19" s="1"/>
  <c r="J635" i="19" s="1"/>
  <c r="J636" i="19" s="1"/>
  <c r="Z113" i="3"/>
  <c r="AA113" i="3" s="1"/>
  <c r="Y113" i="3"/>
  <c r="Y114" i="3"/>
  <c r="Z114" i="3"/>
  <c r="AA114" i="3" s="1"/>
  <c r="X124" i="3"/>
  <c r="Q33" i="24"/>
  <c r="Q29" i="24" s="1"/>
  <c r="N10" i="1" s="1"/>
  <c r="R10" i="1" s="1"/>
  <c r="R7" i="1" s="1"/>
  <c r="E9" i="45" s="1"/>
  <c r="P19" i="38"/>
  <c r="I18" i="39"/>
  <c r="M18" i="39" s="1"/>
  <c r="L19" i="38"/>
  <c r="G6" i="20"/>
  <c r="H6" i="20" s="1"/>
  <c r="X123" i="3"/>
  <c r="Q292" i="24"/>
  <c r="Q288" i="24" s="1"/>
  <c r="N45" i="1" s="1"/>
  <c r="R45" i="1" s="1"/>
  <c r="K42" i="39"/>
  <c r="N42" i="39"/>
  <c r="L42" i="39"/>
  <c r="I29" i="39"/>
  <c r="J30" i="38"/>
  <c r="G17" i="20"/>
  <c r="H17" i="20" s="1"/>
  <c r="I52" i="39"/>
  <c r="J53" i="38"/>
  <c r="G40" i="20"/>
  <c r="H40" i="20" s="1"/>
  <c r="J42" i="38"/>
  <c r="I41" i="39"/>
  <c r="G29" i="20"/>
  <c r="H29" i="20" s="1"/>
  <c r="J31" i="38"/>
  <c r="I30" i="39"/>
  <c r="G18" i="20"/>
  <c r="H18" i="20" s="1"/>
  <c r="J655" i="19"/>
  <c r="J656" i="19" s="1"/>
  <c r="I28" i="39"/>
  <c r="J29" i="38"/>
  <c r="G16" i="20"/>
  <c r="H16" i="20" s="1"/>
  <c r="J380" i="19"/>
  <c r="J381" i="19" s="1"/>
  <c r="J62" i="34"/>
  <c r="J57" i="34" s="1"/>
  <c r="J46" i="34" s="1"/>
  <c r="J89" i="19"/>
  <c r="J84" i="19" s="1"/>
  <c r="J92" i="19" s="1"/>
  <c r="Z104" i="12"/>
  <c r="AA104" i="12" s="1"/>
  <c r="Y104" i="12"/>
  <c r="L51" i="39"/>
  <c r="K51" i="39"/>
  <c r="N51" i="39"/>
  <c r="M51" i="39"/>
  <c r="J395" i="34"/>
  <c r="J390" i="34" s="1"/>
  <c r="J379" i="34" s="1"/>
  <c r="Z105" i="12"/>
  <c r="AA105" i="12" s="1"/>
  <c r="J728" i="19"/>
  <c r="J723" i="19" s="1"/>
  <c r="J731" i="19" s="1"/>
  <c r="Y105" i="12"/>
  <c r="Z117" i="3"/>
  <c r="AA117" i="3" s="1"/>
  <c r="Y117" i="3"/>
  <c r="M26" i="39"/>
  <c r="L26" i="39"/>
  <c r="N26" i="39"/>
  <c r="K26" i="39"/>
  <c r="J451" i="34"/>
  <c r="J447" i="34" s="1"/>
  <c r="J442" i="34" s="1"/>
  <c r="J830" i="19"/>
  <c r="J826" i="19" s="1"/>
  <c r="J833" i="19" s="1"/>
  <c r="Z97" i="12"/>
  <c r="AA97" i="12" s="1"/>
  <c r="Y97" i="12"/>
  <c r="J425" i="34"/>
  <c r="J422" i="34" s="1"/>
  <c r="J415" i="34" s="1"/>
  <c r="J786" i="19"/>
  <c r="J783" i="19" s="1"/>
  <c r="J789" i="19" s="1"/>
  <c r="Z95" i="12"/>
  <c r="AA95" i="12" s="1"/>
  <c r="Y95" i="12"/>
  <c r="J363" i="19"/>
  <c r="J364" i="19" s="1"/>
  <c r="J73" i="34"/>
  <c r="J70" i="34" s="1"/>
  <c r="J65" i="34" s="1"/>
  <c r="J109" i="19"/>
  <c r="J106" i="19" s="1"/>
  <c r="J112" i="19" s="1"/>
  <c r="Z99" i="12"/>
  <c r="AA99" i="12" s="1"/>
  <c r="Y99" i="12"/>
  <c r="H63" i="18"/>
  <c r="C61" i="18"/>
  <c r="L27" i="38"/>
  <c r="P27" i="38"/>
  <c r="N27" i="38"/>
  <c r="O27" i="38"/>
  <c r="J273" i="34"/>
  <c r="J268" i="34" s="1"/>
  <c r="J259" i="34" s="1"/>
  <c r="J512" i="19"/>
  <c r="J507" i="19" s="1"/>
  <c r="J515" i="19" s="1"/>
  <c r="Z101" i="12"/>
  <c r="AA101" i="12" s="1"/>
  <c r="Y101" i="12"/>
  <c r="J43" i="34"/>
  <c r="J39" i="34" s="1"/>
  <c r="J34" i="34" s="1"/>
  <c r="J61" i="19"/>
  <c r="J57" i="19" s="1"/>
  <c r="J64" i="19" s="1"/>
  <c r="Z96" i="12"/>
  <c r="AA96" i="12" s="1"/>
  <c r="Y96" i="12"/>
  <c r="J92" i="34"/>
  <c r="J89" i="34" s="1"/>
  <c r="J82" i="34" s="1"/>
  <c r="Z94" i="12"/>
  <c r="AA94" i="12" s="1"/>
  <c r="J147" i="19"/>
  <c r="J144" i="19" s="1"/>
  <c r="J150" i="19" s="1"/>
  <c r="Y94" i="12"/>
  <c r="J179" i="34"/>
  <c r="J174" i="34" s="1"/>
  <c r="Z103" i="12"/>
  <c r="AA103" i="12" s="1"/>
  <c r="J321" i="19"/>
  <c r="J316" i="19" s="1"/>
  <c r="J324" i="19" s="1"/>
  <c r="Y103" i="12"/>
  <c r="J174" i="19"/>
  <c r="Z118" i="3"/>
  <c r="AA118" i="3" s="1"/>
  <c r="Y118" i="3"/>
  <c r="J334" i="34"/>
  <c r="J329" i="34" s="1"/>
  <c r="J320" i="34" s="1"/>
  <c r="J609" i="19"/>
  <c r="J604" i="19" s="1"/>
  <c r="J612" i="19" s="1"/>
  <c r="Z102" i="12"/>
  <c r="AA102" i="12" s="1"/>
  <c r="Y102" i="12"/>
  <c r="J302" i="34"/>
  <c r="J299" i="34" s="1"/>
  <c r="J291" i="34" s="1"/>
  <c r="J559" i="19"/>
  <c r="J556" i="19" s="1"/>
  <c r="J562" i="19" s="1"/>
  <c r="Z98" i="12"/>
  <c r="AA98" i="12" s="1"/>
  <c r="Y98" i="12"/>
  <c r="J406" i="34"/>
  <c r="J403" i="34" s="1"/>
  <c r="J398" i="34" s="1"/>
  <c r="J748" i="19"/>
  <c r="J745" i="19" s="1"/>
  <c r="J751" i="19" s="1"/>
  <c r="Z100" i="12"/>
  <c r="AA100" i="12" s="1"/>
  <c r="Y100" i="12"/>
  <c r="Z110" i="3"/>
  <c r="AA110" i="3" s="1"/>
  <c r="Y110" i="3"/>
  <c r="N57" i="39"/>
  <c r="M57" i="39"/>
  <c r="L57" i="39"/>
  <c r="K57" i="39"/>
  <c r="L27" i="39"/>
  <c r="M27" i="39"/>
  <c r="N27" i="39"/>
  <c r="K27" i="39"/>
  <c r="M34" i="39"/>
  <c r="L34" i="39"/>
  <c r="K34" i="39"/>
  <c r="N34" i="39"/>
  <c r="L19" i="39"/>
  <c r="N19" i="39"/>
  <c r="M19" i="39"/>
  <c r="K19" i="39"/>
  <c r="N58" i="38"/>
  <c r="P58" i="38"/>
  <c r="O58" i="38"/>
  <c r="L58" i="38"/>
  <c r="P28" i="38"/>
  <c r="O28" i="38"/>
  <c r="N28" i="38"/>
  <c r="L28" i="38"/>
  <c r="L35" i="38"/>
  <c r="P35" i="38"/>
  <c r="O35" i="38"/>
  <c r="N35" i="38"/>
  <c r="P20" i="38"/>
  <c r="O20" i="38"/>
  <c r="N20" i="38"/>
  <c r="L20" i="38"/>
  <c r="P52" i="38"/>
  <c r="O52" i="38"/>
  <c r="N52" i="38"/>
  <c r="L52" i="38"/>
  <c r="Z116" i="3"/>
  <c r="AA116" i="3" s="1"/>
  <c r="Y116" i="3"/>
  <c r="K24" i="35"/>
  <c r="L24" i="35"/>
  <c r="Y122" i="3" l="1"/>
  <c r="J45" i="38"/>
  <c r="L45" i="38" s="1"/>
  <c r="I46" i="39"/>
  <c r="K46" i="39" s="1"/>
  <c r="J47" i="38"/>
  <c r="P47" i="38" s="1"/>
  <c r="I44" i="39"/>
  <c r="M44" i="39" s="1"/>
  <c r="R31" i="1"/>
  <c r="E23" i="45" s="1"/>
  <c r="E22" i="45" s="1"/>
  <c r="E29" i="45" s="1"/>
  <c r="I37" i="39"/>
  <c r="N37" i="39" s="1"/>
  <c r="N18" i="39"/>
  <c r="J41" i="38"/>
  <c r="O41" i="38" s="1"/>
  <c r="G25" i="20"/>
  <c r="H25" i="20" s="1"/>
  <c r="G28" i="20"/>
  <c r="H28" i="20" s="1"/>
  <c r="K18" i="39"/>
  <c r="L18" i="39"/>
  <c r="Y123" i="3"/>
  <c r="Z123" i="3"/>
  <c r="AA123" i="3" s="1"/>
  <c r="AA109" i="3" s="1"/>
  <c r="AA125" i="3" s="1"/>
  <c r="F8" i="17" s="1"/>
  <c r="E8" i="45"/>
  <c r="Y124" i="3"/>
  <c r="Z124" i="3"/>
  <c r="AA124" i="3" s="1"/>
  <c r="F14" i="17"/>
  <c r="F7" i="17"/>
  <c r="J50" i="38"/>
  <c r="I49" i="39"/>
  <c r="G37" i="20"/>
  <c r="H37" i="20" s="1"/>
  <c r="J365" i="19"/>
  <c r="J366" i="19" s="1"/>
  <c r="J49" i="38"/>
  <c r="I48" i="39"/>
  <c r="G36" i="20"/>
  <c r="H36" i="20" s="1"/>
  <c r="Y93" i="12"/>
  <c r="J94" i="19"/>
  <c r="J93" i="19"/>
  <c r="J95" i="19"/>
  <c r="N41" i="39"/>
  <c r="M41" i="39"/>
  <c r="L41" i="39"/>
  <c r="K41" i="39"/>
  <c r="J152" i="19"/>
  <c r="J151" i="19"/>
  <c r="J153" i="19"/>
  <c r="P38" i="38"/>
  <c r="O38" i="38"/>
  <c r="N38" i="38"/>
  <c r="L38" i="38"/>
  <c r="N42" i="38"/>
  <c r="O42" i="38"/>
  <c r="P42" i="38"/>
  <c r="L42" i="38"/>
  <c r="N29" i="39"/>
  <c r="M29" i="39"/>
  <c r="L29" i="39"/>
  <c r="K29" i="39"/>
  <c r="J564" i="19"/>
  <c r="J563" i="19"/>
  <c r="J565" i="19"/>
  <c r="J175" i="19"/>
  <c r="J176" i="19" s="1"/>
  <c r="J325" i="19"/>
  <c r="J326" i="19"/>
  <c r="J327" i="19"/>
  <c r="AA93" i="12"/>
  <c r="N30" i="39"/>
  <c r="M30" i="39"/>
  <c r="L30" i="39"/>
  <c r="K30" i="39"/>
  <c r="J836" i="19"/>
  <c r="J835" i="19"/>
  <c r="J834" i="19"/>
  <c r="P31" i="38"/>
  <c r="O31" i="38"/>
  <c r="N31" i="38"/>
  <c r="L31" i="38"/>
  <c r="J752" i="19"/>
  <c r="J754" i="19"/>
  <c r="J753" i="19"/>
  <c r="K52" i="39"/>
  <c r="N52" i="39"/>
  <c r="M52" i="39"/>
  <c r="L52" i="39"/>
  <c r="P24" i="35"/>
  <c r="L48" i="35"/>
  <c r="Y106" i="12"/>
  <c r="J115" i="19"/>
  <c r="J113" i="19"/>
  <c r="J114" i="19"/>
  <c r="J734" i="19"/>
  <c r="J733" i="19"/>
  <c r="J732" i="19"/>
  <c r="P29" i="38"/>
  <c r="O29" i="38"/>
  <c r="N29" i="38"/>
  <c r="L29" i="38"/>
  <c r="N40" i="39"/>
  <c r="M40" i="39"/>
  <c r="L40" i="39"/>
  <c r="K40" i="39"/>
  <c r="J516" i="19"/>
  <c r="J518" i="19"/>
  <c r="J517" i="19"/>
  <c r="I36" i="39"/>
  <c r="J37" i="38"/>
  <c r="G24" i="20"/>
  <c r="H24" i="20" s="1"/>
  <c r="P53" i="38"/>
  <c r="O53" i="38"/>
  <c r="N53" i="38"/>
  <c r="L53" i="38"/>
  <c r="J615" i="19"/>
  <c r="J614" i="19"/>
  <c r="J613" i="19"/>
  <c r="J22" i="35"/>
  <c r="J166" i="34"/>
  <c r="J67" i="19"/>
  <c r="J66" i="19"/>
  <c r="J65" i="19"/>
  <c r="AA106" i="12"/>
  <c r="F15" i="17" s="1"/>
  <c r="N45" i="38"/>
  <c r="K28" i="39"/>
  <c r="N28" i="39"/>
  <c r="M28" i="39"/>
  <c r="L28" i="39"/>
  <c r="P30" i="38"/>
  <c r="O30" i="38"/>
  <c r="N30" i="38"/>
  <c r="L30" i="38"/>
  <c r="J792" i="19"/>
  <c r="J791" i="19"/>
  <c r="J790" i="19"/>
  <c r="E15" i="45" l="1"/>
  <c r="E13" i="45"/>
  <c r="L47" i="38"/>
  <c r="N47" i="38"/>
  <c r="O47" i="38"/>
  <c r="O45" i="38"/>
  <c r="L44" i="39"/>
  <c r="N44" i="39"/>
  <c r="P41" i="38"/>
  <c r="K44" i="39"/>
  <c r="L46" i="39"/>
  <c r="M46" i="39"/>
  <c r="P45" i="38"/>
  <c r="N46" i="39"/>
  <c r="K37" i="39"/>
  <c r="L37" i="39"/>
  <c r="M37" i="39"/>
  <c r="L41" i="38"/>
  <c r="N41" i="38"/>
  <c r="E27" i="45"/>
  <c r="E28" i="45"/>
  <c r="Y109" i="3"/>
  <c r="Y125" i="3" s="1"/>
  <c r="E14" i="45"/>
  <c r="F6" i="17"/>
  <c r="F16" i="17"/>
  <c r="F13" i="17" s="1"/>
  <c r="J116" i="19"/>
  <c r="J117" i="19" s="1"/>
  <c r="J837" i="19"/>
  <c r="J838" i="19" s="1"/>
  <c r="J839" i="19" s="1"/>
  <c r="J154" i="19"/>
  <c r="J155" i="19" s="1"/>
  <c r="J156" i="19" s="1"/>
  <c r="J157" i="19" s="1"/>
  <c r="J158" i="19" s="1"/>
  <c r="J566" i="19"/>
  <c r="J567" i="19" s="1"/>
  <c r="J568" i="19" s="1"/>
  <c r="J519" i="19"/>
  <c r="J520" i="19" s="1"/>
  <c r="J521" i="19" s="1"/>
  <c r="J616" i="19"/>
  <c r="J735" i="19"/>
  <c r="J736" i="19" s="1"/>
  <c r="J328" i="19"/>
  <c r="J793" i="19"/>
  <c r="J755" i="19"/>
  <c r="J177" i="19"/>
  <c r="J178" i="19" s="1"/>
  <c r="N48" i="39"/>
  <c r="M48" i="39"/>
  <c r="L48" i="39"/>
  <c r="K48" i="39"/>
  <c r="N49" i="39"/>
  <c r="M49" i="39"/>
  <c r="L49" i="39"/>
  <c r="K49" i="39"/>
  <c r="K36" i="39"/>
  <c r="N36" i="39"/>
  <c r="M36" i="39"/>
  <c r="L36" i="39"/>
  <c r="O22" i="35"/>
  <c r="K22" i="35"/>
  <c r="O49" i="38"/>
  <c r="N49" i="38"/>
  <c r="P49" i="38"/>
  <c r="L49" i="38"/>
  <c r="N50" i="38"/>
  <c r="O50" i="38"/>
  <c r="P50" i="38"/>
  <c r="L50" i="38"/>
  <c r="J68" i="19"/>
  <c r="P37" i="38"/>
  <c r="O37" i="38"/>
  <c r="N37" i="38"/>
  <c r="L37" i="38"/>
  <c r="J96" i="19"/>
  <c r="J36" i="38"/>
  <c r="I35" i="39"/>
  <c r="G23" i="20"/>
  <c r="H23" i="20" s="1"/>
  <c r="E26" i="45" l="1"/>
  <c r="E12" i="45"/>
  <c r="E30" i="45"/>
  <c r="E31" i="45" s="1"/>
  <c r="E32" i="45" s="1"/>
  <c r="E33" i="45" s="1"/>
  <c r="E14" i="44" s="1"/>
  <c r="F17" i="17"/>
  <c r="F19" i="17" s="1"/>
  <c r="J118" i="19"/>
  <c r="J119" i="19" s="1"/>
  <c r="J120" i="19" s="1"/>
  <c r="J617" i="19"/>
  <c r="J618" i="19" s="1"/>
  <c r="J737" i="19"/>
  <c r="J738" i="19" s="1"/>
  <c r="J739" i="19" s="1"/>
  <c r="J54" i="38" s="1"/>
  <c r="J569" i="19"/>
  <c r="J570" i="19" s="1"/>
  <c r="J840" i="19"/>
  <c r="J841" i="19" s="1"/>
  <c r="J522" i="19"/>
  <c r="J523" i="19" s="1"/>
  <c r="J25" i="38"/>
  <c r="I24" i="39"/>
  <c r="G12" i="20"/>
  <c r="H12" i="20" s="1"/>
  <c r="O48" i="35"/>
  <c r="P22" i="35"/>
  <c r="P48" i="35" s="1"/>
  <c r="J756" i="19"/>
  <c r="J757" i="19" s="1"/>
  <c r="J794" i="19"/>
  <c r="J795" i="19" s="1"/>
  <c r="J97" i="19"/>
  <c r="J98" i="19" s="1"/>
  <c r="J329" i="19"/>
  <c r="J330" i="19" s="1"/>
  <c r="J69" i="19"/>
  <c r="J70" i="19" s="1"/>
  <c r="P36" i="38"/>
  <c r="O36" i="38"/>
  <c r="L36" i="38"/>
  <c r="N36" i="38"/>
  <c r="L35" i="39"/>
  <c r="M35" i="39"/>
  <c r="N35" i="39"/>
  <c r="K35" i="39"/>
  <c r="J26" i="38"/>
  <c r="I25" i="39"/>
  <c r="G13" i="20"/>
  <c r="H13" i="20" s="1"/>
  <c r="F20" i="17" l="1"/>
  <c r="I53" i="39"/>
  <c r="M53" i="39" s="1"/>
  <c r="F21" i="17"/>
  <c r="G41" i="20"/>
  <c r="H41" i="20" s="1"/>
  <c r="J619" i="19"/>
  <c r="J620" i="19" s="1"/>
  <c r="J44" i="38"/>
  <c r="I43" i="39"/>
  <c r="G31" i="20"/>
  <c r="H31" i="20" s="1"/>
  <c r="J59" i="38"/>
  <c r="I58" i="39"/>
  <c r="G46" i="20"/>
  <c r="H46" i="20" s="1"/>
  <c r="J796" i="19"/>
  <c r="J797" i="19" s="1"/>
  <c r="I45" i="39"/>
  <c r="J46" i="38"/>
  <c r="G33" i="20"/>
  <c r="H33" i="20" s="1"/>
  <c r="J99" i="19"/>
  <c r="J100" i="19" s="1"/>
  <c r="N24" i="39"/>
  <c r="M24" i="39"/>
  <c r="L24" i="39"/>
  <c r="K24" i="39"/>
  <c r="O25" i="38"/>
  <c r="N25" i="38"/>
  <c r="P25" i="38"/>
  <c r="L25" i="38"/>
  <c r="J23" i="38"/>
  <c r="I22" i="39"/>
  <c r="G10" i="20"/>
  <c r="H10" i="20" s="1"/>
  <c r="N26" i="38"/>
  <c r="L26" i="38"/>
  <c r="P26" i="38"/>
  <c r="O26" i="38"/>
  <c r="P54" i="38"/>
  <c r="O54" i="38"/>
  <c r="N54" i="38"/>
  <c r="L54" i="38"/>
  <c r="J71" i="19"/>
  <c r="J72" i="19" s="1"/>
  <c r="J758" i="19"/>
  <c r="J759" i="19" s="1"/>
  <c r="J331" i="19"/>
  <c r="J332" i="19" s="1"/>
  <c r="N25" i="39"/>
  <c r="M25" i="39"/>
  <c r="L25" i="39"/>
  <c r="K25" i="39"/>
  <c r="L53" i="39" l="1"/>
  <c r="K53" i="39"/>
  <c r="N53" i="39"/>
  <c r="F22" i="17"/>
  <c r="F23" i="17" s="1"/>
  <c r="F24" i="17" s="1"/>
  <c r="F25" i="17" s="1"/>
  <c r="F26" i="17" s="1"/>
  <c r="J48" i="38"/>
  <c r="I47" i="39"/>
  <c r="G35" i="20"/>
  <c r="H35" i="20" s="1"/>
  <c r="J57" i="38"/>
  <c r="I56" i="39"/>
  <c r="G44" i="20"/>
  <c r="H44" i="20" s="1"/>
  <c r="I21" i="39"/>
  <c r="J22" i="38"/>
  <c r="G9" i="20"/>
  <c r="H9" i="20" s="1"/>
  <c r="N22" i="39"/>
  <c r="M22" i="39"/>
  <c r="L22" i="39"/>
  <c r="K22" i="39"/>
  <c r="P23" i="38"/>
  <c r="O23" i="38"/>
  <c r="N23" i="38"/>
  <c r="L23" i="38"/>
  <c r="M58" i="39"/>
  <c r="L58" i="39"/>
  <c r="N58" i="39"/>
  <c r="K58" i="39"/>
  <c r="J55" i="38"/>
  <c r="I54" i="39"/>
  <c r="G42" i="20"/>
  <c r="H42" i="20" s="1"/>
  <c r="L59" i="38"/>
  <c r="P59" i="38"/>
  <c r="N59" i="38"/>
  <c r="O59" i="38"/>
  <c r="J34" i="38"/>
  <c r="I33" i="39"/>
  <c r="G21" i="20"/>
  <c r="H21" i="20" s="1"/>
  <c r="P46" i="38"/>
  <c r="O46" i="38"/>
  <c r="N46" i="38"/>
  <c r="L46" i="38"/>
  <c r="L43" i="39"/>
  <c r="N43" i="39"/>
  <c r="M43" i="39"/>
  <c r="K43" i="39"/>
  <c r="I20" i="39"/>
  <c r="J21" i="38"/>
  <c r="G8" i="20"/>
  <c r="H8" i="20" s="1"/>
  <c r="N45" i="39"/>
  <c r="M45" i="39"/>
  <c r="K45" i="39"/>
  <c r="L45" i="39"/>
  <c r="P44" i="38"/>
  <c r="O44" i="38"/>
  <c r="N44" i="38"/>
  <c r="L44" i="38"/>
  <c r="F6" i="28" l="1"/>
  <c r="G6" i="28" s="1"/>
  <c r="G5" i="28" s="1"/>
  <c r="D11" i="26"/>
  <c r="D12" i="26" s="1"/>
  <c r="F8" i="28"/>
  <c r="F7" i="28" s="1"/>
  <c r="H47" i="20"/>
  <c r="J11" i="25" s="1"/>
  <c r="J12" i="25" s="1"/>
  <c r="N47" i="39"/>
  <c r="K47" i="39"/>
  <c r="M47" i="39"/>
  <c r="L47" i="39"/>
  <c r="P48" i="38"/>
  <c r="O48" i="38"/>
  <c r="N48" i="38"/>
  <c r="L48" i="38"/>
  <c r="P22" i="38"/>
  <c r="O22" i="38"/>
  <c r="N22" i="38"/>
  <c r="L22" i="38"/>
  <c r="N54" i="39"/>
  <c r="M54" i="39"/>
  <c r="L54" i="39"/>
  <c r="K54" i="39"/>
  <c r="N21" i="39"/>
  <c r="M21" i="39"/>
  <c r="K21" i="39"/>
  <c r="L21" i="39"/>
  <c r="P21" i="38"/>
  <c r="O21" i="38"/>
  <c r="N21" i="38"/>
  <c r="L21" i="38"/>
  <c r="N33" i="39"/>
  <c r="M33" i="39"/>
  <c r="L33" i="39"/>
  <c r="K33" i="39"/>
  <c r="P55" i="38"/>
  <c r="O55" i="38"/>
  <c r="N55" i="38"/>
  <c r="L55" i="38"/>
  <c r="K20" i="39"/>
  <c r="N20" i="39"/>
  <c r="M20" i="39"/>
  <c r="L20" i="39"/>
  <c r="N34" i="38"/>
  <c r="P34" i="38"/>
  <c r="O34" i="38"/>
  <c r="L34" i="38"/>
  <c r="N56" i="39"/>
  <c r="M56" i="39"/>
  <c r="L56" i="39"/>
  <c r="K56" i="39"/>
  <c r="O57" i="38"/>
  <c r="N57" i="38"/>
  <c r="P57" i="38"/>
  <c r="L57" i="38"/>
  <c r="G8" i="28" l="1"/>
  <c r="G7" i="28" s="1"/>
  <c r="G17" i="28" s="1"/>
  <c r="F5" i="28"/>
  <c r="F17" i="28" s="1"/>
  <c r="E11" i="26"/>
  <c r="E12" i="26" s="1"/>
  <c r="D8" i="23"/>
  <c r="E8" i="23" s="1"/>
  <c r="E7" i="23" s="1"/>
  <c r="L60" i="38"/>
  <c r="P60" i="38"/>
  <c r="M59" i="39"/>
  <c r="L59" i="39"/>
  <c r="N59" i="39"/>
  <c r="K59" i="39"/>
  <c r="N60" i="38"/>
  <c r="H6" i="28"/>
  <c r="H5" i="28" s="1"/>
  <c r="O60" i="38"/>
  <c r="H8" i="28" l="1"/>
  <c r="H7" i="28" s="1"/>
  <c r="H17" i="28" s="1"/>
  <c r="F11" i="26"/>
  <c r="H11" i="26" s="1"/>
  <c r="H12" i="26" s="1"/>
  <c r="D7" i="23"/>
  <c r="D11" i="23" s="1"/>
  <c r="F8" i="23"/>
  <c r="F7" i="23" s="1"/>
  <c r="F12" i="26" l="1"/>
  <c r="G33" i="18"/>
  <c r="D10" i="23"/>
  <c r="E10" i="23" s="1"/>
  <c r="E11" i="23"/>
  <c r="F11" i="23" s="1"/>
  <c r="D9" i="23" l="1"/>
  <c r="D15" i="23" s="1"/>
  <c r="E9" i="23"/>
  <c r="F10" i="23"/>
  <c r="F9" i="23" s="1"/>
  <c r="D14" i="23" l="1"/>
  <c r="E14" i="23" s="1"/>
  <c r="F14" i="23" s="1"/>
  <c r="E15" i="23"/>
  <c r="F15" i="23" s="1"/>
  <c r="D13" i="23" l="1"/>
  <c r="D16" i="23" s="1"/>
  <c r="G34" i="18" s="1"/>
  <c r="F13" i="23"/>
  <c r="F16" i="23" s="1"/>
  <c r="E13" i="23"/>
  <c r="E16" i="23" s="1"/>
  <c r="F94" i="12"/>
  <c r="F92" i="3"/>
  <c r="E54" i="24"/>
  <c r="F42" i="12"/>
  <c r="F113" i="3"/>
  <c r="D25" i="38"/>
  <c r="E12" i="20"/>
  <c r="F44" i="9"/>
  <c r="E13" i="35"/>
  <c r="F75" i="3"/>
  <c r="D24" i="39"/>
  <c r="F82" i="34"/>
  <c r="F137" i="19"/>
  <c r="D24" i="38"/>
  <c r="E16" i="45"/>
  <c r="F111" i="3" l="1"/>
  <c r="E48" i="24"/>
  <c r="F121" i="19"/>
  <c r="E12" i="35"/>
  <c r="D23" i="39"/>
  <c r="E17" i="45"/>
  <c r="F76" i="34"/>
  <c r="E11" i="20"/>
  <c r="F41" i="3"/>
  <c r="F29" i="9"/>
  <c r="E18" i="45" l="1"/>
  <c r="E19" i="45"/>
  <c r="E13" i="44" s="1"/>
  <c r="E12" i="44" s="1"/>
  <c r="H14" i="44" l="1"/>
  <c r="I14" i="44" s="1"/>
  <c r="E25" i="44"/>
  <c r="E15" i="44"/>
  <c r="H15" i="44" s="1"/>
  <c r="I15" i="44" s="1"/>
  <c r="E22" i="44"/>
  <c r="D2" i="46"/>
  <c r="E23" i="44"/>
  <c r="H17" i="44" s="1"/>
  <c r="I17" i="44" s="1"/>
  <c r="E19" i="44"/>
  <c r="D3" i="46" l="1"/>
  <c r="E3" i="46" s="1"/>
  <c r="D5" i="46"/>
  <c r="E5" i="46" s="1"/>
  <c r="E16" i="44"/>
  <c r="H16" i="44" s="1"/>
  <c r="E2" i="46"/>
  <c r="E27" i="44" l="1"/>
  <c r="H18" i="44" s="1"/>
  <c r="I18" i="44" s="1"/>
  <c r="I16" i="44"/>
  <c r="H19" i="44"/>
  <c r="I19" i="44" s="1"/>
  <c r="E28" i="44"/>
  <c r="D4" i="46"/>
  <c r="D6" i="46"/>
  <c r="E6" i="46" s="1"/>
  <c r="E4" i="46" l="1"/>
  <c r="E7" i="46" s="1"/>
  <c r="D7" i="46"/>
</calcChain>
</file>

<file path=xl/sharedStrings.xml><?xml version="1.0" encoding="utf-8"?>
<sst xmlns="http://schemas.openxmlformats.org/spreadsheetml/2006/main" count="9899" uniqueCount="1442">
  <si>
    <t>Chi phí thiết bị (Gtb):</t>
  </si>
  <si>
    <t>Gdghsdt</t>
  </si>
  <si>
    <t>CHI PHÍ GIÁN TIẾP</t>
  </si>
  <si>
    <t>Số đề nghị tạm ứng, thanh toán khối lượng hoàn thành kỳ này (gồm cả thu hồi tạm ứng)</t>
  </si>
  <si>
    <t>Hao phí</t>
  </si>
  <si>
    <t>M1031</t>
  </si>
  <si>
    <t>Ghqkt</t>
  </si>
  <si>
    <t>Cước nội bộ</t>
  </si>
  <si>
    <t>X</t>
  </si>
  <si>
    <t>CÔNG TRÌNH</t>
  </si>
  <si>
    <t>Vốn còn lại kế hoạch năm trước</t>
  </si>
  <si>
    <t>SE.31420</t>
  </si>
  <si>
    <t>Thi công</t>
  </si>
  <si>
    <t>Thép tấm</t>
  </si>
  <si>
    <t>Khối lượng đơn vị</t>
  </si>
  <si>
    <t>.... , ngày .… tháng …. năm …...</t>
  </si>
  <si>
    <t>BẢNG DỰ TOÁN HẠNG MỤC CÔNG TRÌNH</t>
  </si>
  <si>
    <t>GSLD$</t>
  </si>
  <si>
    <t>&lt;= 1</t>
  </si>
  <si>
    <t>NCTKT79^</t>
  </si>
  <si>
    <t>4.2.5</t>
  </si>
  <si>
    <t>Sau thuế</t>
  </si>
  <si>
    <t>- Định mức xây dựng theo Thông tư số 12/2021/TT-BXD  ngày 31/8/2021 của Bộ Xây dựng ban hành định mức xây dựng.</t>
  </si>
  <si>
    <t>Cước cộng thêm</t>
  </si>
  <si>
    <t>NCKT79^</t>
  </si>
  <si>
    <t>Cấp I</t>
  </si>
  <si>
    <t>Chi phí xây dựng (chưa có thuế GTGT) của giá gói thầu được duyệt (tỷ đồng)</t>
  </si>
  <si>
    <t>Giá cước
hàng
bậc 1
đã v/c
trước
(đ/T.km)</t>
  </si>
  <si>
    <t>Chi phí thiết kế kỹ thuật (Thông tư 12/2021/TT-BXD)</t>
  </si>
  <si>
    <t>5.2.1</t>
  </si>
  <si>
    <t>Định mức(công/tấn)</t>
  </si>
  <si>
    <t>Gbcnckt</t>
  </si>
  <si>
    <t>Thành tiền bốc xuống</t>
  </si>
  <si>
    <t>Cận dưới</t>
  </si>
  <si>
    <t>Số dư tạm ứng của hạng mục đề nghị thanh toán…………đồng.</t>
  </si>
  <si>
    <t>V07351</t>
  </si>
  <si>
    <t>Theo bảng tổng hợp chi phí thiết bị</t>
  </si>
  <si>
    <t>Tổng mức đầu tư x tỷ lệ</t>
  </si>
  <si>
    <t>Chi phí lập hồ sơ mời quan tâm, hồ sơ mời sơ tuyển (Nghị định 63/2014/NĐ-CP)</t>
  </si>
  <si>
    <t>THEO HỢP ĐỒNG BAN ĐẦU □       NGOÀI HỢP ĐỒNG BAN ĐẦU □</t>
  </si>
  <si>
    <t>thép các loại</t>
  </si>
  <si>
    <t>hs phụ cấp khu vực nhân công</t>
  </si>
  <si>
    <t>Máy đào 1,25m3</t>
  </si>
  <si>
    <t>II.) NHÂN CÔNG</t>
  </si>
  <si>
    <t>G + GTGT</t>
  </si>
  <si>
    <t>Trong đó chia ra:</t>
  </si>
  <si>
    <t>1.2</t>
  </si>
  <si>
    <t>1</t>
  </si>
  <si>
    <t>BẢNG ĐƠN GIÁ TỔNG HỢP</t>
  </si>
  <si>
    <t>N1357</t>
  </si>
  <si>
    <t>GIÁ TRỊ
SAU THUẾ</t>
  </si>
  <si>
    <t>TTDT79^</t>
  </si>
  <si>
    <t xml:space="preserve">    + Bù giá nhân công lái máy</t>
  </si>
  <si>
    <t>Hệ số phụ cấp thu hút</t>
  </si>
  <si>
    <t>- Vốn trong nước…………...tại :……………………………………….</t>
  </si>
  <si>
    <t>4,24</t>
  </si>
  <si>
    <t>Thanh toán</t>
  </si>
  <si>
    <t>Giá TB</t>
  </si>
  <si>
    <t>Giá V/C sau khi điều chỉnh</t>
  </si>
  <si>
    <t>ĐỊA ĐIỂM:</t>
  </si>
  <si>
    <t>HẠNG MỤC: ﻿Hạng mục 1</t>
  </si>
  <si>
    <t>6</t>
  </si>
  <si>
    <t>Bậc 2</t>
  </si>
  <si>
    <t>Hợp đồng số:      ngày      tháng      năm</t>
  </si>
  <si>
    <t>Thành phần hao phí</t>
  </si>
  <si>
    <t>LTB79^</t>
  </si>
  <si>
    <t>Lương phụ</t>
  </si>
  <si>
    <t>4,29</t>
  </si>
  <si>
    <t>CPKT^</t>
  </si>
  <si>
    <t>- Bảng giá ca máy và thiết bị thi công theo quyết định số .../....../ QĐ-UBND ngày .../....../ của UBND tỉnh ....</t>
  </si>
  <si>
    <t>Chi phí thiết bị</t>
  </si>
  <si>
    <t>II.)</t>
  </si>
  <si>
    <t>Ghmc</t>
  </si>
  <si>
    <t>Giá V/C
trước
thuế (đ)</t>
  </si>
  <si>
    <t>1.3.5</t>
  </si>
  <si>
    <t>Gdp1 + Gdp2</t>
  </si>
  <si>
    <t>Máy cắt bê tông 12CV (MCD 218)</t>
  </si>
  <si>
    <t>Số CK</t>
  </si>
  <si>
    <t>BẢNG TỔNG HỢP VẬT LIỆU</t>
  </si>
  <si>
    <t>Cấp công trình</t>
  </si>
  <si>
    <t xml:space="preserve"> - Điện</t>
  </si>
  <si>
    <t>Chi phí quản lý dự án (Gqlda):</t>
  </si>
  <si>
    <t>M0934</t>
  </si>
  <si>
    <t>2.3.1</t>
  </si>
  <si>
    <t>hsBGM</t>
  </si>
  <si>
    <t>NLX414</t>
  </si>
  <si>
    <t>Chủ đầu tư</t>
  </si>
  <si>
    <t>Dài</t>
  </si>
  <si>
    <t>Hệ số điều chỉnh:</t>
  </si>
  <si>
    <t>Thép tròn Fi ≤18mm</t>
  </si>
  <si>
    <t>Chi phí khảo sát xây dựng (chưa có thuế GTGT) của giá gói thầu khảo sát xây dựng được duyệt (tỷ đồng)</t>
  </si>
  <si>
    <t>Chi phí sau thuế</t>
  </si>
  <si>
    <t>Chi phí hoàn trả mặt bằng và hạ tầng kỹ thuật</t>
  </si>
  <si>
    <t>Gxd.1</t>
  </si>
  <si>
    <t>Máy trộn bê tông 250 lít</t>
  </si>
  <si>
    <t>Chi phí thẩm tra thiết kế công nghệ</t>
  </si>
  <si>
    <t>Cấp 1</t>
  </si>
  <si>
    <t>Tên vật tư</t>
  </si>
  <si>
    <t/>
  </si>
  <si>
    <t>V01886</t>
  </si>
  <si>
    <t>Chênh lệch giá</t>
  </si>
  <si>
    <t>NL phụ</t>
  </si>
  <si>
    <t>CHMC</t>
  </si>
  <si>
    <t>V06640</t>
  </si>
  <si>
    <t>V07947</t>
  </si>
  <si>
    <t>CHỦ ĐẦU TƯ</t>
  </si>
  <si>
    <t>Gxd x trước thuế x tỷ lệ</t>
  </si>
  <si>
    <t>1.2.1</t>
  </si>
  <si>
    <t>TTTKXD79^</t>
  </si>
  <si>
    <t>Gtb</t>
  </si>
  <si>
    <t>Chi phí xây dựng</t>
  </si>
  <si>
    <t>(Ký, họ tên)</t>
  </si>
  <si>
    <t>Thuộc kế hoạch vốn:</t>
  </si>
  <si>
    <t>M1419</t>
  </si>
  <si>
    <t>Bảo dưỡng khe co dãn mặt đường bê tông xi măng - Chiều dày mặt đường 25cm</t>
  </si>
  <si>
    <t>Xi măng bao (tấn)</t>
  </si>
  <si>
    <t>CỘNG HOÀ XÃ HỘI CHỦ NGHĨA VIỆT NAM</t>
  </si>
  <si>
    <t>Glcnt</t>
  </si>
  <si>
    <t>+ Vốn trong nước…………………………………….</t>
  </si>
  <si>
    <t>C + LT + TT</t>
  </si>
  <si>
    <t>Thành tiền</t>
  </si>
  <si>
    <t>PCCC^</t>
  </si>
  <si>
    <t xml:space="preserve"> - Đơn giá nhân công</t>
  </si>
  <si>
    <t>V04513</t>
  </si>
  <si>
    <t>BẢNG ĐƠN GIÁ CHI TIẾT</t>
  </si>
  <si>
    <t xml:space="preserve">II. Giá trị dự toán: </t>
  </si>
  <si>
    <t>Chi phí giám sát công tác khảo sát xây dựng (Bảng 2.23 Thông tư 12/2021/TT-BXD)</t>
  </si>
  <si>
    <t>2.2.2</t>
  </si>
  <si>
    <t>Máy nén khí diezel 360m3/h</t>
  </si>
  <si>
    <t>Tên nhân công</t>
  </si>
  <si>
    <t>Loại công trình</t>
  </si>
  <si>
    <t>AB.66141</t>
  </si>
  <si>
    <t>V11428</t>
  </si>
  <si>
    <t>Quy định mức thu, chế độ thu, nộp, quản lý và sử dụng phí thẩm tra thiết kế công trình xây dựng</t>
  </si>
  <si>
    <t>Chi phí giám sát lắp đặt thiết bị (Bảng 2.22 Thông tư 12/2021/TT-BXD)</t>
  </si>
  <si>
    <t>cCLT</t>
  </si>
  <si>
    <t>3.2</t>
  </si>
  <si>
    <t>Theo bảng tổng hợp nhân công</t>
  </si>
  <si>
    <t>M</t>
  </si>
  <si>
    <t>- Một số tài liệu khác có liên quan.</t>
  </si>
  <si>
    <t>NLX424</t>
  </si>
  <si>
    <t>Vữa bê tông M250, XM PCB40, đá 2x4, độ sụt 2÷4cm</t>
  </si>
  <si>
    <t>Chi phí xây dựng trước thuế</t>
  </si>
  <si>
    <t>- Vốn ngoài nước………… ..tại………………………...........................</t>
  </si>
  <si>
    <t>TTDT75$</t>
  </si>
  <si>
    <t>Quy đổi</t>
  </si>
  <si>
    <t xml:space="preserve">(Áp dụng đối với các khoản thanh toán vốn đầu tư thuộc nguồn vốn ngân sách nhà nước, vốn ngoài nước - Theo Nghị định 11/2020/NĐ-CP ngày 20/01/2020) </t>
  </si>
  <si>
    <t>10</t>
  </si>
  <si>
    <t>TKKT79^</t>
  </si>
  <si>
    <t>V11430</t>
  </si>
  <si>
    <t>3.7</t>
  </si>
  <si>
    <t>Tên vật liệu</t>
  </si>
  <si>
    <t>http://dutoaneta.vn</t>
  </si>
  <si>
    <t>Hệ số bậc hàng</t>
  </si>
  <si>
    <t>3.2.3</t>
  </si>
  <si>
    <t>Quy đổi đơn vị</t>
  </si>
  <si>
    <t>HS phụ</t>
  </si>
  <si>
    <t>Số vốn đã thanh toán trong năm…</t>
  </si>
  <si>
    <t>Sơn sắt thép</t>
  </si>
  <si>
    <t>1. Phí thẩm tra thiết kế</t>
  </si>
  <si>
    <t>Tỷ lệ %</t>
  </si>
  <si>
    <t>Đắp đất bằng đầm đất cầm tay 70kg, độ chặt Y/C K = 0,95</t>
  </si>
  <si>
    <t>Theo bảng tổng hợp dự toán chi phí XD</t>
  </si>
  <si>
    <t>Nguồn mua</t>
  </si>
  <si>
    <t>Glhsmqt79</t>
  </si>
  <si>
    <t>tấn</t>
  </si>
  <si>
    <t>Bảng số 17: Định mức chi phí thẩm tra thiết kế xây dựng</t>
  </si>
  <si>
    <t>THM</t>
  </si>
  <si>
    <t>Gqlda</t>
  </si>
  <si>
    <t>N2407</t>
  </si>
  <si>
    <t>GXD(Dự toán gói thầu)</t>
  </si>
  <si>
    <t>Định mức thực tế</t>
  </si>
  <si>
    <t>Tỷ lệ</t>
  </si>
  <si>
    <t>+ Số vốn ứng trước kế hoạch năm sau là số vốn được thanh toán đến 31/1 năm sau.</t>
  </si>
  <si>
    <t>Gthamdinh</t>
  </si>
  <si>
    <t>Chứng chỉ KS định giá XD hạng ..., số ...</t>
  </si>
  <si>
    <t>(Gxd+Gtb) x trước thuế x tỷ lệ</t>
  </si>
  <si>
    <t>M0553</t>
  </si>
  <si>
    <t>Chi phí kiểm tra công tác nghiệm thu công trình xây dựng (Thông tư 10/2021/TT-BXD)</t>
  </si>
  <si>
    <t>4.2.4</t>
  </si>
  <si>
    <t>10m</t>
  </si>
  <si>
    <t>10m đầu</t>
  </si>
  <si>
    <t>Định mức bốc lên</t>
  </si>
  <si>
    <t>Theo Thông tư số 09/2016/TT-BTC ngày 18 tháng 01 năm 2016 của Bộ Tài chính</t>
  </si>
  <si>
    <t>2.3</t>
  </si>
  <si>
    <t>Tên dự án:                                                                  Mã dự án:</t>
  </si>
  <si>
    <t>Tên vữa/ vật liệu</t>
  </si>
  <si>
    <t>&lt;=7°</t>
  </si>
  <si>
    <t>Một tỷ một trăm hai mươi sáu triệu tám trăm linh tám nghìn đồng</t>
  </si>
  <si>
    <t>CachThamDinh</t>
  </si>
  <si>
    <t>AB.31132</t>
  </si>
  <si>
    <t>Chi phí tư vấn đầu tư xây dựng (Gtv):</t>
  </si>
  <si>
    <t xml:space="preserve"> Chi phí lập hồ sơ mời thầu, hồ sơ yêu cầu (Nghị định 63/2014/NĐ-CP)</t>
  </si>
  <si>
    <t>Cách tính giá VL</t>
  </si>
  <si>
    <t>M0667</t>
  </si>
  <si>
    <t>Ô tô tự đổ 12T</t>
  </si>
  <si>
    <t>Máy rải hỗn hợp bê tông nhựa 130 - 140CV</t>
  </si>
  <si>
    <t>N4407</t>
  </si>
  <si>
    <t>Phụ lục 04</t>
  </si>
  <si>
    <t>(Theo Bảng tính giá ca máy)</t>
  </si>
  <si>
    <t>NLX434</t>
  </si>
  <si>
    <t>M0639</t>
  </si>
  <si>
    <t>Máy đầm bàn 1kW</t>
  </si>
  <si>
    <t>Phụ lục số 2: Phí thẩm định thiết kế kỹ thuật khi cơ quan chuyên môn về xây dựng mời tổ chức tư vấn, cá nhân cùng thẩm định</t>
  </si>
  <si>
    <t>Gỗ các loại (m3)</t>
  </si>
  <si>
    <t>Tổng mức đầu tư được duyệt:</t>
  </si>
  <si>
    <t>Cột 6: vốn tạm ứng theo chế độ còn lại chưa thu hồi đến 31/1 năm sau.</t>
  </si>
  <si>
    <t>4,23</t>
  </si>
  <si>
    <t>M02680</t>
  </si>
  <si>
    <t>Máy cắt uốn cốt thép 5kW</t>
  </si>
  <si>
    <t>Rải thảm mặt đường Carboncor Asphalt, bằng phương pháp thủ cơ giới, chiều dày mặt đường đã lèn ép 3cm</t>
  </si>
  <si>
    <t>Chi phí di chuyển máy, thiết bị, nhân công</t>
  </si>
  <si>
    <t>Thẩm tra, phê duyệt (%)</t>
  </si>
  <si>
    <t>Nhân công bậc 3,0/7 - Nhóm 2</t>
  </si>
  <si>
    <t>Bậc 1</t>
  </si>
  <si>
    <t>Cát</t>
  </si>
  <si>
    <t>TTKT79^</t>
  </si>
  <si>
    <t>Mã CV</t>
  </si>
  <si>
    <t>Kiểu chiết tính</t>
  </si>
  <si>
    <t>Hao phí định mức</t>
  </si>
  <si>
    <t>Loại công trình:</t>
  </si>
  <si>
    <t>QLDA79$</t>
  </si>
  <si>
    <t>Lái xe bậc 2/4 - Nhóm 4</t>
  </si>
  <si>
    <t>Thành tiền HT</t>
  </si>
  <si>
    <t>Căn cứ xác định:</t>
  </si>
  <si>
    <t>Tổng cự ly
(km)</t>
  </si>
  <si>
    <t>Kế hoặc năm...</t>
  </si>
  <si>
    <t>Bảng số 4: Định mức chi phí lập báo cáo kinh tế - kỹ thuật</t>
  </si>
  <si>
    <t>5.2</t>
  </si>
  <si>
    <t>Cách thẩm định:</t>
  </si>
  <si>
    <t>Kế toán trưởng</t>
  </si>
  <si>
    <t>Thực hiện kỳ này</t>
  </si>
  <si>
    <t>Chi phí thiết kế bản vẽ thi công (Bảng 2.4-2.13 Thông tư 12/2021/TT-BXD)</t>
  </si>
  <si>
    <t>SUM</t>
  </si>
  <si>
    <t>Cát xây dựng (m3)</t>
  </si>
  <si>
    <t>V12595</t>
  </si>
  <si>
    <t>Bù NL</t>
  </si>
  <si>
    <t xml:space="preserve"> - Xăng</t>
  </si>
  <si>
    <t xml:space="preserve"> - Vật liệu khác</t>
  </si>
  <si>
    <t>M0596</t>
  </si>
  <si>
    <t>Gdp1</t>
  </si>
  <si>
    <t>Hệ số phụ cấp khoán trực tiếp</t>
  </si>
  <si>
    <t>VL + NC + M</t>
  </si>
  <si>
    <t>Gtv11 x trước thuế x tỷ lệ</t>
  </si>
  <si>
    <t>Cách tính giá NC</t>
  </si>
  <si>
    <t>Phương tiện vận chuyển</t>
  </si>
  <si>
    <t>Định mức &gt;60km</t>
  </si>
  <si>
    <t>AB.25103</t>
  </si>
  <si>
    <t>(C1 +CLM)</t>
  </si>
  <si>
    <t>Chi phí thẩm định hồ sơ mời quan tâm, hồ sơ mời sơ tuyển được tính bằng 0,03% giá gói thầu nhưng tối thiểu là 1.000.000 đồng và tối đa là 30.000.000 đồng</t>
  </si>
  <si>
    <t>Chênh lệch vốn thanh toán trong năm:</t>
  </si>
  <si>
    <t>1.3.2</t>
  </si>
  <si>
    <t>Cước ô tô mới</t>
  </si>
  <si>
    <t>Dán màng phản quang đầu dải phân cách</t>
  </si>
  <si>
    <t>hsVLPhu</t>
  </si>
  <si>
    <t>BẢNG TỔNG HỢP CHI PHÍ THIẾT BỊ</t>
  </si>
  <si>
    <t>I.)</t>
  </si>
  <si>
    <t>Đơn giá
ca máy</t>
  </si>
  <si>
    <t>T + GT + TL</t>
  </si>
  <si>
    <t>Phụ lục số 03.b</t>
  </si>
  <si>
    <t>Bê tông ống cống hình hộp SX bằng máy trộn, đổ bằng thủ công, bê tông M250, đá 1x2, PCB40</t>
  </si>
  <si>
    <t>Chi phí thí nghiệm vật liệu của nhà thầu</t>
  </si>
  <si>
    <t>VT</t>
  </si>
  <si>
    <t>Bảng số 21: Định mức chi phí lập hồ sơ mời thầu, đánh giá hồ sơ dự thầu mua sắm vật tư, thiết bị</t>
  </si>
  <si>
    <t>(tỷ đồng)</t>
  </si>
  <si>
    <t>Chi phí chung</t>
  </si>
  <si>
    <t>TTQT09$</t>
  </si>
  <si>
    <t>Mã NC</t>
  </si>
  <si>
    <t>Lưỡi cắt bê tông loại 356mm</t>
  </si>
  <si>
    <t>Sơn dẻo nhiệt</t>
  </si>
  <si>
    <t>Bằng chữ:……………………………………………………………………………………….</t>
  </si>
  <si>
    <t>M1479</t>
  </si>
  <si>
    <t>BẢNG XÁC ĐỊNH GIÁ TRỊ KHỐI LƯỢNG CÔNG VIỆC HOÀN THÀNH THEO HỢP ĐỒNG ĐỀ NGHỊ THANH TOÁN</t>
  </si>
  <si>
    <t>4,33</t>
  </si>
  <si>
    <t>Chi phí một số công tác không xác định được khối lượng từ thiết kế</t>
  </si>
  <si>
    <t>2.3.3</t>
  </si>
  <si>
    <t>TTTK210$</t>
  </si>
  <si>
    <t>Tổng mức đầu tư (Tỷ đồng)</t>
  </si>
  <si>
    <t>B</t>
  </si>
  <si>
    <t>AA.22212</t>
  </si>
  <si>
    <t>4.3</t>
  </si>
  <si>
    <t>T x 7,3%</t>
  </si>
  <si>
    <t>TTTK75$</t>
  </si>
  <si>
    <t>Nhựa đường</t>
  </si>
  <si>
    <t>HẠNG MỤC: Hạng mục 1</t>
  </si>
  <si>
    <t>LXL79$</t>
  </si>
  <si>
    <t>G</t>
  </si>
  <si>
    <t>Lắp đặt cột và biển báo phản quang - Loại biển báo phản quang: Biển tam giác cạnh 70cm</t>
  </si>
  <si>
    <t>10m tiếp</t>
  </si>
  <si>
    <t>Loại 4</t>
  </si>
  <si>
    <t>Glnvks</t>
  </si>
  <si>
    <t>Bằng chữ: Một tỷ một trăm hai mươi sáu triệu tám trăm linh tám nghìn đồng chẵn ./.</t>
  </si>
  <si>
    <t>N4607</t>
  </si>
  <si>
    <t>- Vốn ngoài nước: là số vốn ngoài nước được kéo dài thanh toán như vốn trong nước (như vốn vay của Cơ quan phát triển Pháp AFD...)</t>
  </si>
  <si>
    <t>Hệ số chi phí chung</t>
  </si>
  <si>
    <t>3.3.4</t>
  </si>
  <si>
    <t>&lt;=15</t>
  </si>
  <si>
    <t>- Nghị định 146/2017/NĐ-CP sửa đổi Nghị định 100/2016/NĐ-CP và Nghị định 12/2015/NĐ-CP về thuế GTGT, thuế TNDN.</t>
  </si>
  <si>
    <t>Chi phí an toàn lao động</t>
  </si>
  <si>
    <t>Chi phí bảo hiểm công trình (Thông tư 50/2022/TT-BTC)</t>
  </si>
  <si>
    <t>Gtkbv</t>
  </si>
  <si>
    <t>Nhân công</t>
  </si>
  <si>
    <t>Đắp đất nền móng công trình, nền đường bằng thủ công</t>
  </si>
  <si>
    <t>Tình hình thanh toán vốn:</t>
  </si>
  <si>
    <t>Nước</t>
  </si>
  <si>
    <t>Chi phí thẩm tra Báo cáo kinh tế - kỹ thuật (Thông tư 12/2021/TT-BXD)</t>
  </si>
  <si>
    <t>CLVL</t>
  </si>
  <si>
    <t>TL</t>
  </si>
  <si>
    <t>Chi phí lập nhiệm vụ khảo sát xây dựng</t>
  </si>
  <si>
    <t>III</t>
  </si>
  <si>
    <t>Ngày ... tháng ... năm 2016</t>
  </si>
  <si>
    <t>Bảng số 18: Định mức Chi phí thẩm tra dự toán công trình</t>
  </si>
  <si>
    <t>GIÁ TRỊ
TRƯỚC THUẾ</t>
  </si>
  <si>
    <t>Đơn giá TB</t>
  </si>
  <si>
    <t>Theo bảng tiên lượng</t>
  </si>
  <si>
    <t>CÔNG TRÌNH: NÂNG CẤP, SỬA CHỮA ĐƯỜNG TRẦN QUANG DIỆM, HƯƠNG XUÂN</t>
  </si>
  <si>
    <t>V07951</t>
  </si>
  <si>
    <t>Định mức &lt;=60km</t>
  </si>
  <si>
    <t>Vữa bê tông M150, XM PCB40, đá 2x4, độ sụt 2÷4cm</t>
  </si>
  <si>
    <t>Phương tiện</t>
  </si>
  <si>
    <t>4.3.5</t>
  </si>
  <si>
    <t>AB.65130</t>
  </si>
  <si>
    <t>GGTXD (Dự toán gói thầu)</t>
  </si>
  <si>
    <t>Địa điểm xây dựng</t>
  </si>
  <si>
    <t>Đơn vị tính</t>
  </si>
  <si>
    <t>BẢNG TỔNG HỢP MÁY</t>
  </si>
  <si>
    <t>2.2.4</t>
  </si>
  <si>
    <t>Chi phí lập báo cáo nghiên cứu khả thi (Bảng 2.2 Thông tư 12/2021/TT-BXD)</t>
  </si>
  <si>
    <t>Gtmdt</t>
  </si>
  <si>
    <t>Vốn tạm ứng theo chế độ chưa thu hồi</t>
  </si>
  <si>
    <t>Máy đầm đất cầm tay 70kg</t>
  </si>
  <si>
    <t>Chi phí khảo sát</t>
  </si>
  <si>
    <t>HM1</t>
  </si>
  <si>
    <t>5.3.1</t>
  </si>
  <si>
    <t>Xuất ra từ phiên bản</t>
  </si>
  <si>
    <t>4,10</t>
  </si>
  <si>
    <t>Que hàn</t>
  </si>
  <si>
    <t>Chi phí xây dựng và thiết bị (chưa có thuế GTGT) (tỷ đồng)</t>
  </si>
  <si>
    <t>QĐ phê duyệt phương án bồi thường, hỗ trợ và tái định cư</t>
  </si>
  <si>
    <t>LoaiThietKe</t>
  </si>
  <si>
    <t>V10480</t>
  </si>
  <si>
    <t>Bằng chữ: Tám trăm chín mươi sáu triệu sáu trăm sáu mươi mốt nghìn hai trăm chín mươi chín đồng chẵn./.</t>
  </si>
  <si>
    <t>Gxd+Gtb+Gqlda+Gtv+Gk+Gdp</t>
  </si>
  <si>
    <t>AD.23261</t>
  </si>
  <si>
    <t>Đào móng cột, trụ, hố kiểm tra bằng thủ công, rộng ≤1m, sâu ≤1m - Cấp đất III</t>
  </si>
  <si>
    <t>Bù giá</t>
  </si>
  <si>
    <t>I.) VẬT LIỆU</t>
  </si>
  <si>
    <t>hsVAT</t>
  </si>
  <si>
    <t>III.) MÁY THI CÔNG</t>
  </si>
  <si>
    <t>PCCC258$</t>
  </si>
  <si>
    <t>Hệ số địa hình</t>
  </si>
  <si>
    <t>Gktruc</t>
  </si>
  <si>
    <t>Gthamtra</t>
  </si>
  <si>
    <t>(Gxd + Ghmc) x 5%</t>
  </si>
  <si>
    <t>2.2</t>
  </si>
  <si>
    <t>Kiểu Tiên lượng</t>
  </si>
  <si>
    <t>T</t>
  </si>
  <si>
    <t>3.2.5</t>
  </si>
  <si>
    <t>Ggsks</t>
  </si>
  <si>
    <t>Chi phí tư vấn (chưa có thuế GTGT) của giá gói thầu được duyệt (tỷ đồng)</t>
  </si>
  <si>
    <t>1m</t>
  </si>
  <si>
    <t>TDDA^</t>
  </si>
  <si>
    <t>Công trình hạ tầng kỹ thuật</t>
  </si>
  <si>
    <t>Máy hàn điện 23kW</t>
  </si>
  <si>
    <t>CLNC</t>
  </si>
  <si>
    <t>BẢNG TỔNG HỢP VẬT LIỆU - NHÂN CÔNG - MÁY THI CÔNG</t>
  </si>
  <si>
    <t>hs vật liệu phụ</t>
  </si>
  <si>
    <t>LÀM TRÒN</t>
  </si>
  <si>
    <t>Glhsyc79</t>
  </si>
  <si>
    <t>SE.11211</t>
  </si>
  <si>
    <t>4.2.1</t>
  </si>
  <si>
    <t>GSLD79$</t>
  </si>
  <si>
    <t xml:space="preserve"> - Diezel</t>
  </si>
  <si>
    <t>Giá trị sau thuế</t>
  </si>
  <si>
    <t>Chi phí thẩm tra thiết kế bản vẽ thi công</t>
  </si>
  <si>
    <t>THUẾ GTGT</t>
  </si>
  <si>
    <t>Theo Thông tư số 75/2014/TT- BTC ngày 12 tháng 6 năm 2014 của Bộ Tài chính</t>
  </si>
  <si>
    <t>Nhân công bậc 4,0/7 - Nhóm 4</t>
  </si>
  <si>
    <t>Gbommin</t>
  </si>
  <si>
    <t>&lt;= 10</t>
  </si>
  <si>
    <t>^</t>
  </si>
  <si>
    <t>TỔNG SỐ:</t>
  </si>
  <si>
    <t xml:space="preserve">Chi phí thi tuyển thiết kế kiến trúc </t>
  </si>
  <si>
    <t>LoaiCongTrinh</t>
  </si>
  <si>
    <t>Gtv</t>
  </si>
  <si>
    <t>Diezel</t>
  </si>
  <si>
    <t>STT</t>
  </si>
  <si>
    <t>5.2.2</t>
  </si>
  <si>
    <t>Thành tiền (đồng)</t>
  </si>
  <si>
    <t xml:space="preserve"> - Lái xe bậc 3,0/4 - Nhóm 4</t>
  </si>
  <si>
    <t>GIẤY ĐỀ NGHỊ THANH TOÁN VỐN ĐẦU TƯ</t>
  </si>
  <si>
    <t>&lt;= 15</t>
  </si>
  <si>
    <t>Trực tiếp phí khác</t>
  </si>
  <si>
    <t>MSVT</t>
  </si>
  <si>
    <t>-</t>
  </si>
  <si>
    <t>NUYỀN VĂN A</t>
  </si>
  <si>
    <t>Thuế VAT:</t>
  </si>
  <si>
    <t>Độc lập- Tự do- Hạnh phúc</t>
  </si>
  <si>
    <t>Chi phí vật tư, thiết bị (chưa có thuế GTGT) của giá gói thầu được duyệt (tỷ đồng)</t>
  </si>
  <si>
    <t>Chi phí các hạng Mục chung còn lại</t>
  </si>
  <si>
    <t>4,20</t>
  </si>
  <si>
    <t>Cột chống thép ống</t>
  </si>
  <si>
    <t>Chủ đầu tư:</t>
  </si>
  <si>
    <t>TỔNG CỘNG (1+2+3)</t>
  </si>
  <si>
    <t>1.3</t>
  </si>
  <si>
    <t>Chi phí xây dựng (chưa có thuế GTGT) (tỷ đồng)</t>
  </si>
  <si>
    <t>Gttdt</t>
  </si>
  <si>
    <t>2</t>
  </si>
  <si>
    <t>4,25</t>
  </si>
  <si>
    <t>Cự ly &lt;=60km</t>
  </si>
  <si>
    <t>Hệ số phụ cấp trách nhiệm</t>
  </si>
  <si>
    <t>Gtttktc</t>
  </si>
  <si>
    <t>hs riêng nhân công</t>
  </si>
  <si>
    <t>Nhân công bậc 3,0/7 - Nhóm 4</t>
  </si>
  <si>
    <t>1.3.1</t>
  </si>
  <si>
    <t>7</t>
  </si>
  <si>
    <t>Bậc 3</t>
  </si>
  <si>
    <t>Cấp IV</t>
  </si>
  <si>
    <t>AB.13111</t>
  </si>
  <si>
    <t>Đơn vị tính : đồng</t>
  </si>
  <si>
    <t>PHƯỜNG HƯƠNG XUÂN, THỊ XÃ HƯƠNG TRÀ, TỈNH THỪA THIÊN HUẾ</t>
  </si>
  <si>
    <t>Cước biển</t>
  </si>
  <si>
    <t>Gỗ làm khe co dãn</t>
  </si>
  <si>
    <t>Thông tư 03/2015/TT-BKHĐT</t>
  </si>
  <si>
    <t>Gtdhsmqt</t>
  </si>
  <si>
    <t>Vốn ứng trước kế hoạch năm sau (vốn trong nước)</t>
  </si>
  <si>
    <t>Tổng mức đầu tư không có chi phí giải phóng mặt bằng(Gxdct-Ggpmb):</t>
  </si>
  <si>
    <t>(Ký, ghi rõ họ tên)</t>
  </si>
  <si>
    <t xml:space="preserve"> - Lái xe bậc 2,0/4 - Nhóm 4</t>
  </si>
  <si>
    <t>Giá trị dự toán:</t>
  </si>
  <si>
    <t>Loại thiết kế</t>
  </si>
  <si>
    <t>Bảng số 23: Định mức chi phí giám sát lắp đặt thiết bị</t>
  </si>
  <si>
    <t>Bảng số 2: Định mức chi phí lập báo cáo nghiên cứu tiền khả thi</t>
  </si>
  <si>
    <t>Phụ lục số 3: Phí thẩm tra thiết kế xây dựng công trình sử dụng nguồn vốn khác</t>
  </si>
  <si>
    <t>công</t>
  </si>
  <si>
    <t>KL máy</t>
  </si>
  <si>
    <t>Giá dự thầu</t>
  </si>
  <si>
    <t>5. Thanh toán thu hồi tạm ứng:</t>
  </si>
  <si>
    <t>Cự ly (km)</t>
  </si>
  <si>
    <t>Số tiền bằng chữ:………………………...(là số tiền đề nghị thanh toán kỳ này).</t>
  </si>
  <si>
    <t>Đơn vị tính: Đồng</t>
  </si>
  <si>
    <t>ĐV Tính</t>
  </si>
  <si>
    <t>Gtv1 x trước thuế x tỷ lệ</t>
  </si>
  <si>
    <t>Có tính</t>
  </si>
  <si>
    <t>4.2</t>
  </si>
  <si>
    <t>Lương nhân công bốc dỡ:</t>
  </si>
  <si>
    <t>C3231</t>
  </si>
  <si>
    <t>lít</t>
  </si>
  <si>
    <t>Chi phí rà phá bom mìn, vật nổ</t>
  </si>
  <si>
    <t>Khối lượng</t>
  </si>
  <si>
    <t>Thừa Thiên Huế, ngày ... tháng ... năm 2023</t>
  </si>
  <si>
    <t>Hệ số đảm bảo an toàn giao thông</t>
  </si>
  <si>
    <t>Quy định mức thu, chế độ thu, nộp, quản lý và sử dụng phí thẩm định thiết kế kỹ thuật, phí thẩm định dự toán xây dựng</t>
  </si>
  <si>
    <t>Bảng số 20: Định mức chi phí lập hồ sơ mời thầu, đánh giá hồ sơ dự thầu thi công xây dựng</t>
  </si>
  <si>
    <t>Dây thép</t>
  </si>
  <si>
    <t>Gtkkt</t>
  </si>
  <si>
    <t>TTTKXD79$</t>
  </si>
  <si>
    <t>Chi phí một số công việc không xác định được khối lượng từ thiết kế</t>
  </si>
  <si>
    <t>Tổng mức đầu tư (Gxdct):</t>
  </si>
  <si>
    <t>CỘNG HÒA XÃ HỘI CHỦ NGHĨA VIỆT NAM</t>
  </si>
  <si>
    <t>&lt;=</t>
  </si>
  <si>
    <t>V07334</t>
  </si>
  <si>
    <t>Độc hại</t>
  </si>
  <si>
    <t>Định mức chi phí kiểm toán độc lập Thông tư 10/2020/TT-BTC ngày 20 tháng 02 năm 2020</t>
  </si>
  <si>
    <t>Chi phí lập dự án</t>
  </si>
  <si>
    <t>Chi phí thẩm định thiết kế (Thông tư 27/2023/TT-BTC)</t>
  </si>
  <si>
    <t>Quy định mức thu, chế độ thu, nộp, quản lý và sử dụng phí thẩm định phê duyệt thiết kế phòng cháy chữa cháy</t>
  </si>
  <si>
    <t>Chi phí thẩm định hồ sơ mời thầu, hồ sơ yêu cầu (Nghị định 63/2014/NĐ-CP)</t>
  </si>
  <si>
    <t>3. Đơn giá:</t>
  </si>
  <si>
    <t>Sỏi, đá dăm các loại (m3)</t>
  </si>
  <si>
    <t>1.2.2</t>
  </si>
  <si>
    <t>Gói thầu: NÂNG CẤP, SỬA CHỮA ĐƯỜNG TRẦN QUANG DIỆM, HƯƠNG XUÂN</t>
  </si>
  <si>
    <t>Theo bảng dưới đây (khung nào không sử dụng thì gạch chéo)</t>
  </si>
  <si>
    <t>BẢNG TÍNH GIÁ VỮA</t>
  </si>
  <si>
    <t>Chi phí xây dựng nhà tạm tại hiện trường để ở và Điều hành thi công tại hiện trường</t>
  </si>
  <si>
    <t>N1307</t>
  </si>
  <si>
    <t>Loại đường</t>
  </si>
  <si>
    <t xml:space="preserve">   - Hạng mục 1</t>
  </si>
  <si>
    <t>Cự ly
(km)</t>
  </si>
  <si>
    <t>D</t>
  </si>
  <si>
    <t>Giá trị</t>
  </si>
  <si>
    <t>Loại sông</t>
  </si>
  <si>
    <t>Cao</t>
  </si>
  <si>
    <t>Ggtxd</t>
  </si>
  <si>
    <t>Hệ số lán trại, nhà tạm</t>
  </si>
  <si>
    <t>V04514</t>
  </si>
  <si>
    <t>Bốc lên</t>
  </si>
  <si>
    <t>Chi phí thẩm tra, phê duyệt quyết toán (Nghị định 99/2021/NĐ-CP)</t>
  </si>
  <si>
    <t>Vữa bê tông M300, XM PCB40, đá 2x4, độ sụt 2÷4cm</t>
  </si>
  <si>
    <t>I</t>
  </si>
  <si>
    <t>2.2.3</t>
  </si>
  <si>
    <t>AF.63310</t>
  </si>
  <si>
    <t xml:space="preserve"> - Nhân công bậc 5,0/7 - Nhóm 4</t>
  </si>
  <si>
    <t>Hue_2022XD_DG3550  Thông tư 12/2021/TT-BXD ngày 31/8/2021 của Bộ Xây dựng</t>
  </si>
  <si>
    <t>Khối lượng phát sinh so với hợp đồng ban đầu</t>
  </si>
  <si>
    <t>Đá 1x2</t>
  </si>
  <si>
    <t>Luỹ kế số vốn đã thanh toán từ khởi công đến cuối kỳ trước</t>
  </si>
  <si>
    <t>Tên thông tin</t>
  </si>
  <si>
    <t>Giá cước (đ/Tấn)</t>
  </si>
  <si>
    <t>Tổng cước</t>
  </si>
  <si>
    <t>Cung đường</t>
  </si>
  <si>
    <t>Bảng số 19: Định mức chi phí lập hồ sơ mời thầu, đánh giá hồ sơ dự thầu tư vấn</t>
  </si>
  <si>
    <t>3.3</t>
  </si>
  <si>
    <t>hsBGNC</t>
  </si>
  <si>
    <t xml:space="preserve"> - Chênh lệch máy</t>
  </si>
  <si>
    <t>Chi phí thẩm định hồ sơ mời thầu, hồ sơ yêu cầu được tính bằng 0,05% giá gói thầu nhưng tối thiểu là 1.000.000 đồng và tối đa là 50.000.000 đồng</t>
  </si>
  <si>
    <t>Chi phí bảo vệ môi trường cho người lao động và môi trường xung quanh</t>
  </si>
  <si>
    <t>Thiết kế 3 bước (thiết kế kỹ thuật)</t>
  </si>
  <si>
    <t>11</t>
  </si>
  <si>
    <t>...</t>
  </si>
  <si>
    <t>AF.13413</t>
  </si>
  <si>
    <t>Bảng số 16: Định mức chi phí thẩm tra báo cáo nghiên cứu khả thi</t>
  </si>
  <si>
    <t>Gttbcnctkt</t>
  </si>
  <si>
    <t>(B1 + CLNC)</t>
  </si>
  <si>
    <t>Chi phí thẩm định kết quả lựa chọn nhà thầu kể cả trường hợp không lựa chọn được nhà thầu được tính bằng 0,05% giá gói thầu nhưng tối thiểu là 1.000.000 đồng và tối đa là 50.000.000 đồng</t>
  </si>
  <si>
    <t>TTDT210$</t>
  </si>
  <si>
    <t>Cước TC</t>
  </si>
  <si>
    <t>Máy ủi 110CV</t>
  </si>
  <si>
    <t>Chi phí đảm an toàn giao thông phục vụ thi công</t>
  </si>
  <si>
    <t>Diễn giải khối lượng</t>
  </si>
  <si>
    <t>cát xây dựng</t>
  </si>
  <si>
    <t>BẢNG TÍNH CƯỚC VẬN CHUYỂN VẬT LIỆU BẰNG Ô TÔ</t>
  </si>
  <si>
    <t>Tên dự án:</t>
  </si>
  <si>
    <t>V01897</t>
  </si>
  <si>
    <t>Dự toán gói thầu trước thuế x tỷ lệ</t>
  </si>
  <si>
    <t>Gtdkqnt</t>
  </si>
  <si>
    <t>Bảng số 3: Định mức chi phí lập báo cáo nghiên cứu khả thi</t>
  </si>
  <si>
    <t>Kính gửi: Kho bạc nhà nước ………………………..</t>
  </si>
  <si>
    <t>AB.21132</t>
  </si>
  <si>
    <t>Bảng số 24: Định mức chi phí giám sát công tác khảo sát</t>
  </si>
  <si>
    <t>Chi phí cho Hội đồng tư vấn giải quyết kiến nghị của nhà thầu về kết quả</t>
  </si>
  <si>
    <t>Hội đồng đền bù GPMB</t>
  </si>
  <si>
    <t>hsLTNT</t>
  </si>
  <si>
    <t>5.3.3</t>
  </si>
  <si>
    <t>Đơn giá thanh toán</t>
  </si>
  <si>
    <t xml:space="preserve"> - Nhân công bậc 4,0/7 - Nhóm 4</t>
  </si>
  <si>
    <t>TCPDA</t>
  </si>
  <si>
    <t>CHỦ ĐẦU TƯ:</t>
  </si>
  <si>
    <t>Nội dung chi phí</t>
  </si>
  <si>
    <t>- Thuế giá trị gia tăng</t>
  </si>
  <si>
    <t>Phục cấp khu vực</t>
  </si>
  <si>
    <t>GiaTB</t>
  </si>
  <si>
    <t>TTDT75^</t>
  </si>
  <si>
    <t>Hệ số bù giá nhân công</t>
  </si>
  <si>
    <t>AD.23263</t>
  </si>
  <si>
    <t>KÝ HIỆU</t>
  </si>
  <si>
    <t>Cự ly &lt;= 1km</t>
  </si>
  <si>
    <t>Vật liệu</t>
  </si>
  <si>
    <t>II</t>
  </si>
  <si>
    <t>Chi phí thẩm tra dự toán công trình (Bảng 2.17 Thông tư 12/2021/TT-BXD)</t>
  </si>
  <si>
    <t>Ký hiệu</t>
  </si>
  <si>
    <t>M0663</t>
  </si>
  <si>
    <t>V045310</t>
  </si>
  <si>
    <t>Tên đơn vị thụ hưởng………………………………………………</t>
  </si>
  <si>
    <t>2.4</t>
  </si>
  <si>
    <t>CHI PHÍ HẠNG MỤC CHUNG</t>
  </si>
  <si>
    <t>Số liệu của Kho bạc nơi giao dịch:</t>
  </si>
  <si>
    <t>Hệ số phụ cấp lưu động</t>
  </si>
  <si>
    <t>AF.63320</t>
  </si>
  <si>
    <t>Công trình giao thông</t>
  </si>
  <si>
    <t>[4]</t>
  </si>
  <si>
    <t>Dự toán được duyệt hoặc giá trị trúng thầu hoặc giá trị hợp đồng</t>
  </si>
  <si>
    <t>Phụ cấp lưu động</t>
  </si>
  <si>
    <t>Cấp III</t>
  </si>
  <si>
    <t>Độc lập - Tự do - Hạnh phúc</t>
  </si>
  <si>
    <t>Phụ lục 05</t>
  </si>
  <si>
    <t>Giá trị trước thuế</t>
  </si>
  <si>
    <t>cMS</t>
  </si>
  <si>
    <t>Giá TB x HS</t>
  </si>
  <si>
    <t>Vật liệu khác</t>
  </si>
  <si>
    <t>III.)</t>
  </si>
  <si>
    <t>Công trình dân dụng</t>
  </si>
  <si>
    <t>TTTKT79$</t>
  </si>
  <si>
    <t>hsDBGT</t>
  </si>
  <si>
    <t>Loại
đường</t>
  </si>
  <si>
    <t>Cước nâng hạ (đ/tấn)</t>
  </si>
  <si>
    <t>hsRM</t>
  </si>
  <si>
    <t>BẢNG TỔNG HỢP NHIÊN LIỆU</t>
  </si>
  <si>
    <t>CÔNG TRÌNH:</t>
  </si>
  <si>
    <t>Thời gian xuất</t>
  </si>
  <si>
    <t>V06415</t>
  </si>
  <si>
    <t>Vốn thanh toán trong năm (1+2+3)</t>
  </si>
  <si>
    <t>Nhà thầu:</t>
  </si>
  <si>
    <t>Năm…</t>
  </si>
  <si>
    <t>Chi phí vận chuyển</t>
  </si>
  <si>
    <t>Máy đào 0,4m3</t>
  </si>
  <si>
    <t>(Gxd+Gtb+Gqlda+Gtv+Gk) x trước thuế x tỷ lệ</t>
  </si>
  <si>
    <t>Các khoản phụ cấp</t>
  </si>
  <si>
    <t>Thiết bị sơn kẻ vạch YHK 10A</t>
  </si>
  <si>
    <t>ĐƠN VỊ LẬP</t>
  </si>
  <si>
    <t>C3223</t>
  </si>
  <si>
    <t>Ván khuôn thép, khung xương, cột chống giáo ống, tường, chiều cao ≤28m</t>
  </si>
  <si>
    <t>H.số
đổ
ben
hoặc
bốc
dỡ</t>
  </si>
  <si>
    <t>Mẫu THKPHM</t>
  </si>
  <si>
    <t>m2</t>
  </si>
  <si>
    <t>Thanh toán khối lượng hoàn thành</t>
  </si>
  <si>
    <t>BẢNG TỔNG HỢP KINH PHÍ HẠNG MỤC</t>
  </si>
  <si>
    <t xml:space="preserve">    + Bù giá nhiên liệu</t>
  </si>
  <si>
    <t>Hệ số bù giá máy</t>
  </si>
  <si>
    <t>CHI PHÍ TRỰC TIẾP</t>
  </si>
  <si>
    <t>Thừa Thiên Huế, ngày 10 tháng 10 năm 2023</t>
  </si>
  <si>
    <t>5.3</t>
  </si>
  <si>
    <t>LT</t>
  </si>
  <si>
    <t>V01879</t>
  </si>
  <si>
    <t>Chênh lệch giá HT</t>
  </si>
  <si>
    <t>Công trình nông nghiệp và phát triển nông thôn</t>
  </si>
  <si>
    <t>1.5</t>
  </si>
  <si>
    <t>CỘNG HẠNG MỤC</t>
  </si>
  <si>
    <t>Đơn vị: đồng</t>
  </si>
  <si>
    <t>IV</t>
  </si>
  <si>
    <t>Gdp2</t>
  </si>
  <si>
    <t>Loại công trình/
Loại thiết kế/
cấp công trình</t>
  </si>
  <si>
    <t>[Name]</t>
  </si>
  <si>
    <t>Cước sông</t>
  </si>
  <si>
    <t>Chi phí dự phòng (GDPXD1 + GDPXD2)</t>
  </si>
  <si>
    <t>V07970</t>
  </si>
  <si>
    <t>Tên CK</t>
  </si>
  <si>
    <t>Ghi chú : + Số vốn thanh toán trong năm là số vốn được thanh toán theo niên độ NSNN theo quy định (đến hết 31/1năm sau).</t>
  </si>
  <si>
    <t>Đào bụi tre, đường kính bụi tre ≤50cm bằng thủ công</t>
  </si>
  <si>
    <t>Sơn lót</t>
  </si>
  <si>
    <t>- Định mức dự toán công tác dịch vụ công ích công bố kèm theo văn bản số 590, 591, 592, 593, 594/QĐ-BXD ngày 30/05/2014 của Bộ xây dựng.</t>
  </si>
  <si>
    <t>Số tiền đề nghị:</t>
  </si>
  <si>
    <t>1.3.3</t>
  </si>
  <si>
    <t>9</t>
  </si>
  <si>
    <t>[5]</t>
  </si>
  <si>
    <t>Tổng mức đầu tư dự án (tỷ đồng)</t>
  </si>
  <si>
    <t>1. Các văn bản:</t>
  </si>
  <si>
    <t>Tổng số</t>
  </si>
  <si>
    <t>QLDA79^</t>
  </si>
  <si>
    <t>6. Giá trị đề nghị thanh toán kỳ này:</t>
  </si>
  <si>
    <t>cái</t>
  </si>
  <si>
    <t>Giá cước
hàng
bậc 1
(đ/T.km)</t>
  </si>
  <si>
    <t>Lò nấu sơn YHK 3A</t>
  </si>
  <si>
    <t>Phí thẩm định dự án đầu tư xây dựng (Thông tư 28/2023/TT-BTC)</t>
  </si>
  <si>
    <t>Kho bạc nhà nước</t>
  </si>
  <si>
    <t>BẢNG GIÁ VẬT LIỆU</t>
  </si>
  <si>
    <t>Độ dốc</t>
  </si>
  <si>
    <t>&lt;=5</t>
  </si>
  <si>
    <t>Chi phí xây dựng của gói thầu</t>
  </si>
  <si>
    <t>Gdgtdmt</t>
  </si>
  <si>
    <t>Luỹ kế vốn thanh toán từ khởi công đến hết niên độ ngân sách năm kế hoạch:</t>
  </si>
  <si>
    <t>Điện</t>
  </si>
  <si>
    <t>Cự ly</t>
  </si>
  <si>
    <t>không</t>
  </si>
  <si>
    <t xml:space="preserve"> - Đơn giá máy</t>
  </si>
  <si>
    <t>Giá cước</t>
  </si>
  <si>
    <t>Loại</t>
  </si>
  <si>
    <t>Tên công trình</t>
  </si>
  <si>
    <t>Tạm ứng</t>
  </si>
  <si>
    <t>V11347</t>
  </si>
  <si>
    <t>2.3.4</t>
  </si>
  <si>
    <t>Số tiền bồi thường, hỗ trợ và tái định cư đã chi trả cho đơn vị thụ hưởng theo phương án được duyệt</t>
  </si>
  <si>
    <t>Hệ số độ dốc</t>
  </si>
  <si>
    <t>C</t>
  </si>
  <si>
    <t>Định mức chi phí kiểm toán độc lập</t>
  </si>
  <si>
    <t>Cận trên</t>
  </si>
  <si>
    <t>Chi phí lập hồ sơ mời thầu, đánh giá hồ sơ dự thầu mua sắm vật tư, thiết bị (Bảng 2.20 Thông tư 12/2021/TT-BXD)</t>
  </si>
  <si>
    <t>Lái xe bậc 1/4 - Nhóm 4</t>
  </si>
  <si>
    <t>+ Vốn ngoài nước……………………………………</t>
  </si>
  <si>
    <t>BẢNG TÍNH CƯỚC VẬN CHUYỂN BỘ HẠNG MỤC CÔNG TRÌNH</t>
  </si>
  <si>
    <t>HẠNG MỤC</t>
  </si>
  <si>
    <t>Loại 5</t>
  </si>
  <si>
    <t>Xi măng PCB40</t>
  </si>
  <si>
    <t>TTQT09^</t>
  </si>
  <si>
    <t>3.3.5</t>
  </si>
  <si>
    <t>7. Luỹ kế giá trị thanh toán:</t>
  </si>
  <si>
    <t>TỔNG CỘNG (CNT + CKKL + CK)</t>
  </si>
  <si>
    <t>ZV999</t>
  </si>
  <si>
    <t>Ko tính</t>
  </si>
  <si>
    <t>TDDA209$</t>
  </si>
  <si>
    <t>Thiết kế 2 bước (thiết kế bản vẽ thi công)</t>
  </si>
  <si>
    <t>hsnc</t>
  </si>
  <si>
    <t>1.2.4</t>
  </si>
  <si>
    <t>TTTK210^</t>
  </si>
  <si>
    <t>4.3.1</t>
  </si>
  <si>
    <t>AF.15433</t>
  </si>
  <si>
    <t>Gdpxd1</t>
  </si>
  <si>
    <t>Hệ số điều chỉnh</t>
  </si>
  <si>
    <t>Thiết kế 3 bước</t>
  </si>
  <si>
    <t>NL</t>
  </si>
  <si>
    <t>KL phụ</t>
  </si>
  <si>
    <t>Thừa Thiên Huế</t>
  </si>
  <si>
    <t>Cần trục tháp 25T</t>
  </si>
  <si>
    <t>Gdpxd1 + Gdpxd2</t>
  </si>
  <si>
    <t>AK.98110</t>
  </si>
  <si>
    <t>Thép hình</t>
  </si>
  <si>
    <t>Bẵng chữ: Không đồng chẵn./.</t>
  </si>
  <si>
    <t>TTTK75^</t>
  </si>
  <si>
    <t>Carboncor Asphalt (loại CA 9,5)</t>
  </si>
  <si>
    <t>[6]</t>
  </si>
  <si>
    <t>-------------o0o-------------</t>
  </si>
  <si>
    <t>LXL79^</t>
  </si>
  <si>
    <t>Chi phí xây dựng (chưa có thuế GTGT) trong tổng mức đầu tư được duyệt hoặc giá gói thầu được duyệt (tỷ đồng)</t>
  </si>
  <si>
    <t>Hệ số
loại đường</t>
  </si>
  <si>
    <t>Các chi phí khác...</t>
  </si>
  <si>
    <t>Vốn TN</t>
  </si>
  <si>
    <t>Mã dự án đầu tư:</t>
  </si>
  <si>
    <t>cCL</t>
  </si>
  <si>
    <t>2.2.5</t>
  </si>
  <si>
    <t>Thông tư số 210/2016/TT- BTC ngày 10/11/2016 của Bộ Tài chính
Thông tư số 27/2023/TT- BTC ngày 12/05/2023 của Bộ Tài chính</t>
  </si>
  <si>
    <t>Chi phí lập hồ sơ mời thầu, đánh giá hồ sơ dự thầu thi công xây dựng (Bảng 2.19 Thông tư 12/2021/TT-BXD)</t>
  </si>
  <si>
    <t xml:space="preserve"> - Nhân hệ số điều chỉnh</t>
  </si>
  <si>
    <t>5.3.2</t>
  </si>
  <si>
    <t>Chi phí cho Hội đồng tư vấn giải quyết kiến nghị của nhà thầu (Nghị định 63/2014/NĐ-CP)</t>
  </si>
  <si>
    <t>3.5</t>
  </si>
  <si>
    <t>Thép hình, thép tấm</t>
  </si>
  <si>
    <t>N2357</t>
  </si>
  <si>
    <t>LHSTV79$</t>
  </si>
  <si>
    <t>Gttbcnckt</t>
  </si>
  <si>
    <t>Chi phí đánh giá hồ sơ dự thầu, hồ sơ đề xuất được tính bằng 0,1% giá gói thầu nhưng tối thiểu là 1.000.000 đồng và tối đa là 50.000.000 đồng.</t>
  </si>
  <si>
    <t>3.2.1</t>
  </si>
  <si>
    <t>Chi phí tư vấn đầu tư xây dựng</t>
  </si>
  <si>
    <t>- Công bố giá vật liệu xây dựng theo Công bố …/CB-SXD ngày …/…/ của Sở Xây dựng</t>
  </si>
  <si>
    <t>V11400</t>
  </si>
  <si>
    <t>1. Tổng giá trị khối lượng phát sinh:</t>
  </si>
  <si>
    <t>Chi phí thẩm tra thiết kế xây dựng (Bảng 2.16 Thông tư 12/2021/TT-BXD)</t>
  </si>
  <si>
    <t>13</t>
  </si>
  <si>
    <t>ca</t>
  </si>
  <si>
    <t>Chi phí xây dựng (chưa có thuế GTGT) trong dự toán công trình hoặc dự toán gói thầu được duyệt (tỷ đồng)</t>
  </si>
  <si>
    <t>Vữa bê tông M200, XM PCB40, đá 1x2, độ sụt 2÷4cm</t>
  </si>
  <si>
    <t>Vữa bê tông M250, XM PCB40, đá 1x2, độ sụt 2÷4cm</t>
  </si>
  <si>
    <t>Cát vàng</t>
  </si>
  <si>
    <t>GXD</t>
  </si>
  <si>
    <t>Máy</t>
  </si>
  <si>
    <t>Chi phí lập báo cáo nghiên cứu tiền khả thi (Bảng 2.1 Thông tư 12/2021/TT-BXD)</t>
  </si>
  <si>
    <t>hsCPC</t>
  </si>
  <si>
    <t>Trách nhiệm</t>
  </si>
  <si>
    <t>Nghị định 63/2014/NĐ-CP</t>
  </si>
  <si>
    <t>Phụ lục số 1: Phí thẩm tra thiết kế xây dựng công trình sử dụng vốn ngân sách nhà nước do cơ quan quản lý nhà nước thực hiện toàn bộ công việc thẩm tra</t>
  </si>
  <si>
    <t>3. Số tiền đã thanh toán khối lượng hoàn thành đến cuối kỳ trước:</t>
  </si>
  <si>
    <t>KL thi công</t>
  </si>
  <si>
    <t>Quyết định đầu tư được duyệt (số, ngày, tháng, năm):</t>
  </si>
  <si>
    <t>Vốn ngoài nước</t>
  </si>
  <si>
    <t>Số: ......./.......</t>
  </si>
  <si>
    <t>4.2.2</t>
  </si>
  <si>
    <t>CÔNG TY CỔ PHẦN TIN HỌC ETA</t>
  </si>
  <si>
    <t>NGUYỄN VĂN B</t>
  </si>
  <si>
    <t>Cắt mặt đường bê tông Asphalt chiều dày lớp cắt ≤ 5cm</t>
  </si>
  <si>
    <t>Búa căn khí nén 3m3/ph</t>
  </si>
  <si>
    <t>Quy định mức thu, chế độ thu, nộp, quản lý và sử dụng phí thẩm định dự án đầu tư xây dựng, phí thẩm định thiết kế cơ sở</t>
  </si>
  <si>
    <t>BẢNG GIÁ NHÂN CÔNG</t>
  </si>
  <si>
    <t>I. Căn cứ lập:</t>
  </si>
  <si>
    <t>CNT</t>
  </si>
  <si>
    <t>đồng</t>
  </si>
  <si>
    <t>Định mức &lt;=1km</t>
  </si>
  <si>
    <t>Tên máy</t>
  </si>
  <si>
    <t>Theo hợp đồng</t>
  </si>
  <si>
    <t>Máy cắt bê tông 7,5kW</t>
  </si>
  <si>
    <t>Chi phí khác (đ)</t>
  </si>
  <si>
    <t>Gtttk_BTC</t>
  </si>
  <si>
    <t>M0556</t>
  </si>
  <si>
    <t>Chi phí thẩm tra tính hiệu quả và tính khả thi của dự án đầu tư</t>
  </si>
  <si>
    <t>Mã hiệu</t>
  </si>
  <si>
    <t>CPKT09$</t>
  </si>
  <si>
    <t>Gks</t>
  </si>
  <si>
    <t>PCCC258^</t>
  </si>
  <si>
    <t>C3222</t>
  </si>
  <si>
    <t>5.2.3</t>
  </si>
  <si>
    <t>Bù NG</t>
  </si>
  <si>
    <t>M0698</t>
  </si>
  <si>
    <t>Chi phí quản lý dự án</t>
  </si>
  <si>
    <t>HỒ SƠ DỰ TOÁN</t>
  </si>
  <si>
    <t>THUẾ GIÁ TRỊ GIA TĂNG</t>
  </si>
  <si>
    <t>Ngày……. tháng….. năm….</t>
  </si>
  <si>
    <t>GGTXD</t>
  </si>
  <si>
    <t>Chi phí nhà tạm để ở và điều hành thi công</t>
  </si>
  <si>
    <t>NUYỀN VĂN B</t>
  </si>
  <si>
    <t>Chi phí thẩm định dự toán (Thông tư 27/2023/TT-BTC)</t>
  </si>
  <si>
    <t>2. Giá trị tạm ứng theo hợp đồng còn lại chưa thu hồi đến cuối kỳ trước:</t>
  </si>
  <si>
    <t>Kiểm toán ( %)</t>
  </si>
  <si>
    <t>Theo bảng tổng hợp máy</t>
  </si>
  <si>
    <t>hsKVM</t>
  </si>
  <si>
    <t>GSLD79^</t>
  </si>
  <si>
    <t>Bảng số 22: Định mức chi phí giám sát thi công xây dựng</t>
  </si>
  <si>
    <t>4,21</t>
  </si>
  <si>
    <t>Cự ly (m)</t>
  </si>
  <si>
    <t>1.4</t>
  </si>
  <si>
    <t>Chủ đầu tư:……</t>
  </si>
  <si>
    <t>3</t>
  </si>
  <si>
    <t>HẠNG MỤC:</t>
  </si>
  <si>
    <t>Theo Thông tư số 150/2014/TT- BTC ngày 10 tháng 10 năm 2014 của Bộ Tài chính</t>
  </si>
  <si>
    <t>Thông tư số 209/2016/TT-BTC ngày 10/11/2016 của Bộ Tài chính
Thông tư số 28/2023/TT-BTC ngày 12/05/2023 của Bộ Tài chính</t>
  </si>
  <si>
    <t>4,26</t>
  </si>
  <si>
    <t>Chi phí giám sát thi công xây dựng (Bảng 2.21 Thông tư 12/2021/TT-BXD)</t>
  </si>
  <si>
    <t>Matit</t>
  </si>
  <si>
    <t>Chi phí thẩm định hồ sơ mời quan tâm, hồ sơ mời sơ tuyển (Nghị định 63/2014/NĐ-CP)</t>
  </si>
  <si>
    <t>Bằng chữ: Tám trăm bảy mươi mốt triệu một trăm ba mươi ba nghìn bảy trăm ba mươi sáu đồng chẵn./.</t>
  </si>
  <si>
    <t>AF.12151</t>
  </si>
  <si>
    <t>8</t>
  </si>
  <si>
    <t>cDV</t>
  </si>
  <si>
    <t>Ô tô vận tải thùng 2,5T</t>
  </si>
  <si>
    <t>- Chi phí một số công tác không xác định được khối lượng từ thiết kế</t>
  </si>
  <si>
    <t>Bậc 4</t>
  </si>
  <si>
    <t>Mã VT</t>
  </si>
  <si>
    <t>BẢNG TỔNG HỢP NHÂN CÔNG LÁI MÁY</t>
  </si>
  <si>
    <t>Thuế giá trị gia tăng</t>
  </si>
  <si>
    <t>Theo Thông tư số 176/2011/TT-BTC ngày 6/12/2011 của Bộ Tài chính</t>
  </si>
  <si>
    <t>Kế toán trưởng          Thủ trưởng đơn vị</t>
  </si>
  <si>
    <t>M2591</t>
  </si>
  <si>
    <t>(bảng tổng hợp dự toán gói thầu)</t>
  </si>
  <si>
    <t>CKKL</t>
  </si>
  <si>
    <t>Nhóm hàng</t>
  </si>
  <si>
    <t>Mã số</t>
  </si>
  <si>
    <t>Glhsmt</t>
  </si>
  <si>
    <t>- Căn cứ vào khối lượng xác định từ hồ sơ bản vẽ thiết kế.</t>
  </si>
  <si>
    <t>T x 1,1%</t>
  </si>
  <si>
    <t>NGƯỜI CHỦ TRÌ</t>
  </si>
  <si>
    <t>Thuế VAT</t>
  </si>
  <si>
    <t>LBC79$</t>
  </si>
  <si>
    <t>Thẩm tra, phê duyệt quyết toán (%)</t>
  </si>
  <si>
    <t>Xăng</t>
  </si>
  <si>
    <t>M1335</t>
  </si>
  <si>
    <t>TTQT^</t>
  </si>
  <si>
    <t>Định mức %</t>
  </si>
  <si>
    <t>Số liệu tính giá NC</t>
  </si>
  <si>
    <t>Sơn biển báo, cột biển báo bằng thép - 3 nước</t>
  </si>
  <si>
    <t>Số lượng</t>
  </si>
  <si>
    <t>GSTC79$</t>
  </si>
  <si>
    <t>Nhân công bậc 3,5/7 - Nhóm 1</t>
  </si>
  <si>
    <t>BẢNG TỔNG HỢP DỰ TOÁN GÓI THẦU THI CÔNG XÂY DỰNG</t>
  </si>
  <si>
    <t>(T + GT) x 5,5%</t>
  </si>
  <si>
    <t>(Ban hành kèm theo Thông tư số: 08/2016/TT-BTC ngày 18 tháng 01 năm 2016 của Bộ Tài chính)</t>
  </si>
  <si>
    <t>Đơn giá</t>
  </si>
  <si>
    <t>4,31</t>
  </si>
  <si>
    <t>BẢNG TÍNH GIÁ NHÂN CÔNG</t>
  </si>
  <si>
    <t>Tổng</t>
  </si>
  <si>
    <t>GIÁM ĐỐC</t>
  </si>
  <si>
    <t>Thanh toán trực tiếp cho hộ dân:</t>
  </si>
  <si>
    <t>Đào móng bằng máy đào 0,4m3, chiều rộng móng ≤6m - Cấp đất III</t>
  </si>
  <si>
    <t>1.2.3</t>
  </si>
  <si>
    <t>GTGT</t>
  </si>
  <si>
    <t>BẢNG PHÂN TÍCH VẬT TƯ</t>
  </si>
  <si>
    <t>Kế hoạch vốn trong năm</t>
  </si>
  <si>
    <t>Bảng giá nhiên liệu - nhân công</t>
  </si>
  <si>
    <t>Chi phí trước thuế</t>
  </si>
  <si>
    <t>1m3</t>
  </si>
  <si>
    <t>A1+CLVL</t>
  </si>
  <si>
    <t>Chi phí khảo sát xây dựng (Gks)</t>
  </si>
  <si>
    <t>kg</t>
  </si>
  <si>
    <t>TenCongTrinh</t>
  </si>
  <si>
    <t>...........</t>
  </si>
  <si>
    <t>Loại 2</t>
  </si>
  <si>
    <t>Tổng lương và phụ cấp</t>
  </si>
  <si>
    <t>Phát sinh
so với hợp đồng ban đầu</t>
  </si>
  <si>
    <t>3.3.2</t>
  </si>
  <si>
    <t>Hao hụt</t>
  </si>
  <si>
    <t>- Thông tư số 12/2021/TT-BXD  ngày 31/8/2021 của Bộ Xây dựng ban hành định mức xây dựng.</t>
  </si>
  <si>
    <t>Glhsmqt</t>
  </si>
  <si>
    <t>Giá HT</t>
  </si>
  <si>
    <t>V10554</t>
  </si>
  <si>
    <t>----------------------------------------</t>
  </si>
  <si>
    <t>Glapda</t>
  </si>
  <si>
    <t>Tên hạng mục</t>
  </si>
  <si>
    <t>Phụ lục số 2: Phí thẩm định dự toán xây dựng khi cơ quan chuyên môn về xây dựng mời tổ chức tư vấn, cá nhân cùng thẩm định</t>
  </si>
  <si>
    <t>3.4</t>
  </si>
  <si>
    <t>V07292</t>
  </si>
  <si>
    <t>Định mức &lt;=10km</t>
  </si>
  <si>
    <t>BẢNG GIÁ CA MÁY</t>
  </si>
  <si>
    <t>Hệ
số
điều
chỉnh</t>
  </si>
  <si>
    <t>Đại diện chủ đầu tư</t>
  </si>
  <si>
    <t>GSKS79$</t>
  </si>
  <si>
    <t>Theo Thông tư số 258/2016/TT-BTC ngày 11 tháng 11 năm 2016 của Bộ Tài chính</t>
  </si>
  <si>
    <t>Thiết kế 2 bước</t>
  </si>
  <si>
    <t>Tên thiết bị</t>
  </si>
  <si>
    <t>Lũy kế đến hết kỳ này</t>
  </si>
  <si>
    <t>12</t>
  </si>
  <si>
    <t xml:space="preserve">Nhân công bậc 3,0/7 - Nhóm 1: </t>
  </si>
  <si>
    <t>Phụ lục số 1: Phí thẩm định thiết kế kỹ thuật</t>
  </si>
  <si>
    <t>Gdpxd</t>
  </si>
  <si>
    <t>Bốc xếp</t>
  </si>
  <si>
    <t>4.3.3</t>
  </si>
  <si>
    <t>4. Luỹ kế giá trị khối lượng thực hiện đến cuối kỳ này:</t>
  </si>
  <si>
    <t>Hệ số quy đổi đơn vị</t>
  </si>
  <si>
    <t>Hạng mục 1</t>
  </si>
  <si>
    <t>Chi phí kiểm toán độc lập (Nghị định 99/2021/NĐ-CP)</t>
  </si>
  <si>
    <t>HM</t>
  </si>
  <si>
    <t>Luỹ kế giá trị khối lượng nghiệm thu của hạng mục đề nghị thanh toán:……………..…đồng.</t>
  </si>
  <si>
    <t>Trong đó:</t>
  </si>
  <si>
    <t>Định mức bốc xuống</t>
  </si>
  <si>
    <t>Đã
v/c
(km)</t>
  </si>
  <si>
    <t>SF.12112</t>
  </si>
  <si>
    <t>TT</t>
  </si>
  <si>
    <t>BẢNG XÁC ĐỊNH GIÁ TRỊ KHỐI LƯỢNG CÔNG VIỆC PHÁT SINH NGOÀI HỢP ĐỒNG ĐỀ NGHỊ THANH TOÁN</t>
  </si>
  <si>
    <t>Luỹ kế đến hết kỳ trước</t>
  </si>
  <si>
    <t>NGUYỄN VĂN A</t>
  </si>
  <si>
    <t>AF.82511</t>
  </si>
  <si>
    <t>Công trình công nghiệp</t>
  </si>
  <si>
    <t>NCTKT79$</t>
  </si>
  <si>
    <t>VL phụ</t>
  </si>
  <si>
    <t>ngày 26 tháng 6 năm 2014</t>
  </si>
  <si>
    <t>Hệ số lương</t>
  </si>
  <si>
    <t>5.3.4</t>
  </si>
  <si>
    <t>NCKT79$</t>
  </si>
  <si>
    <t>Cước cơ bản</t>
  </si>
  <si>
    <t>V06287</t>
  </si>
  <si>
    <t>Các chi phí hạng mục chung còn lại</t>
  </si>
  <si>
    <t>Tên gói thầu:</t>
  </si>
  <si>
    <t xml:space="preserve"> - Chênh lệch nhân công</t>
  </si>
  <si>
    <t>gỗ các loại</t>
  </si>
  <si>
    <t>Đơn giá gốc</t>
  </si>
  <si>
    <t>Thanh toán lần thứ:</t>
  </si>
  <si>
    <t>V05429</t>
  </si>
  <si>
    <t>Gtttkcn</t>
  </si>
  <si>
    <t>Cự ly &gt;60km</t>
  </si>
  <si>
    <t>2.5</t>
  </si>
  <si>
    <t>TTDT210^</t>
  </si>
  <si>
    <t>Căn cứ hợp đồng số:………………….ngày…. tháng….. năm………………………………………………………</t>
  </si>
  <si>
    <t>Chi phí thẩm định phê duyệt thiết kế về phòng cháy và chữa cháy (Thông tư 258/2016/TT-BTC)</t>
  </si>
  <si>
    <t>AB.31134</t>
  </si>
  <si>
    <t>Thuế GTGT</t>
  </si>
  <si>
    <t>hsTTPK</t>
  </si>
  <si>
    <t>Nhân công bậc 4,0/7 - Nhóm 2</t>
  </si>
  <si>
    <t>Số tiền</t>
  </si>
  <si>
    <t>TTDT79$</t>
  </si>
  <si>
    <t>Thuộc nguồn vốn: (XDCB tập trung; CTMT….)……………………………………….............</t>
  </si>
  <si>
    <t>Giá gốc</t>
  </si>
  <si>
    <t>- Thông tư số 11/2021/TT-BXD ngày 31/8/2021 của Bộ Xây dựng hướng dẫn xác định và quản lý chi phí đầu tư xây dựng.</t>
  </si>
  <si>
    <t>Đơn giá bổ sung (nếu có)</t>
  </si>
  <si>
    <t>Phụ lục 03.a</t>
  </si>
  <si>
    <t>V10166</t>
  </si>
  <si>
    <t>nhựa đường</t>
  </si>
  <si>
    <t>Phụ lục 06</t>
  </si>
  <si>
    <t xml:space="preserve">Chi phí dự phòng cho yếu tố khối lượng phát sinh </t>
  </si>
  <si>
    <t>………………………………………………………………………………………………….</t>
  </si>
  <si>
    <t>Cách tính giá Máy</t>
  </si>
  <si>
    <t>Tên vật tư / công tác</t>
  </si>
  <si>
    <t>THUYẾT MINH LẬP DỰ TOÁN</t>
  </si>
  <si>
    <t>Gbcnctkt</t>
  </si>
  <si>
    <t>AL.16201</t>
  </si>
  <si>
    <t>Máy phun nhựa đường 190CV</t>
  </si>
  <si>
    <t>hsTLTTT</t>
  </si>
  <si>
    <t>LTB79$</t>
  </si>
  <si>
    <t>Ô tô</t>
  </si>
  <si>
    <t>Khối lượng phát sinh ngoài hợp đồng</t>
  </si>
  <si>
    <t>Biểu mức thu phí II - phí thẩm duyệt về phòng cháy, chữa cháy đối với dự án, công trình</t>
  </si>
  <si>
    <t>CPKT$</t>
  </si>
  <si>
    <t>Biểu mức tỷ lệ tính phí thẩm định phê duyệt thiết kế về phòng cháy và chữa cháy</t>
  </si>
  <si>
    <t>5. Thanh toán để thu hồi tạm ứng:</t>
  </si>
  <si>
    <t>Mã dự án đầu tư:……………………</t>
  </si>
  <si>
    <t>Năm 202..</t>
  </si>
  <si>
    <t>Tổng khối lượng phát sinh</t>
  </si>
  <si>
    <t>Hệ số P.tiện</t>
  </si>
  <si>
    <t>Tỉnh TP</t>
  </si>
  <si>
    <t>- Số trả đơn vị thụ hưởng (bằng số)…………………….</t>
  </si>
  <si>
    <t>Thành tiền bốc lên</t>
  </si>
  <si>
    <t>5.2.5</t>
  </si>
  <si>
    <t>Màng phản quang</t>
  </si>
  <si>
    <t>- Chuyển tiền bảo hành (bằng số)</t>
  </si>
  <si>
    <t>Chi phí Thẩm định báo cáo đánh giá tác động môi trường (Thông tư 195/2016/TT-BTC)</t>
  </si>
  <si>
    <t>Máy nén khí diezel 600m3/h</t>
  </si>
  <si>
    <t>m3</t>
  </si>
  <si>
    <t>1.1</t>
  </si>
  <si>
    <t>Thủ trưởng đơn vị</t>
  </si>
  <si>
    <t>Chi phí xây dựng sau thuế</t>
  </si>
  <si>
    <t xml:space="preserve"> - Đơn giá vật liệu</t>
  </si>
  <si>
    <t>đá dăm các loại</t>
  </si>
  <si>
    <t>V07969</t>
  </si>
  <si>
    <t>Đơn vị tính: tỷ lệ %</t>
  </si>
  <si>
    <t>Số, ngày,_x000D_
tháng, năm</t>
  </si>
  <si>
    <t>Cự ly &lt;=10km</t>
  </si>
  <si>
    <t>T x 2,5%</t>
  </si>
  <si>
    <t>Phá dỡ kết cấu bê tông không cốt thép bằng búa căn khí nén 3m3/ph</t>
  </si>
  <si>
    <t>VL</t>
  </si>
  <si>
    <t>Chi phí khác</t>
  </si>
  <si>
    <t>TTTKT79^</t>
  </si>
  <si>
    <t>5</t>
  </si>
  <si>
    <t>Bậc hàng</t>
  </si>
  <si>
    <t>Lương tối thiểu chung</t>
  </si>
  <si>
    <t>Bảng số 5-14: Định mức chi phí thiết kế kỹ thuật cho các loại công trình</t>
  </si>
  <si>
    <t>Thép tròn Fi ≤10mm</t>
  </si>
  <si>
    <t>M1621</t>
  </si>
  <si>
    <t>4,28</t>
  </si>
  <si>
    <t>Hệ số</t>
  </si>
  <si>
    <t>Trước thuế</t>
  </si>
  <si>
    <t>Chi phí thẩm tra báo cáo nghiên cứu tiền khả thi (Bảng 2.14 Thông tư 12/2021/TT-BXD)</t>
  </si>
  <si>
    <t>Gttdt_BTC</t>
  </si>
  <si>
    <t>Biên bản nghiệm thu số ….. ngày…..tháng…..năm.….</t>
  </si>
  <si>
    <t>cBH</t>
  </si>
  <si>
    <t>Chi phí bốc dỡ</t>
  </si>
  <si>
    <t>Số tài khoản của chủ đầu tư:</t>
  </si>
  <si>
    <t>AA.13221</t>
  </si>
  <si>
    <t>1.3.4</t>
  </si>
  <si>
    <t>cKL</t>
  </si>
  <si>
    <t>2. Phí thẩm tra dự toán</t>
  </si>
  <si>
    <t>V03692</t>
  </si>
  <si>
    <r>
      <t>Phiên bản mẫu xuất Excel:</t>
    </r>
    <r>
      <rPr>
        <sz val="11"/>
        <rFont val="Times New Roman"/>
        <family val="1"/>
      </rPr>
      <t xml:space="preserve"> </t>
    </r>
    <r>
      <rPr>
        <b/>
        <sz val="11"/>
        <color indexed="10"/>
        <rFont val="Times New Roman"/>
        <family val="1"/>
      </rPr>
      <t>2.0</t>
    </r>
  </si>
  <si>
    <t>Nhóm dự án</t>
  </si>
  <si>
    <t>Chi phí đánh giá hồ sơ dự thầu, hồ sơ đề xuất (Nghị định 63/2014/NĐ-CP)</t>
  </si>
  <si>
    <t>Máy lu bánh thép 6T</t>
  </si>
  <si>
    <t>Rộng</t>
  </si>
  <si>
    <t>THU NHẬP CHỊU THUẾ TÍNH TRƯỚC</t>
  </si>
  <si>
    <t>Theo Thông tư số 19/2011/TT- BTC ngày 14 tháng 02 năm 2011 của Bộ Tài chính</t>
  </si>
  <si>
    <t>Hệ số phụ cấp độc hại</t>
  </si>
  <si>
    <t>4,30</t>
  </si>
  <si>
    <t>AB.11413</t>
  </si>
  <si>
    <t>M1763</t>
  </si>
  <si>
    <t>Cấp công trình:</t>
  </si>
  <si>
    <t>Chi phí xây dựng lán trại, nhà tạm</t>
  </si>
  <si>
    <t>cLD</t>
  </si>
  <si>
    <t>Chênh lệch</t>
  </si>
  <si>
    <t>Hệ số riêng VL</t>
  </si>
  <si>
    <t>hsRVL</t>
  </si>
  <si>
    <t>Theo bảng tổng hợp vật liệu</t>
  </si>
  <si>
    <t xml:space="preserve"> - Lái xe bậc 1,0/4 - Nhóm 4</t>
  </si>
  <si>
    <t>Chi phí hạng Mục chung</t>
  </si>
  <si>
    <t>2.3.5</t>
  </si>
  <si>
    <t>Hệ số phụ cấp khu vực máy</t>
  </si>
  <si>
    <t xml:space="preserve"> - Chênh lệch vật liệu</t>
  </si>
  <si>
    <t>Tên nhiên liệu / máy</t>
  </si>
  <si>
    <t>BẢNG KÊ XÁC NHẬN KHỐI LƯỢNG  CÔNG VIỆC BỒI THƯỜNG, HỖ TRỢ VÀ TÁI ĐỊNH CƯ ĐÃ THỰC HIỆN</t>
  </si>
  <si>
    <t>PCCC$</t>
  </si>
  <si>
    <t>Đá 2x4</t>
  </si>
  <si>
    <t>Loại 1</t>
  </si>
  <si>
    <t>Hệ số riêng máy</t>
  </si>
  <si>
    <t>C3234</t>
  </si>
  <si>
    <t>NGƯỜI LẬP</t>
  </si>
  <si>
    <t>3.3.1</t>
  </si>
  <si>
    <t>hsKVNC</t>
  </si>
  <si>
    <t>NC</t>
  </si>
  <si>
    <t>- Nghị định số 141/2017/NĐ-CP ngày 07/12/2017 của Chính phủ quy định mức lương tối thiểu vùng đối với người lao động làm việc theo hợp đồng lao động</t>
  </si>
  <si>
    <t>- Nghị định số 72/2018/NĐ-CP ngày 01/07/2018 của Chính phủ quy định mức lương cơ sở đối với cán bộ, công chức, viên chức và lực lượng vũ trang</t>
  </si>
  <si>
    <t>BẢNG TÍNH BÙ GIÁ CA MÁY</t>
  </si>
  <si>
    <t>Phụ lục số 1: Phí thẩm định dự toán xây dựng</t>
  </si>
  <si>
    <t>cHSBH</t>
  </si>
  <si>
    <t>M1235</t>
  </si>
  <si>
    <t>Ggstcxd x 20%</t>
  </si>
  <si>
    <t>Lương cơ bản</t>
  </si>
  <si>
    <t>- Thông tư số 13/2021/TT-BXD ngày 31/8/2021 của Bộ Xây dựng hướng dẫn phương pháp xác định các chỉ tiêu kinh tế kỹ thuật và đo bóc khối lượng công trình.</t>
  </si>
  <si>
    <t>Chi phí lập hồ sơ mời thầu, hồ sơ yêu cầu được tính bằng 0,1% giá gói thầu nhưng tối thiểu là 1.000.000 đồng và tối đa là 50.000.000 đồng;</t>
  </si>
  <si>
    <t>Đơn vị thực thiện</t>
  </si>
  <si>
    <t>Gxd x 2,5%</t>
  </si>
  <si>
    <t>Chi phí đánh giá hồ sơ quan tâm, hồ sơ dự sơ tuyển được tính bằng 0,05% giá gói thầu nhưng tối thiểu là 1.000.000 đồng và tối đa là 30.000.000 đồng</t>
  </si>
  <si>
    <t>GT</t>
  </si>
  <si>
    <t>TKKT79$</t>
  </si>
  <si>
    <t>BẢNG TỔNG HỢP CHI PHÍ XÂY DỰNG CÔNG TRÌNH</t>
  </si>
  <si>
    <t>1.2.5</t>
  </si>
  <si>
    <t>Gxd trước thuế x tỷ lệ</t>
  </si>
  <si>
    <t>Hue_2022XD_DG3550: Hue_2022TNVL_DG3550: Hue_2022SC_DG3550: Hue_2022LD_DG3550: Hue_2022KS_DG3550</t>
  </si>
  <si>
    <t>cHSLD</t>
  </si>
  <si>
    <t>2. Định mức:</t>
  </si>
  <si>
    <t>Chi phí dự phòng cho yếu tố trượt giá</t>
  </si>
  <si>
    <t>SE.31330</t>
  </si>
  <si>
    <t>Nhân công bậc 6,0/7 - Nhóm 4</t>
  </si>
  <si>
    <t>4.3.2</t>
  </si>
  <si>
    <t>Đá cấp phối dmax ≤ 4</t>
  </si>
  <si>
    <t>M0070</t>
  </si>
  <si>
    <t>Gdpxd2</t>
  </si>
  <si>
    <t>AF.15434</t>
  </si>
  <si>
    <t>Cấp đặc biệt</t>
  </si>
  <si>
    <t>Tổng số vốn theo kế hoạch còn lại chưa thanh toán</t>
  </si>
  <si>
    <t>- Nghị định số 10/2021/NĐ-CP ngày 09/02/2021 của Chính phủ về quản lý chi phí đầu tư xây dựng.</t>
  </si>
  <si>
    <t>2.2.1</t>
  </si>
  <si>
    <t>xi măng bao</t>
  </si>
  <si>
    <t>Chi phí bồi thường giải phóng mặt bằng, tái định cư (Ggpmb):</t>
  </si>
  <si>
    <t>Dự án: ................</t>
  </si>
  <si>
    <t>M1453</t>
  </si>
  <si>
    <t>Bảng số 15: Định mức chi phí thẩm tra báo cáo nghiên cứu tiền khả thi</t>
  </si>
  <si>
    <t>Biểu mức thu phí thẩm định dự án đầu tư xây dựng</t>
  </si>
  <si>
    <t>hsRNC</t>
  </si>
  <si>
    <t>Hệ số không ổn định SX</t>
  </si>
  <si>
    <t>M1590</t>
  </si>
  <si>
    <t>3.1</t>
  </si>
  <si>
    <t>Gtttkkt</t>
  </si>
  <si>
    <t>1. Giá trị hợp đồng:</t>
  </si>
  <si>
    <t>Không ổn định SX</t>
  </si>
  <si>
    <t>Chi phí lập hồ sơ mời quan tâm, đánh giá hồ sơ quan tâm</t>
  </si>
  <si>
    <t>Chứng chỉ KS định giá XD hạng …, số …</t>
  </si>
  <si>
    <t>AF.11231</t>
  </si>
  <si>
    <t>Vốn NN</t>
  </si>
  <si>
    <t>bụi</t>
  </si>
  <si>
    <t>Chi phí xây dựng (Gxd):</t>
  </si>
  <si>
    <t>Quy định về quyết toán dự án hoàn thành thuộc nguồn vốn Nhà nước</t>
  </si>
  <si>
    <t>cTVL</t>
  </si>
  <si>
    <t>Thiết kế 1 bước</t>
  </si>
  <si>
    <t>AD.32531</t>
  </si>
  <si>
    <t>- Đơn giá xây dựng công trình theo quyết định số .../....../QĐ-UBND ngày .../....../ của UBND tỉnh ....</t>
  </si>
  <si>
    <t>3.6</t>
  </si>
  <si>
    <t>V07294</t>
  </si>
  <si>
    <t>TDDA209^</t>
  </si>
  <si>
    <t>3.2.2</t>
  </si>
  <si>
    <t xml:space="preserve"> - Máy khác</t>
  </si>
  <si>
    <t>Tên dự án, công trình:………………………………………………………..</t>
  </si>
  <si>
    <t>CapCongTrinh</t>
  </si>
  <si>
    <t>Gtmdt1</t>
  </si>
  <si>
    <t>Hệ số lương phụ</t>
  </si>
  <si>
    <t>Gbaohiem</t>
  </si>
  <si>
    <t>3.1.3.40</t>
  </si>
  <si>
    <t>14</t>
  </si>
  <si>
    <t>Ghdtvgqkn</t>
  </si>
  <si>
    <t>M1240</t>
  </si>
  <si>
    <t>Chi phí lập hồ sơ mời quan tâm, hồ sơ mời sơ tuyển được tính bằng 0,05% giá gói thầu nhưng tối thiểu là 1.000.000 đồng và tối đa là 30.000.000 đồng</t>
  </si>
  <si>
    <t>Cách tính</t>
  </si>
  <si>
    <t>Định mức chi phí thẩm tra, phê duyệt quyết toán</t>
  </si>
  <si>
    <t>Chi phí thẩm tra báo cáo nghiên cứu khả thi (Bảng 2.15 Thông tư 12/2021/TT-BXD)</t>
  </si>
  <si>
    <t>Chi phí xây dựng (chưa có thuế GTGT) của giá gói thầu thi công xây dựng được duyệt (tỷ đồng)</t>
  </si>
  <si>
    <t>-------------------------</t>
  </si>
  <si>
    <t>Định mức chi phí quản lý dự án và tư vấn đầu tư xây dựng</t>
  </si>
  <si>
    <t>Thực hiện</t>
  </si>
  <si>
    <t>Chi phí thiết bị (chưa có thuế GTGT) của giá gói thầu mua sắm vật tư, thiết bị lắp đặt vào công trình được duyệt (tỷ đồng)</t>
  </si>
  <si>
    <t>Nhân công bậc 5,0/7 - Nhóm 4</t>
  </si>
  <si>
    <t>Lái xe bậc 3/4 - Nhóm 4</t>
  </si>
  <si>
    <t>M0415</t>
  </si>
  <si>
    <t>AF.86211</t>
  </si>
  <si>
    <t>A1</t>
  </si>
  <si>
    <t>2. Phí thẩm định dự toán xây dựng</t>
  </si>
  <si>
    <t>(Gxd+Gtb) trước thuế x tỷ lệ</t>
  </si>
  <si>
    <t>Hệ số phụ cấp khu vực</t>
  </si>
  <si>
    <t>G x 8%</t>
  </si>
  <si>
    <t>Gxd</t>
  </si>
  <si>
    <t>Phụ lục bổ sung hợp đồng số … ngày … tháng … năm</t>
  </si>
  <si>
    <t>4.2.3</t>
  </si>
  <si>
    <t>Ggsldtb</t>
  </si>
  <si>
    <t>HT</t>
  </si>
  <si>
    <t>%</t>
  </si>
  <si>
    <t>State</t>
  </si>
  <si>
    <t>Đơn vị tính: đồng</t>
  </si>
  <si>
    <t>LHSTV79^</t>
  </si>
  <si>
    <t>Bốc xuống</t>
  </si>
  <si>
    <t>Ghi chú</t>
  </si>
  <si>
    <t>Lương tối thiểu vùng</t>
  </si>
  <si>
    <t>MSCV</t>
  </si>
  <si>
    <t>TTKT79$</t>
  </si>
  <si>
    <t>Số:…</t>
  </si>
  <si>
    <t>Tổng cộng</t>
  </si>
  <si>
    <t>Bù NC</t>
  </si>
  <si>
    <t xml:space="preserve"> - Nhân công bậc 3,0/7 - Nhóm 4</t>
  </si>
  <si>
    <t>M0694</t>
  </si>
  <si>
    <t>Tổng cự ly</t>
  </si>
  <si>
    <t>- Đơn giá dịch vụ công ích đô thị theo quyết định số .../....../ QĐ-UBND ngày .../....../ của UBND tỉnh ....</t>
  </si>
  <si>
    <t>Chi phí dự phòng cho yếu tố khối lượng công việc phát sinh</t>
  </si>
  <si>
    <t>AF.82411</t>
  </si>
  <si>
    <t>1. Phí thẩm định thiết kế kỹ thuật</t>
  </si>
  <si>
    <t>TỔNG CỘNG</t>
  </si>
  <si>
    <t>Khoán trực tiếp</t>
  </si>
  <si>
    <t>Cấp II</t>
  </si>
  <si>
    <t>CK</t>
  </si>
  <si>
    <t>Đơn vị</t>
  </si>
  <si>
    <t>5.2.4</t>
  </si>
  <si>
    <t>Chi phí dự phòng</t>
  </si>
  <si>
    <t>Vốn trong nước</t>
  </si>
  <si>
    <t>Gxd x 1%</t>
  </si>
  <si>
    <t>V11330</t>
  </si>
  <si>
    <t>Gk</t>
  </si>
  <si>
    <t>[1]</t>
  </si>
  <si>
    <t>Chủ đầu tư/Ban QLDA…………………mã số ĐVSDNS:….……………………………………………………………</t>
  </si>
  <si>
    <t>CƠ QUAN LẬP</t>
  </si>
  <si>
    <t>Số tài khoản đơn vị thụ hưởng…………………tại ……………….</t>
  </si>
  <si>
    <t>Khí gas</t>
  </si>
  <si>
    <t>Tên công tác / vật tư</t>
  </si>
  <si>
    <t>Đơn giá HT</t>
  </si>
  <si>
    <t>Đại diện nhà thầu</t>
  </si>
  <si>
    <t>4,22</t>
  </si>
  <si>
    <t>Tổng số tiền đề nghị tạm ứng, thanh toán bằng số:……………………………………………..</t>
  </si>
  <si>
    <t>Gdghsqt</t>
  </si>
  <si>
    <t>Nhân công bậc 3,0/7 - Nhóm 1</t>
  </si>
  <si>
    <t>4</t>
  </si>
  <si>
    <t>N2307</t>
  </si>
  <si>
    <t>Phụ lục số 2: Phí thẩm tra thiết kế xây dựng công trình sử dụng vốn ngân sách nhà nước khi cơ quan quản lý nhà nước thuê tổ chức tư vấn, cá nhân cùng thẩm tra</t>
  </si>
  <si>
    <r>
      <t xml:space="preserve">Tổng mức đầu tư (tỷ đồng)
</t>
    </r>
    <r>
      <rPr>
        <b/>
        <i/>
        <sz val="12"/>
        <color indexed="8"/>
        <rFont val="Times New Roman"/>
        <family val="1"/>
      </rPr>
      <t>không bao gồm chi phí bồi thường giải phóng mặt bằng, hỗ trợ và tái định cư đã được phê duyệt trong dự án</t>
    </r>
  </si>
  <si>
    <t>auto</t>
  </si>
  <si>
    <t>Trong đó:   - Thu hồi tạm ứng (bằng số):………………………….</t>
  </si>
  <si>
    <t>CPKT09^</t>
  </si>
  <si>
    <t>ZM999</t>
  </si>
  <si>
    <t>Số liệu của chủ đầu tư:</t>
  </si>
  <si>
    <t>4,27</t>
  </si>
  <si>
    <t>(Theo thông báo giá ... của ... )</t>
  </si>
  <si>
    <t>Máy khác</t>
  </si>
  <si>
    <t>H.số
sử
dụng
xe
tải
nhỏ</t>
  </si>
  <si>
    <t>CLM</t>
  </si>
  <si>
    <t>BẢNG ĐỐI CHIẾU SỐ LIỆU THANH TOÁN VỐN ĐẦU TƯ NĂM...</t>
  </si>
  <si>
    <t>Gtdhsmt</t>
  </si>
  <si>
    <t>Gtdpccc</t>
  </si>
  <si>
    <t>Tên công việc</t>
  </si>
  <si>
    <t>B1</t>
  </si>
  <si>
    <t>Phụ lục VIII  - Thông tư 12/2021/TT-BXD ngày 31/08/2021 của Bộ xây dựng</t>
  </si>
  <si>
    <t>Máy thi công</t>
  </si>
  <si>
    <t>Thời gian khởi công - hoàn thành:</t>
  </si>
  <si>
    <t>Khối
lượng đơn vị (Tấn)</t>
  </si>
  <si>
    <t>Ggstcxd</t>
  </si>
  <si>
    <t>Hệ số tỷ lệ thuế tính trước</t>
  </si>
  <si>
    <t>Máy khoan bê tông 1,5kW</t>
  </si>
  <si>
    <t>TTQT$</t>
  </si>
  <si>
    <t>AL.22112</t>
  </si>
  <si>
    <t>Gbcktkt</t>
  </si>
  <si>
    <t>m</t>
  </si>
  <si>
    <t>Chi phí</t>
  </si>
  <si>
    <t>N4307</t>
  </si>
  <si>
    <t>Hướng dẫn chế độ thu, nộp và quản lý sử dụng phí thẩm định dự án đầu tư xây dựng</t>
  </si>
  <si>
    <t>Máy vận thăng lồng 3T</t>
  </si>
  <si>
    <t>Tổng cước trước thuế</t>
  </si>
  <si>
    <t>Cước VC</t>
  </si>
  <si>
    <t>Gttbcktkt_tk</t>
  </si>
  <si>
    <t>C3233</t>
  </si>
  <si>
    <t>Máy đầm dùi 1,5kW</t>
  </si>
  <si>
    <t>Căn cứ bảng xác định giá trị KLHT đề nghị thanh toán số…….ngày……..tháng……..năm……</t>
  </si>
  <si>
    <t>Định mức ca máy</t>
  </si>
  <si>
    <t>[2]</t>
  </si>
  <si>
    <t>Cước ô tô</t>
  </si>
  <si>
    <t>Tổng chi phí xây dựng</t>
  </si>
  <si>
    <t>Cát nền</t>
  </si>
  <si>
    <t>Nhân công bậc 3,5/7 - Nhóm 2</t>
  </si>
  <si>
    <t>4,32</t>
  </si>
  <si>
    <t>2.3.2</t>
  </si>
  <si>
    <t>Mẫu số 08b
Mã hiệu: ………..
Số: ………</t>
  </si>
  <si>
    <t>A</t>
  </si>
  <si>
    <t>BẢNG TÍNH CƯỚC VẬN CHUYỂN VẬT LIỆU BẰNG ĐƯỜNG SÔNG</t>
  </si>
  <si>
    <t>&lt; 15</t>
  </si>
  <si>
    <t>Hue_2022SC_DG3550  Thông tư 12/2021/TT-BXD ngày 31/8/2021 của Bộ Xây dựng</t>
  </si>
  <si>
    <t>- Vốn trong nước: là số vốn còn lại của KH năm trước được kéo dài thanh toán trong năm theo quy định cụ thể từng trường hợp (tối đa đến 31/1 năm sau)</t>
  </si>
  <si>
    <t>Bảng số 1: Định mức chi phí quản lý dự án</t>
  </si>
  <si>
    <t>V10441</t>
  </si>
  <si>
    <t>cSTT</t>
  </si>
  <si>
    <t>LBC79^</t>
  </si>
  <si>
    <t xml:space="preserve"> - Nhân công bậc 6,0/7 - Nhóm 4</t>
  </si>
  <si>
    <t>Chi phí xây dựng nhà tạm tại hiện trường để ở và điều hành thi công</t>
  </si>
  <si>
    <t>Lương ngày công</t>
  </si>
  <si>
    <t>Nhựa nhũ tương gốc axít 60%</t>
  </si>
  <si>
    <t>NÂNG CẤP, SỬA CHỮA ĐƯỜNG TRẦN QUANG DIỆM, HƯƠNG XUÂN</t>
  </si>
  <si>
    <t>Ô tô tưới nước 5m3</t>
  </si>
  <si>
    <t>Glcldtb</t>
  </si>
  <si>
    <t>GXDgtxd</t>
  </si>
  <si>
    <t>Loại thiết kế:</t>
  </si>
  <si>
    <t>Chi phí đánh giá hồ sơ quan tâm, hồ sơ dự sơ tuyển (Nghị định 63/2014/NĐ-CP)</t>
  </si>
  <si>
    <t>Giấy dầu</t>
  </si>
  <si>
    <t>Loại 3</t>
  </si>
  <si>
    <t>C1</t>
  </si>
  <si>
    <t>CÔNG TRÌNH: Tên công trình</t>
  </si>
  <si>
    <t>Thu hút</t>
  </si>
  <si>
    <t>3.3.3</t>
  </si>
  <si>
    <t>Nội dung</t>
  </si>
  <si>
    <t xml:space="preserve"> - Bù giá ca máy</t>
  </si>
  <si>
    <t>Chi phí lập báo cáo kinh tế - kỹ thuật (Bảng 2.3 Thông tư 12/2021/TT-BXD)</t>
  </si>
  <si>
    <t>Đ</t>
  </si>
  <si>
    <t>GSTC79^</t>
  </si>
  <si>
    <t>hsDP</t>
  </si>
  <si>
    <t>CỦA TOÀN BỘ CÔNG TRÌNH</t>
  </si>
  <si>
    <t>Gtb x trước thuế x tỷ lệ</t>
  </si>
  <si>
    <t>(Gtv21 + Gtv31) x trước thuế x tỷ lệ</t>
  </si>
  <si>
    <t>Gkiemtoan</t>
  </si>
  <si>
    <t>Khoản mục chi phí</t>
  </si>
  <si>
    <t>Ván khuôn móng dài</t>
  </si>
  <si>
    <t>Chi phí lập hồ sơ yêu cầu, đánh giá hồ sơ đề xuất</t>
  </si>
  <si>
    <t>Thanh toán cho các cơ quan, tổ chức:</t>
  </si>
  <si>
    <t>Định mức</t>
  </si>
  <si>
    <t>TỔNG CHI PHÍ GIÁN TIẾP</t>
  </si>
  <si>
    <t>Chiết tính theo giá</t>
  </si>
  <si>
    <t>hsm</t>
  </si>
  <si>
    <t>Gdp</t>
  </si>
  <si>
    <t>M1346</t>
  </si>
  <si>
    <t>Quy định mức thu, chế độ thu, nộp, quản lý và sử dụng phí thẩm duyệt thiết kế về phòng cháy chữa cháy</t>
  </si>
  <si>
    <t>(Tổng mức đầu tư - Dự phòng) x tỷ lệ</t>
  </si>
  <si>
    <t>+ Số vốn kéo dài KH năm trước chuyển sang:</t>
  </si>
  <si>
    <t>Chi phí thẩm định kết quả lựa chọn nhà thầu (Nghị định 63/2014/NĐ-CP)</t>
  </si>
  <si>
    <t>TDDA$</t>
  </si>
  <si>
    <t>4.3.4</t>
  </si>
  <si>
    <t>(Ký, ghi rõ họ tên chức vụ và đóng dấu)</t>
  </si>
  <si>
    <t>V018781</t>
  </si>
  <si>
    <t>(Theo Bảng tính giá nhân công )</t>
  </si>
  <si>
    <t>[3]</t>
  </si>
  <si>
    <t>BẢNG TỔNG HỢP NHÂN CÔNG</t>
  </si>
  <si>
    <t>Địa hình</t>
  </si>
  <si>
    <t>AA.22112</t>
  </si>
  <si>
    <t>Chi phí xây dựng và chi phí thiết bị (chưa có thuế GTGT) (tỷ đồng)</t>
  </si>
  <si>
    <t>Sắt thép các loại (tấn)</t>
  </si>
  <si>
    <t>TỔNG HỢP TỔNG MỨC ĐẦU TƯ XÂY DỰNG</t>
  </si>
  <si>
    <t>BẢNG TỔNG HỢP GIÁ DỰ THẦU</t>
  </si>
  <si>
    <t>kWh</t>
  </si>
  <si>
    <t>Ngày . . .tháng. . . năm 2016</t>
  </si>
  <si>
    <t>5.3.5</t>
  </si>
  <si>
    <t>N4507</t>
  </si>
  <si>
    <t>GSKS79^</t>
  </si>
  <si>
    <t>2.1</t>
  </si>
  <si>
    <t>3.2.4</t>
  </si>
  <si>
    <t>Ván khuôn thép mặt đường bê tông</t>
  </si>
  <si>
    <t>Lưỡi cắt D350mm</t>
  </si>
  <si>
    <t>hsKLTK</t>
  </si>
  <si>
    <t>BẢNG PHÂN TÍCH ĐƠN GIÁ</t>
  </si>
  <si>
    <t>Cộng hoà xã hội chủ nghĩa Việt Nam</t>
  </si>
  <si>
    <t>=======@@@=======</t>
  </si>
  <si>
    <t>Hạng mục chi phí</t>
  </si>
  <si>
    <t>Ký
hiệu</t>
  </si>
  <si>
    <t>Thành tiền
sau thuế</t>
  </si>
  <si>
    <t>1.</t>
  </si>
  <si>
    <t>Chi phí xây dựng:</t>
  </si>
  <si>
    <t>G1</t>
  </si>
  <si>
    <t xml:space="preserve"> A1+...+A2</t>
  </si>
  <si>
    <t xml:space="preserve">   A1</t>
  </si>
  <si>
    <t>A2</t>
  </si>
  <si>
    <t xml:space="preserve">   A2</t>
  </si>
  <si>
    <t>2.</t>
  </si>
  <si>
    <t>Chi phí quản lý dự án:</t>
  </si>
  <si>
    <t>G2</t>
  </si>
  <si>
    <t>3.</t>
  </si>
  <si>
    <t>Chi phí tư vấn đầu tư xây dựng:</t>
  </si>
  <si>
    <t>G3</t>
  </si>
  <si>
    <t xml:space="preserve">  - Khảo sát xây dựng</t>
  </si>
  <si>
    <t>TV1</t>
  </si>
  <si>
    <t xml:space="preserve">  - Lập nhiệm vụ khảo sát</t>
  </si>
  <si>
    <t>TV2</t>
  </si>
  <si>
    <t xml:space="preserve"> TV1*3.000%</t>
  </si>
  <si>
    <t xml:space="preserve">  - Lập báo cáo kinh tế - kỹ thuật</t>
  </si>
  <si>
    <t>TV3</t>
  </si>
  <si>
    <t xml:space="preserve"> G1*5.400%</t>
  </si>
  <si>
    <t xml:space="preserve">  - Thẩm tra thiết kế kỹ thuật</t>
  </si>
  <si>
    <t>TV4</t>
  </si>
  <si>
    <t xml:space="preserve">  - Thẩm tra dự toán xây dựng</t>
  </si>
  <si>
    <t>TV5</t>
  </si>
  <si>
    <t xml:space="preserve">  - Giám sát thi công xây dựng</t>
  </si>
  <si>
    <t xml:space="preserve"> G1*3.203%</t>
  </si>
  <si>
    <t>4.</t>
  </si>
  <si>
    <t>Chi phí khác:</t>
  </si>
  <si>
    <t>G4</t>
  </si>
  <si>
    <t>K1</t>
  </si>
  <si>
    <t>K2</t>
  </si>
  <si>
    <t xml:space="preserve">  - Thẩm định Báo cáo kinh tế - kỹ thuật</t>
  </si>
  <si>
    <t>K3</t>
  </si>
  <si>
    <t xml:space="preserve">  - Chi phí bảo hiểm công trình</t>
  </si>
  <si>
    <t xml:space="preserve">  - Chi phí thẩm tra, phê duyệt quyết toán</t>
  </si>
  <si>
    <t>5.</t>
  </si>
  <si>
    <t>Chi phí dự phòng:</t>
  </si>
  <si>
    <t>G5</t>
  </si>
  <si>
    <t>G- (G1+...+G4)</t>
  </si>
  <si>
    <t>6.</t>
  </si>
  <si>
    <t>Tổng cộng(1+2+3+4+5)</t>
  </si>
  <si>
    <t xml:space="preserve"> G1+...+G5</t>
  </si>
  <si>
    <t>*\2- Cống vuông V400mm :</t>
  </si>
  <si>
    <t>*\1- Nền, mặt đường :</t>
  </si>
  <si>
    <t>BẢNG TỔNG HỢP CHI PHÍ XÂY LẮP</t>
  </si>
  <si>
    <t xml:space="preserve"> 1</t>
  </si>
  <si>
    <t>+ Chi phí trực tiếp</t>
  </si>
  <si>
    <t xml:space="preserve"> VL+NC+M</t>
  </si>
  <si>
    <t xml:space="preserve">   Chi phí vật liệu</t>
  </si>
  <si>
    <t xml:space="preserve">   VL</t>
  </si>
  <si>
    <t xml:space="preserve">   Chi phí nhân công</t>
  </si>
  <si>
    <t xml:space="preserve">   NC</t>
  </si>
  <si>
    <t xml:space="preserve">   Chi phí máy thi công</t>
  </si>
  <si>
    <t xml:space="preserve">   M</t>
  </si>
  <si>
    <t>+ Chi phí gián tiếp</t>
  </si>
  <si>
    <t xml:space="preserve"> C+LT+TT</t>
  </si>
  <si>
    <t xml:space="preserve">   Chi phí chung</t>
  </si>
  <si>
    <t xml:space="preserve"> T*6.20%</t>
  </si>
  <si>
    <t xml:space="preserve">   Chi phí nhà tạm, nhà điều hành thi công</t>
  </si>
  <si>
    <t xml:space="preserve"> T*2.20%</t>
  </si>
  <si>
    <t xml:space="preserve">   Chi phí công việc không xác định KLTK</t>
  </si>
  <si>
    <t xml:space="preserve"> T*2.00%</t>
  </si>
  <si>
    <t>+ Thu nhập chịu thuế tính trước</t>
  </si>
  <si>
    <t xml:space="preserve"> (T+GT)*6.00%</t>
  </si>
  <si>
    <t>*</t>
  </si>
  <si>
    <t xml:space="preserve"> - Chi phí xây dựng trước thuế</t>
  </si>
  <si>
    <t xml:space="preserve"> T+GT+TL</t>
  </si>
  <si>
    <t>+ Thuế giá trị gia tăng</t>
  </si>
  <si>
    <t>VAT</t>
  </si>
  <si>
    <t>.</t>
  </si>
  <si>
    <t>+ Chi phí xây dựng sau thuế</t>
  </si>
  <si>
    <t xml:space="preserve"> G+VAT</t>
  </si>
  <si>
    <t xml:space="preserve"> 2</t>
  </si>
  <si>
    <t>s</t>
  </si>
  <si>
    <t>Giá trị đề nghị thẩm tra</t>
  </si>
  <si>
    <t>Giá trị sau thẩm tra</t>
  </si>
  <si>
    <t>Tăng (+), giảm (-)</t>
  </si>
  <si>
    <t>Chi phí tư vấn ĐTXD</t>
  </si>
  <si>
    <t>Tổng cộng:</t>
  </si>
  <si>
    <t>ĐỊA CHỈ: PHƯỜNG HƯƠNG XUÂN, THỊ XÃ HƯƠNG TRÀ, TỈNH THỪA THIÊN HUẾ</t>
  </si>
  <si>
    <t xml:space="preserve"> G*8%</t>
  </si>
  <si>
    <t>Bột đá</t>
  </si>
  <si>
    <t>Lót bạc nilong sọc xanh đỏ</t>
  </si>
  <si>
    <t>Bạc sọc xanh trắng</t>
  </si>
  <si>
    <t>Bê tông thương phẩm M300</t>
  </si>
  <si>
    <t>Đắp bột đá công trình dày 5cm</t>
  </si>
  <si>
    <t>AK.91141vd</t>
  </si>
  <si>
    <t>Sơn kẻ đường bằng sơn dẻo nhiệt phản quang, dày sơn 6mm</t>
  </si>
  <si>
    <t>Bê tông thương phẩm M250</t>
  </si>
  <si>
    <t>Đắpbột đáy dày 5cm</t>
  </si>
  <si>
    <t>Thi công lớp đá đệm móng, đá dăm 2x4</t>
  </si>
  <si>
    <t xml:space="preserve">Đá dăm 2x4 </t>
  </si>
  <si>
    <t>Sơn dẻo nhiệt màu vàng</t>
  </si>
  <si>
    <t>Lắp dựng cốt thép cống, ĐK ≤10mm</t>
  </si>
  <si>
    <t>Lắp dựng cốt thép cống, ĐK ≤18mm</t>
  </si>
  <si>
    <t>Ô tô tự đổ 7T</t>
  </si>
  <si>
    <t>Ô tô thùng 7T</t>
  </si>
  <si>
    <t>Tối thiểu</t>
  </si>
  <si>
    <t>AD.23261vd</t>
  </si>
  <si>
    <t>Cắt mặt đường bê tông hiện có</t>
  </si>
  <si>
    <t>Đào kết cấu mặt đường hiện có</t>
  </si>
  <si>
    <t>Đào đất hữu cơ bằng máy đào 1,25m3 - Cấp đất II</t>
  </si>
  <si>
    <t>Đào đánh cấp bằng máy đào 1,25m3 - Cấp đất II</t>
  </si>
  <si>
    <t>AB.64123</t>
  </si>
  <si>
    <t>Đắp đất nền đường bằng máy lu bánh thép 16T, độ chặt yêu cầu K=95</t>
  </si>
  <si>
    <t>TT.LUNEN</t>
  </si>
  <si>
    <t>Lu nền đường cũ đạt K=95 sâu 30cm</t>
  </si>
  <si>
    <t>1m2</t>
  </si>
  <si>
    <t xml:space="preserve">Đất cấp phối để đắp K=95 </t>
  </si>
  <si>
    <t>Máy lu bánh thép 16T</t>
  </si>
  <si>
    <t>M2592</t>
  </si>
  <si>
    <t xml:space="preserve"> K1+...+K3</t>
  </si>
  <si>
    <t>Rải thảm mặt đường Carboncor Asphalt, bằng phương pháp thủ cơ giới, chiều dày mặt đường đã lèn ép 1cm</t>
  </si>
  <si>
    <t>Bê tông thương phẩm, bê tông mặt đường dày mặt đường ≤25cm, bê tông M300, đá 2x4</t>
  </si>
  <si>
    <t>ĐỊA ĐIỂM : PHƯỜNG HƯƠNG XUÂN - THỊ XÃ HƯƠNG TRÀ - TỈNH THỪA THIÊN HUẾ</t>
  </si>
  <si>
    <t>Bê tông móng tường cánh SX bằng máy trộn, đổ bằng thủ công, rộng ≤250cm, M150, đá 2x4, PCB40</t>
  </si>
  <si>
    <t>Bê tông tường cánh SX bằng máy trộn, đổ bằng thủ công - Chiều dày ≤45cm, chiều cao ≤6m, M150, đá 2x4, PCB40</t>
  </si>
  <si>
    <t>Ván khuôn thép, khung xương, cột chống giáo ống, tường cánh chiều cao ≤28m</t>
  </si>
  <si>
    <t xml:space="preserve">Đào kết cấu mặt đường hiện có </t>
  </si>
  <si>
    <t>Bê tông thương phẩm, bê tông hoàn trả mặt đường dày mặt đường ≤25cm, bê tông M250, đá 2x4, PCB40</t>
  </si>
  <si>
    <t>CÔNG TRÌNH : NÂNG CẤP, SỬA CHỮA ĐƯỜNG TRẦN QUANG DIỆM - HƯƠNG XUÂN</t>
  </si>
  <si>
    <t>Phá dỡ kết cấu bê tông không cốt thép bằng máy khoan bê tông 1,5kw cột biển báo</t>
  </si>
  <si>
    <t xml:space="preserve"> G1*3.024%/1.08</t>
  </si>
  <si>
    <t xml:space="preserve"> Đã thẩm tra</t>
  </si>
  <si>
    <t xml:space="preserve"> G1*0.25%</t>
  </si>
  <si>
    <t xml:space="preserve"> (G-G5)*0.57%</t>
  </si>
  <si>
    <t>TV6</t>
  </si>
  <si>
    <t xml:space="preserve"> TV1+...+TV6</t>
  </si>
  <si>
    <t xml:space="preserve">KẾ HOẠCH LỰA CHỌN NHÀ THẦU </t>
  </si>
  <si>
    <t>(Kèm theo Quyết định số        /QĐ-UBND ngày         /      /2023 của UBND thị xã Hương Trà)</t>
  </si>
  <si>
    <t>Stt</t>
  </si>
  <si>
    <t>Tên gói thầu</t>
  </si>
  <si>
    <t>Giá gói thầu
(1000 đồng)</t>
  </si>
  <si>
    <t>Nguồn vốn</t>
  </si>
  <si>
    <t>Hình thức lựa chọn nhà thầu</t>
  </si>
  <si>
    <t>Phương thức lựa chọn nhà thầu</t>
  </si>
  <si>
    <t>Thời gian bắt đầu tổ chức lựa chọn nhà thầu</t>
  </si>
  <si>
    <t>Loại hợp đồng</t>
  </si>
  <si>
    <t>Thời gian thực hiện hợp đồng</t>
  </si>
  <si>
    <t>Phần công việc đã thực hiện</t>
  </si>
  <si>
    <t>Gói thầu số 01: Khảo sát, lập báo cáo kinh tế kỹ thuật</t>
  </si>
  <si>
    <t>Đã thực hiện</t>
  </si>
  <si>
    <t>Gói thầu số 02: Thẩm tra thiết kế BVTC và dự toán</t>
  </si>
  <si>
    <t>Phần công việc thuộc kế hoạch lựa chọn nhà thầu</t>
  </si>
  <si>
    <t xml:space="preserve">Gói thầu số 03: Toàn bộ phần xây lắp </t>
  </si>
  <si>
    <t>Chỉ định thầu</t>
  </si>
  <si>
    <t>Trọn gói</t>
  </si>
  <si>
    <t xml:space="preserve">Gói thầu số 04: Giám sát thi công </t>
  </si>
  <si>
    <t>Gói thầu số 05: Bảo hiểm công trình</t>
  </si>
  <si>
    <t>Phần công việc không áp dụng được một trong các hình thức lựa chọn nhà thầu</t>
  </si>
  <si>
    <t>Chủ đầu tư và các cơ quan liên quan thực hiện</t>
  </si>
  <si>
    <t>Dự phòng</t>
  </si>
  <si>
    <t>Bổ sung có mục tiêu của tỉnh 1.100 triệu đồng, phần còn lại ngân sách phường Hương Xuân</t>
  </si>
  <si>
    <t>Quý IV/2023</t>
  </si>
  <si>
    <t>60 ngày</t>
  </si>
  <si>
    <t>Quản lý dự án; Thẩm định BCKTKT; Thẩm tra, phê duyệt quyết toán; Lập nhiệm vụ khảo sát</t>
  </si>
  <si>
    <t>BẢNG TỔNG MỨC ĐẦU TƯ</t>
  </si>
  <si>
    <t>ĐVT: đồng.</t>
  </si>
  <si>
    <t>(Kèm theo Quyết định số 2205/QĐ-UBND ngày  02 / 11/2023 của UBND thị xã Hương Trà)</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</si>
</sst>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00_-;\-* #,##0.00_-;_-* &quot;-&quot;??_-;_-@_-"/>
    <numFmt numFmtId="165" formatCode="###,###,###,##0"/>
    <numFmt numFmtId="166" formatCode="###,###,###.000"/>
    <numFmt numFmtId="167" formatCode="#,###,##0.0000"/>
    <numFmt numFmtId="168" formatCode="#,###,###,##0.0"/>
    <numFmt numFmtId="169" formatCode="###,###,##0"/>
    <numFmt numFmtId="170" formatCode="###,###,###.0000"/>
    <numFmt numFmtId="171" formatCode="###,##0.0000"/>
    <numFmt numFmtId="172" formatCode="###,###,###,###,##0"/>
    <numFmt numFmtId="173" formatCode="###,###,##0.0000"/>
    <numFmt numFmtId="174" formatCode="##0%"/>
    <numFmt numFmtId="175" formatCode="#,###"/>
    <numFmt numFmtId="176" formatCode="##0.0"/>
    <numFmt numFmtId="177" formatCode="0.000"/>
    <numFmt numFmtId="178" formatCode="##0.0000"/>
    <numFmt numFmtId="179" formatCode="###,###,##0.0"/>
    <numFmt numFmtId="180" formatCode="###,###,###,###,##0.0000"/>
    <numFmt numFmtId="181" formatCode="#,##0.0000;\-#,##0.0000"/>
    <numFmt numFmtId="182" formatCode="##0.##%"/>
    <numFmt numFmtId="183" formatCode="0.0%"/>
    <numFmt numFmtId="184" formatCode="0.0000"/>
    <numFmt numFmtId="185" formatCode="0.00000"/>
    <numFmt numFmtId="186" formatCode="0.000%"/>
    <numFmt numFmtId="187" formatCode="#,##0;#,##0;#,##0"/>
    <numFmt numFmtId="188" formatCode="###,##0.000"/>
    <numFmt numFmtId="189" formatCode="#,###,##0.0"/>
    <numFmt numFmtId="190" formatCode="#,##0.0"/>
    <numFmt numFmtId="191" formatCode="_-* #,##0_-;\-* #,##0_-;_-* &quot;-&quot;??_-;_-@_-"/>
    <numFmt numFmtId="192" formatCode="#,##0.000"/>
  </numFmts>
  <fonts count="112" x14ac:knownFonts="1">
    <font>
      <sz val="11"/>
      <color theme="1"/>
      <name val="Calibri"/>
      <family val="2"/>
      <scheme val="minor"/>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3"/>
      <name val="Calibri"/>
      <family val="2"/>
    </font>
    <font>
      <sz val="11"/>
      <color indexed="19"/>
      <name val="Calibri"/>
      <family val="2"/>
    </font>
    <font>
      <sz val="10"/>
      <name val="Arial"/>
      <family val="2"/>
    </font>
    <font>
      <b/>
      <sz val="11"/>
      <color indexed="63"/>
      <name val="Calibri"/>
      <family val="2"/>
    </font>
    <font>
      <b/>
      <sz val="18"/>
      <color indexed="62"/>
      <name val="Cambria"/>
      <family val="2"/>
    </font>
    <font>
      <b/>
      <sz val="11"/>
      <name val="Calibri"/>
      <family val="2"/>
    </font>
    <font>
      <sz val="11"/>
      <color indexed="10"/>
      <name val="Calibri"/>
      <family val="2"/>
    </font>
    <font>
      <sz val="12"/>
      <color theme="1"/>
      <name val="Times New Roman"/>
      <family val="1"/>
    </font>
    <font>
      <sz val="11.25"/>
      <color theme="1"/>
      <name val="Times New Roman"/>
      <family val="2"/>
    </font>
    <font>
      <sz val="11.25"/>
      <name val="Times New Roman"/>
      <family val="1"/>
    </font>
    <font>
      <sz val="11"/>
      <color rgb="FF000000"/>
      <name val="Times New Roman"/>
      <family val="2"/>
    </font>
    <font>
      <sz val="11.25"/>
      <color rgb="FF000000"/>
      <name val="Times New Roman"/>
      <family val="1"/>
    </font>
    <font>
      <b/>
      <sz val="11.25"/>
      <color rgb="FF000000"/>
      <name val="Times New Roman"/>
      <family val="2"/>
    </font>
    <font>
      <b/>
      <sz val="11"/>
      <name val="Times New Roman"/>
      <family val="1"/>
    </font>
    <font>
      <sz val="11"/>
      <name val="Times New Roman"/>
      <family val="1"/>
    </font>
    <font>
      <b/>
      <sz val="14"/>
      <color theme="1"/>
      <name val="Times New Roman"/>
      <family val="2"/>
    </font>
    <font>
      <b/>
      <sz val="11.25"/>
      <color rgb="FF0000FF"/>
      <name val="Times New Roman"/>
      <family val="1"/>
    </font>
    <font>
      <b/>
      <sz val="12"/>
      <color rgb="FF000000"/>
      <name val="Times New Roman"/>
      <family val="1"/>
    </font>
    <font>
      <b/>
      <sz val="12"/>
      <color theme="1"/>
      <name val="Times New Roman"/>
      <family val="2"/>
    </font>
    <font>
      <b/>
      <sz val="11"/>
      <color rgb="FF0000FF"/>
      <name val="Times New Roman"/>
      <family val="1"/>
    </font>
    <font>
      <b/>
      <sz val="11"/>
      <color theme="1"/>
      <name val="Times New Roman"/>
      <family val="2"/>
    </font>
    <font>
      <sz val="11.25"/>
      <color rgb="FF0000FF"/>
      <name val="Times New Roman"/>
      <family val="1"/>
    </font>
    <font>
      <b/>
      <sz val="13"/>
      <name val="Times New Roman"/>
      <family val="1"/>
    </font>
    <font>
      <b/>
      <sz val="12"/>
      <name val="Times New Roman"/>
      <family val="1"/>
    </font>
    <font>
      <b/>
      <sz val="12"/>
      <color rgb="FFFF0000"/>
      <name val="Times New Roman"/>
      <family val="1"/>
    </font>
    <font>
      <b/>
      <sz val="11.25"/>
      <color theme="1"/>
      <name val="Times New Roman"/>
      <family val="2"/>
    </font>
    <font>
      <sz val="11"/>
      <color theme="1"/>
      <name val="Times New Roman"/>
      <family val="2"/>
    </font>
    <font>
      <u/>
      <sz val="12"/>
      <color theme="10"/>
      <name val="Times New Roman"/>
      <family val="1"/>
    </font>
    <font>
      <sz val="11"/>
      <color indexed="23"/>
      <name val="Times New Roman"/>
      <family val="1"/>
    </font>
    <font>
      <b/>
      <sz val="11.25"/>
      <name val="Times New Roman"/>
      <family val="1"/>
    </font>
    <font>
      <sz val="11.25"/>
      <color rgb="FFD3D3D3"/>
      <name val="Times New Roman"/>
      <family val="2"/>
    </font>
    <font>
      <sz val="12"/>
      <color rgb="FFFF0000"/>
      <name val="Times New Roman"/>
      <family val="1"/>
    </font>
    <font>
      <b/>
      <sz val="11"/>
      <color indexed="10"/>
      <name val="Times New Roman"/>
      <family val="1"/>
    </font>
    <font>
      <i/>
      <sz val="11.25"/>
      <name val="Times New Roman"/>
      <family val="1"/>
    </font>
    <font>
      <i/>
      <sz val="10.5"/>
      <name val="Times New Roman"/>
      <family val="1"/>
    </font>
    <font>
      <i/>
      <sz val="14"/>
      <name val="Times New Roman"/>
      <family val="1"/>
    </font>
    <font>
      <i/>
      <sz val="12"/>
      <name val="Times New Roman"/>
      <family val="1"/>
    </font>
    <font>
      <i/>
      <sz val="11.25"/>
      <color rgb="FF808080"/>
      <name val="Times New Roman"/>
      <family val="1"/>
    </font>
    <font>
      <sz val="11"/>
      <color theme="0"/>
      <name val="Times New Roman"/>
      <family val="2"/>
    </font>
    <font>
      <i/>
      <sz val="11"/>
      <color theme="1"/>
      <name val="Times New Roman"/>
      <family val="2"/>
    </font>
    <font>
      <sz val="11.25"/>
      <color rgb="FFFF0000"/>
      <name val="Times New Roman"/>
      <family val="1"/>
    </font>
    <font>
      <b/>
      <sz val="14"/>
      <name val="Times New Roman"/>
      <family val="1"/>
    </font>
    <font>
      <b/>
      <sz val="10"/>
      <color rgb="FF0000FF"/>
      <name val="Times New Roman"/>
      <family val="1"/>
    </font>
    <font>
      <b/>
      <sz val="11"/>
      <color rgb="FF000000"/>
      <name val="Times New Roman"/>
      <family val="2"/>
    </font>
    <font>
      <sz val="11"/>
      <color rgb="FF0000FF"/>
      <name val="Times New Roman"/>
      <family val="1"/>
    </font>
    <font>
      <sz val="12"/>
      <color rgb="FF000000"/>
      <name val="Times New Roman"/>
      <family val="1"/>
    </font>
    <font>
      <sz val="12"/>
      <name val="Times New Roman"/>
      <family val="1"/>
    </font>
    <font>
      <b/>
      <i/>
      <sz val="12"/>
      <color rgb="FF000000"/>
      <name val="Times New Roman"/>
      <family val="1"/>
    </font>
    <font>
      <sz val="10"/>
      <color rgb="FF000000"/>
      <name val="Times New Roman"/>
      <family val="1"/>
    </font>
    <font>
      <sz val="11"/>
      <name val="Calibri"/>
      <family val="2"/>
      <scheme val="minor"/>
    </font>
    <font>
      <sz val="11"/>
      <color rgb="FFFFFFFF"/>
      <name val="Times New Roman"/>
      <family val="1"/>
    </font>
    <font>
      <b/>
      <sz val="11"/>
      <color theme="0"/>
      <name val="Times New Roman"/>
      <family val="1"/>
    </font>
    <font>
      <sz val="11.25"/>
      <color rgb="FFFFFFFF"/>
      <name val="Times New Roman"/>
      <family val="1"/>
    </font>
    <font>
      <sz val="11.25"/>
      <color theme="1"/>
      <name val="Calibri"/>
      <family val="2"/>
      <scheme val="minor"/>
    </font>
    <font>
      <b/>
      <sz val="11.25"/>
      <color rgb="FF00008B"/>
      <name val="Times New Roman"/>
      <family val="1"/>
    </font>
    <font>
      <b/>
      <sz val="12"/>
      <color rgb="FF0000FF"/>
      <name val="Times New Roman"/>
      <family val="1"/>
    </font>
    <font>
      <sz val="11.25"/>
      <color rgb="FFC0C0C0"/>
      <name val="Times New Roman"/>
      <family val="2"/>
    </font>
    <font>
      <i/>
      <sz val="11.25"/>
      <color theme="1"/>
      <name val="Times New Roman"/>
      <family val="2"/>
    </font>
    <font>
      <sz val="11"/>
      <color indexed="12"/>
      <name val="Times New Roman"/>
      <family val="1"/>
    </font>
    <font>
      <sz val="13"/>
      <name val="Times New Roman"/>
      <family val="1"/>
    </font>
    <font>
      <b/>
      <sz val="14"/>
      <color rgb="FF000000"/>
      <name val="Times New Roman"/>
      <family val="1"/>
    </font>
    <font>
      <u/>
      <sz val="11.25"/>
      <color theme="10"/>
      <name val="Times New Roman"/>
      <family val="2"/>
    </font>
    <font>
      <b/>
      <sz val="11.25"/>
      <color rgb="FFFF0000"/>
      <name val="Times New Roman"/>
      <family val="2"/>
    </font>
    <font>
      <i/>
      <sz val="11"/>
      <color rgb="FF808080"/>
      <name val="Times New Roman"/>
      <family val="1"/>
    </font>
    <font>
      <b/>
      <sz val="16"/>
      <color rgb="FF000000"/>
      <name val="Times New Roman"/>
      <family val="1"/>
    </font>
    <font>
      <sz val="11"/>
      <color indexed="63"/>
      <name val="Times New Roman"/>
      <family val="1"/>
    </font>
    <font>
      <sz val="14"/>
      <name val="Times New Roman"/>
      <family val="1"/>
    </font>
    <font>
      <i/>
      <sz val="11.25"/>
      <color rgb="FF000000"/>
      <name val="Times New Roman"/>
      <family val="2"/>
    </font>
    <font>
      <i/>
      <sz val="11"/>
      <name val="Times New Roman"/>
      <family val="1"/>
    </font>
    <font>
      <b/>
      <sz val="11.25"/>
      <color indexed="8"/>
      <name val="Times New Roman"/>
      <family val="1"/>
    </font>
    <font>
      <sz val="11.25"/>
      <color indexed="9"/>
      <name val="Times New Roman"/>
      <family val="1"/>
    </font>
    <font>
      <i/>
      <u/>
      <sz val="11"/>
      <color indexed="12"/>
      <name val="Times New Roman"/>
      <family val="1"/>
    </font>
    <font>
      <b/>
      <sz val="11.25"/>
      <color indexed="10"/>
      <name val="Times New Roman"/>
      <family val="1"/>
    </font>
    <font>
      <sz val="11"/>
      <color indexed="55"/>
      <name val="Times New Roman"/>
      <family val="1"/>
    </font>
    <font>
      <sz val="12"/>
      <color rgb="FF0000FF"/>
      <name val="Times New Roman"/>
      <family val="1"/>
    </font>
    <font>
      <b/>
      <sz val="11.25"/>
      <color rgb="FFFF0000"/>
      <name val="Times New Roman"/>
      <family val="2"/>
    </font>
    <font>
      <b/>
      <sz val="11.25"/>
      <color rgb="FF0070C0"/>
      <name val="Times New Roman"/>
      <family val="1"/>
    </font>
    <font>
      <b/>
      <sz val="10.25"/>
      <color rgb="FF0000FF"/>
      <name val="Times New Roman"/>
      <family val="2"/>
    </font>
    <font>
      <b/>
      <i/>
      <sz val="12"/>
      <color indexed="8"/>
      <name val="Times New Roman"/>
      <family val="1"/>
    </font>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2"/>
      <color theme="1"/>
      <name val=".VnTime"/>
      <family val="2"/>
    </font>
    <font>
      <b/>
      <sz val="14"/>
      <color theme="1"/>
      <name val="Times New Roman"/>
      <family val="1"/>
    </font>
    <font>
      <sz val="14"/>
      <color theme="1"/>
      <name val="Times New Roman"/>
      <family val="1"/>
    </font>
    <font>
      <sz val="14"/>
      <color rgb="FF000000"/>
      <name val="Times New Roman"/>
      <family val="1"/>
    </font>
    <font>
      <b/>
      <sz val="10"/>
      <name val="Times New Roman"/>
      <family val="1"/>
    </font>
    <font>
      <b/>
      <sz val="16"/>
      <color theme="1"/>
      <name val="Times New Roman"/>
      <family val="1"/>
    </font>
    <font>
      <b/>
      <i/>
      <sz val="11"/>
      <name val="Times New Roman"/>
      <family val="1"/>
    </font>
    <font>
      <b/>
      <i/>
      <sz val="12"/>
      <name val="Times New Roman"/>
      <family val="1"/>
    </font>
    <font>
      <b/>
      <sz val="14"/>
      <color indexed="8"/>
      <name val="Times New Roman"/>
      <family val="1"/>
    </font>
    <font>
      <sz val="14"/>
      <color indexed="8"/>
      <name val="Times New Roman"/>
      <family val="1"/>
    </font>
    <font>
      <sz val="11"/>
      <color indexed="8"/>
      <name val="Times New Roman"/>
      <family val="1"/>
    </font>
    <font>
      <sz val="14"/>
      <color indexed="12"/>
      <name val="Times New Roman"/>
      <family val="1"/>
    </font>
    <font>
      <i/>
      <sz val="14"/>
      <color indexed="12"/>
      <name val="Times New Roman"/>
      <family val="1"/>
    </font>
    <font>
      <b/>
      <sz val="11"/>
      <color indexed="8"/>
      <name val="Times New Roman"/>
      <family val="1"/>
    </font>
    <font>
      <b/>
      <sz val="13"/>
      <color indexed="12"/>
      <name val="Times New Roman"/>
      <family val="1"/>
    </font>
    <font>
      <i/>
      <sz val="13"/>
      <color theme="1"/>
      <name val="Times New Roman"/>
      <family val="1"/>
    </font>
  </fonts>
  <fills count="3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FFFFFF"/>
        <bgColor indexed="64"/>
      </patternFill>
    </fill>
    <fill>
      <patternFill patternType="solid">
        <fgColor rgb="FFFFFFC8"/>
        <bgColor indexed="64"/>
      </patternFill>
    </fill>
    <fill>
      <patternFill patternType="solid">
        <fgColor rgb="FFFFCC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EEEEEE"/>
        <bgColor indexed="64"/>
      </patternFill>
    </fill>
    <fill>
      <patternFill patternType="solid">
        <fgColor rgb="FFC0C0C0"/>
        <bgColor indexed="64"/>
      </patternFill>
    </fill>
    <fill>
      <patternFill patternType="solid">
        <fgColor rgb="FFF0EEEC"/>
        <bgColor indexed="64"/>
      </patternFill>
    </fill>
    <fill>
      <patternFill patternType="solid">
        <fgColor rgb="FFFFFFAF"/>
        <bgColor indexed="64"/>
      </patternFill>
    </fill>
    <fill>
      <patternFill patternType="solid">
        <fgColor rgb="FF00B050"/>
        <bgColor indexed="64"/>
      </patternFill>
    </fill>
    <fill>
      <patternFill patternType="solid">
        <fgColor rgb="FFCCECFF"/>
        <bgColor indexed="64"/>
      </patternFill>
    </fill>
    <fill>
      <patternFill patternType="solid">
        <fgColor rgb="FFFF9696"/>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0"/>
      </left>
      <right style="thin">
        <color indexed="0"/>
      </right>
      <top/>
      <bottom style="thin">
        <color indexed="0"/>
      </bottom>
      <diagonal/>
    </border>
    <border>
      <left style="thin">
        <color indexed="64"/>
      </left>
      <right style="thin">
        <color indexed="64"/>
      </right>
      <top/>
      <bottom style="hair">
        <color rgb="FF000000"/>
      </bottom>
      <diagonal/>
    </border>
    <border>
      <left style="thin">
        <color indexed="64"/>
      </left>
      <right style="thin">
        <color indexed="64"/>
      </right>
      <top style="hair">
        <color indexed="64"/>
      </top>
      <bottom style="hair">
        <color indexed="64"/>
      </bottom>
      <diagonal/>
    </border>
    <border>
      <left style="thin">
        <color indexed="0"/>
      </left>
      <right style="thin">
        <color indexed="0"/>
      </right>
      <top style="hair">
        <color indexed="0"/>
      </top>
      <bottom style="hair">
        <color indexed="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8"/>
      </right>
      <top/>
      <bottom style="hair">
        <color indexed="8"/>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0"/>
      </top>
      <bottom style="thin">
        <color indexed="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0"/>
      </right>
      <top/>
      <bottom style="thin">
        <color indexed="0"/>
      </bottom>
      <diagonal/>
    </border>
    <border>
      <left style="thin">
        <color indexed="0"/>
      </left>
      <right style="thin">
        <color indexed="0"/>
      </right>
      <top/>
      <bottom/>
      <diagonal/>
    </border>
    <border>
      <left style="thin">
        <color indexed="64"/>
      </left>
      <right style="thin">
        <color indexed="64"/>
      </right>
      <top/>
      <bottom style="thin">
        <color indexed="64"/>
      </bottom>
      <diagonal/>
    </border>
    <border>
      <left/>
      <right style="thin">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rgb="FF000000"/>
      </bottom>
      <diagonal/>
    </border>
    <border>
      <left style="thin">
        <color indexed="64"/>
      </left>
      <right style="thin">
        <color indexed="64"/>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64"/>
      </left>
      <right style="thin">
        <color indexed="8"/>
      </right>
      <top style="hair">
        <color indexed="8"/>
      </top>
      <bottom style="thin">
        <color indexed="64"/>
      </bottom>
      <diagonal/>
    </border>
    <border>
      <left style="thin">
        <color indexed="0"/>
      </left>
      <right style="thin">
        <color indexed="0"/>
      </right>
      <top style="hair">
        <color indexed="0"/>
      </top>
      <bottom style="thin">
        <color indexed="0"/>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rgb="FF000000"/>
      </bottom>
      <diagonal/>
    </border>
    <border>
      <left style="thin">
        <color indexed="64"/>
      </left>
      <right style="thin">
        <color indexed="8"/>
      </right>
      <top/>
      <bottom style="hair">
        <color indexed="8"/>
      </bottom>
      <diagonal/>
    </border>
    <border>
      <left style="thin">
        <color indexed="0"/>
      </left>
      <right/>
      <top style="thin">
        <color indexed="0"/>
      </top>
      <bottom/>
      <diagonal/>
    </border>
    <border>
      <left style="thin">
        <color indexed="0"/>
      </left>
      <right style="thin">
        <color indexed="0"/>
      </right>
      <top style="thin">
        <color indexed="0"/>
      </top>
      <bottom style="hair">
        <color indexed="0"/>
      </bottom>
      <diagonal/>
    </border>
    <border>
      <left/>
      <right/>
      <top style="thin">
        <color indexed="0"/>
      </top>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64"/>
      </top>
      <bottom/>
      <diagonal/>
    </border>
    <border>
      <left style="thin">
        <color indexed="64"/>
      </left>
      <right style="medium">
        <color indexed="64"/>
      </right>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3" fillId="7" borderId="0" applyNumberFormat="0" applyBorder="0" applyAlignment="0" applyProtection="0"/>
    <xf numFmtId="0" fontId="4" fillId="14" borderId="1" applyNumberFormat="0" applyAlignment="0" applyProtection="0"/>
    <xf numFmtId="0" fontId="5" fillId="12" borderId="2"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15" borderId="0" applyNumberFormat="0" applyBorder="0" applyAlignment="0" applyProtection="0"/>
    <xf numFmtId="0" fontId="15" fillId="0" borderId="0"/>
    <xf numFmtId="0" fontId="92" fillId="0" borderId="0"/>
    <xf numFmtId="0" fontId="1" fillId="0" borderId="0"/>
    <xf numFmtId="0" fontId="1" fillId="3" borderId="7" applyNumberFormat="0" applyFont="0" applyAlignment="0" applyProtection="0"/>
    <xf numFmtId="0" fontId="16" fillId="14" borderId="8" applyNumberFormat="0" applyAlignment="0" applyProtection="0"/>
    <xf numFmtId="9" fontId="9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64" fontId="92" fillId="0" borderId="0" applyFont="0" applyFill="0" applyBorder="0" applyAlignment="0" applyProtection="0"/>
    <xf numFmtId="0" fontId="96" fillId="0" borderId="0"/>
  </cellStyleXfs>
  <cellXfs count="1198">
    <xf numFmtId="0" fontId="0" fillId="0" borderId="0" xfId="0"/>
    <xf numFmtId="177" fontId="20" fillId="16" borderId="10" xfId="0" applyNumberFormat="1" applyFont="1" applyFill="1" applyBorder="1" applyAlignment="1">
      <alignment horizontal="center"/>
    </xf>
    <xf numFmtId="172" fontId="21" fillId="0" borderId="11" xfId="0" applyNumberFormat="1" applyFont="1" applyBorder="1" applyAlignment="1">
      <alignment horizontal="right"/>
    </xf>
    <xf numFmtId="0" fontId="22" fillId="0" borderId="12" xfId="0" applyFont="1" applyBorder="1" applyAlignment="1">
      <alignment horizontal="left" vertical="top" wrapText="1"/>
    </xf>
    <xf numFmtId="177" fontId="23" fillId="0" borderId="13" xfId="0" applyNumberFormat="1" applyFont="1" applyBorder="1" applyAlignment="1">
      <alignment horizontal="center" vertical="top" wrapText="1"/>
    </xf>
    <xf numFmtId="172" fontId="24" fillId="17" borderId="14" xfId="0" applyNumberFormat="1" applyFont="1" applyFill="1" applyBorder="1" applyAlignment="1">
      <alignment vertical="top"/>
    </xf>
    <xf numFmtId="0" fontId="22" fillId="0" borderId="15" xfId="0" applyFont="1" applyBorder="1" applyAlignment="1">
      <alignment horizontal="center"/>
    </xf>
    <xf numFmtId="0" fontId="25" fillId="17" borderId="14" xfId="0" applyFont="1" applyFill="1" applyBorder="1" applyAlignment="1">
      <alignment horizontal="left" vertical="top" wrapText="1"/>
    </xf>
    <xf numFmtId="0" fontId="22" fillId="0" borderId="16" xfId="0" applyFont="1" applyBorder="1" applyAlignment="1">
      <alignment horizontal="center"/>
    </xf>
    <xf numFmtId="186" fontId="26" fillId="0" borderId="17" xfId="43" applyNumberFormat="1" applyFont="1" applyFill="1" applyBorder="1" applyAlignment="1">
      <alignment horizontal="center" vertical="top"/>
    </xf>
    <xf numFmtId="172" fontId="22" fillId="17" borderId="14" xfId="0" applyNumberFormat="1" applyFont="1" applyFill="1" applyBorder="1" applyAlignment="1">
      <alignment vertical="top"/>
    </xf>
    <xf numFmtId="0" fontId="22" fillId="0" borderId="0" xfId="0" applyFont="1" applyAlignment="1" applyProtection="1">
      <alignment vertical="top"/>
      <protection locked="0"/>
    </xf>
    <xf numFmtId="0" fontId="27" fillId="14" borderId="16" xfId="0" applyFont="1" applyFill="1" applyBorder="1" applyAlignment="1">
      <alignment horizontal="left"/>
    </xf>
    <xf numFmtId="0" fontId="22" fillId="0" borderId="14" xfId="0" applyFont="1" applyBorder="1" applyAlignment="1">
      <alignment horizontal="center"/>
    </xf>
    <xf numFmtId="0" fontId="29" fillId="0" borderId="18" xfId="0" applyFont="1" applyBorder="1" applyAlignment="1" applyProtection="1">
      <alignment horizontal="center" vertical="top" wrapText="1"/>
      <protection locked="0"/>
    </xf>
    <xf numFmtId="171" fontId="22" fillId="18" borderId="19" xfId="0" applyNumberFormat="1" applyFont="1" applyFill="1" applyBorder="1"/>
    <xf numFmtId="0" fontId="22" fillId="19" borderId="16" xfId="0" applyFont="1" applyFill="1" applyBorder="1"/>
    <xf numFmtId="0" fontId="31" fillId="0" borderId="10" xfId="0" applyFont="1" applyBorder="1" applyAlignment="1">
      <alignment horizontal="center" vertical="center"/>
    </xf>
    <xf numFmtId="0" fontId="22" fillId="0" borderId="12" xfId="0" applyFont="1" applyBorder="1" applyAlignment="1">
      <alignment vertical="top"/>
    </xf>
    <xf numFmtId="0" fontId="22" fillId="14" borderId="19" xfId="0" applyFont="1" applyFill="1" applyBorder="1" applyAlignment="1">
      <alignment horizontal="center" vertical="top"/>
    </xf>
    <xf numFmtId="0" fontId="32" fillId="0" borderId="14" xfId="0" applyFont="1" applyBorder="1"/>
    <xf numFmtId="3" fontId="27" fillId="16" borderId="19" xfId="0" applyNumberFormat="1" applyFont="1" applyFill="1" applyBorder="1" applyAlignment="1">
      <alignment horizontal="right"/>
    </xf>
    <xf numFmtId="3" fontId="37" fillId="0" borderId="0" xfId="0" applyNumberFormat="1" applyFont="1" applyAlignment="1">
      <alignment horizontal="center" vertical="center"/>
    </xf>
    <xf numFmtId="165" fontId="38" fillId="0" borderId="10" xfId="0" applyNumberFormat="1" applyFont="1" applyBorder="1" applyAlignment="1">
      <alignment horizontal="center" vertical="center"/>
    </xf>
    <xf numFmtId="165" fontId="22" fillId="17" borderId="11" xfId="0" applyNumberFormat="1" applyFont="1" applyFill="1" applyBorder="1" applyAlignment="1">
      <alignment vertical="top"/>
    </xf>
    <xf numFmtId="0" fontId="22" fillId="14" borderId="17" xfId="0" applyFont="1" applyFill="1" applyBorder="1"/>
    <xf numFmtId="3" fontId="22" fillId="0" borderId="19" xfId="0" applyNumberFormat="1" applyFont="1" applyBorder="1" applyAlignment="1">
      <alignment horizontal="right"/>
    </xf>
    <xf numFmtId="3" fontId="26" fillId="0" borderId="14" xfId="0" applyNumberFormat="1" applyFont="1" applyBorder="1" applyAlignment="1">
      <alignment vertical="top"/>
    </xf>
    <xf numFmtId="165" fontId="22" fillId="17" borderId="11" xfId="0" applyNumberFormat="1" applyFont="1" applyFill="1" applyBorder="1"/>
    <xf numFmtId="0" fontId="24" fillId="17" borderId="19" xfId="0" applyFont="1" applyFill="1" applyBorder="1" applyAlignment="1">
      <alignment horizontal="right" vertical="top"/>
    </xf>
    <xf numFmtId="0" fontId="33" fillId="0" borderId="14" xfId="0" applyFont="1" applyBorder="1" applyAlignment="1">
      <alignment vertical="top"/>
    </xf>
    <xf numFmtId="0" fontId="21" fillId="0" borderId="19" xfId="0" applyFont="1" applyBorder="1" applyAlignment="1">
      <alignment vertical="top" wrapText="1"/>
    </xf>
    <xf numFmtId="0" fontId="21" fillId="0" borderId="14" xfId="0" applyFont="1" applyBorder="1" applyAlignment="1">
      <alignment horizontal="center" vertical="top"/>
    </xf>
    <xf numFmtId="179" fontId="21" fillId="0" borderId="14" xfId="0" applyNumberFormat="1" applyFont="1" applyBorder="1" applyAlignment="1">
      <alignment horizontal="right"/>
    </xf>
    <xf numFmtId="0" fontId="38" fillId="0" borderId="14" xfId="0" applyFont="1" applyBorder="1" applyAlignment="1">
      <alignment vertical="top" wrapText="1"/>
    </xf>
    <xf numFmtId="0" fontId="23" fillId="0" borderId="0" xfId="0" applyFont="1"/>
    <xf numFmtId="177" fontId="20" fillId="19" borderId="0" xfId="0" applyNumberFormat="1" applyFont="1" applyFill="1" applyAlignment="1">
      <alignment horizontal="center"/>
    </xf>
    <xf numFmtId="0" fontId="22" fillId="0" borderId="16" xfId="0" quotePrefix="1" applyFont="1" applyBorder="1" applyAlignment="1">
      <alignment horizontal="center"/>
    </xf>
    <xf numFmtId="49" fontId="22" fillId="0" borderId="0" xfId="0" applyNumberFormat="1" applyFont="1"/>
    <xf numFmtId="0" fontId="41" fillId="0" borderId="14" xfId="0" applyFont="1" applyBorder="1" applyAlignment="1">
      <alignment wrapText="1"/>
    </xf>
    <xf numFmtId="0" fontId="25" fillId="17" borderId="11" xfId="0" applyFont="1" applyFill="1" applyBorder="1" applyAlignment="1">
      <alignment vertical="top" wrapText="1"/>
    </xf>
    <xf numFmtId="49" fontId="21" fillId="0" borderId="11" xfId="0" applyNumberFormat="1" applyFont="1" applyBorder="1" applyAlignment="1">
      <alignment horizontal="left"/>
    </xf>
    <xf numFmtId="0" fontId="31" fillId="16" borderId="10" xfId="0" applyFont="1" applyFill="1" applyBorder="1" applyAlignment="1">
      <alignment horizontal="center"/>
    </xf>
    <xf numFmtId="184" fontId="20" fillId="19" borderId="10" xfId="0" applyNumberFormat="1" applyFont="1" applyFill="1" applyBorder="1" applyAlignment="1">
      <alignment horizontal="center"/>
    </xf>
    <xf numFmtId="172" fontId="34" fillId="17" borderId="14" xfId="0" applyNumberFormat="1" applyFont="1" applyFill="1" applyBorder="1" applyAlignment="1">
      <alignment vertical="top"/>
    </xf>
    <xf numFmtId="0" fontId="22" fillId="17" borderId="0" xfId="0" applyFont="1" applyFill="1" applyAlignment="1">
      <alignment vertical="top"/>
    </xf>
    <xf numFmtId="171" fontId="21" fillId="0" borderId="11" xfId="0" applyNumberFormat="1" applyFont="1" applyBorder="1"/>
    <xf numFmtId="37" fontId="22" fillId="0" borderId="27" xfId="0" applyNumberFormat="1" applyFont="1" applyBorder="1" applyAlignment="1" applyProtection="1">
      <alignment vertical="top" wrapText="1"/>
      <protection locked="0"/>
    </xf>
    <xf numFmtId="0" fontId="43" fillId="0" borderId="14" xfId="0" quotePrefix="1" applyFont="1" applyBorder="1"/>
    <xf numFmtId="0" fontId="22" fillId="17" borderId="0" xfId="0" applyFont="1" applyFill="1"/>
    <xf numFmtId="0" fontId="26" fillId="0" borderId="0" xfId="0" applyFont="1" applyAlignment="1">
      <alignment horizontal="centerContinuous" vertical="center"/>
    </xf>
    <xf numFmtId="178" fontId="38" fillId="0" borderId="11" xfId="0" applyNumberFormat="1" applyFont="1" applyBorder="1" applyAlignment="1">
      <alignment vertical="top"/>
    </xf>
    <xf numFmtId="171" fontId="22" fillId="18" borderId="14" xfId="0" applyNumberFormat="1" applyFont="1" applyFill="1" applyBorder="1"/>
    <xf numFmtId="49" fontId="0" fillId="0" borderId="0" xfId="0" applyNumberFormat="1"/>
    <xf numFmtId="0" fontId="27" fillId="16" borderId="29" xfId="0" applyFont="1" applyFill="1" applyBorder="1" applyAlignment="1">
      <alignment horizontal="center"/>
    </xf>
    <xf numFmtId="2" fontId="44" fillId="19" borderId="10" xfId="0" applyNumberFormat="1" applyFont="1" applyFill="1" applyBorder="1" applyAlignment="1">
      <alignment horizontal="center"/>
    </xf>
    <xf numFmtId="0" fontId="21" fillId="0" borderId="11" xfId="0" applyFont="1" applyBorder="1" applyAlignment="1">
      <alignment horizontal="right" vertical="top"/>
    </xf>
    <xf numFmtId="0" fontId="45" fillId="14" borderId="17" xfId="0" applyFont="1" applyFill="1" applyBorder="1"/>
    <xf numFmtId="49" fontId="42" fillId="0" borderId="0" xfId="0" applyNumberFormat="1" applyFont="1"/>
    <xf numFmtId="37" fontId="22" fillId="0" borderId="18" xfId="0" applyNumberFormat="1" applyFont="1" applyBorder="1" applyAlignment="1" applyProtection="1">
      <alignment vertical="top" wrapText="1"/>
      <protection locked="0"/>
    </xf>
    <xf numFmtId="0" fontId="27" fillId="0" borderId="0" xfId="0" applyFont="1" applyAlignment="1">
      <alignment horizontal="center"/>
    </xf>
    <xf numFmtId="49" fontId="27" fillId="0" borderId="14" xfId="0" applyNumberFormat="1" applyFont="1" applyBorder="1" applyAlignment="1">
      <alignment horizontal="center" vertical="top"/>
    </xf>
    <xf numFmtId="0" fontId="22" fillId="0" borderId="15" xfId="0" applyFont="1" applyBorder="1" applyAlignment="1">
      <alignment horizontal="center" vertical="top" wrapText="1"/>
    </xf>
    <xf numFmtId="0" fontId="22" fillId="16" borderId="14" xfId="0" applyFont="1" applyFill="1" applyBorder="1" applyAlignment="1">
      <alignment horizontal="center"/>
    </xf>
    <xf numFmtId="0" fontId="27" fillId="21" borderId="16" xfId="0" applyFont="1" applyFill="1" applyBorder="1"/>
    <xf numFmtId="0" fontId="20" fillId="0" borderId="0" xfId="0" applyFont="1"/>
    <xf numFmtId="0" fontId="42" fillId="0" borderId="10" xfId="0" applyFont="1" applyBorder="1" applyAlignment="1">
      <alignment horizontal="center" vertical="center" wrapText="1"/>
    </xf>
    <xf numFmtId="173" fontId="24" fillId="17" borderId="14" xfId="0" applyNumberFormat="1" applyFont="1" applyFill="1" applyBorder="1" applyAlignment="1">
      <alignment horizontal="right" vertical="top"/>
    </xf>
    <xf numFmtId="0" fontId="39" fillId="0" borderId="11" xfId="39" applyFont="1" applyBorder="1"/>
    <xf numFmtId="0" fontId="42" fillId="14" borderId="23" xfId="0" applyFont="1" applyFill="1" applyBorder="1" applyAlignment="1">
      <alignment horizontal="center" vertical="center"/>
    </xf>
    <xf numFmtId="173" fontId="29" fillId="17" borderId="10" xfId="0" applyNumberFormat="1" applyFont="1" applyFill="1" applyBorder="1" applyAlignment="1">
      <alignment vertical="top"/>
    </xf>
    <xf numFmtId="0" fontId="26" fillId="14" borderId="0" xfId="0" applyFont="1" applyFill="1" applyAlignment="1">
      <alignment horizontal="center" vertical="center" wrapText="1"/>
    </xf>
    <xf numFmtId="0" fontId="23" fillId="0" borderId="30" xfId="0" applyFont="1" applyBorder="1" applyAlignment="1">
      <alignment horizontal="center" vertical="top" wrapText="1"/>
    </xf>
    <xf numFmtId="0" fontId="48" fillId="0" borderId="0" xfId="0" applyFont="1" applyAlignment="1">
      <alignment horizontal="center"/>
    </xf>
    <xf numFmtId="37" fontId="24" fillId="0" borderId="18" xfId="0" applyNumberFormat="1" applyFont="1" applyBorder="1" applyAlignment="1" applyProtection="1">
      <alignment vertical="top" wrapText="1"/>
      <protection locked="0"/>
    </xf>
    <xf numFmtId="165" fontId="23" fillId="0" borderId="14" xfId="39" applyNumberFormat="1" applyFont="1" applyBorder="1" applyAlignment="1">
      <alignment horizontal="right"/>
    </xf>
    <xf numFmtId="0" fontId="50" fillId="17" borderId="14" xfId="0" applyFont="1" applyFill="1" applyBorder="1" applyAlignment="1">
      <alignment horizontal="center" vertical="top"/>
    </xf>
    <xf numFmtId="0" fontId="22" fillId="14" borderId="19" xfId="0" applyFont="1" applyFill="1" applyBorder="1" applyAlignment="1">
      <alignment vertical="top" wrapText="1"/>
    </xf>
    <xf numFmtId="0" fontId="27" fillId="17" borderId="19" xfId="0" applyFont="1" applyFill="1" applyBorder="1" applyAlignment="1">
      <alignment vertical="top"/>
    </xf>
    <xf numFmtId="167" fontId="22" fillId="17" borderId="19" xfId="0" applyNumberFormat="1" applyFont="1" applyFill="1" applyBorder="1" applyAlignment="1">
      <alignment horizontal="center" vertical="top"/>
    </xf>
    <xf numFmtId="0" fontId="22" fillId="14" borderId="14" xfId="0" applyFont="1" applyFill="1" applyBorder="1" applyAlignment="1">
      <alignment horizontal="center" vertical="top"/>
    </xf>
    <xf numFmtId="171" fontId="21" fillId="0" borderId="19" xfId="0" applyNumberFormat="1" applyFont="1" applyBorder="1" applyAlignment="1">
      <alignment horizontal="right"/>
    </xf>
    <xf numFmtId="0" fontId="22" fillId="0" borderId="31" xfId="0" applyFont="1" applyBorder="1" applyAlignment="1">
      <alignment horizontal="left" vertical="top"/>
    </xf>
    <xf numFmtId="0" fontId="20" fillId="0" borderId="10" xfId="0" applyFont="1" applyBorder="1" applyAlignment="1">
      <alignment horizontal="center"/>
    </xf>
    <xf numFmtId="0" fontId="26" fillId="0" borderId="10" xfId="0" applyFont="1" applyBorder="1" applyAlignment="1">
      <alignment horizontal="center" vertical="center" wrapText="1"/>
    </xf>
    <xf numFmtId="0" fontId="27" fillId="17" borderId="19" xfId="0" applyFont="1" applyFill="1" applyBorder="1"/>
    <xf numFmtId="0" fontId="27" fillId="14" borderId="17" xfId="0" applyFont="1" applyFill="1" applyBorder="1" applyAlignment="1">
      <alignment horizontal="center"/>
    </xf>
    <xf numFmtId="0" fontId="51" fillId="0" borderId="14" xfId="0" applyFont="1" applyBorder="1" applyAlignment="1">
      <alignment horizontal="center" vertical="top"/>
    </xf>
    <xf numFmtId="172" fontId="53" fillId="17" borderId="14" xfId="0" applyNumberFormat="1" applyFont="1" applyFill="1" applyBorder="1" applyAlignment="1">
      <alignment vertical="top"/>
    </xf>
    <xf numFmtId="0" fontId="39" fillId="0" borderId="11" xfId="0" applyFont="1" applyBorder="1" applyAlignment="1">
      <alignment vertical="top"/>
    </xf>
    <xf numFmtId="0" fontId="22" fillId="14" borderId="0" xfId="40" applyFont="1" applyFill="1" applyAlignment="1" applyProtection="1">
      <alignment vertical="top"/>
      <protection locked="0"/>
    </xf>
    <xf numFmtId="0" fontId="54" fillId="0" borderId="0" xfId="0" applyFont="1" applyAlignment="1">
      <alignment horizontal="center"/>
    </xf>
    <xf numFmtId="0" fontId="39" fillId="0" borderId="11" xfId="0" applyFont="1" applyBorder="1"/>
    <xf numFmtId="172" fontId="21" fillId="0" borderId="19" xfId="0" applyNumberFormat="1" applyFont="1" applyBorder="1" applyAlignment="1">
      <alignment vertical="top"/>
    </xf>
    <xf numFmtId="0" fontId="55" fillId="0" borderId="10" xfId="0" applyFont="1" applyBorder="1" applyAlignment="1">
      <alignment horizontal="center" vertical="top"/>
    </xf>
    <xf numFmtId="173" fontId="29" fillId="22" borderId="10" xfId="0" applyNumberFormat="1" applyFont="1" applyFill="1" applyBorder="1" applyAlignment="1">
      <alignment vertical="top"/>
    </xf>
    <xf numFmtId="165" fontId="56" fillId="0" borderId="14" xfId="39" applyNumberFormat="1" applyFont="1" applyBorder="1" applyAlignment="1">
      <alignment horizontal="right"/>
    </xf>
    <xf numFmtId="3" fontId="22" fillId="0" borderId="14" xfId="0" applyNumberFormat="1" applyFont="1" applyBorder="1" applyAlignment="1">
      <alignment horizontal="right"/>
    </xf>
    <xf numFmtId="0" fontId="57" fillId="0" borderId="14" xfId="0" applyFont="1" applyBorder="1" applyAlignment="1">
      <alignment vertical="top"/>
    </xf>
    <xf numFmtId="3" fontId="31" fillId="0" borderId="0" xfId="0" applyNumberFormat="1" applyFont="1" applyAlignment="1">
      <alignment horizontal="center" vertical="center"/>
    </xf>
    <xf numFmtId="186" fontId="58" fillId="0" borderId="10" xfId="0" applyNumberFormat="1" applyFont="1" applyBorder="1" applyAlignment="1">
      <alignment vertical="center" wrapText="1"/>
    </xf>
    <xf numFmtId="177" fontId="44" fillId="0" borderId="0" xfId="0" applyNumberFormat="1" applyFont="1"/>
    <xf numFmtId="172" fontId="25" fillId="17" borderId="11" xfId="0" applyNumberFormat="1" applyFont="1" applyFill="1" applyBorder="1" applyAlignment="1">
      <alignment vertical="top"/>
    </xf>
    <xf numFmtId="0" fontId="29" fillId="22" borderId="10" xfId="0" applyFont="1" applyFill="1" applyBorder="1" applyAlignment="1">
      <alignment vertical="top"/>
    </xf>
    <xf numFmtId="0" fontId="20" fillId="0" borderId="0" xfId="0" applyFont="1" applyAlignment="1">
      <alignment horizontal="center" vertical="center"/>
    </xf>
    <xf numFmtId="177" fontId="44" fillId="19" borderId="10" xfId="0" applyNumberFormat="1" applyFont="1" applyFill="1" applyBorder="1" applyAlignment="1">
      <alignment horizontal="center"/>
    </xf>
    <xf numFmtId="0" fontId="24" fillId="17" borderId="14" xfId="0" applyFont="1" applyFill="1" applyBorder="1" applyAlignment="1">
      <alignment horizontal="right" vertical="top"/>
    </xf>
    <xf numFmtId="0" fontId="21" fillId="0" borderId="14" xfId="0" applyFont="1" applyBorder="1" applyAlignment="1">
      <alignment vertical="top" wrapText="1"/>
    </xf>
    <xf numFmtId="0" fontId="29" fillId="17" borderId="10" xfId="0" applyFont="1" applyFill="1" applyBorder="1" applyAlignment="1">
      <alignment vertical="top"/>
    </xf>
    <xf numFmtId="0" fontId="27" fillId="14" borderId="0" xfId="0" applyFont="1" applyFill="1" applyAlignment="1">
      <alignment horizontal="left"/>
    </xf>
    <xf numFmtId="0" fontId="59" fillId="0" borderId="0" xfId="0" applyFont="1"/>
    <xf numFmtId="0" fontId="44" fillId="0" borderId="0" xfId="0" applyFont="1"/>
    <xf numFmtId="0" fontId="29" fillId="17" borderId="10" xfId="0" applyFont="1" applyFill="1" applyBorder="1"/>
    <xf numFmtId="173" fontId="24" fillId="17" borderId="19" xfId="0" applyNumberFormat="1" applyFont="1" applyFill="1" applyBorder="1" applyAlignment="1">
      <alignment vertical="top"/>
    </xf>
    <xf numFmtId="165" fontId="29" fillId="0" borderId="10" xfId="0" applyNumberFormat="1" applyFont="1" applyBorder="1" applyAlignment="1">
      <alignment vertical="top"/>
    </xf>
    <xf numFmtId="49" fontId="42" fillId="0" borderId="10" xfId="0" applyNumberFormat="1" applyFont="1" applyBorder="1" applyAlignment="1">
      <alignment horizontal="center" vertical="center" wrapText="1"/>
    </xf>
    <xf numFmtId="0" fontId="22" fillId="18" borderId="11" xfId="0" applyFont="1" applyFill="1" applyBorder="1"/>
    <xf numFmtId="0" fontId="27" fillId="14" borderId="16" xfId="0" applyFont="1" applyFill="1" applyBorder="1"/>
    <xf numFmtId="165" fontId="29" fillId="0" borderId="10" xfId="0" applyNumberFormat="1" applyFont="1" applyBorder="1"/>
    <xf numFmtId="173" fontId="22" fillId="17" borderId="19" xfId="0" applyNumberFormat="1" applyFont="1" applyFill="1" applyBorder="1" applyAlignment="1">
      <alignment vertical="top"/>
    </xf>
    <xf numFmtId="0" fontId="42" fillId="14" borderId="10" xfId="0" applyFont="1" applyFill="1" applyBorder="1" applyAlignment="1">
      <alignment horizontal="left" vertical="center" wrapText="1"/>
    </xf>
    <xf numFmtId="0" fontId="55" fillId="0" borderId="10" xfId="0" applyFont="1" applyBorder="1" applyAlignment="1">
      <alignment vertical="top"/>
    </xf>
    <xf numFmtId="0" fontId="24" fillId="17" borderId="19" xfId="0" applyFont="1" applyFill="1" applyBorder="1" applyAlignment="1">
      <alignment vertical="top"/>
    </xf>
    <xf numFmtId="165" fontId="38" fillId="0" borderId="11" xfId="0" applyNumberFormat="1" applyFont="1" applyBorder="1" applyAlignment="1">
      <alignment vertical="top"/>
    </xf>
    <xf numFmtId="0" fontId="42" fillId="17" borderId="10" xfId="0" applyFont="1" applyFill="1" applyBorder="1" applyAlignment="1">
      <alignment horizontal="center" vertical="center" wrapText="1"/>
    </xf>
    <xf numFmtId="3" fontId="27" fillId="16" borderId="29" xfId="0" applyNumberFormat="1" applyFont="1" applyFill="1" applyBorder="1" applyAlignment="1">
      <alignment horizontal="right"/>
    </xf>
    <xf numFmtId="0" fontId="31" fillId="0" borderId="0" xfId="0" applyFont="1" applyAlignment="1">
      <alignment horizontal="left"/>
    </xf>
    <xf numFmtId="0" fontId="22" fillId="18" borderId="10" xfId="0" applyFont="1" applyFill="1" applyBorder="1"/>
    <xf numFmtId="0" fontId="22" fillId="0" borderId="14" xfId="0" applyFont="1" applyBorder="1"/>
    <xf numFmtId="0" fontId="22" fillId="17" borderId="19" xfId="0" applyFont="1" applyFill="1" applyBorder="1" applyAlignment="1">
      <alignment vertical="top"/>
    </xf>
    <xf numFmtId="0" fontId="24" fillId="17" borderId="11" xfId="0" applyFont="1" applyFill="1" applyBorder="1" applyAlignment="1">
      <alignment horizontal="center" vertical="top"/>
    </xf>
    <xf numFmtId="0" fontId="61" fillId="0" borderId="10" xfId="39" applyFont="1" applyBorder="1" applyAlignment="1">
      <alignment horizontal="center" vertical="center" wrapText="1"/>
    </xf>
    <xf numFmtId="185" fontId="20" fillId="16" borderId="10" xfId="0" applyNumberFormat="1" applyFont="1" applyFill="1" applyBorder="1" applyAlignment="1">
      <alignment horizontal="center"/>
    </xf>
    <xf numFmtId="0" fontId="34" fillId="17" borderId="14" xfId="0" applyFont="1" applyFill="1" applyBorder="1" applyAlignment="1">
      <alignment horizontal="right" vertical="top"/>
    </xf>
    <xf numFmtId="0" fontId="22" fillId="17" borderId="19" xfId="0" applyFont="1" applyFill="1" applyBorder="1"/>
    <xf numFmtId="49" fontId="27" fillId="0" borderId="0" xfId="0" applyNumberFormat="1" applyFont="1" applyAlignment="1">
      <alignment horizontal="center" vertical="center"/>
    </xf>
    <xf numFmtId="0" fontId="41" fillId="14" borderId="14" xfId="0" applyFont="1" applyFill="1" applyBorder="1"/>
    <xf numFmtId="186" fontId="26" fillId="0" borderId="16" xfId="43" applyNumberFormat="1" applyFont="1" applyFill="1" applyBorder="1" applyAlignment="1">
      <alignment horizontal="center" vertical="top"/>
    </xf>
    <xf numFmtId="49" fontId="21" fillId="0" borderId="11" xfId="0" applyNumberFormat="1" applyFont="1" applyBorder="1"/>
    <xf numFmtId="0" fontId="39" fillId="0" borderId="14" xfId="0" applyFont="1" applyBorder="1" applyAlignment="1">
      <alignment vertical="top"/>
    </xf>
    <xf numFmtId="0" fontId="22" fillId="17" borderId="11" xfId="0" applyFont="1" applyFill="1" applyBorder="1" applyAlignment="1">
      <alignment horizontal="center" vertical="top"/>
    </xf>
    <xf numFmtId="165" fontId="22" fillId="18" borderId="19" xfId="0" applyNumberFormat="1" applyFont="1" applyFill="1" applyBorder="1"/>
    <xf numFmtId="0" fontId="62" fillId="0" borderId="0" xfId="0" applyFont="1"/>
    <xf numFmtId="0" fontId="22" fillId="21" borderId="16" xfId="0" applyFont="1" applyFill="1" applyBorder="1"/>
    <xf numFmtId="0" fontId="27" fillId="0" borderId="19" xfId="0" applyFont="1" applyBorder="1" applyAlignment="1">
      <alignment horizontal="center"/>
    </xf>
    <xf numFmtId="0" fontId="63" fillId="0" borderId="0" xfId="0" applyFont="1" applyAlignment="1">
      <alignment vertical="top"/>
    </xf>
    <xf numFmtId="0" fontId="64" fillId="0" borderId="0" xfId="0" applyFont="1" applyAlignment="1">
      <alignment horizontal="center" vertical="center"/>
    </xf>
    <xf numFmtId="0" fontId="56" fillId="0" borderId="14" xfId="39" applyFont="1" applyBorder="1" applyAlignment="1">
      <alignment horizontal="left" vertical="top" wrapText="1"/>
    </xf>
    <xf numFmtId="171" fontId="21" fillId="18" borderId="19" xfId="0" applyNumberFormat="1" applyFont="1" applyFill="1" applyBorder="1" applyAlignment="1">
      <alignment horizontal="center" vertical="top"/>
    </xf>
    <xf numFmtId="0" fontId="21" fillId="0" borderId="11" xfId="0" applyFont="1" applyBorder="1" applyAlignment="1">
      <alignment vertical="top"/>
    </xf>
    <xf numFmtId="0" fontId="27" fillId="0" borderId="0" xfId="0" applyFont="1" applyAlignment="1">
      <alignment vertical="center"/>
    </xf>
    <xf numFmtId="165" fontId="21" fillId="18" borderId="11" xfId="0" applyNumberFormat="1" applyFont="1" applyFill="1" applyBorder="1"/>
    <xf numFmtId="0" fontId="31" fillId="19" borderId="10" xfId="0" applyFont="1" applyFill="1" applyBorder="1" applyAlignment="1">
      <alignment horizontal="center" vertical="center"/>
    </xf>
    <xf numFmtId="49" fontId="35" fillId="0" borderId="0" xfId="0" applyNumberFormat="1" applyFont="1"/>
    <xf numFmtId="0" fontId="27" fillId="0" borderId="35" xfId="0" applyFont="1" applyBorder="1" applyAlignment="1" applyProtection="1">
      <alignment horizontal="center" vertical="top"/>
      <protection locked="0"/>
    </xf>
    <xf numFmtId="0" fontId="50" fillId="17" borderId="14" xfId="0" applyFont="1" applyFill="1" applyBorder="1" applyAlignment="1">
      <alignment vertical="top" wrapText="1"/>
    </xf>
    <xf numFmtId="0" fontId="22" fillId="14" borderId="14" xfId="0" applyFont="1" applyFill="1" applyBorder="1" applyAlignment="1">
      <alignment vertical="top" wrapText="1"/>
    </xf>
    <xf numFmtId="173" fontId="42" fillId="22" borderId="10" xfId="0" applyNumberFormat="1" applyFont="1" applyFill="1" applyBorder="1" applyAlignment="1">
      <alignment horizontal="center" vertical="top"/>
    </xf>
    <xf numFmtId="171" fontId="21" fillId="0" borderId="14" xfId="0" applyNumberFormat="1" applyFont="1" applyBorder="1" applyAlignment="1">
      <alignment horizontal="right"/>
    </xf>
    <xf numFmtId="0" fontId="27" fillId="17" borderId="14" xfId="0" applyFont="1" applyFill="1" applyBorder="1" applyAlignment="1">
      <alignment vertical="top"/>
    </xf>
    <xf numFmtId="167" fontId="22" fillId="17" borderId="14" xfId="0" applyNumberFormat="1" applyFont="1" applyFill="1" applyBorder="1" applyAlignment="1">
      <alignment horizontal="center" vertical="top"/>
    </xf>
    <xf numFmtId="177" fontId="27" fillId="0" borderId="0" xfId="0" applyNumberFormat="1" applyFont="1" applyAlignment="1">
      <alignment horizontal="center"/>
    </xf>
    <xf numFmtId="0" fontId="33" fillId="23" borderId="10" xfId="0" applyFont="1" applyFill="1" applyBorder="1" applyAlignment="1">
      <alignment horizontal="center" vertical="center"/>
    </xf>
    <xf numFmtId="0" fontId="27" fillId="14" borderId="0" xfId="0" quotePrefix="1" applyFont="1" applyFill="1"/>
    <xf numFmtId="0" fontId="22" fillId="14" borderId="17" xfId="0" applyFont="1" applyFill="1" applyBorder="1" applyAlignment="1">
      <alignment horizontal="center"/>
    </xf>
    <xf numFmtId="0" fontId="51" fillId="0" borderId="0" xfId="0" applyFont="1" applyAlignment="1">
      <alignment horizontal="center" vertical="center"/>
    </xf>
    <xf numFmtId="165" fontId="39" fillId="0" borderId="14" xfId="0" applyNumberFormat="1" applyFont="1" applyBorder="1" applyAlignment="1">
      <alignment vertical="top"/>
    </xf>
    <xf numFmtId="0" fontId="26" fillId="14" borderId="10" xfId="0" applyFont="1" applyFill="1" applyBorder="1" applyAlignment="1">
      <alignment horizontal="left" vertical="center" wrapText="1"/>
    </xf>
    <xf numFmtId="2" fontId="44" fillId="0" borderId="0" xfId="0" applyNumberFormat="1" applyFont="1" applyAlignment="1">
      <alignment horizontal="center"/>
    </xf>
    <xf numFmtId="0" fontId="27" fillId="17" borderId="14" xfId="0" applyFont="1" applyFill="1" applyBorder="1"/>
    <xf numFmtId="165" fontId="22" fillId="17" borderId="11" xfId="0" applyNumberFormat="1" applyFont="1" applyFill="1" applyBorder="1" applyAlignment="1">
      <alignment horizontal="center"/>
    </xf>
    <xf numFmtId="187" fontId="22" fillId="0" borderId="12" xfId="0" applyNumberFormat="1" applyFont="1" applyBorder="1" applyAlignment="1">
      <alignment horizontal="right" vertical="top"/>
    </xf>
    <xf numFmtId="0" fontId="42" fillId="22" borderId="10" xfId="0" applyFont="1" applyFill="1" applyBorder="1" applyAlignment="1">
      <alignment horizontal="center" vertical="top"/>
    </xf>
    <xf numFmtId="0" fontId="26" fillId="0" borderId="0" xfId="0" applyFont="1" applyAlignment="1">
      <alignment horizontal="center"/>
    </xf>
    <xf numFmtId="49" fontId="22" fillId="0" borderId="36" xfId="0" applyNumberFormat="1" applyFont="1" applyBorder="1" applyAlignment="1">
      <alignment horizontal="right" vertical="top" wrapText="1"/>
    </xf>
    <xf numFmtId="49" fontId="26" fillId="0" borderId="14" xfId="0" applyNumberFormat="1" applyFont="1" applyBorder="1" applyAlignment="1">
      <alignment horizontal="center" vertical="top"/>
    </xf>
    <xf numFmtId="173" fontId="22" fillId="17" borderId="14" xfId="0" applyNumberFormat="1" applyFont="1" applyFill="1" applyBorder="1" applyAlignment="1">
      <alignment vertical="top"/>
    </xf>
    <xf numFmtId="0" fontId="26" fillId="0" borderId="37" xfId="0" applyFont="1" applyBorder="1" applyAlignment="1">
      <alignment horizontal="right" vertical="top"/>
    </xf>
    <xf numFmtId="0" fontId="23" fillId="0" borderId="14" xfId="39" applyFont="1" applyBorder="1"/>
    <xf numFmtId="172" fontId="21" fillId="0" borderId="14" xfId="0" applyNumberFormat="1" applyFont="1" applyBorder="1" applyAlignment="1">
      <alignment vertical="top"/>
    </xf>
    <xf numFmtId="49" fontId="22" fillId="0" borderId="0" xfId="0" applyNumberFormat="1" applyFont="1" applyAlignment="1">
      <alignment horizontal="center"/>
    </xf>
    <xf numFmtId="177" fontId="23" fillId="0" borderId="30" xfId="0" applyNumberFormat="1" applyFont="1" applyBorder="1" applyAlignment="1">
      <alignment horizontal="center" vertical="top" wrapText="1"/>
    </xf>
    <xf numFmtId="167" fontId="22" fillId="14" borderId="11" xfId="0" applyNumberFormat="1" applyFont="1" applyFill="1" applyBorder="1" applyAlignment="1">
      <alignment vertical="top"/>
    </xf>
    <xf numFmtId="171" fontId="38" fillId="0" borderId="14" xfId="0" applyNumberFormat="1" applyFont="1" applyBorder="1" applyAlignment="1">
      <alignment horizontal="center" vertical="top"/>
    </xf>
    <xf numFmtId="0" fontId="54" fillId="14" borderId="0" xfId="0" applyFont="1" applyFill="1"/>
    <xf numFmtId="0" fontId="44" fillId="0" borderId="10" xfId="0" applyFont="1" applyBorder="1" applyAlignment="1">
      <alignment horizontal="center" vertical="center"/>
    </xf>
    <xf numFmtId="0" fontId="27" fillId="0" borderId="14" xfId="0" applyFont="1" applyBorder="1" applyAlignment="1">
      <alignment horizontal="justify" vertical="top" wrapText="1"/>
    </xf>
    <xf numFmtId="165" fontId="21" fillId="0" borderId="11" xfId="0" applyNumberFormat="1" applyFont="1" applyBorder="1"/>
    <xf numFmtId="0" fontId="1" fillId="0" borderId="0" xfId="0" applyFont="1" applyAlignment="1">
      <alignment horizontal="center"/>
    </xf>
    <xf numFmtId="0" fontId="26" fillId="24" borderId="38" xfId="0" applyFont="1" applyFill="1" applyBorder="1" applyAlignment="1">
      <alignment horizontal="center" vertical="center" wrapText="1"/>
    </xf>
    <xf numFmtId="173" fontId="21" fillId="0" borderId="19" xfId="0" applyNumberFormat="1" applyFont="1" applyBorder="1" applyAlignment="1">
      <alignment horizontal="right" vertical="top"/>
    </xf>
    <xf numFmtId="0" fontId="24" fillId="17" borderId="14" xfId="0" applyFont="1" applyFill="1" applyBorder="1" applyAlignment="1">
      <alignment horizontal="left" vertical="top" wrapText="1"/>
    </xf>
    <xf numFmtId="0" fontId="22" fillId="0" borderId="39" xfId="0" applyFont="1" applyBorder="1"/>
    <xf numFmtId="49" fontId="22" fillId="0" borderId="15" xfId="0" applyNumberFormat="1" applyFont="1" applyBorder="1"/>
    <xf numFmtId="0" fontId="27" fillId="0" borderId="0" xfId="0" applyFont="1"/>
    <xf numFmtId="183" fontId="39" fillId="25" borderId="14" xfId="43" applyNumberFormat="1" applyFont="1" applyFill="1" applyBorder="1"/>
    <xf numFmtId="49" fontId="65" fillId="14" borderId="19" xfId="0" applyNumberFormat="1" applyFont="1" applyFill="1" applyBorder="1" applyAlignment="1">
      <alignment vertical="top"/>
    </xf>
    <xf numFmtId="49" fontId="27" fillId="0" borderId="17" xfId="0" applyNumberFormat="1" applyFont="1" applyBorder="1" applyAlignment="1">
      <alignment horizontal="center" vertical="top" wrapText="1"/>
    </xf>
    <xf numFmtId="173" fontId="24" fillId="17" borderId="14" xfId="0" applyNumberFormat="1" applyFont="1" applyFill="1" applyBorder="1" applyAlignment="1">
      <alignment vertical="top"/>
    </xf>
    <xf numFmtId="0" fontId="1" fillId="0" borderId="15" xfId="0" applyFont="1" applyBorder="1"/>
    <xf numFmtId="0" fontId="56" fillId="0" borderId="14" xfId="39" applyFont="1" applyBorder="1"/>
    <xf numFmtId="0" fontId="27" fillId="14" borderId="19" xfId="0" applyFont="1" applyFill="1" applyBorder="1" applyAlignment="1">
      <alignment horizontal="left"/>
    </xf>
    <xf numFmtId="0" fontId="23" fillId="0" borderId="40" xfId="0" applyFont="1" applyBorder="1" applyAlignment="1" applyProtection="1">
      <alignment horizontal="center" vertical="top"/>
      <protection locked="0"/>
    </xf>
    <xf numFmtId="49" fontId="42" fillId="0" borderId="0" xfId="0" applyNumberFormat="1" applyFont="1" applyAlignment="1">
      <alignment horizontal="center"/>
    </xf>
    <xf numFmtId="167" fontId="24" fillId="0" borderId="18" xfId="0" applyNumberFormat="1" applyFont="1" applyBorder="1" applyAlignment="1" applyProtection="1">
      <alignment vertical="top" wrapText="1"/>
      <protection locked="0"/>
    </xf>
    <xf numFmtId="184" fontId="20" fillId="27" borderId="10" xfId="0" applyNumberFormat="1" applyFont="1" applyFill="1" applyBorder="1" applyAlignment="1">
      <alignment horizontal="center"/>
    </xf>
    <xf numFmtId="186" fontId="20" fillId="0" borderId="10" xfId="0" applyNumberFormat="1" applyFont="1" applyBorder="1"/>
    <xf numFmtId="0" fontId="24" fillId="17" borderId="14" xfId="0" applyFont="1" applyFill="1" applyBorder="1" applyAlignment="1">
      <alignment vertical="top"/>
    </xf>
    <xf numFmtId="0" fontId="22" fillId="14" borderId="11" xfId="0" applyFont="1" applyFill="1" applyBorder="1" applyAlignment="1">
      <alignment vertical="top"/>
    </xf>
    <xf numFmtId="49" fontId="66" fillId="0" borderId="0" xfId="0" applyNumberFormat="1" applyFont="1"/>
    <xf numFmtId="0" fontId="39" fillId="14" borderId="0" xfId="0" applyFont="1" applyFill="1"/>
    <xf numFmtId="0" fontId="31" fillId="0" borderId="38" xfId="0" applyFont="1" applyBorder="1"/>
    <xf numFmtId="167" fontId="22" fillId="0" borderId="18" xfId="0" applyNumberFormat="1" applyFont="1" applyBorder="1" applyAlignment="1" applyProtection="1">
      <alignment vertical="top" wrapText="1"/>
      <protection locked="0"/>
    </xf>
    <xf numFmtId="0" fontId="21" fillId="0" borderId="0" xfId="39" applyFont="1"/>
    <xf numFmtId="0" fontId="22" fillId="17" borderId="14" xfId="0" applyFont="1" applyFill="1" applyBorder="1" applyAlignment="1">
      <alignment vertical="top"/>
    </xf>
    <xf numFmtId="177" fontId="20" fillId="0" borderId="0" xfId="0" applyNumberFormat="1" applyFont="1" applyAlignment="1">
      <alignment horizontal="center" vertical="center"/>
    </xf>
    <xf numFmtId="49" fontId="42" fillId="0" borderId="15" xfId="0" applyNumberFormat="1" applyFont="1" applyBorder="1"/>
    <xf numFmtId="0" fontId="27" fillId="21" borderId="16" xfId="0" applyFont="1" applyFill="1" applyBorder="1" applyAlignment="1">
      <alignment horizontal="center"/>
    </xf>
    <xf numFmtId="0" fontId="20" fillId="0" borderId="0" xfId="0" applyFont="1" applyAlignment="1">
      <alignment horizontal="center"/>
    </xf>
    <xf numFmtId="0" fontId="1" fillId="0" borderId="0" xfId="0" applyFont="1"/>
    <xf numFmtId="0" fontId="26" fillId="22" borderId="10" xfId="0" applyFont="1" applyFill="1" applyBorder="1" applyAlignment="1">
      <alignment horizontal="center" vertical="top"/>
    </xf>
    <xf numFmtId="0" fontId="22" fillId="17" borderId="14" xfId="0" applyFont="1" applyFill="1" applyBorder="1"/>
    <xf numFmtId="165" fontId="32" fillId="0" borderId="10" xfId="39" applyNumberFormat="1" applyFont="1" applyBorder="1" applyAlignment="1">
      <alignment horizontal="right"/>
    </xf>
    <xf numFmtId="0" fontId="39" fillId="0" borderId="11" xfId="39" applyFont="1" applyBorder="1" applyAlignment="1">
      <alignment horizontal="center"/>
    </xf>
    <xf numFmtId="184" fontId="20" fillId="0" borderId="10" xfId="0" applyNumberFormat="1" applyFont="1" applyBorder="1" applyAlignment="1">
      <alignment horizontal="center" vertical="center"/>
    </xf>
    <xf numFmtId="0" fontId="38" fillId="0" borderId="10" xfId="0" applyFont="1" applyBorder="1" applyAlignment="1">
      <alignment horizontal="center" vertical="center" wrapText="1"/>
    </xf>
    <xf numFmtId="3" fontId="20" fillId="0" borderId="0" xfId="0" applyNumberFormat="1" applyFont="1" applyAlignment="1">
      <alignment horizontal="center" vertical="center"/>
    </xf>
    <xf numFmtId="0" fontId="22" fillId="17" borderId="11" xfId="0" applyFont="1" applyFill="1" applyBorder="1" applyAlignment="1">
      <alignment vertical="top" wrapText="1"/>
    </xf>
    <xf numFmtId="177" fontId="26" fillId="0" borderId="10" xfId="0" applyNumberFormat="1" applyFont="1" applyBorder="1" applyAlignment="1">
      <alignment horizontal="center" vertical="center" wrapText="1"/>
    </xf>
    <xf numFmtId="165" fontId="22" fillId="18" borderId="14" xfId="0" applyNumberFormat="1" applyFont="1" applyFill="1" applyBorder="1"/>
    <xf numFmtId="188" fontId="39" fillId="0" borderId="14" xfId="0" applyNumberFormat="1" applyFont="1" applyBorder="1" applyAlignment="1">
      <alignment vertical="top"/>
    </xf>
    <xf numFmtId="0" fontId="21" fillId="0" borderId="19" xfId="0" applyFont="1" applyBorder="1" applyAlignment="1">
      <alignment horizontal="right" vertical="top"/>
    </xf>
    <xf numFmtId="0" fontId="21" fillId="0" borderId="19" xfId="0" applyFont="1" applyBorder="1" applyAlignment="1">
      <alignment horizontal="left"/>
    </xf>
    <xf numFmtId="173" fontId="34" fillId="17" borderId="14" xfId="0" applyNumberFormat="1" applyFont="1" applyFill="1" applyBorder="1" applyAlignment="1">
      <alignment vertical="top"/>
    </xf>
    <xf numFmtId="0" fontId="24" fillId="14" borderId="11" xfId="0" applyFont="1" applyFill="1" applyBorder="1" applyAlignment="1">
      <alignment vertical="top"/>
    </xf>
    <xf numFmtId="187" fontId="67" fillId="0" borderId="31" xfId="0" applyNumberFormat="1" applyFont="1" applyBorder="1" applyAlignment="1">
      <alignment horizontal="right"/>
    </xf>
    <xf numFmtId="171" fontId="21" fillId="18" borderId="14" xfId="0" applyNumberFormat="1" applyFont="1" applyFill="1" applyBorder="1" applyAlignment="1">
      <alignment horizontal="center" vertical="top"/>
    </xf>
    <xf numFmtId="172" fontId="50" fillId="17" borderId="14" xfId="0" applyNumberFormat="1" applyFont="1" applyFill="1" applyBorder="1" applyAlignment="1">
      <alignment vertical="top"/>
    </xf>
    <xf numFmtId="0" fontId="21" fillId="0" borderId="0" xfId="0" applyFont="1" applyAlignment="1">
      <alignment vertical="top"/>
    </xf>
    <xf numFmtId="176" fontId="22" fillId="18" borderId="19" xfId="0" applyNumberFormat="1" applyFont="1" applyFill="1" applyBorder="1"/>
    <xf numFmtId="3" fontId="27" fillId="0" borderId="16" xfId="0" applyNumberFormat="1" applyFont="1" applyBorder="1"/>
    <xf numFmtId="180" fontId="22" fillId="17" borderId="14" xfId="0" applyNumberFormat="1" applyFont="1" applyFill="1" applyBorder="1" applyAlignment="1">
      <alignment vertical="top"/>
    </xf>
    <xf numFmtId="0" fontId="21" fillId="0" borderId="0" xfId="0" applyFont="1"/>
    <xf numFmtId="0" fontId="22" fillId="0" borderId="36" xfId="0" applyFont="1" applyBorder="1"/>
    <xf numFmtId="0" fontId="20" fillId="19" borderId="10" xfId="0" applyFont="1" applyFill="1" applyBorder="1" applyAlignment="1">
      <alignment horizontal="center"/>
    </xf>
    <xf numFmtId="0" fontId="22" fillId="0" borderId="0" xfId="0" applyFont="1"/>
    <xf numFmtId="0" fontId="33" fillId="0" borderId="10" xfId="0" applyFont="1" applyBorder="1" applyAlignment="1">
      <alignment horizontal="center" vertical="center"/>
    </xf>
    <xf numFmtId="0" fontId="34" fillId="17" borderId="14" xfId="0" applyFont="1" applyFill="1" applyBorder="1" applyAlignment="1">
      <alignment horizontal="left" vertical="top" wrapText="1"/>
    </xf>
    <xf numFmtId="0" fontId="38" fillId="0" borderId="19" xfId="0" applyFont="1" applyBorder="1" applyAlignment="1">
      <alignment vertical="top"/>
    </xf>
    <xf numFmtId="2" fontId="44" fillId="27" borderId="10" xfId="0" applyNumberFormat="1" applyFont="1" applyFill="1" applyBorder="1" applyAlignment="1">
      <alignment horizontal="center"/>
    </xf>
    <xf numFmtId="0" fontId="22" fillId="0" borderId="12" xfId="0" applyFont="1" applyBorder="1" applyAlignment="1">
      <alignment horizontal="left" vertical="top"/>
    </xf>
    <xf numFmtId="49" fontId="34" fillId="0" borderId="14" xfId="0" applyNumberFormat="1" applyFont="1" applyBorder="1" applyAlignment="1">
      <alignment vertical="top"/>
    </xf>
    <xf numFmtId="181" fontId="29" fillId="0" borderId="18" xfId="0" applyNumberFormat="1" applyFont="1" applyBorder="1" applyAlignment="1" applyProtection="1">
      <alignment horizontal="right" vertical="top" wrapText="1"/>
      <protection locked="0"/>
    </xf>
    <xf numFmtId="0" fontId="38" fillId="0" borderId="11" xfId="0" applyFont="1" applyBorder="1" applyAlignment="1">
      <alignment horizontal="center" vertical="top"/>
    </xf>
    <xf numFmtId="49" fontId="26" fillId="0" borderId="0" xfId="0" applyNumberFormat="1" applyFont="1" applyAlignment="1">
      <alignment horizontal="center" vertical="center"/>
    </xf>
    <xf numFmtId="0" fontId="1" fillId="0" borderId="42" xfId="0" applyFont="1" applyBorder="1"/>
    <xf numFmtId="0" fontId="54" fillId="0" borderId="0" xfId="0" applyFont="1" applyAlignment="1">
      <alignment horizontal="centerContinuous" vertical="center"/>
    </xf>
    <xf numFmtId="0" fontId="21" fillId="20" borderId="10" xfId="0" applyFont="1" applyFill="1" applyBorder="1" applyAlignment="1">
      <alignment horizontal="center" vertical="center"/>
    </xf>
    <xf numFmtId="0" fontId="59" fillId="0" borderId="0" xfId="0" applyFont="1" applyAlignment="1">
      <alignment horizontal="center"/>
    </xf>
    <xf numFmtId="165" fontId="22" fillId="14" borderId="11" xfId="0" applyNumberFormat="1" applyFont="1" applyFill="1" applyBorder="1" applyAlignment="1">
      <alignment vertical="top"/>
    </xf>
    <xf numFmtId="0" fontId="29" fillId="17" borderId="10" xfId="0" applyFont="1" applyFill="1" applyBorder="1" applyAlignment="1">
      <alignment horizontal="center"/>
    </xf>
    <xf numFmtId="0" fontId="34" fillId="17" borderId="14" xfId="0" applyFont="1" applyFill="1" applyBorder="1" applyAlignment="1">
      <alignment vertical="top"/>
    </xf>
    <xf numFmtId="2" fontId="44" fillId="0" borderId="10" xfId="0" applyNumberFormat="1" applyFont="1" applyBorder="1" applyAlignment="1">
      <alignment horizontal="center" vertical="center"/>
    </xf>
    <xf numFmtId="0" fontId="27" fillId="0" borderId="29" xfId="0" applyFont="1" applyBorder="1" applyAlignment="1">
      <alignment horizontal="center"/>
    </xf>
    <xf numFmtId="2" fontId="31" fillId="0" borderId="38" xfId="0" applyNumberFormat="1" applyFont="1" applyBorder="1"/>
    <xf numFmtId="0" fontId="51" fillId="0" borderId="0" xfId="0" applyFont="1" applyAlignment="1">
      <alignment vertical="top"/>
    </xf>
    <xf numFmtId="0" fontId="27" fillId="16" borderId="16" xfId="0" applyFont="1" applyFill="1" applyBorder="1" applyAlignment="1">
      <alignment horizontal="center"/>
    </xf>
    <xf numFmtId="0" fontId="22" fillId="18" borderId="11" xfId="0" applyFont="1" applyFill="1" applyBorder="1" applyAlignment="1">
      <alignment horizontal="center"/>
    </xf>
    <xf numFmtId="0" fontId="29" fillId="0" borderId="10" xfId="0" applyFont="1" applyBorder="1" applyAlignment="1">
      <alignment horizontal="center" vertical="top"/>
    </xf>
    <xf numFmtId="0" fontId="37" fillId="0" borderId="0" xfId="0" applyFont="1" applyAlignment="1">
      <alignment vertical="center" wrapText="1"/>
    </xf>
    <xf numFmtId="173" fontId="21" fillId="0" borderId="14" xfId="0" applyNumberFormat="1" applyFont="1" applyBorder="1" applyAlignment="1">
      <alignment horizontal="right" vertical="top"/>
    </xf>
    <xf numFmtId="49" fontId="42" fillId="0" borderId="42" xfId="0" applyNumberFormat="1" applyFont="1" applyBorder="1"/>
    <xf numFmtId="0" fontId="32" fillId="0" borderId="10" xfId="39" applyFont="1" applyBorder="1" applyAlignment="1">
      <alignment horizontal="left" vertical="top" wrapText="1"/>
    </xf>
    <xf numFmtId="0" fontId="23" fillId="0" borderId="19" xfId="39" applyFont="1" applyBorder="1" applyAlignment="1">
      <alignment horizontal="center"/>
    </xf>
    <xf numFmtId="0" fontId="31" fillId="0" borderId="10" xfId="0" applyFont="1" applyBorder="1" applyAlignment="1">
      <alignment horizontal="center"/>
    </xf>
    <xf numFmtId="0" fontId="26" fillId="0" borderId="17" xfId="0" applyFont="1" applyBorder="1" applyAlignment="1">
      <alignment horizontal="center" vertical="top"/>
    </xf>
    <xf numFmtId="49" fontId="65" fillId="14" borderId="14" xfId="0" applyNumberFormat="1" applyFont="1" applyFill="1" applyBorder="1" applyAlignment="1">
      <alignment vertical="top"/>
    </xf>
    <xf numFmtId="0" fontId="21" fillId="0" borderId="14" xfId="0" applyFont="1" applyBorder="1" applyAlignment="1">
      <alignment horizontal="right" vertical="top"/>
    </xf>
    <xf numFmtId="0" fontId="21" fillId="0" borderId="14" xfId="0" applyFont="1" applyBorder="1" applyAlignment="1">
      <alignment horizontal="left"/>
    </xf>
    <xf numFmtId="177" fontId="26" fillId="0" borderId="0" xfId="0" applyNumberFormat="1" applyFont="1" applyAlignment="1">
      <alignment horizontal="center"/>
    </xf>
    <xf numFmtId="0" fontId="27" fillId="21" borderId="19" xfId="0" applyFont="1" applyFill="1" applyBorder="1"/>
    <xf numFmtId="0" fontId="27" fillId="14" borderId="14" xfId="0" applyFont="1" applyFill="1" applyBorder="1" applyAlignment="1">
      <alignment horizontal="left"/>
    </xf>
    <xf numFmtId="172" fontId="24" fillId="17" borderId="11" xfId="0" applyNumberFormat="1" applyFont="1" applyFill="1" applyBorder="1" applyAlignment="1">
      <alignment vertical="top"/>
    </xf>
    <xf numFmtId="0" fontId="22" fillId="17" borderId="19" xfId="0" applyFont="1" applyFill="1" applyBorder="1" applyAlignment="1">
      <alignment horizontal="center"/>
    </xf>
    <xf numFmtId="0" fontId="22" fillId="19" borderId="14" xfId="0" applyFont="1" applyFill="1" applyBorder="1"/>
    <xf numFmtId="172" fontId="22" fillId="17" borderId="11" xfId="0" applyNumberFormat="1" applyFont="1" applyFill="1" applyBorder="1" applyAlignment="1">
      <alignment vertical="top"/>
    </xf>
    <xf numFmtId="172" fontId="22" fillId="17" borderId="11" xfId="0" applyNumberFormat="1" applyFont="1" applyFill="1" applyBorder="1"/>
    <xf numFmtId="0" fontId="22" fillId="0" borderId="14" xfId="0" quotePrefix="1" applyFont="1" applyBorder="1" applyAlignment="1">
      <alignment horizontal="center"/>
    </xf>
    <xf numFmtId="0" fontId="42" fillId="24" borderId="10" xfId="0" applyFont="1" applyFill="1" applyBorder="1" applyAlignment="1">
      <alignment horizontal="center" vertical="center" wrapText="1"/>
    </xf>
    <xf numFmtId="177" fontId="44" fillId="27" borderId="10" xfId="0" applyNumberFormat="1" applyFont="1" applyFill="1" applyBorder="1" applyAlignment="1">
      <alignment horizontal="center"/>
    </xf>
    <xf numFmtId="49" fontId="54" fillId="0" borderId="0" xfId="0" applyNumberFormat="1" applyFont="1"/>
    <xf numFmtId="0" fontId="0" fillId="14" borderId="0" xfId="0" applyFill="1"/>
    <xf numFmtId="165" fontId="21" fillId="0" borderId="14" xfId="0" applyNumberFormat="1" applyFont="1" applyBorder="1" applyAlignment="1">
      <alignment horizontal="right"/>
    </xf>
    <xf numFmtId="171" fontId="69" fillId="0" borderId="19" xfId="0" applyNumberFormat="1" applyFont="1" applyBorder="1" applyAlignment="1">
      <alignment horizontal="right"/>
    </xf>
    <xf numFmtId="49" fontId="26" fillId="0" borderId="17" xfId="0" applyNumberFormat="1" applyFont="1" applyBorder="1" applyAlignment="1">
      <alignment horizontal="center" vertical="top" wrapText="1"/>
    </xf>
    <xf numFmtId="0" fontId="22" fillId="16" borderId="39" xfId="0" applyFont="1" applyFill="1" applyBorder="1"/>
    <xf numFmtId="173" fontId="21" fillId="0" borderId="19" xfId="0" applyNumberFormat="1" applyFont="1" applyBorder="1" applyAlignment="1">
      <alignment vertical="top"/>
    </xf>
    <xf numFmtId="0" fontId="44" fillId="0" borderId="10" xfId="0" applyFont="1" applyBorder="1"/>
    <xf numFmtId="0" fontId="22" fillId="0" borderId="31" xfId="0" applyFont="1" applyBorder="1" applyAlignment="1">
      <alignment horizontal="center" vertical="center" wrapText="1"/>
    </xf>
    <xf numFmtId="186" fontId="27" fillId="0" borderId="14" xfId="43" applyNumberFormat="1" applyFont="1" applyFill="1" applyBorder="1" applyAlignment="1">
      <alignment horizontal="center" vertical="top"/>
    </xf>
    <xf numFmtId="49" fontId="22" fillId="0" borderId="31" xfId="0" applyNumberFormat="1" applyFont="1" applyBorder="1" applyAlignment="1">
      <alignment horizontal="center"/>
    </xf>
    <xf numFmtId="176" fontId="22" fillId="18" borderId="14" xfId="0" applyNumberFormat="1" applyFont="1" applyFill="1" applyBorder="1"/>
    <xf numFmtId="0" fontId="39" fillId="0" borderId="14" xfId="0" applyFont="1" applyBorder="1" applyAlignment="1">
      <alignment horizontal="center" vertical="top"/>
    </xf>
    <xf numFmtId="177" fontId="44" fillId="0" borderId="10" xfId="0" applyNumberFormat="1" applyFont="1" applyBorder="1" applyAlignment="1">
      <alignment horizontal="center" vertical="center"/>
    </xf>
    <xf numFmtId="0" fontId="51" fillId="0" borderId="0" xfId="0" applyFont="1" applyAlignment="1">
      <alignment horizontal="centerContinuous" vertical="center"/>
    </xf>
    <xf numFmtId="0" fontId="32" fillId="0" borderId="10" xfId="39" applyFont="1" applyBorder="1"/>
    <xf numFmtId="0" fontId="31" fillId="0" borderId="22" xfId="0" applyFont="1" applyBorder="1"/>
    <xf numFmtId="182" fontId="24" fillId="18" borderId="14" xfId="0" applyNumberFormat="1" applyFont="1" applyFill="1" applyBorder="1" applyAlignment="1">
      <alignment horizontal="right" vertical="top"/>
    </xf>
    <xf numFmtId="0" fontId="31" fillId="0" borderId="10" xfId="0" applyFont="1" applyBorder="1" applyAlignment="1">
      <alignment horizontal="center" vertical="center" wrapText="1"/>
    </xf>
    <xf numFmtId="0" fontId="37" fillId="19" borderId="10" xfId="0" applyFont="1" applyFill="1" applyBorder="1" applyAlignment="1">
      <alignment horizontal="center"/>
    </xf>
    <xf numFmtId="0" fontId="21" fillId="0" borderId="19" xfId="0" applyFont="1" applyBorder="1" applyAlignment="1">
      <alignment vertical="top"/>
    </xf>
    <xf numFmtId="0" fontId="38" fillId="0" borderId="14" xfId="0" applyFont="1" applyBorder="1" applyAlignment="1">
      <alignment vertical="top"/>
    </xf>
    <xf numFmtId="0" fontId="23" fillId="0" borderId="14" xfId="39" applyFont="1" applyBorder="1" applyAlignment="1">
      <alignment horizontal="center"/>
    </xf>
    <xf numFmtId="167" fontId="22" fillId="14" borderId="19" xfId="0" applyNumberFormat="1" applyFont="1" applyFill="1" applyBorder="1" applyAlignment="1">
      <alignment horizontal="center" vertical="top"/>
    </xf>
    <xf numFmtId="0" fontId="26" fillId="0" borderId="14" xfId="0" applyFont="1" applyBorder="1" applyAlignment="1">
      <alignment horizontal="justify" vertical="top" wrapText="1"/>
    </xf>
    <xf numFmtId="0" fontId="21" fillId="0" borderId="19" xfId="0" applyFont="1" applyBorder="1"/>
    <xf numFmtId="49" fontId="27" fillId="17" borderId="0" xfId="0" applyNumberFormat="1" applyFont="1" applyFill="1"/>
    <xf numFmtId="0" fontId="33" fillId="0" borderId="11" xfId="0" applyFont="1" applyBorder="1" applyAlignment="1">
      <alignment vertical="top"/>
    </xf>
    <xf numFmtId="0" fontId="21" fillId="0" borderId="11" xfId="0" applyFont="1" applyBorder="1" applyAlignment="1">
      <alignment horizontal="center" vertical="top"/>
    </xf>
    <xf numFmtId="0" fontId="27" fillId="14" borderId="19" xfId="0" applyFont="1" applyFill="1" applyBorder="1"/>
    <xf numFmtId="0" fontId="29" fillId="0" borderId="14" xfId="0" applyFont="1" applyBorder="1"/>
    <xf numFmtId="0" fontId="38" fillId="0" borderId="11" xfId="0" applyFont="1" applyBorder="1" applyAlignment="1">
      <alignment vertical="top" wrapText="1"/>
    </xf>
    <xf numFmtId="179" fontId="21" fillId="0" borderId="11" xfId="0" applyNumberFormat="1" applyFont="1" applyBorder="1" applyAlignment="1">
      <alignment horizontal="right"/>
    </xf>
    <xf numFmtId="0" fontId="22" fillId="0" borderId="31" xfId="0" applyFont="1" applyBorder="1" applyAlignment="1">
      <alignment horizontal="center" vertical="top"/>
    </xf>
    <xf numFmtId="0" fontId="27" fillId="0" borderId="39" xfId="0" applyFont="1" applyBorder="1" applyAlignment="1">
      <alignment horizontal="center"/>
    </xf>
    <xf numFmtId="0" fontId="42" fillId="0" borderId="31" xfId="0" applyFont="1" applyBorder="1" applyAlignment="1">
      <alignment horizontal="center" vertical="center" wrapText="1"/>
    </xf>
    <xf numFmtId="0" fontId="30" fillId="0" borderId="0" xfId="0" applyFont="1" applyAlignment="1">
      <alignment horizontal="left" vertical="top" wrapText="1"/>
    </xf>
    <xf numFmtId="0" fontId="59" fillId="0" borderId="0" xfId="0" applyFont="1" applyAlignment="1">
      <alignment wrapText="1"/>
    </xf>
    <xf numFmtId="0" fontId="26" fillId="24" borderId="10" xfId="0" applyFont="1" applyFill="1" applyBorder="1" applyAlignment="1">
      <alignment horizontal="center" vertical="center" wrapText="1"/>
    </xf>
    <xf numFmtId="171" fontId="29" fillId="17" borderId="10" xfId="0" applyNumberFormat="1" applyFont="1" applyFill="1" applyBorder="1" applyAlignment="1">
      <alignment vertical="top"/>
    </xf>
    <xf numFmtId="0" fontId="26" fillId="0" borderId="14" xfId="0" applyFont="1" applyBorder="1" applyAlignment="1">
      <alignment horizontal="right" vertical="center"/>
    </xf>
    <xf numFmtId="177" fontId="20" fillId="0" borderId="0" xfId="0" applyNumberFormat="1" applyFont="1"/>
    <xf numFmtId="0" fontId="29" fillId="0" borderId="10" xfId="0" applyFont="1" applyBorder="1" applyAlignment="1">
      <alignment vertical="top" wrapText="1"/>
    </xf>
    <xf numFmtId="0" fontId="56" fillId="0" borderId="14" xfId="39" applyFont="1" applyBorder="1" applyAlignment="1">
      <alignment horizontal="center"/>
    </xf>
    <xf numFmtId="171" fontId="22" fillId="18" borderId="11" xfId="0" applyNumberFormat="1" applyFont="1" applyFill="1" applyBorder="1"/>
    <xf numFmtId="0" fontId="31" fillId="27" borderId="10" xfId="0" applyFont="1" applyFill="1" applyBorder="1" applyAlignment="1">
      <alignment horizontal="center" vertical="center"/>
    </xf>
    <xf numFmtId="0" fontId="31" fillId="0" borderId="0" xfId="0" applyFont="1" applyAlignment="1">
      <alignment vertical="center" wrapText="1"/>
    </xf>
    <xf numFmtId="0" fontId="54" fillId="0" borderId="20" xfId="0" applyFont="1" applyBorder="1" applyAlignment="1">
      <alignment horizontal="center"/>
    </xf>
    <xf numFmtId="0" fontId="58" fillId="0" borderId="10" xfId="0" applyFont="1" applyBorder="1" applyAlignment="1">
      <alignment vertical="center" wrapText="1"/>
    </xf>
    <xf numFmtId="0" fontId="27" fillId="14" borderId="0" xfId="0" applyFont="1" applyFill="1"/>
    <xf numFmtId="0" fontId="26" fillId="14" borderId="0" xfId="0" applyFont="1" applyFill="1"/>
    <xf numFmtId="0" fontId="22" fillId="21" borderId="19" xfId="0" applyFont="1" applyFill="1" applyBorder="1"/>
    <xf numFmtId="3" fontId="37" fillId="0" borderId="10" xfId="0" applyNumberFormat="1" applyFont="1" applyBorder="1" applyAlignment="1">
      <alignment horizontal="center" vertical="center"/>
    </xf>
    <xf numFmtId="0" fontId="22" fillId="14" borderId="14" xfId="0" applyFont="1" applyFill="1" applyBorder="1" applyAlignment="1">
      <alignment horizontal="left"/>
    </xf>
    <xf numFmtId="49" fontId="42" fillId="0" borderId="15" xfId="0" applyNumberFormat="1" applyFont="1" applyBorder="1" applyAlignment="1">
      <alignment horizontal="center"/>
    </xf>
    <xf numFmtId="3" fontId="27" fillId="0" borderId="17" xfId="0" applyNumberFormat="1" applyFont="1" applyBorder="1" applyAlignment="1">
      <alignment vertical="top"/>
    </xf>
    <xf numFmtId="0" fontId="22" fillId="17" borderId="14" xfId="0" applyFont="1" applyFill="1" applyBorder="1" applyAlignment="1">
      <alignment horizontal="center"/>
    </xf>
    <xf numFmtId="173" fontId="21" fillId="0" borderId="14" xfId="0" applyNumberFormat="1" applyFont="1" applyBorder="1" applyAlignment="1">
      <alignment vertical="top"/>
    </xf>
    <xf numFmtId="0" fontId="27" fillId="0" borderId="13" xfId="0" applyFont="1" applyBorder="1" applyAlignment="1">
      <alignment horizontal="center" vertical="top" wrapText="1"/>
    </xf>
    <xf numFmtId="0" fontId="42" fillId="14" borderId="10" xfId="0" applyFont="1" applyFill="1" applyBorder="1" applyAlignment="1">
      <alignment horizontal="center" vertical="center" wrapText="1"/>
    </xf>
    <xf numFmtId="177" fontId="20" fillId="19" borderId="10" xfId="0" applyNumberFormat="1" applyFont="1" applyFill="1" applyBorder="1" applyAlignment="1">
      <alignment horizontal="center"/>
    </xf>
    <xf numFmtId="49" fontId="22" fillId="17" borderId="0" xfId="0" applyNumberFormat="1" applyFont="1" applyFill="1"/>
    <xf numFmtId="0" fontId="26" fillId="0" borderId="10" xfId="0" applyFont="1" applyBorder="1" applyAlignment="1">
      <alignment horizontal="center" vertical="center"/>
    </xf>
    <xf numFmtId="176" fontId="22" fillId="18" borderId="19" xfId="0" applyNumberFormat="1" applyFont="1" applyFill="1" applyBorder="1" applyAlignment="1">
      <alignment horizontal="center"/>
    </xf>
    <xf numFmtId="0" fontId="22" fillId="14" borderId="11" xfId="0" applyFont="1" applyFill="1" applyBorder="1" applyAlignment="1">
      <alignment horizontal="center" vertical="top"/>
    </xf>
    <xf numFmtId="0" fontId="22" fillId="0" borderId="39" xfId="0" applyFont="1" applyBorder="1" applyAlignment="1">
      <alignment horizontal="center"/>
    </xf>
    <xf numFmtId="182" fontId="26" fillId="14" borderId="14" xfId="0" applyNumberFormat="1" applyFont="1" applyFill="1" applyBorder="1" applyAlignment="1">
      <alignment horizontal="center"/>
    </xf>
    <xf numFmtId="0" fontId="22" fillId="0" borderId="36" xfId="0" applyFont="1" applyBorder="1" applyAlignment="1">
      <alignment horizontal="center"/>
    </xf>
    <xf numFmtId="0" fontId="27" fillId="14" borderId="0" xfId="0" applyFont="1" applyFill="1" applyAlignment="1">
      <alignment horizontal="center"/>
    </xf>
    <xf numFmtId="49" fontId="27" fillId="0" borderId="0" xfId="0" applyNumberFormat="1" applyFont="1" applyAlignment="1">
      <alignment horizontal="center"/>
    </xf>
    <xf numFmtId="171" fontId="69" fillId="0" borderId="14" xfId="0" applyNumberFormat="1" applyFont="1" applyBorder="1" applyAlignment="1">
      <alignment horizontal="right"/>
    </xf>
    <xf numFmtId="0" fontId="71" fillId="14" borderId="14" xfId="0" applyFont="1" applyFill="1" applyBorder="1"/>
    <xf numFmtId="0" fontId="27" fillId="21" borderId="29" xfId="0" applyFont="1" applyFill="1" applyBorder="1"/>
    <xf numFmtId="0" fontId="22" fillId="0" borderId="27" xfId="0" applyFont="1" applyBorder="1" applyAlignment="1" applyProtection="1">
      <alignment horizontal="center" vertical="top" wrapText="1"/>
      <protection locked="0"/>
    </xf>
    <xf numFmtId="165" fontId="56" fillId="0" borderId="11" xfId="39" applyNumberFormat="1" applyFont="1" applyBorder="1" applyAlignment="1">
      <alignment horizontal="right"/>
    </xf>
    <xf numFmtId="171" fontId="29" fillId="0" borderId="10" xfId="0" applyNumberFormat="1" applyFont="1" applyBorder="1" applyAlignment="1">
      <alignment horizontal="right"/>
    </xf>
    <xf numFmtId="0" fontId="21" fillId="0" borderId="14" xfId="0" applyFont="1" applyBorder="1" applyAlignment="1">
      <alignment vertical="top"/>
    </xf>
    <xf numFmtId="172" fontId="29" fillId="0" borderId="11" xfId="0" applyNumberFormat="1" applyFont="1" applyBorder="1" applyAlignment="1">
      <alignment vertical="top"/>
    </xf>
    <xf numFmtId="0" fontId="38" fillId="0" borderId="0" xfId="39" applyFont="1" applyAlignment="1">
      <alignment vertical="center"/>
    </xf>
    <xf numFmtId="0" fontId="31" fillId="19" borderId="10" xfId="0" applyFont="1" applyFill="1" applyBorder="1" applyAlignment="1">
      <alignment horizontal="center"/>
    </xf>
    <xf numFmtId="0" fontId="27" fillId="0" borderId="16" xfId="0" applyFont="1" applyBorder="1"/>
    <xf numFmtId="0" fontId="22" fillId="0" borderId="16" xfId="0" applyFont="1" applyBorder="1"/>
    <xf numFmtId="167" fontId="22" fillId="14" borderId="14" xfId="0" applyNumberFormat="1" applyFont="1" applyFill="1" applyBorder="1" applyAlignment="1">
      <alignment horizontal="center" vertical="top"/>
    </xf>
    <xf numFmtId="0" fontId="21" fillId="0" borderId="14" xfId="0" applyFont="1" applyBorder="1"/>
    <xf numFmtId="3" fontId="27" fillId="16" borderId="10" xfId="0" applyNumberFormat="1" applyFont="1" applyFill="1" applyBorder="1" applyAlignment="1">
      <alignment horizontal="right"/>
    </xf>
    <xf numFmtId="0" fontId="22" fillId="21" borderId="14" xfId="0" applyFont="1" applyFill="1" applyBorder="1"/>
    <xf numFmtId="0" fontId="27" fillId="14" borderId="14" xfId="0" applyFont="1" applyFill="1" applyBorder="1"/>
    <xf numFmtId="0" fontId="22" fillId="0" borderId="18" xfId="0" applyFont="1" applyBorder="1" applyAlignment="1" applyProtection="1">
      <alignment horizontal="center" vertical="top" wrapText="1"/>
      <protection locked="0"/>
    </xf>
    <xf numFmtId="49" fontId="42" fillId="0" borderId="42" xfId="0" applyNumberFormat="1" applyFont="1" applyBorder="1" applyAlignment="1">
      <alignment horizontal="center"/>
    </xf>
    <xf numFmtId="0" fontId="26" fillId="14" borderId="10" xfId="0" applyFont="1" applyFill="1" applyBorder="1" applyAlignment="1">
      <alignment horizontal="center" vertical="center" wrapText="1"/>
    </xf>
    <xf numFmtId="0" fontId="34" fillId="0" borderId="14" xfId="0" applyFont="1" applyBorder="1" applyAlignment="1">
      <alignment horizontal="center" vertical="top"/>
    </xf>
    <xf numFmtId="173" fontId="50" fillId="17" borderId="14" xfId="0" applyNumberFormat="1" applyFont="1" applyFill="1" applyBorder="1" applyAlignment="1">
      <alignment vertical="top"/>
    </xf>
    <xf numFmtId="0" fontId="41" fillId="0" borderId="14" xfId="0" applyFont="1" applyBorder="1" applyAlignment="1">
      <alignment vertical="top"/>
    </xf>
    <xf numFmtId="49" fontId="22" fillId="0" borderId="15" xfId="0" applyNumberFormat="1" applyFont="1" applyBorder="1" applyAlignment="1">
      <alignment horizontal="center" vertical="top" wrapText="1"/>
    </xf>
    <xf numFmtId="0" fontId="74" fillId="14" borderId="0" xfId="34" applyFont="1" applyFill="1" applyAlignment="1">
      <alignment vertical="top"/>
    </xf>
    <xf numFmtId="0" fontId="60" fillId="0" borderId="0" xfId="0" applyFont="1" applyAlignment="1">
      <alignment vertical="top" wrapText="1"/>
    </xf>
    <xf numFmtId="0" fontId="27" fillId="21" borderId="19" xfId="0" applyFont="1" applyFill="1" applyBorder="1" applyAlignment="1">
      <alignment horizontal="center"/>
    </xf>
    <xf numFmtId="0" fontId="26" fillId="0" borderId="16" xfId="0" applyFont="1" applyBorder="1" applyAlignment="1">
      <alignment horizontal="center" vertical="top"/>
    </xf>
    <xf numFmtId="0" fontId="74" fillId="14" borderId="0" xfId="34" applyFont="1" applyFill="1"/>
    <xf numFmtId="0" fontId="22" fillId="0" borderId="0" xfId="0" applyFont="1" applyAlignment="1">
      <alignment horizontal="center" wrapText="1"/>
    </xf>
    <xf numFmtId="0" fontId="75" fillId="14" borderId="0" xfId="0" applyFont="1" applyFill="1"/>
    <xf numFmtId="0" fontId="76" fillId="17" borderId="0" xfId="0" applyFont="1" applyFill="1"/>
    <xf numFmtId="186" fontId="26" fillId="0" borderId="14" xfId="43" applyNumberFormat="1" applyFont="1" applyFill="1" applyBorder="1" applyAlignment="1">
      <alignment horizontal="center" vertical="top"/>
    </xf>
    <xf numFmtId="0" fontId="27" fillId="0" borderId="0" xfId="0" applyFont="1" applyAlignment="1">
      <alignment horizontal="center" vertical="top"/>
    </xf>
    <xf numFmtId="0" fontId="54" fillId="14" borderId="0" xfId="0" applyFont="1" applyFill="1" applyAlignment="1">
      <alignment horizontal="left"/>
    </xf>
    <xf numFmtId="0" fontId="24" fillId="0" borderId="18" xfId="0" applyFont="1" applyBorder="1" applyAlignment="1" applyProtection="1">
      <alignment horizontal="center" vertical="top" wrapText="1"/>
      <protection locked="0"/>
    </xf>
    <xf numFmtId="0" fontId="22" fillId="0" borderId="15" xfId="0" applyFont="1" applyBorder="1" applyAlignment="1">
      <alignment vertical="top" wrapText="1"/>
    </xf>
    <xf numFmtId="0" fontId="67" fillId="0" borderId="31" xfId="0" applyFont="1" applyBorder="1"/>
    <xf numFmtId="168" fontId="22" fillId="17" borderId="14" xfId="0" applyNumberFormat="1" applyFont="1" applyFill="1" applyBorder="1" applyAlignment="1">
      <alignment vertical="top"/>
    </xf>
    <xf numFmtId="37" fontId="29" fillId="0" borderId="18" xfId="0" applyNumberFormat="1" applyFont="1" applyBorder="1" applyAlignment="1" applyProtection="1">
      <alignment horizontal="right" vertical="top" wrapText="1"/>
      <protection locked="0"/>
    </xf>
    <xf numFmtId="49" fontId="42" fillId="0" borderId="15" xfId="0" applyNumberFormat="1" applyFont="1" applyBorder="1" applyAlignment="1">
      <alignment horizontal="center" vertical="top" wrapText="1"/>
    </xf>
    <xf numFmtId="0" fontId="22" fillId="17" borderId="0" xfId="0" applyFont="1" applyFill="1" applyAlignment="1">
      <alignment horizontal="right"/>
    </xf>
    <xf numFmtId="3" fontId="31" fillId="0" borderId="10" xfId="0" applyNumberFormat="1" applyFont="1" applyBorder="1" applyAlignment="1">
      <alignment horizontal="center" vertical="center"/>
    </xf>
    <xf numFmtId="0" fontId="21" fillId="18" borderId="19" xfId="0" applyFont="1" applyFill="1" applyBorder="1" applyAlignment="1">
      <alignment horizontal="center"/>
    </xf>
    <xf numFmtId="49" fontId="46" fillId="0" borderId="0" xfId="0" applyNumberFormat="1" applyFont="1" applyAlignment="1">
      <alignment horizontal="right"/>
    </xf>
    <xf numFmtId="49" fontId="26" fillId="0" borderId="10" xfId="0" applyNumberFormat="1" applyFont="1" applyBorder="1" applyAlignment="1">
      <alignment horizontal="center" vertical="center" wrapText="1"/>
    </xf>
    <xf numFmtId="171" fontId="22" fillId="17" borderId="14" xfId="0" applyNumberFormat="1" applyFont="1" applyFill="1" applyBorder="1" applyAlignment="1">
      <alignment vertical="top"/>
    </xf>
    <xf numFmtId="3" fontId="27" fillId="0" borderId="19" xfId="0" applyNumberFormat="1" applyFont="1" applyBorder="1"/>
    <xf numFmtId="0" fontId="56" fillId="0" borderId="11" xfId="39" applyFont="1" applyBorder="1" applyAlignment="1">
      <alignment horizontal="left" vertical="top" wrapText="1"/>
    </xf>
    <xf numFmtId="0" fontId="20" fillId="0" borderId="10" xfId="0" applyFont="1" applyBorder="1" applyAlignment="1">
      <alignment horizontal="center" vertical="center"/>
    </xf>
    <xf numFmtId="0" fontId="27" fillId="17" borderId="10" xfId="0" applyFont="1" applyFill="1" applyBorder="1"/>
    <xf numFmtId="0" fontId="50" fillId="17" borderId="14" xfId="0" applyFont="1" applyFill="1" applyBorder="1" applyAlignment="1">
      <alignment vertical="top"/>
    </xf>
    <xf numFmtId="167" fontId="22" fillId="17" borderId="19" xfId="0" applyNumberFormat="1" applyFont="1" applyFill="1" applyBorder="1" applyAlignment="1">
      <alignment vertical="top"/>
    </xf>
    <xf numFmtId="0" fontId="22" fillId="16" borderId="39" xfId="0" applyFont="1" applyFill="1" applyBorder="1" applyAlignment="1">
      <alignment horizontal="center"/>
    </xf>
    <xf numFmtId="0" fontId="23" fillId="0" borderId="14" xfId="39" quotePrefix="1" applyFont="1" applyBorder="1" applyAlignment="1">
      <alignment horizontal="left" vertical="top" wrapText="1"/>
    </xf>
    <xf numFmtId="0" fontId="38" fillId="23" borderId="10" xfId="0" applyFont="1" applyFill="1" applyBorder="1" applyAlignment="1">
      <alignment horizontal="center" vertical="center"/>
    </xf>
    <xf numFmtId="0" fontId="22" fillId="14" borderId="14" xfId="0" applyFont="1" applyFill="1" applyBorder="1"/>
    <xf numFmtId="176" fontId="22" fillId="18" borderId="14" xfId="0" applyNumberFormat="1" applyFont="1" applyFill="1" applyBorder="1" applyAlignment="1">
      <alignment horizontal="center"/>
    </xf>
    <xf numFmtId="0" fontId="21" fillId="0" borderId="0" xfId="0" applyFont="1" applyAlignment="1">
      <alignment wrapText="1"/>
    </xf>
    <xf numFmtId="0" fontId="22" fillId="14" borderId="11" xfId="0" applyFont="1" applyFill="1" applyBorder="1" applyAlignment="1">
      <alignment vertical="top" wrapText="1"/>
    </xf>
    <xf numFmtId="171" fontId="21" fillId="0" borderId="11" xfId="0" applyNumberFormat="1" applyFont="1" applyBorder="1" applyAlignment="1">
      <alignment horizontal="right"/>
    </xf>
    <xf numFmtId="0" fontId="27" fillId="17" borderId="11" xfId="0" applyFont="1" applyFill="1" applyBorder="1" applyAlignment="1">
      <alignment vertical="top"/>
    </xf>
    <xf numFmtId="167" fontId="22" fillId="17" borderId="11" xfId="0" applyNumberFormat="1" applyFont="1" applyFill="1" applyBorder="1" applyAlignment="1">
      <alignment horizontal="center" vertical="top"/>
    </xf>
    <xf numFmtId="0" fontId="32" fillId="0" borderId="10" xfId="39" applyFont="1" applyBorder="1" applyAlignment="1">
      <alignment horizontal="center"/>
    </xf>
    <xf numFmtId="0" fontId="22" fillId="0" borderId="36" xfId="0" applyFont="1" applyBorder="1" applyAlignment="1">
      <alignment horizontal="center" vertical="top" wrapText="1"/>
    </xf>
    <xf numFmtId="0" fontId="54" fillId="0" borderId="0" xfId="0" applyFont="1"/>
    <xf numFmtId="0" fontId="27" fillId="17" borderId="11" xfId="0" applyFont="1" applyFill="1" applyBorder="1"/>
    <xf numFmtId="0" fontId="49" fillId="0" borderId="0" xfId="0" applyFont="1"/>
    <xf numFmtId="0" fontId="21" fillId="0" borderId="19" xfId="0" applyFont="1" applyBorder="1" applyAlignment="1">
      <alignment horizontal="center"/>
    </xf>
    <xf numFmtId="0" fontId="25" fillId="17" borderId="19" xfId="0" applyFont="1" applyFill="1" applyBorder="1" applyAlignment="1">
      <alignment horizontal="center" vertical="top"/>
    </xf>
    <xf numFmtId="0" fontId="27" fillId="16" borderId="19" xfId="0" applyFont="1" applyFill="1" applyBorder="1" applyAlignment="1">
      <alignment horizontal="center"/>
    </xf>
    <xf numFmtId="3" fontId="26" fillId="0" borderId="17" xfId="0" applyNumberFormat="1" applyFont="1" applyBorder="1" applyAlignment="1">
      <alignment vertical="top"/>
    </xf>
    <xf numFmtId="0" fontId="27" fillId="14" borderId="19" xfId="0" applyFont="1" applyFill="1" applyBorder="1" applyAlignment="1">
      <alignment horizontal="center"/>
    </xf>
    <xf numFmtId="0" fontId="29" fillId="0" borderId="14" xfId="0" applyFont="1" applyBorder="1" applyAlignment="1">
      <alignment horizontal="center"/>
    </xf>
    <xf numFmtId="0" fontId="27" fillId="16" borderId="16" xfId="0" applyFont="1" applyFill="1" applyBorder="1"/>
    <xf numFmtId="172" fontId="21" fillId="0" borderId="11" xfId="0" applyNumberFormat="1" applyFont="1" applyBorder="1" applyAlignment="1">
      <alignment vertical="top"/>
    </xf>
    <xf numFmtId="165" fontId="69" fillId="0" borderId="19" xfId="0" applyNumberFormat="1" applyFont="1" applyBorder="1" applyAlignment="1">
      <alignment horizontal="right"/>
    </xf>
    <xf numFmtId="0" fontId="78" fillId="14" borderId="16" xfId="0" applyFont="1" applyFill="1" applyBorder="1"/>
    <xf numFmtId="49" fontId="65" fillId="0" borderId="19" xfId="0" applyNumberFormat="1" applyFont="1" applyBorder="1" applyAlignment="1">
      <alignment vertical="top"/>
    </xf>
    <xf numFmtId="171" fontId="38" fillId="0" borderId="11" xfId="0" applyNumberFormat="1" applyFont="1" applyBorder="1" applyAlignment="1">
      <alignment horizontal="center" vertical="top"/>
    </xf>
    <xf numFmtId="0" fontId="58" fillId="0" borderId="0" xfId="0" applyFont="1" applyAlignment="1">
      <alignment horizontal="left" vertical="top" wrapText="1"/>
    </xf>
    <xf numFmtId="0" fontId="42" fillId="0" borderId="15" xfId="0" applyFont="1" applyBorder="1" applyAlignment="1">
      <alignment vertical="top" wrapText="1"/>
    </xf>
    <xf numFmtId="49" fontId="22" fillId="17" borderId="19" xfId="0" applyNumberFormat="1" applyFont="1" applyFill="1" applyBorder="1" applyAlignment="1">
      <alignment vertical="top"/>
    </xf>
    <xf numFmtId="49" fontId="26" fillId="0" borderId="16" xfId="0" applyNumberFormat="1" applyFont="1" applyBorder="1" applyAlignment="1">
      <alignment horizontal="center" vertical="top" wrapText="1"/>
    </xf>
    <xf numFmtId="0" fontId="55" fillId="22" borderId="10" xfId="0" applyFont="1" applyFill="1" applyBorder="1" applyAlignment="1">
      <alignment vertical="top"/>
    </xf>
    <xf numFmtId="0" fontId="66" fillId="14" borderId="0" xfId="0" applyFont="1" applyFill="1"/>
    <xf numFmtId="0" fontId="55" fillId="17" borderId="10" xfId="0" applyFont="1" applyFill="1" applyBorder="1" applyAlignment="1">
      <alignment vertical="top"/>
    </xf>
    <xf numFmtId="49" fontId="22" fillId="17" borderId="19" xfId="0" applyNumberFormat="1" applyFont="1" applyFill="1" applyBorder="1"/>
    <xf numFmtId="49" fontId="42" fillId="0" borderId="42" xfId="0" applyNumberFormat="1" applyFont="1" applyBorder="1" applyAlignment="1">
      <alignment horizontal="center" vertical="top" wrapText="1"/>
    </xf>
    <xf numFmtId="0" fontId="34" fillId="0" borderId="14" xfId="0" applyFont="1" applyBorder="1" applyAlignment="1">
      <alignment vertical="top" wrapText="1"/>
    </xf>
    <xf numFmtId="173" fontId="24" fillId="17" borderId="11" xfId="0" applyNumberFormat="1" applyFont="1" applyFill="1" applyBorder="1" applyAlignment="1">
      <alignment vertical="top"/>
    </xf>
    <xf numFmtId="0" fontId="39" fillId="0" borderId="0" xfId="39" applyFont="1"/>
    <xf numFmtId="0" fontId="56" fillId="0" borderId="11" xfId="39" applyFont="1" applyBorder="1"/>
    <xf numFmtId="2" fontId="20" fillId="0" borderId="10" xfId="0" applyNumberFormat="1" applyFont="1" applyBorder="1" applyAlignment="1">
      <alignment horizontal="center" vertical="center"/>
    </xf>
    <xf numFmtId="185" fontId="20" fillId="19" borderId="10" xfId="0" applyNumberFormat="1" applyFont="1" applyFill="1" applyBorder="1" applyAlignment="1">
      <alignment horizontal="center"/>
    </xf>
    <xf numFmtId="173" fontId="22" fillId="17" borderId="11" xfId="0" applyNumberFormat="1" applyFont="1" applyFill="1" applyBorder="1" applyAlignment="1">
      <alignment vertical="top"/>
    </xf>
    <xf numFmtId="0" fontId="31" fillId="0" borderId="0" xfId="39" applyFont="1" applyAlignment="1">
      <alignment vertical="center"/>
    </xf>
    <xf numFmtId="0" fontId="26" fillId="0" borderId="16" xfId="0" applyFont="1" applyBorder="1" applyAlignment="1">
      <alignment vertical="top" wrapText="1"/>
    </xf>
    <xf numFmtId="0" fontId="24" fillId="17" borderId="11" xfId="0" applyFont="1" applyFill="1" applyBorder="1" applyAlignment="1">
      <alignment vertical="top"/>
    </xf>
    <xf numFmtId="0" fontId="58" fillId="0" borderId="0" xfId="0" applyFont="1"/>
    <xf numFmtId="0" fontId="79" fillId="0" borderId="0" xfId="0" applyFont="1"/>
    <xf numFmtId="165" fontId="29" fillId="22" borderId="10" xfId="0" applyNumberFormat="1" applyFont="1" applyFill="1" applyBorder="1" applyAlignment="1">
      <alignment vertical="top"/>
    </xf>
    <xf numFmtId="2" fontId="44" fillId="0" borderId="10" xfId="0" applyNumberFormat="1" applyFont="1" applyBorder="1" applyAlignment="1">
      <alignment horizontal="center"/>
    </xf>
    <xf numFmtId="0" fontId="42" fillId="0" borderId="42" xfId="0" applyFont="1" applyBorder="1" applyAlignment="1">
      <alignment vertical="top" wrapText="1"/>
    </xf>
    <xf numFmtId="0" fontId="38" fillId="0" borderId="10" xfId="0" applyFont="1" applyBorder="1" applyAlignment="1">
      <alignment horizontal="center" vertical="center"/>
    </xf>
    <xf numFmtId="0" fontId="22" fillId="17" borderId="11" xfId="0" applyFont="1" applyFill="1" applyBorder="1" applyAlignment="1">
      <alignment vertical="top"/>
    </xf>
    <xf numFmtId="0" fontId="37" fillId="27" borderId="10" xfId="0" applyFont="1" applyFill="1" applyBorder="1" applyAlignment="1">
      <alignment horizontal="center"/>
    </xf>
    <xf numFmtId="0" fontId="22" fillId="17" borderId="11" xfId="0" applyFont="1" applyFill="1" applyBorder="1"/>
    <xf numFmtId="0" fontId="39" fillId="0" borderId="0" xfId="0" applyFont="1" applyAlignment="1">
      <alignment vertical="top"/>
    </xf>
    <xf numFmtId="0" fontId="24" fillId="17" borderId="10" xfId="0" applyFont="1" applyFill="1" applyBorder="1" applyAlignment="1">
      <alignment vertical="top"/>
    </xf>
    <xf numFmtId="0" fontId="27" fillId="0" borderId="19" xfId="0" applyFont="1" applyBorder="1" applyAlignment="1">
      <alignment horizontal="center" vertical="top"/>
    </xf>
    <xf numFmtId="165" fontId="22" fillId="18" borderId="11" xfId="0" applyNumberFormat="1" applyFont="1" applyFill="1" applyBorder="1"/>
    <xf numFmtId="0" fontId="39" fillId="0" borderId="0" xfId="0" applyFont="1"/>
    <xf numFmtId="171" fontId="21" fillId="18" borderId="19" xfId="0" applyNumberFormat="1" applyFont="1" applyFill="1" applyBorder="1" applyAlignment="1">
      <alignment vertical="top"/>
    </xf>
    <xf numFmtId="0" fontId="21" fillId="18" borderId="14" xfId="0" applyFont="1" applyFill="1" applyBorder="1" applyAlignment="1">
      <alignment horizontal="center"/>
    </xf>
    <xf numFmtId="0" fontId="22" fillId="0" borderId="12" xfId="0" applyFont="1" applyBorder="1" applyAlignment="1">
      <alignment horizontal="center" vertical="top"/>
    </xf>
    <xf numFmtId="49" fontId="25" fillId="14" borderId="10" xfId="0" applyNumberFormat="1" applyFont="1" applyFill="1" applyBorder="1" applyAlignment="1">
      <alignment horizontal="center" vertical="center" wrapText="1"/>
    </xf>
    <xf numFmtId="172" fontId="21" fillId="0" borderId="19" xfId="0" applyNumberFormat="1" applyFont="1" applyBorder="1" applyAlignment="1">
      <alignment horizontal="right"/>
    </xf>
    <xf numFmtId="3" fontId="27" fillId="0" borderId="14" xfId="0" applyNumberFormat="1" applyFont="1" applyBorder="1"/>
    <xf numFmtId="165" fontId="55" fillId="0" borderId="10" xfId="0" applyNumberFormat="1" applyFont="1" applyBorder="1" applyAlignment="1">
      <alignment vertical="top"/>
    </xf>
    <xf numFmtId="0" fontId="22" fillId="16" borderId="16" xfId="0" applyFont="1" applyFill="1" applyBorder="1"/>
    <xf numFmtId="49" fontId="26" fillId="0" borderId="0" xfId="0" applyNumberFormat="1" applyFont="1" applyAlignment="1">
      <alignment horizontal="center"/>
    </xf>
    <xf numFmtId="0" fontId="37" fillId="0" borderId="10" xfId="0" applyFont="1" applyBorder="1" applyAlignment="1">
      <alignment horizontal="center" vertical="center"/>
    </xf>
    <xf numFmtId="165" fontId="22" fillId="17" borderId="19" xfId="0" applyNumberFormat="1" applyFont="1" applyFill="1" applyBorder="1" applyAlignment="1">
      <alignment vertical="top"/>
    </xf>
    <xf numFmtId="180" fontId="22" fillId="17" borderId="11" xfId="0" applyNumberFormat="1" applyFont="1" applyFill="1" applyBorder="1" applyAlignment="1">
      <alignment vertical="top"/>
    </xf>
    <xf numFmtId="167" fontId="22" fillId="17" borderId="14" xfId="0" applyNumberFormat="1" applyFont="1" applyFill="1" applyBorder="1" applyAlignment="1">
      <alignment vertical="top"/>
    </xf>
    <xf numFmtId="177" fontId="27" fillId="0" borderId="0" xfId="0" applyNumberFormat="1" applyFont="1" applyAlignment="1">
      <alignment horizontal="center" vertical="top"/>
    </xf>
    <xf numFmtId="165" fontId="22" fillId="17" borderId="19" xfId="0" applyNumberFormat="1" applyFont="1" applyFill="1" applyBorder="1"/>
    <xf numFmtId="184" fontId="20" fillId="16" borderId="10" xfId="0" applyNumberFormat="1" applyFont="1" applyFill="1" applyBorder="1" applyAlignment="1">
      <alignment horizontal="center"/>
    </xf>
    <xf numFmtId="0" fontId="27" fillId="21" borderId="29" xfId="0" applyFont="1" applyFill="1" applyBorder="1" applyAlignment="1">
      <alignment horizontal="center"/>
    </xf>
    <xf numFmtId="165" fontId="29" fillId="0" borderId="10" xfId="0" applyNumberFormat="1" applyFont="1" applyBorder="1" applyAlignment="1">
      <alignment horizontal="right"/>
    </xf>
    <xf numFmtId="177" fontId="20" fillId="27" borderId="10" xfId="0" applyNumberFormat="1" applyFont="1" applyFill="1" applyBorder="1" applyAlignment="1">
      <alignment horizontal="center"/>
    </xf>
    <xf numFmtId="0" fontId="26" fillId="0" borderId="0" xfId="0" applyFont="1"/>
    <xf numFmtId="0" fontId="27" fillId="0" borderId="16" xfId="0" applyFont="1" applyBorder="1" applyAlignment="1">
      <alignment horizontal="center"/>
    </xf>
    <xf numFmtId="0" fontId="21" fillId="0" borderId="19" xfId="0" applyFont="1" applyBorder="1" applyAlignment="1">
      <alignment wrapText="1"/>
    </xf>
    <xf numFmtId="0" fontId="20" fillId="0" borderId="10" xfId="0" applyFont="1" applyBorder="1"/>
    <xf numFmtId="171" fontId="21" fillId="0" borderId="19" xfId="0" applyNumberFormat="1" applyFont="1" applyBorder="1" applyAlignment="1">
      <alignment vertical="top"/>
    </xf>
    <xf numFmtId="0" fontId="21" fillId="0" borderId="14" xfId="0" applyFont="1" applyBorder="1" applyAlignment="1">
      <alignment horizontal="center"/>
    </xf>
    <xf numFmtId="49" fontId="21" fillId="0" borderId="19" xfId="0" applyNumberFormat="1" applyFont="1" applyBorder="1" applyAlignment="1">
      <alignment horizontal="left"/>
    </xf>
    <xf numFmtId="0" fontId="25" fillId="17" borderId="14" xfId="0" applyFont="1" applyFill="1" applyBorder="1" applyAlignment="1">
      <alignment horizontal="center" vertical="top"/>
    </xf>
    <xf numFmtId="188" fontId="55" fillId="0" borderId="10" xfId="0" applyNumberFormat="1" applyFont="1" applyBorder="1" applyAlignment="1">
      <alignment vertical="top"/>
    </xf>
    <xf numFmtId="171" fontId="38" fillId="0" borderId="14" xfId="0" applyNumberFormat="1" applyFont="1" applyBorder="1" applyAlignment="1">
      <alignment vertical="top"/>
    </xf>
    <xf numFmtId="177" fontId="20" fillId="0" borderId="10" xfId="0" applyNumberFormat="1" applyFont="1" applyBorder="1" applyAlignment="1">
      <alignment horizontal="center" vertical="center"/>
    </xf>
    <xf numFmtId="0" fontId="27" fillId="14" borderId="14" xfId="0" applyFont="1" applyFill="1" applyBorder="1" applyAlignment="1">
      <alignment horizontal="center"/>
    </xf>
    <xf numFmtId="171" fontId="21" fillId="0" borderId="19" xfId="0" applyNumberFormat="1" applyFont="1" applyBorder="1"/>
    <xf numFmtId="3" fontId="27" fillId="0" borderId="29" xfId="0" applyNumberFormat="1" applyFont="1" applyBorder="1"/>
    <xf numFmtId="165" fontId="69" fillId="0" borderId="14" xfId="0" applyNumberFormat="1" applyFont="1" applyBorder="1" applyAlignment="1">
      <alignment horizontal="right"/>
    </xf>
    <xf numFmtId="49" fontId="65" fillId="0" borderId="14" xfId="0" applyNumberFormat="1" applyFont="1" applyBorder="1" applyAlignment="1">
      <alignment vertical="top"/>
    </xf>
    <xf numFmtId="171" fontId="29" fillId="0" borderId="14" xfId="0" applyNumberFormat="1" applyFont="1" applyBorder="1"/>
    <xf numFmtId="49" fontId="21" fillId="0" borderId="0" xfId="0" applyNumberFormat="1" applyFont="1"/>
    <xf numFmtId="177" fontId="44" fillId="0" borderId="10" xfId="0" applyNumberFormat="1" applyFont="1" applyBorder="1" applyAlignment="1">
      <alignment horizontal="center"/>
    </xf>
    <xf numFmtId="172" fontId="34" fillId="0" borderId="14" xfId="0" applyNumberFormat="1" applyFont="1" applyBorder="1" applyAlignment="1">
      <alignment vertical="top"/>
    </xf>
    <xf numFmtId="172" fontId="29" fillId="0" borderId="10" xfId="0" applyNumberFormat="1" applyFont="1" applyBorder="1" applyAlignment="1">
      <alignment horizontal="right" vertical="center"/>
    </xf>
    <xf numFmtId="0" fontId="39" fillId="0" borderId="19" xfId="39" applyFont="1" applyBorder="1" applyAlignment="1">
      <alignment horizontal="left" vertical="top" wrapText="1"/>
    </xf>
    <xf numFmtId="49" fontId="27" fillId="14" borderId="0" xfId="0" applyNumberFormat="1" applyFont="1" applyFill="1"/>
    <xf numFmtId="49" fontId="22" fillId="17" borderId="14" xfId="0" applyNumberFormat="1" applyFont="1" applyFill="1" applyBorder="1" applyAlignment="1">
      <alignment vertical="top"/>
    </xf>
    <xf numFmtId="0" fontId="27" fillId="0" borderId="30" xfId="0" applyFont="1" applyBorder="1" applyAlignment="1">
      <alignment horizontal="center" vertical="top" wrapText="1"/>
    </xf>
    <xf numFmtId="165" fontId="39" fillId="0" borderId="14" xfId="39" applyNumberFormat="1" applyFont="1" applyBorder="1" applyAlignment="1">
      <alignment horizontal="right"/>
    </xf>
    <xf numFmtId="49" fontId="22" fillId="17" borderId="14" xfId="0" applyNumberFormat="1" applyFont="1" applyFill="1" applyBorder="1"/>
    <xf numFmtId="165" fontId="42" fillId="22" borderId="10" xfId="0" applyNumberFormat="1" applyFont="1" applyFill="1" applyBorder="1" applyAlignment="1">
      <alignment horizontal="center" vertical="top"/>
    </xf>
    <xf numFmtId="49" fontId="38" fillId="0" borderId="10" xfId="0" applyNumberFormat="1" applyFont="1" applyBorder="1" applyAlignment="1">
      <alignment horizontal="center" vertical="center" wrapText="1"/>
    </xf>
    <xf numFmtId="0" fontId="21" fillId="0" borderId="11" xfId="0" applyFont="1" applyBorder="1" applyAlignment="1">
      <alignment horizontal="left"/>
    </xf>
    <xf numFmtId="172" fontId="21" fillId="0" borderId="14" xfId="0" applyNumberFormat="1" applyFont="1" applyBorder="1" applyAlignment="1">
      <alignment horizontal="right"/>
    </xf>
    <xf numFmtId="0" fontId="69" fillId="0" borderId="19" xfId="0" applyFont="1" applyBorder="1"/>
    <xf numFmtId="2" fontId="44" fillId="16" borderId="10" xfId="0" applyNumberFormat="1" applyFont="1" applyFill="1" applyBorder="1" applyAlignment="1">
      <alignment horizontal="center"/>
    </xf>
    <xf numFmtId="0" fontId="30" fillId="0" borderId="0" xfId="0" applyFont="1" applyAlignment="1">
      <alignment horizontal="center" vertical="top" wrapText="1"/>
    </xf>
    <xf numFmtId="165" fontId="22" fillId="17" borderId="14" xfId="0" applyNumberFormat="1" applyFont="1" applyFill="1" applyBorder="1" applyAlignment="1">
      <alignment vertical="top"/>
    </xf>
    <xf numFmtId="165" fontId="22" fillId="17" borderId="14" xfId="0" applyNumberFormat="1" applyFont="1" applyFill="1" applyBorder="1"/>
    <xf numFmtId="49" fontId="22" fillId="0" borderId="36" xfId="0" applyNumberFormat="1" applyFont="1" applyBorder="1"/>
    <xf numFmtId="0" fontId="76" fillId="17" borderId="14" xfId="0" applyFont="1" applyFill="1" applyBorder="1" applyAlignment="1">
      <alignment vertical="top"/>
    </xf>
    <xf numFmtId="49" fontId="28" fillId="0" borderId="0" xfId="39" applyNumberFormat="1" applyFont="1" applyAlignment="1">
      <alignment vertical="center"/>
    </xf>
    <xf numFmtId="0" fontId="42" fillId="0" borderId="0" xfId="0" applyFont="1"/>
    <xf numFmtId="0" fontId="82" fillId="0" borderId="10" xfId="40" applyFont="1" applyBorder="1" applyAlignment="1" applyProtection="1">
      <alignment horizontal="center" vertical="center" wrapText="1"/>
      <protection locked="0"/>
    </xf>
    <xf numFmtId="0" fontId="51" fillId="14" borderId="0" xfId="0" applyFont="1" applyFill="1"/>
    <xf numFmtId="0" fontId="31" fillId="27" borderId="10" xfId="0" applyFont="1" applyFill="1" applyBorder="1" applyAlignment="1">
      <alignment horizontal="center"/>
    </xf>
    <xf numFmtId="0" fontId="1" fillId="0" borderId="36" xfId="0" applyFont="1" applyBorder="1"/>
    <xf numFmtId="0" fontId="27" fillId="0" borderId="14" xfId="0" applyFont="1" applyBorder="1" applyAlignment="1">
      <alignment horizontal="center" vertical="top"/>
    </xf>
    <xf numFmtId="173" fontId="29" fillId="0" borderId="10" xfId="0" applyNumberFormat="1" applyFont="1" applyBorder="1" applyAlignment="1">
      <alignment vertical="top"/>
    </xf>
    <xf numFmtId="49" fontId="26" fillId="0" borderId="17" xfId="0" applyNumberFormat="1" applyFont="1" applyBorder="1" applyAlignment="1">
      <alignment horizontal="center" vertical="top"/>
    </xf>
    <xf numFmtId="171" fontId="21" fillId="18" borderId="14" xfId="0" applyNumberFormat="1" applyFont="1" applyFill="1" applyBorder="1" applyAlignment="1">
      <alignment vertical="top"/>
    </xf>
    <xf numFmtId="165" fontId="21" fillId="0" borderId="0" xfId="0" applyNumberFormat="1" applyFont="1" applyAlignment="1">
      <alignment vertical="top"/>
    </xf>
    <xf numFmtId="165" fontId="21" fillId="0" borderId="11" xfId="0" applyNumberFormat="1" applyFont="1" applyBorder="1" applyAlignment="1">
      <alignment horizontal="right"/>
    </xf>
    <xf numFmtId="0" fontId="22" fillId="14" borderId="14" xfId="0" applyFont="1" applyFill="1" applyBorder="1" applyAlignment="1">
      <alignment horizontal="center"/>
    </xf>
    <xf numFmtId="0" fontId="39" fillId="0" borderId="19" xfId="0" applyFont="1" applyBorder="1" applyAlignment="1">
      <alignment vertical="top"/>
    </xf>
    <xf numFmtId="0" fontId="39" fillId="0" borderId="19" xfId="0" applyFont="1" applyBorder="1"/>
    <xf numFmtId="176" fontId="22" fillId="18" borderId="11" xfId="0" applyNumberFormat="1" applyFont="1" applyFill="1" applyBorder="1"/>
    <xf numFmtId="0" fontId="27" fillId="0" borderId="19" xfId="0" applyFont="1" applyBorder="1"/>
    <xf numFmtId="0" fontId="39" fillId="0" borderId="19" xfId="39" applyFont="1" applyBorder="1"/>
    <xf numFmtId="0" fontId="49" fillId="0" borderId="0" xfId="0" applyFont="1" applyAlignment="1">
      <alignment horizontal="center"/>
    </xf>
    <xf numFmtId="49" fontId="22" fillId="14" borderId="0" xfId="0" applyNumberFormat="1" applyFont="1" applyFill="1"/>
    <xf numFmtId="169" fontId="22" fillId="17" borderId="0" xfId="0" applyNumberFormat="1" applyFont="1" applyFill="1"/>
    <xf numFmtId="0" fontId="38" fillId="0" borderId="11" xfId="0" applyFont="1" applyBorder="1" applyAlignment="1">
      <alignment vertical="top"/>
    </xf>
    <xf numFmtId="0" fontId="26" fillId="24" borderId="26" xfId="0" applyFont="1" applyFill="1" applyBorder="1" applyAlignment="1">
      <alignment horizontal="center" vertical="center" wrapText="1"/>
    </xf>
    <xf numFmtId="3" fontId="26" fillId="0" borderId="16" xfId="0" applyNumberFormat="1" applyFont="1" applyBorder="1" applyAlignment="1">
      <alignment vertical="top"/>
    </xf>
    <xf numFmtId="0" fontId="83" fillId="14" borderId="0" xfId="0" applyFont="1" applyFill="1"/>
    <xf numFmtId="177" fontId="20" fillId="16" borderId="10" xfId="0" applyNumberFormat="1" applyFont="1" applyFill="1" applyBorder="1" applyAlignment="1">
      <alignment horizontal="center" vertical="center"/>
    </xf>
    <xf numFmtId="0" fontId="84" fillId="14" borderId="14" xfId="0" applyFont="1" applyFill="1" applyBorder="1"/>
    <xf numFmtId="0" fontId="29" fillId="22" borderId="10" xfId="0" applyFont="1" applyFill="1" applyBorder="1" applyAlignment="1">
      <alignment horizontal="center" vertical="top"/>
    </xf>
    <xf numFmtId="0" fontId="29" fillId="0" borderId="14" xfId="0" quotePrefix="1" applyFont="1" applyBorder="1"/>
    <xf numFmtId="0" fontId="21" fillId="0" borderId="14" xfId="0" applyFont="1" applyBorder="1" applyAlignment="1">
      <alignment wrapText="1"/>
    </xf>
    <xf numFmtId="0" fontId="32" fillId="0" borderId="40" xfId="0" applyFont="1" applyBorder="1" applyAlignment="1" applyProtection="1">
      <alignment horizontal="center" vertical="top" wrapText="1"/>
      <protection locked="0"/>
    </xf>
    <xf numFmtId="171" fontId="21" fillId="0" borderId="14" xfId="0" applyNumberFormat="1" applyFont="1" applyBorder="1" applyAlignment="1">
      <alignment vertical="top"/>
    </xf>
    <xf numFmtId="0" fontId="29" fillId="17" borderId="10" xfId="0" applyFont="1" applyFill="1" applyBorder="1" applyAlignment="1">
      <alignment horizontal="center" vertical="top"/>
    </xf>
    <xf numFmtId="0" fontId="25" fillId="17" borderId="14" xfId="0" applyFont="1" applyFill="1" applyBorder="1" applyAlignment="1">
      <alignment vertical="top" wrapText="1"/>
    </xf>
    <xf numFmtId="49" fontId="21" fillId="0" borderId="14" xfId="0" applyNumberFormat="1" applyFont="1" applyBorder="1" applyAlignment="1">
      <alignment horizontal="left"/>
    </xf>
    <xf numFmtId="0" fontId="22" fillId="18" borderId="19" xfId="0" applyFont="1" applyFill="1" applyBorder="1"/>
    <xf numFmtId="0" fontId="85" fillId="14" borderId="17" xfId="0" applyFont="1" applyFill="1" applyBorder="1"/>
    <xf numFmtId="177" fontId="44" fillId="16" borderId="10" xfId="0" applyNumberFormat="1" applyFont="1" applyFill="1" applyBorder="1" applyAlignment="1">
      <alignment horizontal="center"/>
    </xf>
    <xf numFmtId="0" fontId="29" fillId="0" borderId="10" xfId="0" applyFont="1" applyBorder="1" applyAlignment="1">
      <alignment vertical="top"/>
    </xf>
    <xf numFmtId="0" fontId="27" fillId="0" borderId="17" xfId="0" applyFont="1" applyBorder="1" applyAlignment="1">
      <alignment horizontal="justify" vertical="top" wrapText="1"/>
    </xf>
    <xf numFmtId="171" fontId="21" fillId="0" borderId="14" xfId="0" applyNumberFormat="1" applyFont="1" applyBorder="1"/>
    <xf numFmtId="0" fontId="29" fillId="0" borderId="10" xfId="0" applyFont="1" applyBorder="1"/>
    <xf numFmtId="0" fontId="26" fillId="0" borderId="11" xfId="0" applyFont="1" applyBorder="1" applyAlignment="1">
      <alignment horizontal="right" vertical="center"/>
    </xf>
    <xf numFmtId="49" fontId="22" fillId="0" borderId="31" xfId="0" applyNumberFormat="1" applyFont="1" applyBorder="1" applyAlignment="1">
      <alignment horizontal="center" vertical="center" wrapText="1"/>
    </xf>
    <xf numFmtId="0" fontId="31" fillId="0" borderId="0" xfId="0" applyFont="1" applyAlignment="1">
      <alignment vertical="center"/>
    </xf>
    <xf numFmtId="178" fontId="21" fillId="0" borderId="19" xfId="0" applyNumberFormat="1" applyFont="1" applyBorder="1" applyAlignment="1">
      <alignment vertical="top"/>
    </xf>
    <xf numFmtId="0" fontId="56" fillId="0" borderId="11" xfId="39" applyFont="1" applyBorder="1" applyAlignment="1">
      <alignment horizontal="center"/>
    </xf>
    <xf numFmtId="165" fontId="38" fillId="0" borderId="19" xfId="0" applyNumberFormat="1" applyFont="1" applyBorder="1" applyAlignment="1">
      <alignment vertical="top"/>
    </xf>
    <xf numFmtId="0" fontId="42" fillId="14" borderId="22" xfId="0" applyFont="1" applyFill="1" applyBorder="1" applyAlignment="1">
      <alignment horizontal="center" vertical="center"/>
    </xf>
    <xf numFmtId="178" fontId="38" fillId="0" borderId="14" xfId="0" applyNumberFormat="1" applyFont="1" applyBorder="1" applyAlignment="1">
      <alignment vertical="top"/>
    </xf>
    <xf numFmtId="0" fontId="39" fillId="0" borderId="14" xfId="39" applyFont="1" applyBorder="1" applyAlignment="1">
      <alignment horizontal="left" vertical="top" wrapText="1"/>
    </xf>
    <xf numFmtId="0" fontId="24" fillId="17" borderId="19" xfId="0" applyFont="1" applyFill="1" applyBorder="1" applyAlignment="1">
      <alignment horizontal="center" vertical="top"/>
    </xf>
    <xf numFmtId="0" fontId="42" fillId="0" borderId="10" xfId="0" applyFont="1" applyBorder="1" applyAlignment="1" applyProtection="1">
      <alignment horizontal="center" vertical="center"/>
      <protection locked="0"/>
    </xf>
    <xf numFmtId="0" fontId="22" fillId="17" borderId="19" xfId="0" applyFont="1" applyFill="1" applyBorder="1" applyAlignment="1">
      <alignment horizontal="center" vertical="top"/>
    </xf>
    <xf numFmtId="0" fontId="69" fillId="0" borderId="14" xfId="0" applyFont="1" applyBorder="1"/>
    <xf numFmtId="49" fontId="38" fillId="0" borderId="0" xfId="0" applyNumberFormat="1" applyFont="1" applyAlignment="1">
      <alignment horizontal="center"/>
    </xf>
    <xf numFmtId="0" fontId="22" fillId="17" borderId="11" xfId="0" applyFont="1" applyFill="1" applyBorder="1" applyAlignment="1">
      <alignment horizontal="center"/>
    </xf>
    <xf numFmtId="49" fontId="27" fillId="0" borderId="14" xfId="0" applyNumberFormat="1" applyFont="1" applyBorder="1" applyAlignment="1">
      <alignment horizontal="center" vertical="top" wrapText="1"/>
    </xf>
    <xf numFmtId="0" fontId="42" fillId="14" borderId="10" xfId="0" applyFont="1" applyFill="1" applyBorder="1" applyAlignment="1">
      <alignment horizontal="center" vertical="center"/>
    </xf>
    <xf numFmtId="173" fontId="21" fillId="0" borderId="11" xfId="0" applyNumberFormat="1" applyFont="1" applyBorder="1" applyAlignment="1">
      <alignment vertical="top"/>
    </xf>
    <xf numFmtId="165" fontId="21" fillId="18" borderId="19" xfId="0" applyNumberFormat="1" applyFont="1" applyFill="1" applyBorder="1" applyAlignment="1">
      <alignment vertical="top"/>
    </xf>
    <xf numFmtId="0" fontId="39" fillId="0" borderId="14" xfId="39" applyFont="1" applyBorder="1"/>
    <xf numFmtId="0" fontId="31" fillId="0" borderId="23" xfId="0" applyFont="1" applyBorder="1"/>
    <xf numFmtId="165" fontId="21" fillId="18" borderId="19" xfId="0" applyNumberFormat="1" applyFont="1" applyFill="1" applyBorder="1"/>
    <xf numFmtId="0" fontId="26" fillId="14" borderId="14" xfId="0" applyFont="1" applyFill="1" applyBorder="1" applyAlignment="1">
      <alignment horizontal="center"/>
    </xf>
    <xf numFmtId="0" fontId="22" fillId="16" borderId="16" xfId="0" applyFont="1" applyFill="1" applyBorder="1" applyAlignment="1">
      <alignment horizontal="center"/>
    </xf>
    <xf numFmtId="49" fontId="21" fillId="0" borderId="19" xfId="0" applyNumberFormat="1" applyFont="1" applyBorder="1" applyAlignment="1">
      <alignment vertical="top"/>
    </xf>
    <xf numFmtId="0" fontId="22" fillId="19" borderId="39" xfId="0" applyFont="1" applyFill="1" applyBorder="1"/>
    <xf numFmtId="49" fontId="21" fillId="0" borderId="19" xfId="0" applyNumberFormat="1" applyFont="1" applyBorder="1"/>
    <xf numFmtId="0" fontId="22" fillId="14" borderId="0" xfId="0" applyFont="1" applyFill="1" applyAlignment="1">
      <alignment horizontal="right"/>
    </xf>
    <xf numFmtId="0" fontId="32" fillId="17" borderId="10" xfId="0" applyFont="1" applyFill="1" applyBorder="1"/>
    <xf numFmtId="165" fontId="22" fillId="17" borderId="19" xfId="0" applyNumberFormat="1" applyFont="1" applyFill="1" applyBorder="1" applyAlignment="1">
      <alignment horizontal="center"/>
    </xf>
    <xf numFmtId="0" fontId="31" fillId="16" borderId="10" xfId="0" applyFont="1" applyFill="1" applyBorder="1" applyAlignment="1">
      <alignment horizontal="center" vertical="center"/>
    </xf>
    <xf numFmtId="171" fontId="50" fillId="17" borderId="14" xfId="0" applyNumberFormat="1" applyFont="1" applyFill="1" applyBorder="1" applyAlignment="1">
      <alignment vertical="top"/>
    </xf>
    <xf numFmtId="0" fontId="22" fillId="0" borderId="39" xfId="0" quotePrefix="1" applyFont="1" applyBorder="1" applyAlignment="1">
      <alignment horizontal="center"/>
    </xf>
    <xf numFmtId="0" fontId="22" fillId="0" borderId="31" xfId="0" applyFont="1" applyBorder="1" applyAlignment="1">
      <alignment horizontal="left" vertical="top" wrapText="1"/>
    </xf>
    <xf numFmtId="0" fontId="27" fillId="16" borderId="19" xfId="0" applyFont="1" applyFill="1" applyBorder="1"/>
    <xf numFmtId="0" fontId="34" fillId="0" borderId="14" xfId="0" applyFont="1" applyBorder="1" applyAlignment="1">
      <alignment horizontal="right" vertical="top"/>
    </xf>
    <xf numFmtId="49" fontId="42" fillId="0" borderId="31" xfId="0" applyNumberFormat="1" applyFont="1" applyBorder="1" applyAlignment="1">
      <alignment horizontal="center" vertical="center" wrapText="1"/>
    </xf>
    <xf numFmtId="0" fontId="39" fillId="0" borderId="14" xfId="0" applyFont="1" applyBorder="1"/>
    <xf numFmtId="0" fontId="41" fillId="0" borderId="14" xfId="0" applyFont="1" applyBorder="1" applyAlignment="1">
      <alignment horizontal="left" vertical="top"/>
    </xf>
    <xf numFmtId="49" fontId="22" fillId="0" borderId="15" xfId="0" applyNumberFormat="1" applyFont="1" applyBorder="1" applyAlignment="1">
      <alignment horizontal="right" vertical="top" wrapText="1"/>
    </xf>
    <xf numFmtId="0" fontId="27" fillId="0" borderId="40" xfId="0" applyFont="1" applyBorder="1" applyAlignment="1" applyProtection="1">
      <alignment horizontal="center" vertical="top"/>
      <protection locked="0"/>
    </xf>
    <xf numFmtId="0" fontId="27" fillId="0" borderId="14" xfId="0" applyFont="1" applyBorder="1"/>
    <xf numFmtId="165" fontId="21" fillId="0" borderId="19" xfId="0" applyNumberFormat="1" applyFont="1" applyBorder="1" applyAlignment="1">
      <alignment vertical="top"/>
    </xf>
    <xf numFmtId="185" fontId="20" fillId="27" borderId="10" xfId="0" applyNumberFormat="1" applyFont="1" applyFill="1" applyBorder="1" applyAlignment="1">
      <alignment horizontal="center"/>
    </xf>
    <xf numFmtId="0" fontId="35" fillId="0" borderId="0" xfId="0" applyFont="1"/>
    <xf numFmtId="167" fontId="22" fillId="14" borderId="19" xfId="0" applyNumberFormat="1" applyFont="1" applyFill="1" applyBorder="1" applyAlignment="1">
      <alignment vertical="top"/>
    </xf>
    <xf numFmtId="0" fontId="60" fillId="0" borderId="0" xfId="0" applyFont="1" applyAlignment="1">
      <alignment horizontal="left" vertical="top" wrapText="1"/>
    </xf>
    <xf numFmtId="3" fontId="27" fillId="16" borderId="16" xfId="0" applyNumberFormat="1" applyFont="1" applyFill="1" applyBorder="1" applyAlignment="1">
      <alignment horizontal="right"/>
    </xf>
    <xf numFmtId="172" fontId="25" fillId="17" borderId="14" xfId="0" applyNumberFormat="1" applyFont="1" applyFill="1" applyBorder="1" applyAlignment="1">
      <alignment vertical="top"/>
    </xf>
    <xf numFmtId="0" fontId="22" fillId="0" borderId="31" xfId="0" applyFont="1" applyBorder="1" applyAlignment="1">
      <alignment vertical="top"/>
    </xf>
    <xf numFmtId="169" fontId="22" fillId="18" borderId="10" xfId="0" applyNumberFormat="1" applyFont="1" applyFill="1" applyBorder="1"/>
    <xf numFmtId="3" fontId="22" fillId="0" borderId="16" xfId="0" applyNumberFormat="1" applyFont="1" applyBorder="1" applyAlignment="1">
      <alignment horizontal="right"/>
    </xf>
    <xf numFmtId="167" fontId="22" fillId="14" borderId="11" xfId="0" applyNumberFormat="1" applyFont="1" applyFill="1" applyBorder="1" applyAlignment="1">
      <alignment horizontal="center" vertical="top"/>
    </xf>
    <xf numFmtId="0" fontId="21" fillId="0" borderId="11" xfId="0" applyFont="1" applyBorder="1"/>
    <xf numFmtId="0" fontId="22" fillId="0" borderId="31" xfId="0" applyFont="1" applyBorder="1"/>
    <xf numFmtId="185" fontId="20" fillId="0" borderId="10" xfId="0" applyNumberFormat="1" applyFont="1" applyBorder="1" applyAlignment="1">
      <alignment horizontal="center" vertical="center"/>
    </xf>
    <xf numFmtId="0" fontId="29" fillId="22" borderId="10" xfId="0" applyFont="1" applyFill="1" applyBorder="1" applyAlignment="1">
      <alignment vertical="top" wrapText="1"/>
    </xf>
    <xf numFmtId="0" fontId="29" fillId="17" borderId="10" xfId="0" applyFont="1" applyFill="1" applyBorder="1" applyAlignment="1">
      <alignment vertical="top" wrapText="1"/>
    </xf>
    <xf numFmtId="0" fontId="22" fillId="18" borderId="14" xfId="0" applyFont="1" applyFill="1" applyBorder="1"/>
    <xf numFmtId="0" fontId="26" fillId="0" borderId="14" xfId="0" applyFont="1" applyBorder="1" applyAlignment="1">
      <alignment horizontal="center" vertical="top"/>
    </xf>
    <xf numFmtId="9" fontId="42" fillId="18" borderId="10" xfId="0" applyNumberFormat="1" applyFont="1" applyFill="1" applyBorder="1" applyAlignment="1">
      <alignment horizontal="center" vertical="center" wrapText="1"/>
    </xf>
    <xf numFmtId="174" fontId="23" fillId="25" borderId="14" xfId="43" applyNumberFormat="1" applyFont="1" applyFill="1" applyBorder="1"/>
    <xf numFmtId="0" fontId="22" fillId="0" borderId="0" xfId="0" applyFont="1" applyAlignment="1">
      <alignment horizontal="center"/>
    </xf>
    <xf numFmtId="2" fontId="31" fillId="0" borderId="23" xfId="0" applyNumberFormat="1" applyFont="1" applyBorder="1"/>
    <xf numFmtId="49" fontId="24" fillId="14" borderId="19" xfId="0" applyNumberFormat="1" applyFont="1" applyFill="1" applyBorder="1" applyAlignment="1">
      <alignment vertical="top"/>
    </xf>
    <xf numFmtId="178" fontId="21" fillId="0" borderId="14" xfId="0" applyNumberFormat="1" applyFont="1" applyBorder="1" applyAlignment="1">
      <alignment vertical="top"/>
    </xf>
    <xf numFmtId="0" fontId="69" fillId="0" borderId="19" xfId="0" applyFont="1" applyBorder="1" applyAlignment="1">
      <alignment horizontal="center"/>
    </xf>
    <xf numFmtId="165" fontId="38" fillId="0" borderId="14" xfId="0" applyNumberFormat="1" applyFont="1" applyBorder="1" applyAlignment="1">
      <alignment vertical="top"/>
    </xf>
    <xf numFmtId="165" fontId="21" fillId="0" borderId="19" xfId="0" applyNumberFormat="1" applyFont="1" applyBorder="1"/>
    <xf numFmtId="0" fontId="24" fillId="17" borderId="14" xfId="0" applyFont="1" applyFill="1" applyBorder="1" applyAlignment="1">
      <alignment horizontal="center" vertical="top"/>
    </xf>
    <xf numFmtId="0" fontId="27" fillId="0" borderId="29" xfId="0" applyFont="1" applyBorder="1"/>
    <xf numFmtId="49" fontId="22" fillId="14" borderId="19" xfId="0" applyNumberFormat="1" applyFont="1" applyFill="1" applyBorder="1" applyAlignment="1">
      <alignment vertical="top"/>
    </xf>
    <xf numFmtId="49" fontId="21" fillId="0" borderId="14" xfId="0" applyNumberFormat="1" applyFont="1" applyBorder="1" applyAlignment="1">
      <alignment vertical="top"/>
    </xf>
    <xf numFmtId="165" fontId="29" fillId="0" borderId="14" xfId="0" applyNumberFormat="1" applyFont="1" applyBorder="1"/>
    <xf numFmtId="0" fontId="22" fillId="0" borderId="15" xfId="0" applyFont="1" applyBorder="1"/>
    <xf numFmtId="0" fontId="22" fillId="17" borderId="19" xfId="0" applyFont="1" applyFill="1" applyBorder="1" applyAlignment="1">
      <alignment vertical="top" wrapText="1"/>
    </xf>
    <xf numFmtId="49" fontId="21" fillId="0" borderId="14" xfId="0" applyNumberFormat="1" applyFont="1" applyBorder="1"/>
    <xf numFmtId="0" fontId="22" fillId="17" borderId="14" xfId="0" applyFont="1" applyFill="1" applyBorder="1" applyAlignment="1">
      <alignment horizontal="center" vertical="top"/>
    </xf>
    <xf numFmtId="0" fontId="27" fillId="14" borderId="17" xfId="0" applyFont="1" applyFill="1" applyBorder="1" applyAlignment="1">
      <alignment horizontal="left"/>
    </xf>
    <xf numFmtId="0" fontId="22" fillId="16" borderId="19" xfId="0" applyFont="1" applyFill="1" applyBorder="1"/>
    <xf numFmtId="165" fontId="22" fillId="17" borderId="14" xfId="0" applyNumberFormat="1" applyFont="1" applyFill="1" applyBorder="1" applyAlignment="1">
      <alignment horizontal="center"/>
    </xf>
    <xf numFmtId="168" fontId="22" fillId="17" borderId="11" xfId="0" applyNumberFormat="1" applyFont="1" applyFill="1" applyBorder="1" applyAlignment="1">
      <alignment vertical="top"/>
    </xf>
    <xf numFmtId="186" fontId="20" fillId="0" borderId="0" xfId="0" applyNumberFormat="1" applyFont="1"/>
    <xf numFmtId="171" fontId="22" fillId="17" borderId="11" xfId="0" applyNumberFormat="1" applyFont="1" applyFill="1" applyBorder="1" applyAlignment="1">
      <alignment vertical="top"/>
    </xf>
    <xf numFmtId="9" fontId="22" fillId="18" borderId="10" xfId="0" applyNumberFormat="1" applyFont="1" applyFill="1" applyBorder="1"/>
    <xf numFmtId="172" fontId="88" fillId="17" borderId="19" xfId="0" applyNumberFormat="1" applyFont="1" applyFill="1" applyBorder="1" applyAlignment="1">
      <alignment vertical="top"/>
    </xf>
    <xf numFmtId="165" fontId="21" fillId="18" borderId="14" xfId="0" applyNumberFormat="1" applyFont="1" applyFill="1" applyBorder="1" applyAlignment="1">
      <alignment vertical="top"/>
    </xf>
    <xf numFmtId="181" fontId="22" fillId="0" borderId="27" xfId="0" applyNumberFormat="1" applyFont="1" applyBorder="1" applyAlignment="1" applyProtection="1">
      <alignment vertical="top" wrapText="1"/>
      <protection locked="0"/>
    </xf>
    <xf numFmtId="0" fontId="27" fillId="0" borderId="0" xfId="0" applyFont="1" applyAlignment="1">
      <alignment wrapText="1"/>
    </xf>
    <xf numFmtId="165" fontId="21" fillId="18" borderId="14" xfId="0" applyNumberFormat="1" applyFont="1" applyFill="1" applyBorder="1"/>
    <xf numFmtId="0" fontId="26" fillId="0" borderId="17" xfId="0" applyFont="1" applyBorder="1" applyAlignment="1">
      <alignment horizontal="justify" vertical="top" wrapText="1"/>
    </xf>
    <xf numFmtId="0" fontId="21" fillId="0" borderId="0" xfId="0" applyFont="1" applyAlignment="1">
      <alignment horizontal="center" vertical="top"/>
    </xf>
    <xf numFmtId="0" fontId="24" fillId="17" borderId="11" xfId="0" applyFont="1" applyFill="1" applyBorder="1" applyAlignment="1">
      <alignment horizontal="right" vertical="top"/>
    </xf>
    <xf numFmtId="0" fontId="21" fillId="0" borderId="11" xfId="0" applyFont="1" applyBorder="1" applyAlignment="1">
      <alignment vertical="top" wrapText="1"/>
    </xf>
    <xf numFmtId="49" fontId="27" fillId="0" borderId="0" xfId="0" applyNumberFormat="1" applyFont="1" applyAlignment="1">
      <alignment horizontal="center" vertical="top"/>
    </xf>
    <xf numFmtId="176" fontId="22" fillId="18" borderId="11" xfId="0" applyNumberFormat="1" applyFont="1" applyFill="1" applyBorder="1" applyAlignment="1">
      <alignment horizontal="center"/>
    </xf>
    <xf numFmtId="181" fontId="22" fillId="0" borderId="18" xfId="0" applyNumberFormat="1" applyFont="1" applyBorder="1" applyAlignment="1" applyProtection="1">
      <alignment vertical="top" wrapText="1"/>
      <protection locked="0"/>
    </xf>
    <xf numFmtId="0" fontId="39" fillId="0" borderId="19" xfId="39" applyFont="1" applyBorder="1" applyAlignment="1">
      <alignment horizontal="center"/>
    </xf>
    <xf numFmtId="0" fontId="38" fillId="0" borderId="19" xfId="0" applyFont="1" applyBorder="1" applyAlignment="1">
      <alignment horizontal="center" vertical="top"/>
    </xf>
    <xf numFmtId="0" fontId="64" fillId="0" borderId="0" xfId="0" applyFont="1" applyAlignment="1">
      <alignment horizontal="center" vertical="top"/>
    </xf>
    <xf numFmtId="0" fontId="78" fillId="14" borderId="14" xfId="0" applyFont="1" applyFill="1" applyBorder="1"/>
    <xf numFmtId="0" fontId="22" fillId="0" borderId="27" xfId="0" applyFont="1" applyBorder="1" applyAlignment="1" applyProtection="1">
      <alignment vertical="top" wrapText="1"/>
      <protection locked="0"/>
    </xf>
    <xf numFmtId="0" fontId="23" fillId="0" borderId="13" xfId="0" applyFont="1" applyBorder="1" applyAlignment="1">
      <alignment horizontal="center" vertical="top" wrapText="1"/>
    </xf>
    <xf numFmtId="0" fontId="42" fillId="22" borderId="10" xfId="0" applyFont="1" applyFill="1" applyBorder="1" applyAlignment="1">
      <alignment horizontal="center" vertical="top" wrapText="1"/>
    </xf>
    <xf numFmtId="0" fontId="66" fillId="0" borderId="0" xfId="0" applyFont="1"/>
    <xf numFmtId="165" fontId="21" fillId="0" borderId="14" xfId="0" applyNumberFormat="1" applyFont="1" applyBorder="1" applyAlignment="1">
      <alignment vertical="top"/>
    </xf>
    <xf numFmtId="165" fontId="22" fillId="14" borderId="19" xfId="0" applyNumberFormat="1" applyFont="1" applyFill="1" applyBorder="1" applyAlignment="1">
      <alignment vertical="top"/>
    </xf>
    <xf numFmtId="0" fontId="90" fillId="0" borderId="10" xfId="0" applyFont="1" applyBorder="1"/>
    <xf numFmtId="0" fontId="31" fillId="0" borderId="0" xfId="0" applyFont="1"/>
    <xf numFmtId="0" fontId="20" fillId="0" borderId="10" xfId="0" applyFont="1" applyBorder="1" applyAlignment="1">
      <alignment wrapText="1"/>
    </xf>
    <xf numFmtId="167" fontId="22" fillId="14" borderId="14" xfId="0" applyNumberFormat="1" applyFont="1" applyFill="1" applyBorder="1" applyAlignment="1">
      <alignment vertical="top"/>
    </xf>
    <xf numFmtId="49" fontId="26" fillId="0" borderId="14" xfId="0" applyNumberFormat="1" applyFont="1" applyBorder="1" applyAlignment="1">
      <alignment horizontal="center" vertical="top" wrapText="1"/>
    </xf>
    <xf numFmtId="173" fontId="34" fillId="0" borderId="14" xfId="0" applyNumberFormat="1" applyFont="1" applyBorder="1" applyAlignment="1">
      <alignment vertical="top"/>
    </xf>
    <xf numFmtId="0" fontId="22" fillId="18" borderId="19" xfId="0" applyFont="1" applyFill="1" applyBorder="1" applyAlignment="1">
      <alignment horizontal="center"/>
    </xf>
    <xf numFmtId="49" fontId="26" fillId="0" borderId="16" xfId="0" applyNumberFormat="1" applyFont="1" applyBorder="1" applyAlignment="1">
      <alignment horizontal="center" vertical="top"/>
    </xf>
    <xf numFmtId="165" fontId="21" fillId="0" borderId="14" xfId="0" applyNumberFormat="1" applyFont="1" applyBorder="1"/>
    <xf numFmtId="0" fontId="42" fillId="0" borderId="15" xfId="0" applyFont="1" applyBorder="1"/>
    <xf numFmtId="172" fontId="29" fillId="17" borderId="10" xfId="0" applyNumberFormat="1" applyFont="1" applyFill="1" applyBorder="1" applyAlignment="1">
      <alignment vertical="top"/>
    </xf>
    <xf numFmtId="0" fontId="34" fillId="17" borderId="14" xfId="0" applyFont="1" applyFill="1" applyBorder="1" applyAlignment="1">
      <alignment horizontal="center" vertical="top"/>
    </xf>
    <xf numFmtId="0" fontId="22" fillId="0" borderId="18" xfId="0" applyFont="1" applyBorder="1" applyAlignment="1" applyProtection="1">
      <alignment vertical="top" wrapText="1"/>
      <protection locked="0"/>
    </xf>
    <xf numFmtId="0" fontId="22" fillId="14" borderId="17" xfId="0" applyFont="1" applyFill="1" applyBorder="1" applyAlignment="1">
      <alignment horizontal="left"/>
    </xf>
    <xf numFmtId="169" fontId="22" fillId="17" borderId="14" xfId="0" applyNumberFormat="1" applyFont="1" applyFill="1" applyBorder="1" applyAlignment="1">
      <alignment vertical="top"/>
    </xf>
    <xf numFmtId="0" fontId="51" fillId="0" borderId="0" xfId="0" applyFont="1" applyAlignment="1">
      <alignment horizontal="center" vertical="top"/>
    </xf>
    <xf numFmtId="0" fontId="22" fillId="0" borderId="42" xfId="0" applyFont="1" applyBorder="1"/>
    <xf numFmtId="172" fontId="29" fillId="17" borderId="10" xfId="0" applyNumberFormat="1" applyFont="1" applyFill="1" applyBorder="1"/>
    <xf numFmtId="0" fontId="29" fillId="0" borderId="10" xfId="0" applyFont="1" applyBorder="1" applyAlignment="1">
      <alignment horizontal="center"/>
    </xf>
    <xf numFmtId="172" fontId="50" fillId="28" borderId="14" xfId="0" applyNumberFormat="1" applyFont="1" applyFill="1" applyBorder="1" applyAlignment="1">
      <alignment vertical="top"/>
    </xf>
    <xf numFmtId="49" fontId="22" fillId="0" borderId="15" xfId="0" applyNumberFormat="1" applyFont="1" applyBorder="1" applyAlignment="1">
      <alignment vertical="top" wrapText="1"/>
    </xf>
    <xf numFmtId="49" fontId="67" fillId="0" borderId="31" xfId="0" applyNumberFormat="1" applyFont="1" applyBorder="1"/>
    <xf numFmtId="0" fontId="26" fillId="0" borderId="0" xfId="0" applyFont="1" applyAlignment="1">
      <alignment horizontal="center" vertical="center"/>
    </xf>
    <xf numFmtId="0" fontId="26" fillId="0" borderId="14" xfId="0" applyFont="1" applyBorder="1" applyAlignment="1">
      <alignment vertical="top" wrapText="1"/>
    </xf>
    <xf numFmtId="0" fontId="26" fillId="0" borderId="16" xfId="0" applyFont="1" applyBorder="1" applyAlignment="1">
      <alignment vertical="top"/>
    </xf>
    <xf numFmtId="172" fontId="24" fillId="17" borderId="19" xfId="0" applyNumberFormat="1" applyFont="1" applyFill="1" applyBorder="1" applyAlignment="1">
      <alignment vertical="top"/>
    </xf>
    <xf numFmtId="174" fontId="24" fillId="18" borderId="14" xfId="0" applyNumberFormat="1" applyFont="1" applyFill="1" applyBorder="1" applyAlignment="1">
      <alignment horizontal="right" vertical="top"/>
    </xf>
    <xf numFmtId="10" fontId="58" fillId="0" borderId="10" xfId="0" applyNumberFormat="1" applyFont="1" applyBorder="1" applyAlignment="1">
      <alignment vertical="center" wrapText="1"/>
    </xf>
    <xf numFmtId="0" fontId="27" fillId="16" borderId="29" xfId="0" applyFont="1" applyFill="1" applyBorder="1"/>
    <xf numFmtId="0" fontId="27" fillId="0" borderId="0" xfId="0" applyFont="1" applyAlignment="1">
      <alignment vertical="top"/>
    </xf>
    <xf numFmtId="3" fontId="27" fillId="0" borderId="14" xfId="0" applyNumberFormat="1" applyFont="1" applyBorder="1" applyAlignment="1">
      <alignment vertical="top"/>
    </xf>
    <xf numFmtId="0" fontId="24" fillId="0" borderId="18" xfId="0" applyFont="1" applyBorder="1" applyAlignment="1" applyProtection="1">
      <alignment vertical="top" wrapText="1"/>
      <protection locked="0"/>
    </xf>
    <xf numFmtId="49" fontId="24" fillId="14" borderId="14" xfId="0" applyNumberFormat="1" applyFont="1" applyFill="1" applyBorder="1" applyAlignment="1">
      <alignment vertical="top"/>
    </xf>
    <xf numFmtId="0" fontId="69" fillId="0" borderId="14" xfId="0" applyFont="1" applyBorder="1" applyAlignment="1">
      <alignment horizontal="center"/>
    </xf>
    <xf numFmtId="0" fontId="22" fillId="14" borderId="0" xfId="0" applyFont="1" applyFill="1"/>
    <xf numFmtId="0" fontId="42" fillId="0" borderId="42" xfId="0" applyFont="1" applyBorder="1"/>
    <xf numFmtId="0" fontId="27" fillId="0" borderId="0" xfId="0" applyFont="1" applyAlignment="1" applyProtection="1">
      <alignment vertical="top"/>
      <protection locked="0"/>
    </xf>
    <xf numFmtId="0" fontId="24" fillId="17" borderId="14" xfId="0" applyFont="1" applyFill="1" applyBorder="1" applyAlignment="1">
      <alignment vertical="top" wrapText="1"/>
    </xf>
    <xf numFmtId="49" fontId="22" fillId="14" borderId="14" xfId="0" applyNumberFormat="1" applyFont="1" applyFill="1" applyBorder="1" applyAlignment="1">
      <alignment vertical="top"/>
    </xf>
    <xf numFmtId="49" fontId="42" fillId="0" borderId="15" xfId="0" applyNumberFormat="1" applyFont="1" applyBorder="1" applyAlignment="1">
      <alignment vertical="top" wrapText="1"/>
    </xf>
    <xf numFmtId="0" fontId="39" fillId="0" borderId="14" xfId="39" applyFont="1" applyBorder="1" applyAlignment="1">
      <alignment horizontal="center"/>
    </xf>
    <xf numFmtId="0" fontId="22" fillId="17" borderId="14" xfId="0" applyFont="1" applyFill="1" applyBorder="1" applyAlignment="1">
      <alignment vertical="top" wrapText="1"/>
    </xf>
    <xf numFmtId="49" fontId="22" fillId="14" borderId="14" xfId="0" applyNumberFormat="1" applyFont="1" applyFill="1" applyBorder="1"/>
    <xf numFmtId="0" fontId="22" fillId="16" borderId="14" xfId="0" applyFont="1" applyFill="1" applyBorder="1"/>
    <xf numFmtId="0" fontId="21" fillId="14" borderId="0" xfId="0" applyFont="1" applyFill="1"/>
    <xf numFmtId="0" fontId="25" fillId="17" borderId="10" xfId="0" applyFont="1" applyFill="1" applyBorder="1" applyAlignment="1">
      <alignment horizontal="center" vertical="center" wrapText="1"/>
    </xf>
    <xf numFmtId="0" fontId="21" fillId="18" borderId="11" xfId="0" applyFont="1" applyFill="1" applyBorder="1" applyAlignment="1">
      <alignment horizontal="center"/>
    </xf>
    <xf numFmtId="0" fontId="33" fillId="0" borderId="10" xfId="39" applyFont="1" applyBorder="1" applyAlignment="1">
      <alignment horizontal="center" vertical="center" wrapText="1"/>
    </xf>
    <xf numFmtId="172" fontId="88" fillId="17" borderId="14" xfId="0" applyNumberFormat="1" applyFont="1" applyFill="1" applyBorder="1" applyAlignment="1">
      <alignment vertical="top"/>
    </xf>
    <xf numFmtId="0" fontId="25" fillId="17" borderId="19" xfId="0" applyFont="1" applyFill="1" applyBorder="1" applyAlignment="1">
      <alignment horizontal="left" vertical="top" wrapText="1"/>
    </xf>
    <xf numFmtId="0" fontId="21" fillId="0" borderId="0" xfId="0" applyFont="1" applyAlignment="1">
      <alignment vertical="top" wrapText="1"/>
    </xf>
    <xf numFmtId="0" fontId="24" fillId="17" borderId="11" xfId="0" applyFont="1" applyFill="1" applyBorder="1" applyAlignment="1">
      <alignment horizontal="left" vertical="top" wrapText="1"/>
    </xf>
    <xf numFmtId="167" fontId="22" fillId="17" borderId="11" xfId="0" applyNumberFormat="1" applyFont="1" applyFill="1" applyBorder="1" applyAlignment="1">
      <alignment vertical="top"/>
    </xf>
    <xf numFmtId="3" fontId="59" fillId="0" borderId="0" xfId="0" applyNumberFormat="1" applyFont="1"/>
    <xf numFmtId="0" fontId="22" fillId="0" borderId="36" xfId="0" applyFont="1" applyBorder="1" applyAlignment="1">
      <alignment vertical="top" wrapText="1"/>
    </xf>
    <xf numFmtId="0" fontId="27" fillId="0" borderId="14" xfId="0" applyFont="1" applyBorder="1" applyAlignment="1">
      <alignment horizontal="center"/>
    </xf>
    <xf numFmtId="0" fontId="33" fillId="0" borderId="19" xfId="0" applyFont="1" applyBorder="1" applyAlignment="1">
      <alignment vertical="top"/>
    </xf>
    <xf numFmtId="0" fontId="21" fillId="0" borderId="19" xfId="0" applyFont="1" applyBorder="1" applyAlignment="1">
      <alignment horizontal="center" vertical="top"/>
    </xf>
    <xf numFmtId="0" fontId="33" fillId="0" borderId="10" xfId="0" applyFont="1" applyBorder="1" applyAlignment="1">
      <alignment horizontal="center" vertical="center" wrapText="1"/>
    </xf>
    <xf numFmtId="0" fontId="38" fillId="0" borderId="19" xfId="0" applyFont="1" applyBorder="1" applyAlignment="1">
      <alignment vertical="top" wrapText="1"/>
    </xf>
    <xf numFmtId="0" fontId="38" fillId="0" borderId="14" xfId="0" applyFont="1" applyBorder="1" applyAlignment="1">
      <alignment horizontal="center" vertical="top"/>
    </xf>
    <xf numFmtId="0" fontId="37" fillId="16" borderId="10" xfId="0" applyFont="1" applyFill="1" applyBorder="1" applyAlignment="1">
      <alignment horizontal="center"/>
    </xf>
    <xf numFmtId="0" fontId="21" fillId="0" borderId="11" xfId="0" applyFont="1" applyBorder="1" applyAlignment="1">
      <alignment horizontal="center"/>
    </xf>
    <xf numFmtId="0" fontId="25" fillId="17" borderId="11" xfId="0" applyFont="1" applyFill="1" applyBorder="1" applyAlignment="1">
      <alignment horizontal="center" vertical="top"/>
    </xf>
    <xf numFmtId="171" fontId="38" fillId="0" borderId="11" xfId="0" applyNumberFormat="1" applyFont="1" applyBorder="1" applyAlignment="1">
      <alignment vertical="top"/>
    </xf>
    <xf numFmtId="165" fontId="22" fillId="14" borderId="14" xfId="0" applyNumberFormat="1" applyFont="1" applyFill="1" applyBorder="1" applyAlignment="1">
      <alignment vertical="top"/>
    </xf>
    <xf numFmtId="49" fontId="34" fillId="14" borderId="14" xfId="0" applyNumberFormat="1" applyFont="1" applyFill="1" applyBorder="1" applyAlignment="1">
      <alignment vertical="top"/>
    </xf>
    <xf numFmtId="0" fontId="43" fillId="0" borderId="19" xfId="0" quotePrefix="1" applyFont="1" applyBorder="1"/>
    <xf numFmtId="0" fontId="59" fillId="0" borderId="0" xfId="0" applyFont="1" applyAlignment="1">
      <alignment horizontal="center" wrapText="1"/>
    </xf>
    <xf numFmtId="0" fontId="22" fillId="18" borderId="14" xfId="0" applyFont="1" applyFill="1" applyBorder="1" applyAlignment="1">
      <alignment horizontal="center"/>
    </xf>
    <xf numFmtId="0" fontId="27" fillId="17" borderId="0" xfId="0" applyFont="1" applyFill="1" applyAlignment="1">
      <alignment vertical="top"/>
    </xf>
    <xf numFmtId="174" fontId="26" fillId="14" borderId="14" xfId="0" applyNumberFormat="1" applyFont="1" applyFill="1" applyBorder="1" applyAlignment="1">
      <alignment horizontal="center"/>
    </xf>
    <xf numFmtId="0" fontId="27" fillId="17" borderId="0" xfId="0" applyFont="1" applyFill="1"/>
    <xf numFmtId="49" fontId="42" fillId="0" borderId="42" xfId="0" applyNumberFormat="1" applyFont="1" applyBorder="1" applyAlignment="1">
      <alignment vertical="top" wrapText="1"/>
    </xf>
    <xf numFmtId="22" fontId="22" fillId="14" borderId="14" xfId="0" applyNumberFormat="1" applyFont="1" applyFill="1" applyBorder="1"/>
    <xf numFmtId="49" fontId="22" fillId="17" borderId="11" xfId="0" applyNumberFormat="1" applyFont="1" applyFill="1" applyBorder="1"/>
    <xf numFmtId="187" fontId="22" fillId="0" borderId="31" xfId="0" applyNumberFormat="1" applyFont="1" applyBorder="1" applyAlignment="1">
      <alignment horizontal="right" vertical="top"/>
    </xf>
    <xf numFmtId="0" fontId="42" fillId="14" borderId="22" xfId="0" applyFont="1" applyFill="1" applyBorder="1" applyAlignment="1">
      <alignment vertical="center"/>
    </xf>
    <xf numFmtId="0" fontId="42" fillId="14" borderId="23" xfId="0" applyFont="1" applyFill="1" applyBorder="1" applyAlignment="1">
      <alignment vertical="center"/>
    </xf>
    <xf numFmtId="189" fontId="22" fillId="14" borderId="11" xfId="0" applyNumberFormat="1" applyFont="1" applyFill="1" applyBorder="1" applyAlignment="1">
      <alignment vertical="top"/>
    </xf>
    <xf numFmtId="189" fontId="22" fillId="14" borderId="14" xfId="0" applyNumberFormat="1" applyFont="1" applyFill="1" applyBorder="1" applyAlignment="1">
      <alignment vertical="top"/>
    </xf>
    <xf numFmtId="189" fontId="22" fillId="14" borderId="19" xfId="0" applyNumberFormat="1" applyFont="1" applyFill="1" applyBorder="1" applyAlignment="1">
      <alignment vertical="top"/>
    </xf>
    <xf numFmtId="189" fontId="22" fillId="17" borderId="14" xfId="0" applyNumberFormat="1" applyFont="1" applyFill="1" applyBorder="1" applyAlignment="1">
      <alignment vertical="top"/>
    </xf>
    <xf numFmtId="189" fontId="22" fillId="17" borderId="19" xfId="0" applyNumberFormat="1" applyFont="1" applyFill="1" applyBorder="1" applyAlignment="1">
      <alignment vertical="top"/>
    </xf>
    <xf numFmtId="189" fontId="22" fillId="17" borderId="11" xfId="0" applyNumberFormat="1" applyFont="1" applyFill="1" applyBorder="1" applyAlignment="1">
      <alignment vertical="top"/>
    </xf>
    <xf numFmtId="0" fontId="97" fillId="0" borderId="10" xfId="0" applyFont="1" applyBorder="1" applyAlignment="1">
      <alignment horizontal="center" vertical="center" wrapText="1"/>
    </xf>
    <xf numFmtId="0" fontId="98" fillId="0" borderId="10" xfId="0" applyFont="1" applyBorder="1" applyAlignment="1">
      <alignment horizontal="center" vertical="center"/>
    </xf>
    <xf numFmtId="0" fontId="98" fillId="0" borderId="10" xfId="0" applyFont="1" applyBorder="1" applyAlignment="1">
      <alignment vertical="center"/>
    </xf>
    <xf numFmtId="3" fontId="99" fillId="0" borderId="10" xfId="0" applyNumberFormat="1" applyFont="1" applyBorder="1" applyAlignment="1">
      <alignment horizontal="right" vertical="center"/>
    </xf>
    <xf numFmtId="0" fontId="97" fillId="0" borderId="10" xfId="0" applyFont="1" applyBorder="1" applyAlignment="1">
      <alignment vertical="center"/>
    </xf>
    <xf numFmtId="3" fontId="73" fillId="0" borderId="10" xfId="0" applyNumberFormat="1" applyFont="1" applyBorder="1" applyAlignment="1">
      <alignment horizontal="right" vertical="center"/>
    </xf>
    <xf numFmtId="0" fontId="27" fillId="29" borderId="0" xfId="0" applyFont="1" applyFill="1"/>
    <xf numFmtId="0" fontId="42" fillId="29" borderId="0" xfId="0" applyFont="1" applyFill="1" applyAlignment="1">
      <alignment horizontal="center" vertical="center"/>
    </xf>
    <xf numFmtId="0" fontId="26" fillId="29" borderId="0" xfId="0" applyFont="1" applyFill="1" applyAlignment="1">
      <alignment horizontal="center" vertical="center"/>
    </xf>
    <xf numFmtId="0" fontId="42" fillId="29" borderId="10" xfId="0" applyFont="1" applyFill="1" applyBorder="1" applyAlignment="1">
      <alignment horizontal="center" vertical="center"/>
    </xf>
    <xf numFmtId="0" fontId="22" fillId="29" borderId="0" xfId="0" applyFont="1" applyFill="1" applyAlignment="1">
      <alignment vertical="top"/>
    </xf>
    <xf numFmtId="0" fontId="22" fillId="29" borderId="0" xfId="0" applyFont="1" applyFill="1"/>
    <xf numFmtId="165" fontId="22" fillId="29" borderId="0" xfId="0" applyNumberFormat="1" applyFont="1" applyFill="1"/>
    <xf numFmtId="0" fontId="100" fillId="29" borderId="10" xfId="0" applyFont="1" applyFill="1" applyBorder="1" applyAlignment="1">
      <alignment vertical="top"/>
    </xf>
    <xf numFmtId="0" fontId="42" fillId="29" borderId="10" xfId="0" applyFont="1" applyFill="1" applyBorder="1" applyAlignment="1">
      <alignment vertical="top"/>
    </xf>
    <xf numFmtId="3" fontId="26" fillId="29" borderId="17" xfId="0" applyNumberFormat="1" applyFont="1" applyFill="1" applyBorder="1"/>
    <xf numFmtId="0" fontId="22" fillId="29" borderId="11" xfId="0" applyFont="1" applyFill="1" applyBorder="1" applyAlignment="1">
      <alignment vertical="top"/>
    </xf>
    <xf numFmtId="0" fontId="22" fillId="29" borderId="14" xfId="0" applyFont="1" applyFill="1" applyBorder="1" applyAlignment="1">
      <alignment vertical="top"/>
    </xf>
    <xf numFmtId="0" fontId="22" fillId="29" borderId="14" xfId="0" applyFont="1" applyFill="1" applyBorder="1" applyAlignment="1">
      <alignment horizontal="center" vertical="top"/>
    </xf>
    <xf numFmtId="0" fontId="22" fillId="29" borderId="14" xfId="0" applyFont="1" applyFill="1" applyBorder="1" applyAlignment="1">
      <alignment vertical="top" wrapText="1"/>
    </xf>
    <xf numFmtId="173" fontId="22" fillId="29" borderId="14" xfId="0" applyNumberFormat="1" applyFont="1" applyFill="1" applyBorder="1" applyAlignment="1">
      <alignment vertical="top"/>
    </xf>
    <xf numFmtId="165" fontId="22" fillId="29" borderId="14" xfId="0" applyNumberFormat="1" applyFont="1" applyFill="1" applyBorder="1" applyAlignment="1">
      <alignment vertical="top"/>
    </xf>
    <xf numFmtId="0" fontId="26" fillId="29" borderId="14" xfId="0" applyFont="1" applyFill="1" applyBorder="1"/>
    <xf numFmtId="0" fontId="22" fillId="29" borderId="19" xfId="0" applyFont="1" applyFill="1" applyBorder="1" applyAlignment="1">
      <alignment horizontal="center" vertical="top"/>
    </xf>
    <xf numFmtId="0" fontId="22" fillId="29" borderId="19" xfId="0" applyFont="1" applyFill="1" applyBorder="1" applyAlignment="1">
      <alignment vertical="top"/>
    </xf>
    <xf numFmtId="0" fontId="22" fillId="29" borderId="19" xfId="0" applyFont="1" applyFill="1" applyBorder="1" applyAlignment="1">
      <alignment vertical="top" wrapText="1"/>
    </xf>
    <xf numFmtId="173" fontId="22" fillId="29" borderId="19" xfId="0" applyNumberFormat="1" applyFont="1" applyFill="1" applyBorder="1" applyAlignment="1">
      <alignment vertical="top"/>
    </xf>
    <xf numFmtId="165" fontId="22" fillId="29" borderId="19" xfId="0" applyNumberFormat="1" applyFont="1" applyFill="1" applyBorder="1" applyAlignment="1">
      <alignment vertical="top"/>
    </xf>
    <xf numFmtId="0" fontId="26" fillId="29" borderId="0" xfId="0" applyFont="1" applyFill="1" applyAlignment="1">
      <alignment horizontal="center"/>
    </xf>
    <xf numFmtId="0" fontId="27" fillId="29" borderId="11" xfId="0" applyFont="1" applyFill="1" applyBorder="1"/>
    <xf numFmtId="0" fontId="22" fillId="29" borderId="11" xfId="0" applyFont="1" applyFill="1" applyBorder="1" applyAlignment="1">
      <alignment horizontal="center"/>
    </xf>
    <xf numFmtId="49" fontId="22" fillId="29" borderId="11" xfId="0" applyNumberFormat="1" applyFont="1" applyFill="1" applyBorder="1"/>
    <xf numFmtId="0" fontId="22" fillId="29" borderId="11" xfId="0" applyFont="1" applyFill="1" applyBorder="1"/>
    <xf numFmtId="165" fontId="22" fillId="29" borderId="11" xfId="0" applyNumberFormat="1" applyFont="1" applyFill="1" applyBorder="1"/>
    <xf numFmtId="166" fontId="22" fillId="29" borderId="11" xfId="0" applyNumberFormat="1" applyFont="1" applyFill="1" applyBorder="1"/>
    <xf numFmtId="0" fontId="27" fillId="29" borderId="14" xfId="0" applyFont="1" applyFill="1" applyBorder="1"/>
    <xf numFmtId="0" fontId="22" fillId="29" borderId="14" xfId="0" applyFont="1" applyFill="1" applyBorder="1" applyAlignment="1">
      <alignment horizontal="center"/>
    </xf>
    <xf numFmtId="49" fontId="22" fillId="29" borderId="14" xfId="0" applyNumberFormat="1" applyFont="1" applyFill="1" applyBorder="1"/>
    <xf numFmtId="0" fontId="22" fillId="29" borderId="14" xfId="0" applyFont="1" applyFill="1" applyBorder="1"/>
    <xf numFmtId="165" fontId="22" fillId="29" borderId="14" xfId="0" applyNumberFormat="1" applyFont="1" applyFill="1" applyBorder="1"/>
    <xf numFmtId="165" fontId="24" fillId="29" borderId="14" xfId="0" applyNumberFormat="1" applyFont="1" applyFill="1" applyBorder="1"/>
    <xf numFmtId="166" fontId="22" fillId="29" borderId="14" xfId="0" applyNumberFormat="1" applyFont="1" applyFill="1" applyBorder="1"/>
    <xf numFmtId="0" fontId="27" fillId="29" borderId="16" xfId="0" applyFont="1" applyFill="1" applyBorder="1"/>
    <xf numFmtId="49" fontId="22" fillId="29" borderId="16" xfId="0" applyNumberFormat="1" applyFont="1" applyFill="1" applyBorder="1"/>
    <xf numFmtId="0" fontId="22" fillId="29" borderId="16" xfId="0" applyFont="1" applyFill="1" applyBorder="1"/>
    <xf numFmtId="0" fontId="22" fillId="29" borderId="16" xfId="0" applyFont="1" applyFill="1" applyBorder="1" applyAlignment="1">
      <alignment horizontal="center"/>
    </xf>
    <xf numFmtId="165" fontId="22" fillId="29" borderId="16" xfId="0" applyNumberFormat="1" applyFont="1" applyFill="1" applyBorder="1"/>
    <xf numFmtId="166" fontId="22" fillId="29" borderId="16" xfId="0" applyNumberFormat="1" applyFont="1" applyFill="1" applyBorder="1"/>
    <xf numFmtId="0" fontId="27" fillId="29" borderId="19" xfId="0" applyFont="1" applyFill="1" applyBorder="1"/>
    <xf numFmtId="49" fontId="22" fillId="29" borderId="19" xfId="0" applyNumberFormat="1" applyFont="1" applyFill="1" applyBorder="1"/>
    <xf numFmtId="0" fontId="22" fillId="29" borderId="19" xfId="0" applyFont="1" applyFill="1" applyBorder="1"/>
    <xf numFmtId="0" fontId="22" fillId="29" borderId="19" xfId="0" applyFont="1" applyFill="1" applyBorder="1" applyAlignment="1">
      <alignment horizontal="center"/>
    </xf>
    <xf numFmtId="165" fontId="22" fillId="29" borderId="19" xfId="0" applyNumberFormat="1" applyFont="1" applyFill="1" applyBorder="1"/>
    <xf numFmtId="166" fontId="22" fillId="29" borderId="19" xfId="0" applyNumberFormat="1" applyFont="1" applyFill="1" applyBorder="1"/>
    <xf numFmtId="165" fontId="24" fillId="29" borderId="11" xfId="0" applyNumberFormat="1" applyFont="1" applyFill="1" applyBorder="1"/>
    <xf numFmtId="165" fontId="24" fillId="29" borderId="19" xfId="0" applyNumberFormat="1" applyFont="1" applyFill="1" applyBorder="1"/>
    <xf numFmtId="0" fontId="20" fillId="0" borderId="17" xfId="0" applyFont="1" applyBorder="1" applyAlignment="1">
      <alignment horizontal="center" vertical="center"/>
    </xf>
    <xf numFmtId="0" fontId="20" fillId="0" borderId="19" xfId="0" applyFont="1" applyBorder="1" applyAlignment="1">
      <alignment vertical="center"/>
    </xf>
    <xf numFmtId="3" fontId="20" fillId="0" borderId="19" xfId="0" applyNumberFormat="1" applyFont="1" applyBorder="1" applyAlignment="1">
      <alignment vertical="center"/>
    </xf>
    <xf numFmtId="0" fontId="20" fillId="0" borderId="19" xfId="0" applyFont="1" applyBorder="1" applyAlignment="1">
      <alignment horizontal="center" vertical="center"/>
    </xf>
    <xf numFmtId="0" fontId="93" fillId="0" borderId="26" xfId="0" applyFont="1" applyBorder="1" applyAlignment="1">
      <alignment horizontal="center" vertical="center"/>
    </xf>
    <xf numFmtId="0" fontId="93" fillId="0" borderId="10" xfId="0" applyFont="1" applyBorder="1" applyAlignment="1">
      <alignment horizontal="center" vertical="center"/>
    </xf>
    <xf numFmtId="0" fontId="20" fillId="0" borderId="14" xfId="0" applyFont="1" applyBorder="1" applyAlignment="1">
      <alignment vertical="center"/>
    </xf>
    <xf numFmtId="3" fontId="20" fillId="0" borderId="14" xfId="0" applyNumberFormat="1" applyFont="1" applyBorder="1" applyAlignment="1">
      <alignment vertical="center"/>
    </xf>
    <xf numFmtId="0" fontId="20" fillId="0" borderId="14" xfId="0" applyFont="1" applyBorder="1" applyAlignment="1">
      <alignment horizontal="center" vertical="center"/>
    </xf>
    <xf numFmtId="0" fontId="93" fillId="0" borderId="22" xfId="0" applyFont="1" applyBorder="1" applyAlignment="1">
      <alignment horizontal="center" vertical="center"/>
    </xf>
    <xf numFmtId="3" fontId="93" fillId="0" borderId="10" xfId="0" applyNumberFormat="1" applyFont="1" applyBorder="1" applyAlignment="1">
      <alignment horizontal="center" vertical="center"/>
    </xf>
    <xf numFmtId="0" fontId="0" fillId="0" borderId="0" xfId="0" applyAlignment="1">
      <alignment vertical="center"/>
    </xf>
    <xf numFmtId="0" fontId="93" fillId="0" borderId="0" xfId="0" applyFont="1" applyAlignment="1">
      <alignment horizontal="center" vertical="center"/>
    </xf>
    <xf numFmtId="0" fontId="93" fillId="0" borderId="0" xfId="0" applyFont="1" applyAlignment="1">
      <alignment vertical="center"/>
    </xf>
    <xf numFmtId="3" fontId="93" fillId="0" borderId="0" xfId="0" applyNumberFormat="1" applyFont="1" applyAlignment="1">
      <alignment vertical="center"/>
    </xf>
    <xf numFmtId="0" fontId="0" fillId="0" borderId="0" xfId="0" applyAlignment="1">
      <alignment horizontal="center" vertical="center"/>
    </xf>
    <xf numFmtId="3" fontId="93" fillId="0" borderId="0" xfId="0" applyNumberFormat="1" applyFont="1" applyAlignment="1">
      <alignment horizontal="center" vertical="center"/>
    </xf>
    <xf numFmtId="0" fontId="95" fillId="0" borderId="0" xfId="0" applyFont="1" applyAlignment="1">
      <alignment horizontal="center" vertical="center"/>
    </xf>
    <xf numFmtId="3" fontId="93" fillId="0" borderId="48" xfId="0" applyNumberFormat="1" applyFont="1" applyBorder="1" applyAlignment="1">
      <alignment horizontal="center" vertical="center"/>
    </xf>
    <xf numFmtId="0" fontId="93" fillId="0" borderId="10" xfId="0" applyFont="1" applyBorder="1" applyAlignment="1">
      <alignment horizontal="left" vertical="center"/>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93" fillId="0" borderId="26" xfId="0" applyFont="1" applyBorder="1" applyAlignment="1">
      <alignment horizontal="left" vertical="center"/>
    </xf>
    <xf numFmtId="0" fontId="20" fillId="0" borderId="14" xfId="0" applyFont="1" applyBorder="1" applyAlignment="1">
      <alignment horizontal="left" vertical="center"/>
    </xf>
    <xf numFmtId="0" fontId="93" fillId="0" borderId="10" xfId="0" applyFont="1" applyBorder="1" applyAlignment="1">
      <alignment horizontal="center" vertical="center" wrapText="1"/>
    </xf>
    <xf numFmtId="3" fontId="93" fillId="0" borderId="10" xfId="0" applyNumberFormat="1" applyFont="1" applyBorder="1" applyAlignment="1">
      <alignment horizontal="center" vertical="center" wrapText="1"/>
    </xf>
    <xf numFmtId="3" fontId="93" fillId="0" borderId="10" xfId="0" applyNumberFormat="1" applyFont="1" applyBorder="1" applyAlignment="1">
      <alignment horizontal="right" vertical="center"/>
    </xf>
    <xf numFmtId="3" fontId="20" fillId="0" borderId="17" xfId="0" applyNumberFormat="1" applyFont="1" applyBorder="1" applyAlignment="1">
      <alignment horizontal="right" vertical="center"/>
    </xf>
    <xf numFmtId="3" fontId="20" fillId="0" borderId="19" xfId="0" applyNumberFormat="1" applyFont="1" applyBorder="1" applyAlignment="1">
      <alignment horizontal="right" vertical="center"/>
    </xf>
    <xf numFmtId="3" fontId="93" fillId="0" borderId="26" xfId="0" applyNumberFormat="1" applyFont="1" applyBorder="1" applyAlignment="1">
      <alignment horizontal="right" vertical="center"/>
    </xf>
    <xf numFmtId="0" fontId="20" fillId="29" borderId="19" xfId="0" applyFont="1" applyFill="1" applyBorder="1" applyAlignment="1">
      <alignment horizontal="center" vertical="center"/>
    </xf>
    <xf numFmtId="0" fontId="102" fillId="14" borderId="0" xfId="0" applyFont="1" applyFill="1" applyAlignment="1">
      <alignment horizontal="center" vertical="center"/>
    </xf>
    <xf numFmtId="0" fontId="36" fillId="14" borderId="0" xfId="0" applyFont="1" applyFill="1" applyAlignment="1">
      <alignment horizontal="center" vertical="center"/>
    </xf>
    <xf numFmtId="0" fontId="59" fillId="14" borderId="0" xfId="0" applyFont="1" applyFill="1" applyAlignment="1">
      <alignment horizontal="center" vertical="center"/>
    </xf>
    <xf numFmtId="3" fontId="0" fillId="0" borderId="0" xfId="0" applyNumberFormat="1" applyAlignment="1">
      <alignment horizontal="center" vertical="center"/>
    </xf>
    <xf numFmtId="0" fontId="93" fillId="0" borderId="17" xfId="0" applyFont="1" applyBorder="1" applyAlignment="1">
      <alignment vertical="center"/>
    </xf>
    <xf numFmtId="0" fontId="93" fillId="0" borderId="17" xfId="0" applyFont="1" applyBorder="1" applyAlignment="1">
      <alignment horizontal="center" vertical="center"/>
    </xf>
    <xf numFmtId="0" fontId="93" fillId="0" borderId="14" xfId="0" applyFont="1" applyBorder="1" applyAlignment="1">
      <alignment vertical="center"/>
    </xf>
    <xf numFmtId="0" fontId="93" fillId="0" borderId="14" xfId="0" applyFont="1" applyBorder="1" applyAlignment="1">
      <alignment horizontal="center" vertical="center"/>
    </xf>
    <xf numFmtId="3" fontId="93" fillId="0" borderId="17" xfId="0" applyNumberFormat="1" applyFont="1" applyBorder="1" applyAlignment="1">
      <alignment vertical="center"/>
    </xf>
    <xf numFmtId="3" fontId="93" fillId="0" borderId="14" xfId="0" applyNumberFormat="1" applyFont="1" applyBorder="1" applyAlignment="1">
      <alignment vertical="center"/>
    </xf>
    <xf numFmtId="3" fontId="26" fillId="29" borderId="14" xfId="0" applyNumberFormat="1" applyFont="1" applyFill="1" applyBorder="1"/>
    <xf numFmtId="0" fontId="42" fillId="29" borderId="17" xfId="0" applyFont="1" applyFill="1" applyBorder="1" applyAlignment="1">
      <alignment vertical="top"/>
    </xf>
    <xf numFmtId="0" fontId="27" fillId="29" borderId="0" xfId="0" applyFont="1" applyFill="1" applyAlignment="1">
      <alignment vertical="center"/>
    </xf>
    <xf numFmtId="0" fontId="22" fillId="29" borderId="0" xfId="0" applyFont="1" applyFill="1" applyAlignment="1">
      <alignment vertical="center"/>
    </xf>
    <xf numFmtId="0" fontId="27" fillId="29" borderId="11" xfId="0" applyFont="1" applyFill="1" applyBorder="1" applyAlignment="1">
      <alignment vertical="center"/>
    </xf>
    <xf numFmtId="0" fontId="27" fillId="29" borderId="14" xfId="0" applyFont="1" applyFill="1" applyBorder="1" applyAlignment="1">
      <alignment vertical="center"/>
    </xf>
    <xf numFmtId="0" fontId="22" fillId="29" borderId="14" xfId="0" applyFont="1" applyFill="1" applyBorder="1" applyAlignment="1">
      <alignment horizontal="center" vertical="center"/>
    </xf>
    <xf numFmtId="0" fontId="22" fillId="29" borderId="14" xfId="0" applyFont="1" applyFill="1" applyBorder="1" applyAlignment="1">
      <alignment vertical="center"/>
    </xf>
    <xf numFmtId="165" fontId="22" fillId="29" borderId="14" xfId="0" applyNumberFormat="1" applyFont="1" applyFill="1" applyBorder="1" applyAlignment="1">
      <alignment vertical="center"/>
    </xf>
    <xf numFmtId="165" fontId="24" fillId="29" borderId="14" xfId="0" applyNumberFormat="1" applyFont="1" applyFill="1" applyBorder="1" applyAlignment="1">
      <alignment vertical="center"/>
    </xf>
    <xf numFmtId="170" fontId="22" fillId="29" borderId="14" xfId="0" applyNumberFormat="1" applyFont="1" applyFill="1" applyBorder="1" applyAlignment="1">
      <alignment vertical="center"/>
    </xf>
    <xf numFmtId="0" fontId="22" fillId="29" borderId="14" xfId="0" applyFont="1" applyFill="1" applyBorder="1" applyAlignment="1">
      <alignment vertical="center" wrapText="1"/>
    </xf>
    <xf numFmtId="0" fontId="27" fillId="29" borderId="19" xfId="0" applyFont="1" applyFill="1" applyBorder="1" applyAlignment="1">
      <alignment vertical="center"/>
    </xf>
    <xf numFmtId="0" fontId="22" fillId="29" borderId="19" xfId="0" applyFont="1" applyFill="1" applyBorder="1" applyAlignment="1">
      <alignment horizontal="center" vertical="center"/>
    </xf>
    <xf numFmtId="0" fontId="22" fillId="29" borderId="19" xfId="0" applyFont="1" applyFill="1" applyBorder="1" applyAlignment="1">
      <alignment vertical="center"/>
    </xf>
    <xf numFmtId="165" fontId="22" fillId="29" borderId="19" xfId="0" applyNumberFormat="1" applyFont="1" applyFill="1" applyBorder="1" applyAlignment="1">
      <alignment vertical="center"/>
    </xf>
    <xf numFmtId="165" fontId="24" fillId="29" borderId="19" xfId="0" applyNumberFormat="1" applyFont="1" applyFill="1" applyBorder="1" applyAlignment="1">
      <alignment vertical="center"/>
    </xf>
    <xf numFmtId="170" fontId="22" fillId="29" borderId="19" xfId="0" applyNumberFormat="1" applyFont="1" applyFill="1" applyBorder="1" applyAlignment="1">
      <alignment vertical="center"/>
    </xf>
    <xf numFmtId="0" fontId="42" fillId="29" borderId="10" xfId="0" applyFont="1" applyFill="1" applyBorder="1" applyAlignment="1">
      <alignment horizontal="center" vertical="center" wrapText="1"/>
    </xf>
    <xf numFmtId="4" fontId="26" fillId="29" borderId="0" xfId="0" applyNumberFormat="1" applyFont="1" applyFill="1" applyAlignment="1">
      <alignment horizontal="center"/>
    </xf>
    <xf numFmtId="4" fontId="42" fillId="29" borderId="17" xfId="0" applyNumberFormat="1" applyFont="1" applyFill="1" applyBorder="1" applyAlignment="1">
      <alignment vertical="top"/>
    </xf>
    <xf numFmtId="4" fontId="22" fillId="29" borderId="14" xfId="0" applyNumberFormat="1" applyFont="1" applyFill="1" applyBorder="1" applyAlignment="1">
      <alignment vertical="top"/>
    </xf>
    <xf numFmtId="4" fontId="22" fillId="29" borderId="19" xfId="0" applyNumberFormat="1" applyFont="1" applyFill="1" applyBorder="1" applyAlignment="1">
      <alignment vertical="top"/>
    </xf>
    <xf numFmtId="4" fontId="22" fillId="29" borderId="0" xfId="0" applyNumberFormat="1" applyFont="1" applyFill="1"/>
    <xf numFmtId="4" fontId="27" fillId="29" borderId="0" xfId="0" applyNumberFormat="1" applyFont="1" applyFill="1"/>
    <xf numFmtId="0" fontId="22" fillId="29" borderId="17" xfId="0" applyFont="1" applyFill="1" applyBorder="1" applyAlignment="1">
      <alignment horizontal="center" vertical="center"/>
    </xf>
    <xf numFmtId="0" fontId="22" fillId="29" borderId="17" xfId="0" applyFont="1" applyFill="1" applyBorder="1" applyAlignment="1">
      <alignment vertical="center"/>
    </xf>
    <xf numFmtId="165" fontId="22" fillId="29" borderId="17" xfId="0" applyNumberFormat="1" applyFont="1" applyFill="1" applyBorder="1" applyAlignment="1">
      <alignment vertical="center"/>
    </xf>
    <xf numFmtId="165" fontId="24" fillId="29" borderId="17" xfId="0" applyNumberFormat="1" applyFont="1" applyFill="1" applyBorder="1" applyAlignment="1">
      <alignment vertical="center"/>
    </xf>
    <xf numFmtId="170" fontId="22" fillId="29" borderId="17" xfId="0" applyNumberFormat="1" applyFont="1" applyFill="1" applyBorder="1" applyAlignment="1">
      <alignment vertical="center"/>
    </xf>
    <xf numFmtId="190" fontId="36" fillId="0" borderId="14" xfId="0" applyNumberFormat="1" applyFont="1" applyBorder="1"/>
    <xf numFmtId="190" fontId="59" fillId="0" borderId="14" xfId="0" applyNumberFormat="1" applyFont="1" applyBorder="1"/>
    <xf numFmtId="190" fontId="59" fillId="0" borderId="19" xfId="0" applyNumberFormat="1" applyFont="1" applyBorder="1"/>
    <xf numFmtId="0" fontId="27" fillId="29" borderId="0" xfId="0" applyFont="1" applyFill="1" applyAlignment="1">
      <alignment wrapText="1"/>
    </xf>
    <xf numFmtId="0" fontId="0" fillId="0" borderId="0" xfId="0" applyAlignment="1">
      <alignment horizontal="right" vertical="center"/>
    </xf>
    <xf numFmtId="3" fontId="0" fillId="0" borderId="0" xfId="0" applyNumberFormat="1" applyAlignment="1">
      <alignment horizontal="right" vertical="center"/>
    </xf>
    <xf numFmtId="0" fontId="105" fillId="0" borderId="0" xfId="0" applyFont="1"/>
    <xf numFmtId="0" fontId="106" fillId="0" borderId="0" xfId="0" applyFont="1"/>
    <xf numFmtId="0" fontId="107" fillId="0" borderId="0" xfId="0" applyFont="1"/>
    <xf numFmtId="0" fontId="109" fillId="0" borderId="0" xfId="0" applyFont="1"/>
    <xf numFmtId="192" fontId="109" fillId="0" borderId="0" xfId="0" applyNumberFormat="1" applyFont="1" applyAlignment="1">
      <alignment horizontal="right"/>
    </xf>
    <xf numFmtId="190" fontId="109" fillId="0" borderId="0" xfId="0" applyNumberFormat="1" applyFont="1"/>
    <xf numFmtId="3" fontId="109" fillId="0" borderId="0" xfId="0" applyNumberFormat="1" applyFont="1"/>
    <xf numFmtId="2" fontId="104" fillId="0" borderId="10" xfId="0" applyNumberFormat="1" applyFont="1" applyBorder="1" applyAlignment="1">
      <alignment horizontal="center" vertical="center" wrapText="1"/>
    </xf>
    <xf numFmtId="0" fontId="104" fillId="0" borderId="10" xfId="0" applyFont="1" applyBorder="1" applyAlignment="1">
      <alignment horizontal="center" vertical="center"/>
    </xf>
    <xf numFmtId="0" fontId="104" fillId="0" borderId="10" xfId="0" applyFont="1" applyBorder="1" applyAlignment="1">
      <alignment vertical="center"/>
    </xf>
    <xf numFmtId="3" fontId="104" fillId="0" borderId="10" xfId="0" applyNumberFormat="1" applyFont="1" applyBorder="1" applyAlignment="1">
      <alignment vertical="center"/>
    </xf>
    <xf numFmtId="190" fontId="104" fillId="0" borderId="10" xfId="0" applyNumberFormat="1" applyFont="1" applyBorder="1"/>
    <xf numFmtId="3" fontId="104" fillId="0" borderId="10" xfId="0" applyNumberFormat="1" applyFont="1" applyBorder="1"/>
    <xf numFmtId="0" fontId="105" fillId="0" borderId="10" xfId="0" applyFont="1" applyBorder="1" applyAlignment="1">
      <alignment horizontal="center" vertical="center"/>
    </xf>
    <xf numFmtId="0" fontId="105" fillId="0" borderId="10" xfId="0" applyFont="1" applyBorder="1" applyAlignment="1">
      <alignment vertical="center" wrapText="1"/>
    </xf>
    <xf numFmtId="3" fontId="105" fillId="0" borderId="10" xfId="0" applyNumberFormat="1" applyFont="1" applyBorder="1" applyAlignment="1">
      <alignment vertical="center"/>
    </xf>
    <xf numFmtId="190" fontId="105" fillId="0" borderId="10" xfId="0" applyNumberFormat="1" applyFont="1" applyBorder="1"/>
    <xf numFmtId="190" fontId="105" fillId="0" borderId="10" xfId="0" applyNumberFormat="1" applyFont="1" applyBorder="1" applyAlignment="1">
      <alignment vertical="center"/>
    </xf>
    <xf numFmtId="3" fontId="105" fillId="0" borderId="10" xfId="0" applyNumberFormat="1" applyFont="1" applyBorder="1"/>
    <xf numFmtId="0" fontId="104" fillId="0" borderId="10" xfId="0" applyFont="1" applyBorder="1" applyAlignment="1">
      <alignment vertical="center" wrapText="1"/>
    </xf>
    <xf numFmtId="190" fontId="105" fillId="0" borderId="10" xfId="0" applyNumberFormat="1" applyFont="1" applyBorder="1" applyAlignment="1">
      <alignment horizontal="center" vertical="center"/>
    </xf>
    <xf numFmtId="190" fontId="105" fillId="0" borderId="10" xfId="0" applyNumberFormat="1" applyFont="1" applyBorder="1" applyAlignment="1">
      <alignment horizontal="center" vertical="center" wrapText="1"/>
    </xf>
    <xf numFmtId="3" fontId="105" fillId="0" borderId="10" xfId="0" applyNumberFormat="1" applyFont="1" applyBorder="1" applyAlignment="1">
      <alignment horizontal="center" vertical="center"/>
    </xf>
    <xf numFmtId="0" fontId="106" fillId="0" borderId="0" xfId="0" applyFont="1" applyAlignment="1">
      <alignment vertical="center"/>
    </xf>
    <xf numFmtId="0" fontId="105" fillId="0" borderId="10" xfId="0" applyFont="1" applyFill="1" applyBorder="1" applyAlignment="1">
      <alignment horizontal="center" vertical="center"/>
    </xf>
    <xf numFmtId="0" fontId="105" fillId="0" borderId="10" xfId="0" applyFont="1" applyFill="1" applyBorder="1" applyAlignment="1">
      <alignment vertical="center" wrapText="1"/>
    </xf>
    <xf numFmtId="3" fontId="105" fillId="0" borderId="10" xfId="0" applyNumberFormat="1" applyFont="1" applyFill="1" applyBorder="1" applyAlignment="1">
      <alignment vertical="center"/>
    </xf>
    <xf numFmtId="190" fontId="105" fillId="0" borderId="10" xfId="0" applyNumberFormat="1" applyFont="1" applyFill="1" applyBorder="1" applyAlignment="1">
      <alignment horizontal="center" vertical="center" wrapText="1"/>
    </xf>
    <xf numFmtId="190" fontId="105" fillId="0" borderId="10" xfId="0" applyNumberFormat="1" applyFont="1" applyFill="1" applyBorder="1"/>
    <xf numFmtId="3" fontId="105" fillId="0" borderId="10" xfId="0" applyNumberFormat="1" applyFont="1" applyFill="1" applyBorder="1"/>
    <xf numFmtId="0" fontId="106" fillId="0" borderId="0" xfId="0" applyFont="1" applyFill="1"/>
    <xf numFmtId="0" fontId="104" fillId="0" borderId="10" xfId="0" applyFont="1" applyFill="1" applyBorder="1" applyAlignment="1">
      <alignment horizontal="center" vertical="center"/>
    </xf>
    <xf numFmtId="0" fontId="104" fillId="0" borderId="10" xfId="0" applyFont="1" applyFill="1" applyBorder="1" applyAlignment="1">
      <alignment vertical="center" wrapText="1"/>
    </xf>
    <xf numFmtId="3" fontId="104" fillId="0" borderId="10" xfId="0" applyNumberFormat="1" applyFont="1" applyFill="1" applyBorder="1" applyAlignment="1">
      <alignment vertical="center"/>
    </xf>
    <xf numFmtId="192" fontId="104" fillId="0" borderId="30" xfId="0" applyNumberFormat="1" applyFont="1" applyFill="1" applyBorder="1" applyAlignment="1">
      <alignment horizontal="center" vertical="center" wrapText="1"/>
    </xf>
    <xf numFmtId="190" fontId="104" fillId="0" borderId="10" xfId="0" applyNumberFormat="1" applyFont="1" applyFill="1" applyBorder="1"/>
    <xf numFmtId="3" fontId="104" fillId="0" borderId="10" xfId="0" applyNumberFormat="1" applyFont="1" applyFill="1" applyBorder="1"/>
    <xf numFmtId="0" fontId="109" fillId="0" borderId="0" xfId="0" applyFont="1" applyFill="1"/>
    <xf numFmtId="0" fontId="105" fillId="0" borderId="10" xfId="0" applyFont="1" applyBorder="1" applyAlignment="1">
      <alignment horizontal="center"/>
    </xf>
    <xf numFmtId="192" fontId="105" fillId="0" borderId="10" xfId="0" applyNumberFormat="1" applyFont="1" applyBorder="1" applyAlignment="1">
      <alignment vertical="center" wrapText="1"/>
    </xf>
    <xf numFmtId="192" fontId="106" fillId="0" borderId="0" xfId="0" applyNumberFormat="1" applyFont="1" applyAlignment="1">
      <alignment horizontal="right"/>
    </xf>
    <xf numFmtId="190" fontId="106" fillId="0" borderId="0" xfId="0" applyNumberFormat="1" applyFont="1"/>
    <xf numFmtId="3" fontId="106" fillId="0" borderId="0" xfId="0" applyNumberFormat="1" applyFont="1"/>
    <xf numFmtId="3" fontId="111" fillId="0" borderId="0" xfId="0" applyNumberFormat="1" applyFont="1" applyAlignment="1">
      <alignment horizontal="right" vertical="center"/>
    </xf>
    <xf numFmtId="0" fontId="93" fillId="0" borderId="0" xfId="0" applyFont="1" applyAlignment="1">
      <alignment horizontal="center" vertical="center"/>
    </xf>
    <xf numFmtId="0" fontId="36" fillId="14" borderId="0" xfId="0" applyFont="1" applyFill="1" applyAlignment="1">
      <alignment horizontal="center" vertical="center"/>
    </xf>
    <xf numFmtId="3" fontId="93" fillId="0" borderId="0" xfId="0" applyNumberFormat="1" applyFont="1" applyBorder="1" applyAlignment="1">
      <alignment horizontal="center" vertical="center"/>
    </xf>
    <xf numFmtId="0" fontId="104" fillId="0" borderId="0" xfId="0" applyFont="1" applyAlignment="1">
      <alignment horizontal="center"/>
    </xf>
    <xf numFmtId="0" fontId="110" fillId="0" borderId="0" xfId="0" applyFont="1" applyAlignment="1">
      <alignment horizontal="center"/>
    </xf>
    <xf numFmtId="0" fontId="108" fillId="0" borderId="0" xfId="0" applyFont="1" applyAlignment="1">
      <alignment horizontal="center"/>
    </xf>
    <xf numFmtId="192" fontId="105" fillId="0" borderId="28" xfId="0" applyNumberFormat="1" applyFont="1" applyBorder="1" applyAlignment="1">
      <alignment horizontal="center" vertical="center" wrapText="1"/>
    </xf>
    <xf numFmtId="192" fontId="105" fillId="0" borderId="30" xfId="0" applyNumberFormat="1" applyFont="1" applyBorder="1" applyAlignment="1">
      <alignment horizontal="center" vertical="center" wrapText="1"/>
    </xf>
    <xf numFmtId="0" fontId="36" fillId="14" borderId="0" xfId="0" applyFont="1" applyFill="1" applyAlignment="1">
      <alignment horizontal="center" vertical="center"/>
    </xf>
    <xf numFmtId="0" fontId="111" fillId="0" borderId="0" xfId="0" applyFont="1" applyAlignment="1">
      <alignment horizontal="center" vertical="center"/>
    </xf>
    <xf numFmtId="0" fontId="81" fillId="14" borderId="0" xfId="0" applyFont="1" applyFill="1" applyAlignment="1">
      <alignment horizontal="center" vertical="center"/>
    </xf>
    <xf numFmtId="0" fontId="103" fillId="14" borderId="0" xfId="0" applyFont="1" applyFill="1" applyAlignment="1">
      <alignment horizontal="center" vertical="center"/>
    </xf>
    <xf numFmtId="0" fontId="93" fillId="0" borderId="0" xfId="0" applyFont="1" applyAlignment="1">
      <alignment horizontal="center" vertical="center"/>
    </xf>
    <xf numFmtId="0" fontId="93" fillId="0" borderId="0" xfId="0" quotePrefix="1" applyFont="1" applyAlignment="1">
      <alignment horizontal="center" vertical="center"/>
    </xf>
    <xf numFmtId="0" fontId="101" fillId="0" borderId="0" xfId="0" applyFont="1" applyAlignment="1">
      <alignment horizontal="center" vertical="center"/>
    </xf>
    <xf numFmtId="0" fontId="94" fillId="0" borderId="0" xfId="0" applyFont="1" applyAlignment="1">
      <alignment horizontal="center" vertical="center" wrapText="1"/>
    </xf>
    <xf numFmtId="0" fontId="94" fillId="0" borderId="0" xfId="0" applyFont="1" applyAlignment="1">
      <alignment horizontal="center" vertical="center"/>
    </xf>
    <xf numFmtId="0" fontId="42" fillId="29" borderId="10" xfId="0" applyFont="1" applyFill="1" applyBorder="1" applyAlignment="1">
      <alignment horizontal="center" vertical="center"/>
    </xf>
    <xf numFmtId="0" fontId="54" fillId="29" borderId="0" xfId="0" applyFont="1" applyFill="1" applyAlignment="1">
      <alignment horizontal="center"/>
    </xf>
    <xf numFmtId="4" fontId="42" fillId="29" borderId="10" xfId="0" applyNumberFormat="1" applyFont="1" applyFill="1" applyBorder="1" applyAlignment="1">
      <alignment horizontal="center" vertical="center" wrapText="1"/>
    </xf>
    <xf numFmtId="0" fontId="26" fillId="29" borderId="0" xfId="0" applyFont="1" applyFill="1" applyAlignment="1">
      <alignment horizontal="center"/>
    </xf>
    <xf numFmtId="0" fontId="26" fillId="29" borderId="0" xfId="0" applyFont="1" applyFill="1" applyAlignment="1">
      <alignment horizontal="center" vertical="center"/>
    </xf>
    <xf numFmtId="0" fontId="42" fillId="29" borderId="10" xfId="0" applyFont="1" applyFill="1" applyBorder="1" applyAlignment="1">
      <alignment horizontal="center" vertical="center" wrapText="1"/>
    </xf>
    <xf numFmtId="0" fontId="42" fillId="17" borderId="10" xfId="0" applyFont="1" applyFill="1" applyBorder="1" applyAlignment="1">
      <alignment vertical="center" wrapText="1"/>
    </xf>
    <xf numFmtId="0" fontId="42" fillId="14" borderId="22" xfId="0" applyFont="1" applyFill="1" applyBorder="1" applyAlignment="1">
      <alignment horizontal="center" vertical="center"/>
    </xf>
    <xf numFmtId="0" fontId="42" fillId="14" borderId="38" xfId="0" applyFont="1" applyFill="1" applyBorder="1" applyAlignment="1">
      <alignment horizontal="center" vertical="center"/>
    </xf>
    <xf numFmtId="0" fontId="54" fillId="14" borderId="0" xfId="0" applyFont="1" applyFill="1" applyAlignment="1">
      <alignment horizontal="center" vertical="top"/>
    </xf>
    <xf numFmtId="0" fontId="26" fillId="14" borderId="0" xfId="0" applyFont="1" applyFill="1" applyAlignment="1">
      <alignment horizontal="center" vertical="top"/>
    </xf>
    <xf numFmtId="0" fontId="26" fillId="14" borderId="20" xfId="0" applyFont="1" applyFill="1" applyBorder="1" applyAlignment="1">
      <alignment horizontal="center" vertical="top"/>
    </xf>
    <xf numFmtId="0" fontId="42" fillId="14" borderId="28" xfId="0" applyFont="1" applyFill="1" applyBorder="1" applyAlignment="1">
      <alignment horizontal="center" vertical="center"/>
    </xf>
    <xf numFmtId="0" fontId="42" fillId="14" borderId="26" xfId="0" applyFont="1" applyFill="1" applyBorder="1" applyAlignment="1">
      <alignment horizontal="center" vertical="center"/>
    </xf>
    <xf numFmtId="49" fontId="42" fillId="14" borderId="28" xfId="0" applyNumberFormat="1" applyFont="1" applyFill="1" applyBorder="1" applyAlignment="1">
      <alignment horizontal="center" vertical="center"/>
    </xf>
    <xf numFmtId="49" fontId="42" fillId="14" borderId="26" xfId="0" applyNumberFormat="1" applyFont="1" applyFill="1" applyBorder="1" applyAlignment="1">
      <alignment horizontal="center" vertical="center"/>
    </xf>
    <xf numFmtId="0" fontId="42" fillId="14" borderId="47" xfId="0" applyFont="1" applyFill="1" applyBorder="1" applyAlignment="1">
      <alignment horizontal="center" vertical="center"/>
    </xf>
    <xf numFmtId="0" fontId="42" fillId="14" borderId="20" xfId="0" applyFont="1" applyFill="1" applyBorder="1" applyAlignment="1">
      <alignment horizontal="center" vertical="center"/>
    </xf>
    <xf numFmtId="0" fontId="81" fillId="29" borderId="0" xfId="0" applyFont="1" applyFill="1" applyAlignment="1">
      <alignment horizontal="center"/>
    </xf>
    <xf numFmtId="0" fontId="47" fillId="29" borderId="0" xfId="0" applyFont="1" applyFill="1" applyAlignment="1">
      <alignment horizontal="right"/>
    </xf>
    <xf numFmtId="0" fontId="54" fillId="14" borderId="0" xfId="0" applyFont="1" applyFill="1" applyAlignment="1">
      <alignment horizontal="center"/>
    </xf>
    <xf numFmtId="0" fontId="26" fillId="14" borderId="0" xfId="0" applyFont="1" applyFill="1" applyAlignment="1">
      <alignment horizontal="center"/>
    </xf>
    <xf numFmtId="0" fontId="42" fillId="14" borderId="10" xfId="0" applyFont="1" applyFill="1" applyBorder="1" applyAlignment="1">
      <alignment horizontal="center" vertical="center"/>
    </xf>
    <xf numFmtId="0" fontId="26" fillId="17" borderId="0" xfId="0" applyFont="1" applyFill="1" applyAlignment="1">
      <alignment horizontal="center"/>
    </xf>
    <xf numFmtId="0" fontId="42" fillId="17" borderId="10" xfId="0" applyFont="1" applyFill="1" applyBorder="1" applyAlignment="1">
      <alignment horizontal="center" vertical="center" wrapText="1"/>
    </xf>
    <xf numFmtId="0" fontId="28" fillId="0" borderId="0" xfId="0" applyFont="1" applyAlignment="1">
      <alignment horizontal="center"/>
    </xf>
    <xf numFmtId="0" fontId="26" fillId="17" borderId="10" xfId="0" applyFont="1" applyFill="1" applyBorder="1" applyAlignment="1">
      <alignment horizontal="center" vertical="center" wrapText="1"/>
    </xf>
    <xf numFmtId="49" fontId="42" fillId="17" borderId="10" xfId="0" applyNumberFormat="1" applyFont="1" applyFill="1" applyBorder="1" applyAlignment="1">
      <alignment horizontal="center" vertical="center" wrapText="1"/>
    </xf>
    <xf numFmtId="0" fontId="54" fillId="0" borderId="0" xfId="0" applyFont="1" applyAlignment="1">
      <alignment horizontal="center"/>
    </xf>
    <xf numFmtId="0" fontId="54" fillId="0" borderId="20" xfId="0" applyFont="1" applyBorder="1" applyAlignment="1">
      <alignment horizontal="center"/>
    </xf>
    <xf numFmtId="0" fontId="27" fillId="0" borderId="20" xfId="0" applyFont="1" applyBorder="1" applyAlignment="1">
      <alignment horizontal="center"/>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vertical="center"/>
    </xf>
    <xf numFmtId="0" fontId="26" fillId="24" borderId="28"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wrapText="1"/>
    </xf>
    <xf numFmtId="3" fontId="26" fillId="24" borderId="10" xfId="0" applyNumberFormat="1" applyFont="1" applyFill="1" applyBorder="1" applyAlignment="1">
      <alignment horizontal="center" vertical="center" wrapText="1"/>
    </xf>
    <xf numFmtId="3" fontId="26" fillId="24" borderId="10" xfId="0" applyNumberFormat="1" applyFont="1" applyFill="1" applyBorder="1" applyAlignment="1">
      <alignment horizontal="center" vertical="center"/>
    </xf>
    <xf numFmtId="0" fontId="26" fillId="24" borderId="38" xfId="0" applyFont="1" applyFill="1" applyBorder="1" applyAlignment="1">
      <alignment horizontal="center" vertical="center" wrapText="1"/>
    </xf>
    <xf numFmtId="3" fontId="26" fillId="24" borderId="28" xfId="0" applyNumberFormat="1" applyFont="1" applyFill="1" applyBorder="1" applyAlignment="1">
      <alignment horizontal="center" vertical="center" wrapText="1"/>
    </xf>
    <xf numFmtId="3" fontId="26" fillId="24" borderId="26" xfId="0" applyNumberFormat="1" applyFont="1" applyFill="1" applyBorder="1" applyAlignment="1">
      <alignment horizontal="center" vertical="center" wrapText="1"/>
    </xf>
    <xf numFmtId="0" fontId="33" fillId="0" borderId="0" xfId="0" applyFont="1" applyAlignment="1">
      <alignment horizontal="center"/>
    </xf>
    <xf numFmtId="0" fontId="33" fillId="0" borderId="10" xfId="0" applyFont="1" applyBorder="1" applyAlignment="1">
      <alignment horizontal="center" vertical="center" wrapText="1"/>
    </xf>
    <xf numFmtId="0" fontId="38" fillId="0" borderId="10" xfId="0" applyFont="1" applyBorder="1" applyAlignment="1">
      <alignment horizontal="center" vertical="center" wrapText="1"/>
    </xf>
    <xf numFmtId="49" fontId="38" fillId="0" borderId="10" xfId="0" applyNumberFormat="1" applyFont="1" applyBorder="1" applyAlignment="1">
      <alignment horizontal="center" vertical="center" wrapText="1"/>
    </xf>
    <xf numFmtId="0" fontId="42" fillId="24" borderId="10" xfId="0" applyFont="1" applyFill="1" applyBorder="1" applyAlignment="1">
      <alignment horizontal="center" vertical="center" wrapText="1"/>
    </xf>
    <xf numFmtId="0" fontId="42" fillId="24" borderId="10" xfId="0" applyFont="1" applyFill="1" applyBorder="1" applyAlignment="1">
      <alignment horizontal="center" vertical="center"/>
    </xf>
    <xf numFmtId="0" fontId="42" fillId="24" borderId="28" xfId="0" applyFont="1" applyFill="1" applyBorder="1" applyAlignment="1">
      <alignment horizontal="center" vertical="center" wrapText="1"/>
    </xf>
    <xf numFmtId="0" fontId="42" fillId="24" borderId="26" xfId="0" applyFont="1" applyFill="1" applyBorder="1" applyAlignment="1">
      <alignment horizontal="center" vertical="center" wrapText="1"/>
    </xf>
    <xf numFmtId="0" fontId="42" fillId="0" borderId="0" xfId="0" applyFont="1" applyAlignment="1">
      <alignment horizontal="center"/>
    </xf>
    <xf numFmtId="0" fontId="36" fillId="0" borderId="0" xfId="0" applyFont="1" applyAlignment="1">
      <alignment horizontal="center"/>
    </xf>
    <xf numFmtId="0" fontId="42" fillId="24" borderId="22" xfId="0" applyFont="1" applyFill="1" applyBorder="1" applyAlignment="1">
      <alignment horizontal="center" vertical="center" wrapText="1"/>
    </xf>
    <xf numFmtId="0" fontId="42" fillId="24" borderId="23" xfId="0" applyFont="1" applyFill="1" applyBorder="1" applyAlignment="1">
      <alignment horizontal="center" vertical="center" wrapText="1"/>
    </xf>
    <xf numFmtId="0" fontId="26" fillId="0" borderId="20" xfId="0" applyFont="1" applyBorder="1" applyAlignment="1">
      <alignment horizontal="right" vertical="center"/>
    </xf>
    <xf numFmtId="0" fontId="42" fillId="0" borderId="20" xfId="0" applyFont="1" applyBorder="1" applyAlignment="1">
      <alignment horizontal="right" vertical="center"/>
    </xf>
    <xf numFmtId="3" fontId="89" fillId="0" borderId="20" xfId="0" applyNumberFormat="1" applyFont="1" applyBorder="1" applyAlignment="1">
      <alignment horizontal="left" vertical="center"/>
    </xf>
    <xf numFmtId="0" fontId="42" fillId="14" borderId="28" xfId="0" applyFont="1" applyFill="1" applyBorder="1" applyAlignment="1">
      <alignment horizontal="center" vertical="center" wrapText="1"/>
    </xf>
    <xf numFmtId="0" fontId="42" fillId="14" borderId="30" xfId="0" applyFont="1" applyFill="1" applyBorder="1" applyAlignment="1">
      <alignment horizontal="center" vertical="center" wrapText="1"/>
    </xf>
    <xf numFmtId="0" fontId="42" fillId="14" borderId="26" xfId="0" applyFont="1" applyFill="1" applyBorder="1" applyAlignment="1">
      <alignment horizontal="center" vertical="center" wrapText="1"/>
    </xf>
    <xf numFmtId="49" fontId="42" fillId="14" borderId="28" xfId="0" applyNumberFormat="1" applyFont="1" applyFill="1" applyBorder="1" applyAlignment="1">
      <alignment horizontal="center" vertical="center" wrapText="1"/>
    </xf>
    <xf numFmtId="49" fontId="42" fillId="14" borderId="30" xfId="0" applyNumberFormat="1" applyFont="1" applyFill="1" applyBorder="1" applyAlignment="1">
      <alignment horizontal="center" vertical="center" wrapText="1"/>
    </xf>
    <xf numFmtId="49" fontId="42" fillId="14" borderId="26" xfId="0" applyNumberFormat="1" applyFont="1" applyFill="1" applyBorder="1" applyAlignment="1">
      <alignment horizontal="center" vertical="center" wrapText="1"/>
    </xf>
    <xf numFmtId="0" fontId="54" fillId="29" borderId="0" xfId="0" applyFont="1" applyFill="1" applyAlignment="1">
      <alignment horizontal="center" vertical="center"/>
    </xf>
    <xf numFmtId="0" fontId="81" fillId="29" borderId="0" xfId="0" applyFont="1" applyFill="1" applyAlignment="1">
      <alignment horizontal="center" vertical="center"/>
    </xf>
    <xf numFmtId="0" fontId="47" fillId="29" borderId="20" xfId="0" applyFont="1" applyFill="1" applyBorder="1" applyAlignment="1">
      <alignment horizontal="right"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1" fillId="20" borderId="0" xfId="0" applyFont="1" applyFill="1" applyAlignment="1">
      <alignment horizontal="left"/>
    </xf>
    <xf numFmtId="0" fontId="31" fillId="0" borderId="0" xfId="0" applyFont="1" applyAlignment="1">
      <alignment horizontal="right"/>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1" fillId="0" borderId="0" xfId="0" applyFont="1" applyAlignment="1">
      <alignment horizontal="left"/>
    </xf>
    <xf numFmtId="0" fontId="31" fillId="0" borderId="0" xfId="0" applyFont="1" applyAlignment="1">
      <alignment horizontal="center"/>
    </xf>
    <xf numFmtId="0" fontId="31" fillId="0" borderId="10" xfId="0" applyFont="1" applyBorder="1" applyAlignment="1">
      <alignment horizontal="center" vertical="center"/>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wrapText="1"/>
    </xf>
    <xf numFmtId="0" fontId="31" fillId="0" borderId="0" xfId="0" applyFont="1" applyAlignment="1">
      <alignment horizontal="left" vertical="top"/>
    </xf>
    <xf numFmtId="0" fontId="31" fillId="0" borderId="10" xfId="0" applyFont="1" applyBorder="1" applyAlignment="1">
      <alignment horizontal="center" vertical="center" wrapText="1"/>
    </xf>
    <xf numFmtId="0" fontId="37" fillId="0" borderId="22" xfId="0" applyFont="1" applyBorder="1" applyAlignment="1">
      <alignment horizontal="left"/>
    </xf>
    <xf numFmtId="0" fontId="37" fillId="0" borderId="23" xfId="0" applyFont="1" applyBorder="1" applyAlignment="1">
      <alignment horizontal="left"/>
    </xf>
    <xf numFmtId="0" fontId="37" fillId="0" borderId="38" xfId="0" applyFont="1" applyBorder="1" applyAlignment="1">
      <alignment horizontal="left"/>
    </xf>
    <xf numFmtId="0" fontId="31" fillId="0" borderId="22" xfId="0" applyFont="1" applyBorder="1" applyAlignment="1">
      <alignment horizontal="left"/>
    </xf>
    <xf numFmtId="0" fontId="31" fillId="0" borderId="23" xfId="0" applyFont="1" applyBorder="1" applyAlignment="1">
      <alignment horizontal="left"/>
    </xf>
    <xf numFmtId="0" fontId="31" fillId="0" borderId="38" xfId="0" applyFont="1" applyBorder="1" applyAlignment="1">
      <alignment horizontal="left"/>
    </xf>
    <xf numFmtId="0" fontId="31" fillId="20" borderId="0" xfId="0" applyFont="1" applyFill="1" applyAlignment="1">
      <alignment horizontal="left" vertical="top" wrapText="1"/>
    </xf>
    <xf numFmtId="0" fontId="31" fillId="26" borderId="0" xfId="0" applyFont="1" applyFill="1" applyAlignment="1">
      <alignment horizontal="center" wrapText="1"/>
    </xf>
    <xf numFmtId="0" fontId="31" fillId="26" borderId="0" xfId="0" applyFont="1" applyFill="1" applyAlignment="1">
      <alignment horizontal="center"/>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0" borderId="38" xfId="0" applyFont="1" applyBorder="1" applyAlignment="1">
      <alignment horizontal="left" vertical="center" wrapText="1"/>
    </xf>
    <xf numFmtId="0" fontId="31" fillId="20" borderId="22" xfId="0" applyFont="1" applyFill="1" applyBorder="1" applyAlignment="1">
      <alignment horizontal="left" vertical="center" wrapText="1"/>
    </xf>
    <xf numFmtId="0" fontId="31" fillId="20" borderId="23" xfId="0" applyFont="1" applyFill="1" applyBorder="1" applyAlignment="1">
      <alignment horizontal="left" vertical="center" wrapText="1"/>
    </xf>
    <xf numFmtId="0" fontId="31" fillId="20" borderId="38" xfId="0" applyFont="1" applyFill="1" applyBorder="1" applyAlignment="1">
      <alignment horizontal="left" vertical="center" wrapText="1"/>
    </xf>
    <xf numFmtId="0" fontId="31" fillId="0" borderId="47" xfId="0" applyFont="1" applyBorder="1" applyAlignment="1">
      <alignment horizontal="left" vertical="center" wrapText="1"/>
    </xf>
    <xf numFmtId="0" fontId="31" fillId="0" borderId="0" xfId="0" applyFont="1" applyAlignment="1">
      <alignment horizontal="right" wrapText="1"/>
    </xf>
    <xf numFmtId="191" fontId="68" fillId="0" borderId="0" xfId="47" applyNumberFormat="1" applyFont="1" applyAlignment="1">
      <alignment horizontal="right"/>
    </xf>
    <xf numFmtId="0" fontId="38" fillId="20" borderId="10" xfId="0" applyFont="1" applyFill="1" applyBorder="1" applyAlignment="1">
      <alignment horizontal="center" vertical="center"/>
    </xf>
    <xf numFmtId="0" fontId="33" fillId="0" borderId="10" xfId="0" applyFont="1" applyBorder="1" applyAlignment="1">
      <alignment horizontal="center" vertical="center"/>
    </xf>
    <xf numFmtId="0" fontId="38" fillId="0" borderId="10" xfId="0" applyFont="1" applyBorder="1" applyAlignment="1">
      <alignment horizontal="center" vertical="center"/>
    </xf>
    <xf numFmtId="0" fontId="38" fillId="0" borderId="0" xfId="0" applyFont="1" applyAlignment="1">
      <alignment horizontal="center"/>
    </xf>
    <xf numFmtId="0" fontId="54" fillId="14" borderId="0" xfId="40" applyFont="1" applyFill="1" applyAlignment="1" applyProtection="1">
      <alignment horizontal="center"/>
      <protection locked="0"/>
    </xf>
    <xf numFmtId="0" fontId="26" fillId="14" borderId="0" xfId="40" applyFont="1" applyFill="1" applyAlignment="1" applyProtection="1">
      <alignment horizontal="center"/>
      <protection locked="0"/>
    </xf>
    <xf numFmtId="0" fontId="80" fillId="17" borderId="10" xfId="0" applyFont="1" applyFill="1" applyBorder="1" applyAlignment="1">
      <alignment horizontal="center" vertical="top"/>
    </xf>
    <xf numFmtId="0" fontId="80" fillId="17" borderId="10" xfId="0" applyFont="1" applyFill="1" applyBorder="1" applyAlignment="1">
      <alignment horizontal="center" vertical="top" wrapText="1"/>
    </xf>
    <xf numFmtId="172" fontId="80" fillId="17" borderId="10" xfId="0" applyNumberFormat="1" applyFont="1" applyFill="1" applyBorder="1" applyAlignment="1">
      <alignment horizontal="center" vertical="top"/>
    </xf>
    <xf numFmtId="0" fontId="70" fillId="14" borderId="0" xfId="0" applyFont="1" applyFill="1" applyAlignment="1">
      <alignment horizontal="center"/>
    </xf>
    <xf numFmtId="0" fontId="33" fillId="14" borderId="0" xfId="0" applyFont="1" applyFill="1" applyAlignment="1">
      <alignment horizontal="center"/>
    </xf>
    <xf numFmtId="0" fontId="39" fillId="14" borderId="0" xfId="0" applyFont="1" applyFill="1" applyAlignment="1">
      <alignment horizontal="center"/>
    </xf>
    <xf numFmtId="0" fontId="52" fillId="14" borderId="0" xfId="0" applyFont="1" applyFill="1" applyAlignment="1">
      <alignment horizontal="center"/>
    </xf>
    <xf numFmtId="0" fontId="27" fillId="0" borderId="0" xfId="0" applyFont="1" applyAlignment="1">
      <alignment horizont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38" xfId="0" applyFont="1" applyBorder="1" applyAlignment="1">
      <alignment horizontal="center" vertical="center"/>
    </xf>
    <xf numFmtId="0" fontId="26" fillId="0" borderId="0" xfId="0" applyFont="1" applyAlignment="1">
      <alignment horizontal="center"/>
    </xf>
    <xf numFmtId="0" fontId="81" fillId="0" borderId="20" xfId="0" applyFont="1" applyBorder="1" applyAlignment="1">
      <alignment horizontal="right"/>
    </xf>
    <xf numFmtId="0" fontId="32" fillId="0" borderId="11" xfId="0" applyFont="1" applyBorder="1" applyAlignment="1">
      <alignment horizontal="left" vertical="center"/>
    </xf>
    <xf numFmtId="0" fontId="32" fillId="0" borderId="14" xfId="0" applyFont="1" applyBorder="1" applyAlignment="1">
      <alignment horizontal="left" vertical="center"/>
    </xf>
    <xf numFmtId="174" fontId="32" fillId="0" borderId="14" xfId="0" applyNumberFormat="1" applyFont="1" applyBorder="1" applyAlignment="1">
      <alignment horizontal="left" vertical="top"/>
    </xf>
    <xf numFmtId="0" fontId="73" fillId="17" borderId="0" xfId="0" applyFont="1" applyFill="1" applyAlignment="1">
      <alignment horizontal="center"/>
    </xf>
    <xf numFmtId="0" fontId="56" fillId="17" borderId="0" xfId="0" applyFont="1" applyFill="1" applyAlignment="1">
      <alignment horizontal="center"/>
    </xf>
    <xf numFmtId="49" fontId="56" fillId="14" borderId="0" xfId="0" applyNumberFormat="1" applyFont="1" applyFill="1" applyAlignment="1">
      <alignment horizontal="center"/>
    </xf>
    <xf numFmtId="49" fontId="25" fillId="14" borderId="0" xfId="0" applyNumberFormat="1" applyFont="1" applyFill="1" applyAlignment="1">
      <alignment horizontal="center"/>
    </xf>
    <xf numFmtId="0" fontId="54" fillId="17" borderId="0" xfId="0" applyFont="1" applyFill="1" applyAlignment="1">
      <alignment horizontal="center" vertical="top"/>
    </xf>
    <xf numFmtId="0" fontId="54" fillId="17" borderId="0" xfId="0" applyFont="1" applyFill="1" applyAlignment="1">
      <alignment horizontal="center" vertical="top" wrapText="1"/>
    </xf>
    <xf numFmtId="173" fontId="54" fillId="17" borderId="0" xfId="0" applyNumberFormat="1" applyFont="1" applyFill="1" applyAlignment="1">
      <alignment horizontal="center" vertical="top"/>
    </xf>
    <xf numFmtId="165" fontId="54" fillId="17" borderId="0" xfId="0" applyNumberFormat="1" applyFont="1" applyFill="1" applyAlignment="1">
      <alignment horizontal="center" vertical="top"/>
    </xf>
    <xf numFmtId="0" fontId="26" fillId="17" borderId="0" xfId="0" applyFont="1" applyFill="1" applyAlignment="1">
      <alignment horizontal="center" vertical="top"/>
    </xf>
    <xf numFmtId="0" fontId="26" fillId="17" borderId="0" xfId="0" applyFont="1" applyFill="1" applyAlignment="1">
      <alignment horizontal="center" vertical="top" wrapText="1"/>
    </xf>
    <xf numFmtId="173" fontId="26" fillId="17" borderId="0" xfId="0" applyNumberFormat="1" applyFont="1" applyFill="1" applyAlignment="1">
      <alignment horizontal="center" vertical="top"/>
    </xf>
    <xf numFmtId="165" fontId="26" fillId="17" borderId="0" xfId="0" applyNumberFormat="1" applyFont="1" applyFill="1" applyAlignment="1">
      <alignment horizontal="center" vertical="top"/>
    </xf>
    <xf numFmtId="0" fontId="42" fillId="17" borderId="0" xfId="0" applyFont="1" applyFill="1" applyAlignment="1">
      <alignment horizontal="center" vertical="top"/>
    </xf>
    <xf numFmtId="0" fontId="42" fillId="17" borderId="0" xfId="0" applyFont="1" applyFill="1" applyAlignment="1">
      <alignment horizontal="center" vertical="top" wrapText="1"/>
    </xf>
    <xf numFmtId="173" fontId="42" fillId="17" borderId="0" xfId="0" applyNumberFormat="1" applyFont="1" applyFill="1" applyAlignment="1">
      <alignment horizontal="center" vertical="top"/>
    </xf>
    <xf numFmtId="165" fontId="42" fillId="17" borderId="0" xfId="0" applyNumberFormat="1" applyFont="1" applyFill="1" applyAlignment="1">
      <alignment horizontal="center" vertical="top"/>
    </xf>
    <xf numFmtId="0" fontId="42" fillId="0" borderId="10" xfId="0" applyFont="1" applyBorder="1" applyAlignment="1" applyProtection="1">
      <alignment horizontal="center" vertical="center"/>
      <protection locked="0"/>
    </xf>
    <xf numFmtId="0" fontId="54" fillId="0" borderId="0" xfId="0" applyFont="1" applyAlignment="1" applyProtection="1">
      <alignment horizontal="center" vertical="top"/>
      <protection locked="0"/>
    </xf>
    <xf numFmtId="0" fontId="79" fillId="0" borderId="0" xfId="0" applyFont="1" applyAlignment="1" applyProtection="1">
      <alignment vertical="top"/>
      <protection locked="0"/>
    </xf>
    <xf numFmtId="0" fontId="26" fillId="0" borderId="0" xfId="0" applyFont="1" applyAlignment="1" applyProtection="1">
      <alignment horizontal="center" vertical="top" wrapText="1"/>
      <protection locked="0"/>
    </xf>
    <xf numFmtId="0" fontId="27" fillId="0" borderId="0" xfId="0" applyFont="1" applyAlignment="1" applyProtection="1">
      <alignment vertical="top"/>
      <protection locked="0"/>
    </xf>
    <xf numFmtId="0" fontId="36" fillId="0" borderId="1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49" fontId="28" fillId="0" borderId="0" xfId="39" applyNumberFormat="1" applyFont="1" applyAlignment="1">
      <alignment horizontal="center" vertical="center"/>
    </xf>
    <xf numFmtId="0" fontId="38" fillId="0" borderId="0" xfId="39" applyFont="1" applyAlignment="1">
      <alignment horizontal="center" vertical="center"/>
    </xf>
    <xf numFmtId="0" fontId="46" fillId="14" borderId="0" xfId="0" applyFont="1" applyFill="1" applyAlignment="1">
      <alignment horizontal="right"/>
    </xf>
    <xf numFmtId="0" fontId="36" fillId="14" borderId="0" xfId="0" applyFont="1" applyFill="1" applyAlignment="1">
      <alignment horizontal="center"/>
    </xf>
    <xf numFmtId="0" fontId="72" fillId="14" borderId="0" xfId="0" applyFont="1" applyFill="1" applyAlignment="1">
      <alignment horizontal="center"/>
    </xf>
    <xf numFmtId="0" fontId="35" fillId="14" borderId="0" xfId="0" quotePrefix="1" applyFont="1" applyFill="1" applyAlignment="1">
      <alignment horizontal="center"/>
    </xf>
    <xf numFmtId="0" fontId="35" fillId="14" borderId="0" xfId="0" applyFont="1" applyFill="1" applyAlignment="1">
      <alignment horizontal="center"/>
    </xf>
    <xf numFmtId="0" fontId="42" fillId="14" borderId="0" xfId="0" applyFont="1" applyFill="1" applyAlignment="1">
      <alignment horizontal="center"/>
    </xf>
    <xf numFmtId="0" fontId="46" fillId="17" borderId="10" xfId="0" applyFont="1" applyFill="1" applyBorder="1" applyAlignment="1">
      <alignment horizontal="center"/>
    </xf>
    <xf numFmtId="0" fontId="22" fillId="17" borderId="11" xfId="0" applyFont="1" applyFill="1" applyBorder="1"/>
    <xf numFmtId="172" fontId="22" fillId="17" borderId="11" xfId="0" applyNumberFormat="1" applyFont="1" applyFill="1" applyBorder="1"/>
    <xf numFmtId="0" fontId="29" fillId="17" borderId="10" xfId="0" applyFont="1" applyFill="1" applyBorder="1"/>
    <xf numFmtId="172" fontId="29" fillId="17" borderId="10" xfId="0" applyNumberFormat="1" applyFont="1" applyFill="1" applyBorder="1"/>
    <xf numFmtId="0" fontId="46" fillId="14" borderId="20" xfId="0" applyFont="1" applyFill="1" applyBorder="1" applyAlignment="1">
      <alignment horizontal="right"/>
    </xf>
    <xf numFmtId="0" fontId="27" fillId="14" borderId="0" xfId="0" quotePrefix="1" applyFont="1" applyFill="1" applyAlignment="1">
      <alignment horizontal="center"/>
    </xf>
    <xf numFmtId="0" fontId="27" fillId="14" borderId="0" xfId="0" applyFont="1" applyFill="1" applyAlignment="1">
      <alignment horizontal="center"/>
    </xf>
    <xf numFmtId="0" fontId="55" fillId="0" borderId="10" xfId="0" applyFont="1" applyBorder="1" applyAlignment="1">
      <alignment horizontal="right" vertical="center"/>
    </xf>
    <xf numFmtId="0" fontId="29" fillId="0" borderId="10" xfId="0" applyFont="1" applyBorder="1" applyAlignment="1">
      <alignment horizontal="center" vertical="center"/>
    </xf>
    <xf numFmtId="0" fontId="29" fillId="0" borderId="10" xfId="0" applyFont="1" applyBorder="1" applyAlignment="1">
      <alignment horizontal="right" vertical="center"/>
    </xf>
    <xf numFmtId="171" fontId="29" fillId="0" borderId="10" xfId="0" applyNumberFormat="1" applyFont="1" applyBorder="1" applyAlignment="1">
      <alignment horizontal="right" vertical="center"/>
    </xf>
    <xf numFmtId="172" fontId="29" fillId="0" borderId="10" xfId="0" applyNumberFormat="1" applyFont="1" applyBorder="1" applyAlignment="1">
      <alignment horizontal="right" vertical="center"/>
    </xf>
    <xf numFmtId="0" fontId="70" fillId="0" borderId="10" xfId="0" applyFont="1" applyBorder="1" applyAlignment="1">
      <alignment horizontal="center" vertical="center"/>
    </xf>
    <xf numFmtId="0" fontId="70" fillId="0" borderId="0" xfId="0" applyFont="1" applyAlignment="1">
      <alignment horizontal="center"/>
    </xf>
    <xf numFmtId="0" fontId="39" fillId="0" borderId="0" xfId="0" applyFont="1" applyAlignment="1">
      <alignment horizontal="right"/>
    </xf>
    <xf numFmtId="0" fontId="30" fillId="0" borderId="0" xfId="0" applyFont="1" applyAlignment="1">
      <alignment horizontal="center" vertical="top" wrapText="1"/>
    </xf>
    <xf numFmtId="0" fontId="77" fillId="0" borderId="0" xfId="0" applyFont="1" applyAlignment="1">
      <alignment horizontal="center" vertical="top" wrapText="1"/>
    </xf>
    <xf numFmtId="0" fontId="58" fillId="0" borderId="0" xfId="0" applyFont="1" applyAlignment="1">
      <alignment horizontal="center" vertical="center" wrapText="1"/>
    </xf>
    <xf numFmtId="0" fontId="30" fillId="0" borderId="0" xfId="0" applyFont="1" applyAlignment="1">
      <alignment horizontal="left" vertical="top" wrapText="1"/>
    </xf>
    <xf numFmtId="0" fontId="40" fillId="0" borderId="0" xfId="34" applyFont="1" applyAlignment="1">
      <alignment horizontal="center" vertical="top" wrapText="1"/>
    </xf>
    <xf numFmtId="0" fontId="87" fillId="0" borderId="0" xfId="0" applyFont="1" applyAlignment="1">
      <alignment horizontal="center" vertical="top" wrapText="1"/>
    </xf>
    <xf numFmtId="0" fontId="58" fillId="0" borderId="0" xfId="0" applyFont="1" applyAlignment="1">
      <alignment horizontal="center" vertical="top" wrapText="1"/>
    </xf>
    <xf numFmtId="175" fontId="60" fillId="0" borderId="0" xfId="0" applyNumberFormat="1" applyFont="1" applyAlignment="1">
      <alignment horizontal="center" vertical="top" wrapText="1"/>
    </xf>
    <xf numFmtId="0" fontId="60" fillId="0" borderId="0" xfId="0" applyFont="1" applyAlignment="1">
      <alignment horizontal="left" vertical="top" wrapText="1"/>
    </xf>
    <xf numFmtId="0" fontId="58" fillId="0" borderId="0" xfId="0" quotePrefix="1" applyFont="1" applyAlignment="1">
      <alignment horizontal="left" vertical="top" wrapText="1"/>
    </xf>
    <xf numFmtId="0" fontId="58" fillId="0" borderId="0" xfId="0" applyFont="1" applyAlignment="1">
      <alignment horizontal="left" vertical="top" wrapText="1"/>
    </xf>
    <xf numFmtId="175" fontId="30" fillId="0" borderId="0" xfId="0" applyNumberFormat="1" applyFont="1" applyAlignment="1">
      <alignment horizontal="right" vertical="top" wrapText="1"/>
    </xf>
    <xf numFmtId="0" fontId="86" fillId="14" borderId="0" xfId="0" applyFont="1" applyFill="1" applyAlignment="1">
      <alignment horizontal="left"/>
    </xf>
    <xf numFmtId="0" fontId="27" fillId="14" borderId="0" xfId="0" applyFont="1" applyFill="1" applyAlignment="1">
      <alignment horizontal="left"/>
    </xf>
    <xf numFmtId="0" fontId="26" fillId="14" borderId="20" xfId="0" applyFont="1" applyFill="1" applyBorder="1" applyAlignment="1">
      <alignment horizontal="left"/>
    </xf>
    <xf numFmtId="0" fontId="26" fillId="14" borderId="0" xfId="0" applyFont="1" applyFill="1" applyAlignment="1">
      <alignment horizontal="left"/>
    </xf>
    <xf numFmtId="49" fontId="33" fillId="0" borderId="0" xfId="0" applyNumberFormat="1" applyFont="1" applyAlignment="1">
      <alignment horizontal="center"/>
    </xf>
    <xf numFmtId="49" fontId="38" fillId="0" borderId="0" xfId="0" applyNumberFormat="1" applyFont="1" applyAlignment="1">
      <alignment horizontal="center"/>
    </xf>
    <xf numFmtId="0" fontId="28" fillId="0" borderId="0" xfId="0" applyFont="1" applyAlignment="1">
      <alignment horizontal="center" vertical="top"/>
    </xf>
    <xf numFmtId="0" fontId="28" fillId="0" borderId="0" xfId="0" applyFont="1" applyAlignment="1">
      <alignment horizontal="center" vertical="top" wrapText="1"/>
    </xf>
    <xf numFmtId="173" fontId="28" fillId="0" borderId="0" xfId="0" applyNumberFormat="1" applyFont="1" applyAlignment="1">
      <alignment horizontal="center" vertical="top"/>
    </xf>
    <xf numFmtId="165" fontId="28" fillId="0" borderId="0" xfId="0" applyNumberFormat="1" applyFont="1" applyAlignment="1">
      <alignment horizontal="center" vertical="top"/>
    </xf>
    <xf numFmtId="0" fontId="33" fillId="0" borderId="0" xfId="0" applyFont="1" applyAlignment="1">
      <alignment horizontal="center" vertical="top"/>
    </xf>
    <xf numFmtId="0" fontId="33" fillId="0" borderId="0" xfId="0" applyFont="1" applyAlignment="1">
      <alignment horizontal="center" vertical="top" wrapText="1"/>
    </xf>
    <xf numFmtId="173" fontId="33" fillId="0" borderId="0" xfId="0" applyNumberFormat="1" applyFont="1" applyAlignment="1">
      <alignment horizontal="center" vertical="top"/>
    </xf>
    <xf numFmtId="165" fontId="33" fillId="0" borderId="0" xfId="0" applyNumberFormat="1" applyFont="1" applyAlignment="1">
      <alignment horizontal="center" vertical="top"/>
    </xf>
    <xf numFmtId="0" fontId="38" fillId="0" borderId="0" xfId="0" applyFont="1" applyAlignment="1">
      <alignment horizontal="center" vertical="top"/>
    </xf>
    <xf numFmtId="0" fontId="38" fillId="0" borderId="0" xfId="0" applyFont="1" applyAlignment="1">
      <alignment horizontal="center" vertical="top" wrapText="1"/>
    </xf>
    <xf numFmtId="173" fontId="38" fillId="0" borderId="0" xfId="0" applyNumberFormat="1" applyFont="1" applyAlignment="1">
      <alignment horizontal="center" vertical="top"/>
    </xf>
    <xf numFmtId="165" fontId="38" fillId="0" borderId="0" xfId="0" applyNumberFormat="1" applyFont="1" applyAlignment="1">
      <alignment horizontal="center" vertical="top"/>
    </xf>
    <xf numFmtId="173" fontId="38" fillId="0" borderId="10" xfId="0" applyNumberFormat="1" applyFont="1" applyBorder="1" applyAlignment="1">
      <alignment horizontal="center" vertical="center"/>
    </xf>
    <xf numFmtId="165" fontId="38" fillId="0" borderId="10" xfId="0" applyNumberFormat="1" applyFont="1" applyBorder="1" applyAlignment="1">
      <alignment horizontal="center" vertical="center"/>
    </xf>
    <xf numFmtId="0" fontId="28"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right" vertical="center"/>
    </xf>
    <xf numFmtId="49" fontId="49" fillId="0" borderId="0" xfId="0" applyNumberFormat="1" applyFont="1" applyAlignment="1">
      <alignment horizontal="center"/>
    </xf>
    <xf numFmtId="0" fontId="27" fillId="0" borderId="0" xfId="0" applyFont="1"/>
    <xf numFmtId="0" fontId="49" fillId="0" borderId="0" xfId="0" applyFont="1" applyAlignment="1">
      <alignment horizontal="center"/>
    </xf>
    <xf numFmtId="49" fontId="42" fillId="0" borderId="10" xfId="0" applyNumberFormat="1" applyFont="1" applyBorder="1" applyAlignment="1">
      <alignment horizontal="center" vertical="center" wrapText="1"/>
    </xf>
    <xf numFmtId="0" fontId="27" fillId="0" borderId="10" xfId="0" applyFont="1" applyBorder="1"/>
    <xf numFmtId="49" fontId="42" fillId="0" borderId="10" xfId="0" applyNumberFormat="1" applyFont="1" applyBorder="1" applyAlignment="1">
      <alignment horizontal="left" vertical="center" wrapText="1"/>
    </xf>
    <xf numFmtId="49" fontId="54" fillId="0" borderId="0" xfId="0" applyNumberFormat="1" applyFont="1" applyAlignment="1">
      <alignment horizontal="center"/>
    </xf>
    <xf numFmtId="49" fontId="35" fillId="0" borderId="0" xfId="0" applyNumberFormat="1" applyFont="1" applyAlignment="1">
      <alignment horizontal="center" wrapText="1"/>
    </xf>
    <xf numFmtId="0" fontId="26" fillId="0" borderId="10" xfId="0" applyFont="1" applyBorder="1" applyAlignment="1">
      <alignment horizontal="center"/>
    </xf>
    <xf numFmtId="0" fontId="46" fillId="0" borderId="0" xfId="0" applyFont="1" applyAlignment="1">
      <alignment horizontal="center"/>
    </xf>
    <xf numFmtId="0" fontId="1" fillId="0" borderId="0" xfId="0" applyFont="1"/>
    <xf numFmtId="49" fontId="42" fillId="0" borderId="34" xfId="0" applyNumberFormat="1" applyFont="1" applyBorder="1" applyAlignment="1">
      <alignment horizontal="center" vertical="center" wrapText="1"/>
    </xf>
    <xf numFmtId="0" fontId="1" fillId="0" borderId="25" xfId="0" applyFont="1" applyBorder="1"/>
    <xf numFmtId="0" fontId="1" fillId="0" borderId="12" xfId="0" applyFont="1" applyBorder="1"/>
    <xf numFmtId="49" fontId="42" fillId="0" borderId="34" xfId="0" applyNumberFormat="1" applyFont="1" applyBorder="1" applyAlignment="1">
      <alignment horizontal="left" vertical="center" wrapText="1"/>
    </xf>
    <xf numFmtId="49" fontId="42" fillId="0" borderId="45" xfId="0" applyNumberFormat="1" applyFont="1" applyBorder="1" applyAlignment="1">
      <alignment horizontal="center" vertical="center" wrapText="1"/>
    </xf>
    <xf numFmtId="0" fontId="1" fillId="0" borderId="21" xfId="0" applyFont="1" applyBorder="1"/>
    <xf numFmtId="0" fontId="1" fillId="0" borderId="46" xfId="0" applyFont="1" applyBorder="1"/>
    <xf numFmtId="49" fontId="48" fillId="0" borderId="0" xfId="0" applyNumberFormat="1" applyFont="1" applyAlignment="1">
      <alignment horizontal="center"/>
    </xf>
    <xf numFmtId="49" fontId="46" fillId="0" borderId="0" xfId="0" applyNumberFormat="1" applyFont="1" applyAlignment="1">
      <alignment horizontal="center" vertical="center"/>
    </xf>
    <xf numFmtId="49" fontId="42" fillId="0" borderId="0" xfId="0" applyNumberFormat="1" applyFont="1" applyAlignment="1">
      <alignment horizontal="center" vertical="center"/>
    </xf>
    <xf numFmtId="0" fontId="42" fillId="0" borderId="0" xfId="0" applyFont="1" applyAlignment="1">
      <alignment horizontal="center" vertical="center" wrapText="1"/>
    </xf>
    <xf numFmtId="0" fontId="46" fillId="0" borderId="0" xfId="0" applyFont="1" applyAlignment="1">
      <alignment horizontal="center" vertical="center"/>
    </xf>
    <xf numFmtId="49" fontId="42" fillId="0" borderId="41" xfId="0" applyNumberFormat="1" applyFont="1" applyBorder="1" applyAlignment="1">
      <alignment horizontal="center" vertical="center" wrapText="1"/>
    </xf>
    <xf numFmtId="0" fontId="1" fillId="0" borderId="43" xfId="0" applyFont="1" applyBorder="1"/>
    <xf numFmtId="0" fontId="1" fillId="0" borderId="32" xfId="0" applyFont="1" applyBorder="1"/>
    <xf numFmtId="0" fontId="1" fillId="0" borderId="44" xfId="0" applyFont="1" applyBorder="1"/>
    <xf numFmtId="0" fontId="1" fillId="0" borderId="33" xfId="0" applyFont="1" applyBorder="1"/>
    <xf numFmtId="0" fontId="1" fillId="0" borderId="24" xfId="0" applyFont="1" applyBorder="1"/>
    <xf numFmtId="49" fontId="46" fillId="0" borderId="0" xfId="0" applyNumberFormat="1" applyFont="1" applyAlignment="1">
      <alignment horizontal="center"/>
    </xf>
    <xf numFmtId="49" fontId="22" fillId="0" borderId="0" xfId="0" applyNumberFormat="1" applyFont="1" applyAlignment="1">
      <alignment horizontal="center" vertical="center"/>
    </xf>
    <xf numFmtId="49" fontId="35" fillId="0" borderId="0" xfId="0" applyNumberFormat="1" applyFont="1" applyAlignment="1">
      <alignment horizontal="center" vertical="center"/>
    </xf>
    <xf numFmtId="49" fontId="54" fillId="0" borderId="0" xfId="0" applyNumberFormat="1" applyFont="1" applyAlignment="1">
      <alignment horizontal="center" vertical="center"/>
    </xf>
    <xf numFmtId="49" fontId="22" fillId="0" borderId="0" xfId="0" applyNumberFormat="1" applyFont="1" applyAlignment="1">
      <alignment horizontal="center"/>
    </xf>
    <xf numFmtId="49" fontId="42" fillId="0" borderId="0" xfId="0" applyNumberFormat="1" applyFont="1" applyAlignment="1">
      <alignment horizontal="center"/>
    </xf>
    <xf numFmtId="49" fontId="22" fillId="0" borderId="34" xfId="0" applyNumberFormat="1" applyFont="1" applyBorder="1" applyAlignment="1">
      <alignment horizontal="center" vertical="center" wrapText="1"/>
    </xf>
    <xf numFmtId="49" fontId="22" fillId="0" borderId="45" xfId="0" applyNumberFormat="1" applyFont="1" applyBorder="1" applyAlignment="1">
      <alignment horizontal="center" vertical="center" wrapText="1"/>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47" builtinId="3"/>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rmal 3" xfId="48"/>
    <cellStyle name="Normal_Sheet1" xfId="39"/>
    <cellStyle name="Normal_THKPHM" xfId="40"/>
    <cellStyle name="Note 2" xfId="41"/>
    <cellStyle name="Output 2" xfId="42"/>
    <cellStyle name="Percent" xfId="43" builtinId="5"/>
    <cellStyle name="Title 2" xfId="44"/>
    <cellStyle name="Total 2" xfId="45"/>
    <cellStyle name="Warning Text 2" xfId="46"/>
  </cellStyles>
  <dxfs count="41">
    <dxf>
      <font>
        <color rgb="FFFFFFFF"/>
      </font>
    </dxf>
    <dxf>
      <font>
        <color rgb="FFFFFFFF"/>
      </font>
    </dxf>
    <dxf>
      <font>
        <color rgb="FFFFFFFF"/>
      </font>
    </dxf>
    <dxf>
      <fill>
        <patternFill>
          <bgColor indexed="29"/>
        </patternFill>
      </fill>
    </dxf>
    <dxf>
      <font>
        <color rgb="FFFFFFFF"/>
      </font>
    </dxf>
    <dxf>
      <fill>
        <patternFill>
          <bgColor indexed="29"/>
        </patternFill>
      </fill>
    </dxf>
    <dxf>
      <font>
        <color rgb="FFFFFFFF"/>
      </font>
    </dxf>
    <dxf>
      <fill>
        <patternFill>
          <bgColor indexed="29"/>
        </patternFill>
      </fill>
    </dxf>
    <dxf>
      <fill>
        <patternFill>
          <bgColor indexed="29"/>
        </patternFill>
      </fill>
    </dxf>
    <dxf>
      <fill>
        <patternFill>
          <bgColor indexed="29"/>
        </patternFill>
      </fill>
    </dxf>
    <dxf>
      <fill>
        <patternFill>
          <bgColor indexed="29"/>
        </patternFill>
      </fill>
    </dxf>
    <dxf>
      <font>
        <color rgb="FFFFFFFF"/>
      </font>
    </dxf>
    <dxf>
      <fill>
        <patternFill>
          <bgColor indexed="29"/>
        </patternFill>
      </fill>
    </dxf>
    <dxf>
      <font>
        <color rgb="FFFFFFFF"/>
      </font>
    </dxf>
    <dxf>
      <fill>
        <patternFill>
          <bgColor indexed="29"/>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indexed="9"/>
      </font>
    </dxf>
    <dxf>
      <font>
        <color rgb="FFFFFFFF"/>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179529</xdr:colOff>
      <xdr:row>6</xdr:row>
      <xdr:rowOff>276860</xdr:rowOff>
    </xdr:from>
    <xdr:to>
      <xdr:col>1</xdr:col>
      <xdr:colOff>1678796</xdr:colOff>
      <xdr:row>8</xdr:row>
      <xdr:rowOff>150892</xdr:rowOff>
    </xdr:to>
    <xdr:sp macro="" textlink="">
      <xdr:nvSpPr>
        <xdr:cNvPr id="2" name="Comment 1" hidden="1">
          <a:extLst>
            <a:ext uri="{FF2B5EF4-FFF2-40B4-BE49-F238E27FC236}">
              <a16:creationId xmlns:a16="http://schemas.microsoft.com/office/drawing/2014/main" xmlns="" id="{00000000-0008-0000-2400-000002000000}"/>
            </a:ext>
          </a:extLst>
        </xdr:cNvPr>
        <xdr:cNvSpPr txBox="1"/>
      </xdr:nvSpPr>
      <xdr:spPr>
        <a:xfrm>
          <a:off x="763170" y="1645285"/>
          <a:ext cx="1499267" cy="44934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12</xdr:row>
      <xdr:rowOff>67945</xdr:rowOff>
    </xdr:from>
    <xdr:to>
      <xdr:col>1</xdr:col>
      <xdr:colOff>782540</xdr:colOff>
      <xdr:row>19</xdr:row>
      <xdr:rowOff>112727</xdr:rowOff>
    </xdr:to>
    <xdr:sp macro="" textlink="">
      <xdr:nvSpPr>
        <xdr:cNvPr id="3" name="Comment 2" hidden="1">
          <a:extLst>
            <a:ext uri="{FF2B5EF4-FFF2-40B4-BE49-F238E27FC236}">
              <a16:creationId xmlns:a16="http://schemas.microsoft.com/office/drawing/2014/main" xmlns="" id="{00000000-0008-0000-2400-000003000000}"/>
            </a:ext>
          </a:extLst>
        </xdr:cNvPr>
        <xdr:cNvSpPr txBox="1"/>
      </xdr:nvSpPr>
      <xdr:spPr>
        <a:xfrm>
          <a:off x="763170" y="2594610"/>
          <a:ext cx="603011" cy="121254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9</xdr:col>
      <xdr:colOff>325938</xdr:colOff>
      <xdr:row>12</xdr:row>
      <xdr:rowOff>67945</xdr:rowOff>
    </xdr:from>
    <xdr:to>
      <xdr:col>10</xdr:col>
      <xdr:colOff>3103</xdr:colOff>
      <xdr:row>19</xdr:row>
      <xdr:rowOff>112727</xdr:rowOff>
    </xdr:to>
    <xdr:sp macro="" textlink="">
      <xdr:nvSpPr>
        <xdr:cNvPr id="4" name="Comment 3" hidden="1">
          <a:extLst>
            <a:ext uri="{FF2B5EF4-FFF2-40B4-BE49-F238E27FC236}">
              <a16:creationId xmlns:a16="http://schemas.microsoft.com/office/drawing/2014/main" xmlns="" id="{00000000-0008-0000-2400-000004000000}"/>
            </a:ext>
          </a:extLst>
        </xdr:cNvPr>
        <xdr:cNvSpPr txBox="1"/>
      </xdr:nvSpPr>
      <xdr:spPr>
        <a:xfrm>
          <a:off x="7900743" y="2594610"/>
          <a:ext cx="582963" cy="121254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16</xdr:row>
      <xdr:rowOff>244475</xdr:rowOff>
    </xdr:from>
    <xdr:to>
      <xdr:col>1</xdr:col>
      <xdr:colOff>1678796</xdr:colOff>
      <xdr:row>21</xdr:row>
      <xdr:rowOff>179571</xdr:rowOff>
    </xdr:to>
    <xdr:sp macro="" textlink="">
      <xdr:nvSpPr>
        <xdr:cNvPr id="5" name="Comment 4" hidden="1">
          <a:extLst>
            <a:ext uri="{FF2B5EF4-FFF2-40B4-BE49-F238E27FC236}">
              <a16:creationId xmlns:a16="http://schemas.microsoft.com/office/drawing/2014/main" xmlns="" id="{00000000-0008-0000-2400-000005000000}"/>
            </a:ext>
          </a:extLst>
        </xdr:cNvPr>
        <xdr:cNvSpPr txBox="1"/>
      </xdr:nvSpPr>
      <xdr:spPr>
        <a:xfrm>
          <a:off x="763170" y="3354070"/>
          <a:ext cx="1499267" cy="90855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23</xdr:row>
      <xdr:rowOff>21590</xdr:rowOff>
    </xdr:from>
    <xdr:to>
      <xdr:col>1</xdr:col>
      <xdr:colOff>782540</xdr:colOff>
      <xdr:row>33</xdr:row>
      <xdr:rowOff>33169</xdr:rowOff>
    </xdr:to>
    <xdr:sp macro="" textlink="">
      <xdr:nvSpPr>
        <xdr:cNvPr id="6" name="Comment 5" hidden="1">
          <a:extLst>
            <a:ext uri="{FF2B5EF4-FFF2-40B4-BE49-F238E27FC236}">
              <a16:creationId xmlns:a16="http://schemas.microsoft.com/office/drawing/2014/main" xmlns="" id="{00000000-0008-0000-2400-000006000000}"/>
            </a:ext>
          </a:extLst>
        </xdr:cNvPr>
        <xdr:cNvSpPr txBox="1"/>
      </xdr:nvSpPr>
      <xdr:spPr>
        <a:xfrm>
          <a:off x="763170" y="4493260"/>
          <a:ext cx="603011" cy="156796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23</xdr:row>
      <xdr:rowOff>21590</xdr:rowOff>
    </xdr:from>
    <xdr:to>
      <xdr:col>7</xdr:col>
      <xdr:colOff>452892</xdr:colOff>
      <xdr:row>33</xdr:row>
      <xdr:rowOff>33169</xdr:rowOff>
    </xdr:to>
    <xdr:sp macro="" textlink="">
      <xdr:nvSpPr>
        <xdr:cNvPr id="7" name="Comment 6" hidden="1">
          <a:extLst>
            <a:ext uri="{FF2B5EF4-FFF2-40B4-BE49-F238E27FC236}">
              <a16:creationId xmlns:a16="http://schemas.microsoft.com/office/drawing/2014/main" xmlns="" id="{00000000-0008-0000-2400-000007000000}"/>
            </a:ext>
          </a:extLst>
        </xdr:cNvPr>
        <xdr:cNvSpPr txBox="1"/>
      </xdr:nvSpPr>
      <xdr:spPr>
        <a:xfrm>
          <a:off x="5954132" y="4493260"/>
          <a:ext cx="604350" cy="156796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27</xdr:row>
      <xdr:rowOff>1905</xdr:rowOff>
    </xdr:from>
    <xdr:to>
      <xdr:col>1</xdr:col>
      <xdr:colOff>1678796</xdr:colOff>
      <xdr:row>30</xdr:row>
      <xdr:rowOff>38450</xdr:rowOff>
    </xdr:to>
    <xdr:sp macro="" textlink="">
      <xdr:nvSpPr>
        <xdr:cNvPr id="8" name="Comment 7" hidden="1">
          <a:extLst>
            <a:ext uri="{FF2B5EF4-FFF2-40B4-BE49-F238E27FC236}">
              <a16:creationId xmlns:a16="http://schemas.microsoft.com/office/drawing/2014/main" xmlns="" id="{00000000-0008-0000-2400-000008000000}"/>
            </a:ext>
          </a:extLst>
        </xdr:cNvPr>
        <xdr:cNvSpPr txBox="1"/>
      </xdr:nvSpPr>
      <xdr:spPr>
        <a:xfrm>
          <a:off x="763170" y="5252720"/>
          <a:ext cx="1499267" cy="425165"/>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30</xdr:row>
      <xdr:rowOff>182880</xdr:rowOff>
    </xdr:from>
    <xdr:to>
      <xdr:col>1</xdr:col>
      <xdr:colOff>784605</xdr:colOff>
      <xdr:row>33</xdr:row>
      <xdr:rowOff>23530</xdr:rowOff>
    </xdr:to>
    <xdr:sp macro="" textlink="">
      <xdr:nvSpPr>
        <xdr:cNvPr id="9" name="Comment 8" hidden="1">
          <a:extLst>
            <a:ext uri="{FF2B5EF4-FFF2-40B4-BE49-F238E27FC236}">
              <a16:creationId xmlns:a16="http://schemas.microsoft.com/office/drawing/2014/main" xmlns="" id="{00000000-0008-0000-2400-000009000000}"/>
            </a:ext>
          </a:extLst>
        </xdr:cNvPr>
        <xdr:cNvSpPr txBox="1"/>
      </xdr:nvSpPr>
      <xdr:spPr>
        <a:xfrm>
          <a:off x="763170" y="5822315"/>
          <a:ext cx="605076" cy="22927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30</xdr:row>
      <xdr:rowOff>182880</xdr:rowOff>
    </xdr:from>
    <xdr:to>
      <xdr:col>7</xdr:col>
      <xdr:colOff>452892</xdr:colOff>
      <xdr:row>33</xdr:row>
      <xdr:rowOff>23530</xdr:rowOff>
    </xdr:to>
    <xdr:sp macro="" textlink="">
      <xdr:nvSpPr>
        <xdr:cNvPr id="10" name="Comment 9" hidden="1">
          <a:extLst>
            <a:ext uri="{FF2B5EF4-FFF2-40B4-BE49-F238E27FC236}">
              <a16:creationId xmlns:a16="http://schemas.microsoft.com/office/drawing/2014/main" xmlns="" id="{00000000-0008-0000-2400-00000A000000}"/>
            </a:ext>
          </a:extLst>
        </xdr:cNvPr>
        <xdr:cNvSpPr txBox="1"/>
      </xdr:nvSpPr>
      <xdr:spPr>
        <a:xfrm>
          <a:off x="5954132" y="5822315"/>
          <a:ext cx="604350" cy="22927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34</xdr:row>
      <xdr:rowOff>163195</xdr:rowOff>
    </xdr:from>
    <xdr:to>
      <xdr:col>1</xdr:col>
      <xdr:colOff>1678796</xdr:colOff>
      <xdr:row>40</xdr:row>
      <xdr:rowOff>2297</xdr:rowOff>
    </xdr:to>
    <xdr:sp macro="" textlink="">
      <xdr:nvSpPr>
        <xdr:cNvPr id="11" name="Comment 10" hidden="1">
          <a:extLst>
            <a:ext uri="{FF2B5EF4-FFF2-40B4-BE49-F238E27FC236}">
              <a16:creationId xmlns:a16="http://schemas.microsoft.com/office/drawing/2014/main" xmlns="" id="{00000000-0008-0000-2400-00000B000000}"/>
            </a:ext>
          </a:extLst>
        </xdr:cNvPr>
        <xdr:cNvSpPr txBox="1"/>
      </xdr:nvSpPr>
      <xdr:spPr>
        <a:xfrm>
          <a:off x="763170" y="6581775"/>
          <a:ext cx="1499267" cy="80684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44</xdr:row>
      <xdr:rowOff>127635</xdr:rowOff>
    </xdr:from>
    <xdr:to>
      <xdr:col>1</xdr:col>
      <xdr:colOff>782540</xdr:colOff>
      <xdr:row>47</xdr:row>
      <xdr:rowOff>31879</xdr:rowOff>
    </xdr:to>
    <xdr:sp macro="" textlink="">
      <xdr:nvSpPr>
        <xdr:cNvPr id="12" name="Comment 11" hidden="1">
          <a:extLst>
            <a:ext uri="{FF2B5EF4-FFF2-40B4-BE49-F238E27FC236}">
              <a16:creationId xmlns:a16="http://schemas.microsoft.com/office/drawing/2014/main" xmlns="" id="{00000000-0008-0000-2400-00000C000000}"/>
            </a:ext>
          </a:extLst>
        </xdr:cNvPr>
        <xdr:cNvSpPr txBox="1"/>
      </xdr:nvSpPr>
      <xdr:spPr>
        <a:xfrm>
          <a:off x="763170" y="8100695"/>
          <a:ext cx="603011" cy="90817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8</xdr:col>
      <xdr:colOff>479468</xdr:colOff>
      <xdr:row>44</xdr:row>
      <xdr:rowOff>127635</xdr:rowOff>
    </xdr:from>
    <xdr:to>
      <xdr:col>9</xdr:col>
      <xdr:colOff>280798</xdr:colOff>
      <xdr:row>47</xdr:row>
      <xdr:rowOff>31879</xdr:rowOff>
    </xdr:to>
    <xdr:sp macro="" textlink="">
      <xdr:nvSpPr>
        <xdr:cNvPr id="13" name="Comment 12" hidden="1">
          <a:extLst>
            <a:ext uri="{FF2B5EF4-FFF2-40B4-BE49-F238E27FC236}">
              <a16:creationId xmlns:a16="http://schemas.microsoft.com/office/drawing/2014/main" xmlns="" id="{00000000-0008-0000-2400-00000D000000}"/>
            </a:ext>
          </a:extLst>
        </xdr:cNvPr>
        <xdr:cNvSpPr txBox="1"/>
      </xdr:nvSpPr>
      <xdr:spPr>
        <a:xfrm>
          <a:off x="7251872" y="8100695"/>
          <a:ext cx="603731" cy="90817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59</xdr:row>
      <xdr:rowOff>172085</xdr:rowOff>
    </xdr:from>
    <xdr:to>
      <xdr:col>1</xdr:col>
      <xdr:colOff>1678796</xdr:colOff>
      <xdr:row>66</xdr:row>
      <xdr:rowOff>15473</xdr:rowOff>
    </xdr:to>
    <xdr:sp macro="" textlink="">
      <xdr:nvSpPr>
        <xdr:cNvPr id="14" name="Comment 13" hidden="1">
          <a:extLst>
            <a:ext uri="{FF2B5EF4-FFF2-40B4-BE49-F238E27FC236}">
              <a16:creationId xmlns:a16="http://schemas.microsoft.com/office/drawing/2014/main" xmlns="" id="{00000000-0008-0000-2400-00000E000000}"/>
            </a:ext>
          </a:extLst>
        </xdr:cNvPr>
        <xdr:cNvSpPr txBox="1"/>
      </xdr:nvSpPr>
      <xdr:spPr>
        <a:xfrm>
          <a:off x="763170" y="12087860"/>
          <a:ext cx="1499267" cy="1203558"/>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62</xdr:row>
      <xdr:rowOff>348615</xdr:rowOff>
    </xdr:from>
    <xdr:to>
      <xdr:col>1</xdr:col>
      <xdr:colOff>782540</xdr:colOff>
      <xdr:row>70</xdr:row>
      <xdr:rowOff>173228</xdr:rowOff>
    </xdr:to>
    <xdr:sp macro="" textlink="">
      <xdr:nvSpPr>
        <xdr:cNvPr id="15" name="Comment 14" hidden="1">
          <a:extLst>
            <a:ext uri="{FF2B5EF4-FFF2-40B4-BE49-F238E27FC236}">
              <a16:creationId xmlns:a16="http://schemas.microsoft.com/office/drawing/2014/main" xmlns="" id="{00000000-0008-0000-2400-00000F000000}"/>
            </a:ext>
          </a:extLst>
        </xdr:cNvPr>
        <xdr:cNvSpPr txBox="1"/>
      </xdr:nvSpPr>
      <xdr:spPr>
        <a:xfrm>
          <a:off x="763170" y="12847320"/>
          <a:ext cx="603011" cy="1409573"/>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8</xdr:col>
      <xdr:colOff>479468</xdr:colOff>
      <xdr:row>62</xdr:row>
      <xdr:rowOff>348615</xdr:rowOff>
    </xdr:from>
    <xdr:to>
      <xdr:col>9</xdr:col>
      <xdr:colOff>280798</xdr:colOff>
      <xdr:row>70</xdr:row>
      <xdr:rowOff>173228</xdr:rowOff>
    </xdr:to>
    <xdr:sp macro="" textlink="">
      <xdr:nvSpPr>
        <xdr:cNvPr id="16" name="Comment 15" hidden="1">
          <a:extLst>
            <a:ext uri="{FF2B5EF4-FFF2-40B4-BE49-F238E27FC236}">
              <a16:creationId xmlns:a16="http://schemas.microsoft.com/office/drawing/2014/main" xmlns="" id="{00000000-0008-0000-2400-000010000000}"/>
            </a:ext>
          </a:extLst>
        </xdr:cNvPr>
        <xdr:cNvSpPr txBox="1"/>
      </xdr:nvSpPr>
      <xdr:spPr>
        <a:xfrm>
          <a:off x="7251872" y="12847320"/>
          <a:ext cx="603731" cy="1409573"/>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76</xdr:row>
      <xdr:rowOff>36195</xdr:rowOff>
    </xdr:from>
    <xdr:to>
      <xdr:col>1</xdr:col>
      <xdr:colOff>1678796</xdr:colOff>
      <xdr:row>86</xdr:row>
      <xdr:rowOff>137189</xdr:rowOff>
    </xdr:to>
    <xdr:sp macro="" textlink="">
      <xdr:nvSpPr>
        <xdr:cNvPr id="17" name="Comment 16" hidden="1">
          <a:extLst>
            <a:ext uri="{FF2B5EF4-FFF2-40B4-BE49-F238E27FC236}">
              <a16:creationId xmlns:a16="http://schemas.microsoft.com/office/drawing/2014/main" xmlns="" id="{00000000-0008-0000-2400-000011000000}"/>
            </a:ext>
          </a:extLst>
        </xdr:cNvPr>
        <xdr:cNvSpPr txBox="1"/>
      </xdr:nvSpPr>
      <xdr:spPr>
        <a:xfrm>
          <a:off x="763170" y="15695295"/>
          <a:ext cx="1499267" cy="227840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81</xdr:row>
      <xdr:rowOff>349250</xdr:rowOff>
    </xdr:from>
    <xdr:to>
      <xdr:col>1</xdr:col>
      <xdr:colOff>782540</xdr:colOff>
      <xdr:row>88</xdr:row>
      <xdr:rowOff>121602</xdr:rowOff>
    </xdr:to>
    <xdr:sp macro="" textlink="">
      <xdr:nvSpPr>
        <xdr:cNvPr id="18" name="Comment 17" hidden="1">
          <a:extLst>
            <a:ext uri="{FF2B5EF4-FFF2-40B4-BE49-F238E27FC236}">
              <a16:creationId xmlns:a16="http://schemas.microsoft.com/office/drawing/2014/main" xmlns="" id="{00000000-0008-0000-2400-000012000000}"/>
            </a:ext>
          </a:extLst>
        </xdr:cNvPr>
        <xdr:cNvSpPr txBox="1"/>
      </xdr:nvSpPr>
      <xdr:spPr>
        <a:xfrm>
          <a:off x="763170" y="17214215"/>
          <a:ext cx="603011" cy="113252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81</xdr:row>
      <xdr:rowOff>349250</xdr:rowOff>
    </xdr:from>
    <xdr:to>
      <xdr:col>7</xdr:col>
      <xdr:colOff>452892</xdr:colOff>
      <xdr:row>88</xdr:row>
      <xdr:rowOff>121602</xdr:rowOff>
    </xdr:to>
    <xdr:sp macro="" textlink="">
      <xdr:nvSpPr>
        <xdr:cNvPr id="19" name="Comment 18" hidden="1">
          <a:extLst>
            <a:ext uri="{FF2B5EF4-FFF2-40B4-BE49-F238E27FC236}">
              <a16:creationId xmlns:a16="http://schemas.microsoft.com/office/drawing/2014/main" xmlns="" id="{00000000-0008-0000-2400-000013000000}"/>
            </a:ext>
          </a:extLst>
        </xdr:cNvPr>
        <xdr:cNvSpPr txBox="1"/>
      </xdr:nvSpPr>
      <xdr:spPr>
        <a:xfrm>
          <a:off x="5954132" y="17214215"/>
          <a:ext cx="604350" cy="113252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88</xdr:row>
      <xdr:rowOff>128270</xdr:rowOff>
    </xdr:from>
    <xdr:to>
      <xdr:col>1</xdr:col>
      <xdr:colOff>1678796</xdr:colOff>
      <xdr:row>92</xdr:row>
      <xdr:rowOff>528275</xdr:rowOff>
    </xdr:to>
    <xdr:sp macro="" textlink="">
      <xdr:nvSpPr>
        <xdr:cNvPr id="20" name="Comment 19" hidden="1">
          <a:extLst>
            <a:ext uri="{FF2B5EF4-FFF2-40B4-BE49-F238E27FC236}">
              <a16:creationId xmlns:a16="http://schemas.microsoft.com/office/drawing/2014/main" xmlns="" id="{00000000-0008-0000-2400-000014000000}"/>
            </a:ext>
          </a:extLst>
        </xdr:cNvPr>
        <xdr:cNvSpPr txBox="1"/>
      </xdr:nvSpPr>
      <xdr:spPr>
        <a:xfrm>
          <a:off x="763170" y="18353405"/>
          <a:ext cx="1499267" cy="982935"/>
        </a:xfrm>
        <a:prstGeom prst="rect">
          <a:avLst/>
        </a:prstGeom>
        <a:solidFill>
          <a:srgbClr val="FFFFE1"/>
        </a:solidFill>
        <a:ln w="9525">
          <a:solidFill>
            <a:srgbClr val="000000"/>
          </a:solidFill>
        </a:ln>
      </xdr:spPr>
      <xdr:txBody>
        <a:bodyPr rtlCol="0"/>
        <a:lstStyle/>
        <a:p>
          <a:pPr algn="l"/>
          <a:r>
            <a:rPr lang="en-US" sz="900">
              <a:solidFill>
                <a:sysClr val="windowText" lastClr="000000"/>
              </a:solidFill>
            </a:rPr>
            <a:t>Tai:</a:t>
          </a:r>
          <a:endParaRPr lang="en-US" sz="900" b="0">
            <a:solidFill>
              <a:sysClr val="windowText" lastClr="000000"/>
            </a:solidFill>
          </a:endParaRPr>
        </a:p>
        <a:p>
          <a:pPr algn="l"/>
          <a:r>
            <a:rPr lang="en-US" sz="900" b="0">
              <a:solidFill>
                <a:sysClr val="windowText" lastClr="000000"/>
              </a:solidFill>
            </a:rPr>
            <a:t>Số thứ tự là 5 vì thiếu Công trình thủy lợi trong TT150/2014/TT-BTC</a:t>
          </a:r>
          <a:endParaRPr lang="en-US" sz="1100" b="0">
            <a:solidFill>
              <a:sysClr val="windowText" lastClr="000000"/>
            </a:solidFill>
            <a:latin typeface="Calibri"/>
          </a:endParaRPr>
        </a:p>
      </xdr:txBody>
    </xdr:sp>
    <xdr:clientData/>
  </xdr:twoCellAnchor>
  <xdr:twoCellAnchor editAs="absolute">
    <xdr:from>
      <xdr:col>1</xdr:col>
      <xdr:colOff>179529</xdr:colOff>
      <xdr:row>89</xdr:row>
      <xdr:rowOff>123825</xdr:rowOff>
    </xdr:from>
    <xdr:to>
      <xdr:col>1</xdr:col>
      <xdr:colOff>1678796</xdr:colOff>
      <xdr:row>99</xdr:row>
      <xdr:rowOff>48652</xdr:rowOff>
    </xdr:to>
    <xdr:sp macro="" textlink="">
      <xdr:nvSpPr>
        <xdr:cNvPr id="21" name="Comment 20" hidden="1">
          <a:extLst>
            <a:ext uri="{FF2B5EF4-FFF2-40B4-BE49-F238E27FC236}">
              <a16:creationId xmlns:a16="http://schemas.microsoft.com/office/drawing/2014/main" xmlns="" id="{00000000-0008-0000-2400-000015000000}"/>
            </a:ext>
          </a:extLst>
        </xdr:cNvPr>
        <xdr:cNvSpPr txBox="1"/>
      </xdr:nvSpPr>
      <xdr:spPr>
        <a:xfrm>
          <a:off x="763170" y="18543270"/>
          <a:ext cx="1499267" cy="187554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94</xdr:row>
      <xdr:rowOff>89535</xdr:rowOff>
    </xdr:from>
    <xdr:to>
      <xdr:col>1</xdr:col>
      <xdr:colOff>782540</xdr:colOff>
      <xdr:row>103</xdr:row>
      <xdr:rowOff>178371</xdr:rowOff>
    </xdr:to>
    <xdr:sp macro="" textlink="">
      <xdr:nvSpPr>
        <xdr:cNvPr id="22" name="Comment 21" hidden="1">
          <a:extLst>
            <a:ext uri="{FF2B5EF4-FFF2-40B4-BE49-F238E27FC236}">
              <a16:creationId xmlns:a16="http://schemas.microsoft.com/office/drawing/2014/main" xmlns="" id="{00000000-0008-0000-2400-000016000000}"/>
            </a:ext>
          </a:extLst>
        </xdr:cNvPr>
        <xdr:cNvSpPr txBox="1"/>
      </xdr:nvSpPr>
      <xdr:spPr>
        <a:xfrm>
          <a:off x="763170" y="19682460"/>
          <a:ext cx="603011" cy="1643316"/>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94</xdr:row>
      <xdr:rowOff>89535</xdr:rowOff>
    </xdr:from>
    <xdr:to>
      <xdr:col>7</xdr:col>
      <xdr:colOff>452892</xdr:colOff>
      <xdr:row>103</xdr:row>
      <xdr:rowOff>178371</xdr:rowOff>
    </xdr:to>
    <xdr:sp macro="" textlink="">
      <xdr:nvSpPr>
        <xdr:cNvPr id="23" name="Comment 22" hidden="1">
          <a:extLst>
            <a:ext uri="{FF2B5EF4-FFF2-40B4-BE49-F238E27FC236}">
              <a16:creationId xmlns:a16="http://schemas.microsoft.com/office/drawing/2014/main" xmlns="" id="{00000000-0008-0000-2400-000017000000}"/>
            </a:ext>
          </a:extLst>
        </xdr:cNvPr>
        <xdr:cNvSpPr txBox="1"/>
      </xdr:nvSpPr>
      <xdr:spPr>
        <a:xfrm>
          <a:off x="5954132" y="19682460"/>
          <a:ext cx="604350" cy="1643316"/>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99</xdr:row>
      <xdr:rowOff>71755</xdr:rowOff>
    </xdr:from>
    <xdr:to>
      <xdr:col>1</xdr:col>
      <xdr:colOff>1678796</xdr:colOff>
      <xdr:row>103</xdr:row>
      <xdr:rowOff>24636</xdr:rowOff>
    </xdr:to>
    <xdr:sp macro="" textlink="">
      <xdr:nvSpPr>
        <xdr:cNvPr id="24" name="Comment 23" hidden="1">
          <a:extLst>
            <a:ext uri="{FF2B5EF4-FFF2-40B4-BE49-F238E27FC236}">
              <a16:creationId xmlns:a16="http://schemas.microsoft.com/office/drawing/2014/main" xmlns="" id="{00000000-0008-0000-2400-000018000000}"/>
            </a:ext>
          </a:extLst>
        </xdr:cNvPr>
        <xdr:cNvSpPr txBox="1"/>
      </xdr:nvSpPr>
      <xdr:spPr>
        <a:xfrm>
          <a:off x="763170" y="20441920"/>
          <a:ext cx="1499267" cy="73012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102</xdr:row>
      <xdr:rowOff>58420</xdr:rowOff>
    </xdr:from>
    <xdr:to>
      <xdr:col>1</xdr:col>
      <xdr:colOff>782540</xdr:colOff>
      <xdr:row>106</xdr:row>
      <xdr:rowOff>205611</xdr:rowOff>
    </xdr:to>
    <xdr:sp macro="" textlink="">
      <xdr:nvSpPr>
        <xdr:cNvPr id="25" name="Comment 24" hidden="1">
          <a:extLst>
            <a:ext uri="{FF2B5EF4-FFF2-40B4-BE49-F238E27FC236}">
              <a16:creationId xmlns:a16="http://schemas.microsoft.com/office/drawing/2014/main" xmlns="" id="{00000000-0008-0000-2400-000019000000}"/>
            </a:ext>
          </a:extLst>
        </xdr:cNvPr>
        <xdr:cNvSpPr txBox="1"/>
      </xdr:nvSpPr>
      <xdr:spPr>
        <a:xfrm>
          <a:off x="763170" y="21011515"/>
          <a:ext cx="603011" cy="73012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102</xdr:row>
      <xdr:rowOff>58420</xdr:rowOff>
    </xdr:from>
    <xdr:to>
      <xdr:col>7</xdr:col>
      <xdr:colOff>452892</xdr:colOff>
      <xdr:row>106</xdr:row>
      <xdr:rowOff>205611</xdr:rowOff>
    </xdr:to>
    <xdr:sp macro="" textlink="">
      <xdr:nvSpPr>
        <xdr:cNvPr id="26" name="Comment 25" hidden="1">
          <a:extLst>
            <a:ext uri="{FF2B5EF4-FFF2-40B4-BE49-F238E27FC236}">
              <a16:creationId xmlns:a16="http://schemas.microsoft.com/office/drawing/2014/main" xmlns="" id="{00000000-0008-0000-2400-00001A000000}"/>
            </a:ext>
          </a:extLst>
        </xdr:cNvPr>
        <xdr:cNvSpPr txBox="1"/>
      </xdr:nvSpPr>
      <xdr:spPr>
        <a:xfrm>
          <a:off x="5954132" y="21011515"/>
          <a:ext cx="604350" cy="73012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106</xdr:row>
      <xdr:rowOff>234950</xdr:rowOff>
    </xdr:from>
    <xdr:to>
      <xdr:col>1</xdr:col>
      <xdr:colOff>1678796</xdr:colOff>
      <xdr:row>113</xdr:row>
      <xdr:rowOff>233804</xdr:rowOff>
    </xdr:to>
    <xdr:sp macro="" textlink="">
      <xdr:nvSpPr>
        <xdr:cNvPr id="27" name="Comment 26" hidden="1">
          <a:extLst>
            <a:ext uri="{FF2B5EF4-FFF2-40B4-BE49-F238E27FC236}">
              <a16:creationId xmlns:a16="http://schemas.microsoft.com/office/drawing/2014/main" xmlns="" id="{00000000-0008-0000-2400-00001B000000}"/>
            </a:ext>
          </a:extLst>
        </xdr:cNvPr>
        <xdr:cNvSpPr txBox="1"/>
      </xdr:nvSpPr>
      <xdr:spPr>
        <a:xfrm>
          <a:off x="763170" y="21770975"/>
          <a:ext cx="1499267" cy="116661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113</xdr:row>
      <xdr:rowOff>206375</xdr:rowOff>
    </xdr:from>
    <xdr:to>
      <xdr:col>1</xdr:col>
      <xdr:colOff>782540</xdr:colOff>
      <xdr:row>118</xdr:row>
      <xdr:rowOff>298256</xdr:rowOff>
    </xdr:to>
    <xdr:sp macro="" textlink="">
      <xdr:nvSpPr>
        <xdr:cNvPr id="28" name="Comment 27" hidden="1">
          <a:extLst>
            <a:ext uri="{FF2B5EF4-FFF2-40B4-BE49-F238E27FC236}">
              <a16:creationId xmlns:a16="http://schemas.microsoft.com/office/drawing/2014/main" xmlns="" id="{00000000-0008-0000-2400-00001C000000}"/>
            </a:ext>
          </a:extLst>
        </xdr:cNvPr>
        <xdr:cNvSpPr txBox="1"/>
      </xdr:nvSpPr>
      <xdr:spPr>
        <a:xfrm>
          <a:off x="763170" y="22910165"/>
          <a:ext cx="603011" cy="1314256"/>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9</xdr:col>
      <xdr:colOff>325938</xdr:colOff>
      <xdr:row>113</xdr:row>
      <xdr:rowOff>206375</xdr:rowOff>
    </xdr:from>
    <xdr:to>
      <xdr:col>10</xdr:col>
      <xdr:colOff>3103</xdr:colOff>
      <xdr:row>118</xdr:row>
      <xdr:rowOff>298256</xdr:rowOff>
    </xdr:to>
    <xdr:sp macro="" textlink="">
      <xdr:nvSpPr>
        <xdr:cNvPr id="29" name="Comment 28" hidden="1">
          <a:extLst>
            <a:ext uri="{FF2B5EF4-FFF2-40B4-BE49-F238E27FC236}">
              <a16:creationId xmlns:a16="http://schemas.microsoft.com/office/drawing/2014/main" xmlns="" id="{00000000-0008-0000-2400-00001D000000}"/>
            </a:ext>
          </a:extLst>
        </xdr:cNvPr>
        <xdr:cNvSpPr txBox="1"/>
      </xdr:nvSpPr>
      <xdr:spPr>
        <a:xfrm>
          <a:off x="7900743" y="22910165"/>
          <a:ext cx="582963" cy="1314256"/>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117</xdr:row>
      <xdr:rowOff>186690</xdr:rowOff>
    </xdr:from>
    <xdr:to>
      <xdr:col>1</xdr:col>
      <xdr:colOff>1678796</xdr:colOff>
      <xdr:row>123</xdr:row>
      <xdr:rowOff>238755</xdr:rowOff>
    </xdr:to>
    <xdr:sp macro="" textlink="">
      <xdr:nvSpPr>
        <xdr:cNvPr id="30" name="Comment 29" hidden="1">
          <a:extLst>
            <a:ext uri="{FF2B5EF4-FFF2-40B4-BE49-F238E27FC236}">
              <a16:creationId xmlns:a16="http://schemas.microsoft.com/office/drawing/2014/main" xmlns="" id="{00000000-0008-0000-2400-00001E000000}"/>
            </a:ext>
          </a:extLst>
        </xdr:cNvPr>
        <xdr:cNvSpPr txBox="1"/>
      </xdr:nvSpPr>
      <xdr:spPr>
        <a:xfrm>
          <a:off x="763170" y="23669625"/>
          <a:ext cx="1499267" cy="164020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123</xdr:row>
      <xdr:rowOff>117475</xdr:rowOff>
    </xdr:from>
    <xdr:to>
      <xdr:col>1</xdr:col>
      <xdr:colOff>782540</xdr:colOff>
      <xdr:row>130</xdr:row>
      <xdr:rowOff>43222</xdr:rowOff>
    </xdr:to>
    <xdr:sp macro="" textlink="">
      <xdr:nvSpPr>
        <xdr:cNvPr id="31" name="Comment 30" hidden="1">
          <a:extLst>
            <a:ext uri="{FF2B5EF4-FFF2-40B4-BE49-F238E27FC236}">
              <a16:creationId xmlns:a16="http://schemas.microsoft.com/office/drawing/2014/main" xmlns="" id="{00000000-0008-0000-2400-00001F000000}"/>
            </a:ext>
          </a:extLst>
        </xdr:cNvPr>
        <xdr:cNvSpPr txBox="1"/>
      </xdr:nvSpPr>
      <xdr:spPr>
        <a:xfrm>
          <a:off x="763170" y="25188545"/>
          <a:ext cx="603011" cy="154753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8</xdr:col>
      <xdr:colOff>479468</xdr:colOff>
      <xdr:row>123</xdr:row>
      <xdr:rowOff>117475</xdr:rowOff>
    </xdr:from>
    <xdr:to>
      <xdr:col>9</xdr:col>
      <xdr:colOff>280798</xdr:colOff>
      <xdr:row>130</xdr:row>
      <xdr:rowOff>43222</xdr:rowOff>
    </xdr:to>
    <xdr:sp macro="" textlink="">
      <xdr:nvSpPr>
        <xdr:cNvPr id="32" name="Comment 31" hidden="1">
          <a:extLst>
            <a:ext uri="{FF2B5EF4-FFF2-40B4-BE49-F238E27FC236}">
              <a16:creationId xmlns:a16="http://schemas.microsoft.com/office/drawing/2014/main" xmlns="" id="{00000000-0008-0000-2400-000020000000}"/>
            </a:ext>
          </a:extLst>
        </xdr:cNvPr>
        <xdr:cNvSpPr txBox="1"/>
      </xdr:nvSpPr>
      <xdr:spPr>
        <a:xfrm>
          <a:off x="7251872" y="25188545"/>
          <a:ext cx="603731" cy="154753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136</xdr:row>
      <xdr:rowOff>147320</xdr:rowOff>
    </xdr:from>
    <xdr:to>
      <xdr:col>1</xdr:col>
      <xdr:colOff>1678796</xdr:colOff>
      <xdr:row>143</xdr:row>
      <xdr:rowOff>60851</xdr:rowOff>
    </xdr:to>
    <xdr:sp macro="" textlink="">
      <xdr:nvSpPr>
        <xdr:cNvPr id="33" name="Comment 32" hidden="1">
          <a:extLst>
            <a:ext uri="{FF2B5EF4-FFF2-40B4-BE49-F238E27FC236}">
              <a16:creationId xmlns:a16="http://schemas.microsoft.com/office/drawing/2014/main" xmlns="" id="{00000000-0008-0000-2400-000021000000}"/>
            </a:ext>
          </a:extLst>
        </xdr:cNvPr>
        <xdr:cNvSpPr txBox="1"/>
      </xdr:nvSpPr>
      <xdr:spPr>
        <a:xfrm>
          <a:off x="763170" y="28036520"/>
          <a:ext cx="1499267" cy="204840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140</xdr:row>
      <xdr:rowOff>116840</xdr:rowOff>
    </xdr:from>
    <xdr:to>
      <xdr:col>1</xdr:col>
      <xdr:colOff>782540</xdr:colOff>
      <xdr:row>160</xdr:row>
      <xdr:rowOff>94427</xdr:rowOff>
    </xdr:to>
    <xdr:sp macro="" textlink="">
      <xdr:nvSpPr>
        <xdr:cNvPr id="34" name="Comment 33" hidden="1">
          <a:extLst>
            <a:ext uri="{FF2B5EF4-FFF2-40B4-BE49-F238E27FC236}">
              <a16:creationId xmlns:a16="http://schemas.microsoft.com/office/drawing/2014/main" xmlns="" id="{00000000-0008-0000-2400-000022000000}"/>
            </a:ext>
          </a:extLst>
        </xdr:cNvPr>
        <xdr:cNvSpPr txBox="1"/>
      </xdr:nvSpPr>
      <xdr:spPr>
        <a:xfrm>
          <a:off x="763170" y="28795980"/>
          <a:ext cx="603011" cy="483152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8</xdr:col>
      <xdr:colOff>479468</xdr:colOff>
      <xdr:row>140</xdr:row>
      <xdr:rowOff>116840</xdr:rowOff>
    </xdr:from>
    <xdr:to>
      <xdr:col>9</xdr:col>
      <xdr:colOff>280798</xdr:colOff>
      <xdr:row>160</xdr:row>
      <xdr:rowOff>94427</xdr:rowOff>
    </xdr:to>
    <xdr:sp macro="" textlink="">
      <xdr:nvSpPr>
        <xdr:cNvPr id="35" name="Comment 34" hidden="1">
          <a:extLst>
            <a:ext uri="{FF2B5EF4-FFF2-40B4-BE49-F238E27FC236}">
              <a16:creationId xmlns:a16="http://schemas.microsoft.com/office/drawing/2014/main" xmlns="" id="{00000000-0008-0000-2400-000023000000}"/>
            </a:ext>
          </a:extLst>
        </xdr:cNvPr>
        <xdr:cNvSpPr txBox="1"/>
      </xdr:nvSpPr>
      <xdr:spPr>
        <a:xfrm>
          <a:off x="7251872" y="28795980"/>
          <a:ext cx="603731" cy="483152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151</xdr:row>
      <xdr:rowOff>88265</xdr:rowOff>
    </xdr:from>
    <xdr:to>
      <xdr:col>1</xdr:col>
      <xdr:colOff>1678796</xdr:colOff>
      <xdr:row>162</xdr:row>
      <xdr:rowOff>91539</xdr:rowOff>
    </xdr:to>
    <xdr:sp macro="" textlink="">
      <xdr:nvSpPr>
        <xdr:cNvPr id="36" name="Comment 35" hidden="1">
          <a:extLst>
            <a:ext uri="{FF2B5EF4-FFF2-40B4-BE49-F238E27FC236}">
              <a16:creationId xmlns:a16="http://schemas.microsoft.com/office/drawing/2014/main" xmlns="" id="{00000000-0008-0000-2400-000024000000}"/>
            </a:ext>
          </a:extLst>
        </xdr:cNvPr>
        <xdr:cNvSpPr txBox="1"/>
      </xdr:nvSpPr>
      <xdr:spPr>
        <a:xfrm>
          <a:off x="763170" y="31643955"/>
          <a:ext cx="1499267" cy="310080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159</xdr:row>
      <xdr:rowOff>29845</xdr:rowOff>
    </xdr:from>
    <xdr:to>
      <xdr:col>1</xdr:col>
      <xdr:colOff>782540</xdr:colOff>
      <xdr:row>161</xdr:row>
      <xdr:rowOff>665847</xdr:rowOff>
    </xdr:to>
    <xdr:sp macro="" textlink="">
      <xdr:nvSpPr>
        <xdr:cNvPr id="37" name="Comment 36" hidden="1">
          <a:extLst>
            <a:ext uri="{FF2B5EF4-FFF2-40B4-BE49-F238E27FC236}">
              <a16:creationId xmlns:a16="http://schemas.microsoft.com/office/drawing/2014/main" xmlns="" id="{00000000-0008-0000-2400-000025000000}"/>
            </a:ext>
          </a:extLst>
        </xdr:cNvPr>
        <xdr:cNvSpPr txBox="1"/>
      </xdr:nvSpPr>
      <xdr:spPr>
        <a:xfrm>
          <a:off x="763170" y="33162875"/>
          <a:ext cx="603011" cy="123417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11</xdr:col>
      <xdr:colOff>9763</xdr:colOff>
      <xdr:row>159</xdr:row>
      <xdr:rowOff>29845</xdr:rowOff>
    </xdr:from>
    <xdr:to>
      <xdr:col>11</xdr:col>
      <xdr:colOff>613283</xdr:colOff>
      <xdr:row>161</xdr:row>
      <xdr:rowOff>665847</xdr:rowOff>
    </xdr:to>
    <xdr:sp macro="" textlink="">
      <xdr:nvSpPr>
        <xdr:cNvPr id="38" name="Comment 37" hidden="1">
          <a:extLst>
            <a:ext uri="{FF2B5EF4-FFF2-40B4-BE49-F238E27FC236}">
              <a16:creationId xmlns:a16="http://schemas.microsoft.com/office/drawing/2014/main" xmlns="" id="{00000000-0008-0000-2400-000026000000}"/>
            </a:ext>
          </a:extLst>
        </xdr:cNvPr>
        <xdr:cNvSpPr txBox="1"/>
      </xdr:nvSpPr>
      <xdr:spPr>
        <a:xfrm>
          <a:off x="9198483" y="33162875"/>
          <a:ext cx="603520" cy="123417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162</xdr:row>
      <xdr:rowOff>32385</xdr:rowOff>
    </xdr:from>
    <xdr:to>
      <xdr:col>1</xdr:col>
      <xdr:colOff>1678796</xdr:colOff>
      <xdr:row>171</xdr:row>
      <xdr:rowOff>38735</xdr:rowOff>
    </xdr:to>
    <xdr:sp macro="" textlink="">
      <xdr:nvSpPr>
        <xdr:cNvPr id="39" name="Comment 38" hidden="1">
          <a:extLst>
            <a:ext uri="{FF2B5EF4-FFF2-40B4-BE49-F238E27FC236}">
              <a16:creationId xmlns:a16="http://schemas.microsoft.com/office/drawing/2014/main" xmlns="" id="{00000000-0008-0000-2400-000027000000}"/>
            </a:ext>
          </a:extLst>
        </xdr:cNvPr>
        <xdr:cNvSpPr txBox="1"/>
      </xdr:nvSpPr>
      <xdr:spPr>
        <a:xfrm>
          <a:off x="763170" y="34681795"/>
          <a:ext cx="1499267" cy="174879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165</xdr:row>
      <xdr:rowOff>212725</xdr:rowOff>
    </xdr:from>
    <xdr:to>
      <xdr:col>1</xdr:col>
      <xdr:colOff>782540</xdr:colOff>
      <xdr:row>179</xdr:row>
      <xdr:rowOff>90875</xdr:rowOff>
    </xdr:to>
    <xdr:sp macro="" textlink="">
      <xdr:nvSpPr>
        <xdr:cNvPr id="40" name="Comment 39" hidden="1">
          <a:extLst>
            <a:ext uri="{FF2B5EF4-FFF2-40B4-BE49-F238E27FC236}">
              <a16:creationId xmlns:a16="http://schemas.microsoft.com/office/drawing/2014/main" xmlns="" id="{00000000-0008-0000-2400-000028000000}"/>
            </a:ext>
          </a:extLst>
        </xdr:cNvPr>
        <xdr:cNvSpPr txBox="1"/>
      </xdr:nvSpPr>
      <xdr:spPr>
        <a:xfrm>
          <a:off x="763170" y="35441255"/>
          <a:ext cx="603011" cy="237878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11</xdr:col>
      <xdr:colOff>9763</xdr:colOff>
      <xdr:row>165</xdr:row>
      <xdr:rowOff>212725</xdr:rowOff>
    </xdr:from>
    <xdr:to>
      <xdr:col>11</xdr:col>
      <xdr:colOff>613283</xdr:colOff>
      <xdr:row>179</xdr:row>
      <xdr:rowOff>90875</xdr:rowOff>
    </xdr:to>
    <xdr:sp macro="" textlink="">
      <xdr:nvSpPr>
        <xdr:cNvPr id="41" name="Comment 40" hidden="1">
          <a:extLst>
            <a:ext uri="{FF2B5EF4-FFF2-40B4-BE49-F238E27FC236}">
              <a16:creationId xmlns:a16="http://schemas.microsoft.com/office/drawing/2014/main" xmlns="" id="{00000000-0008-0000-2400-000029000000}"/>
            </a:ext>
          </a:extLst>
        </xdr:cNvPr>
        <xdr:cNvSpPr txBox="1"/>
      </xdr:nvSpPr>
      <xdr:spPr>
        <a:xfrm>
          <a:off x="9198483" y="35441255"/>
          <a:ext cx="603520" cy="237878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173</xdr:row>
      <xdr:rowOff>183515</xdr:rowOff>
    </xdr:from>
    <xdr:to>
      <xdr:col>1</xdr:col>
      <xdr:colOff>1678796</xdr:colOff>
      <xdr:row>191</xdr:row>
      <xdr:rowOff>16753</xdr:rowOff>
    </xdr:to>
    <xdr:sp macro="" textlink="">
      <xdr:nvSpPr>
        <xdr:cNvPr id="42" name="Comment 41" hidden="1">
          <a:extLst>
            <a:ext uri="{FF2B5EF4-FFF2-40B4-BE49-F238E27FC236}">
              <a16:creationId xmlns:a16="http://schemas.microsoft.com/office/drawing/2014/main" xmlns="" id="{00000000-0008-0000-2400-00002A000000}"/>
            </a:ext>
          </a:extLst>
        </xdr:cNvPr>
        <xdr:cNvSpPr txBox="1"/>
      </xdr:nvSpPr>
      <xdr:spPr>
        <a:xfrm>
          <a:off x="763170" y="36960175"/>
          <a:ext cx="1499267" cy="2690738"/>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178</xdr:row>
      <xdr:rowOff>180975</xdr:rowOff>
    </xdr:from>
    <xdr:to>
      <xdr:col>1</xdr:col>
      <xdr:colOff>782540</xdr:colOff>
      <xdr:row>203</xdr:row>
      <xdr:rowOff>147705</xdr:rowOff>
    </xdr:to>
    <xdr:sp macro="" textlink="">
      <xdr:nvSpPr>
        <xdr:cNvPr id="43" name="Comment 42" hidden="1">
          <a:extLst>
            <a:ext uri="{FF2B5EF4-FFF2-40B4-BE49-F238E27FC236}">
              <a16:creationId xmlns:a16="http://schemas.microsoft.com/office/drawing/2014/main" xmlns="" id="{00000000-0008-0000-2400-00002B000000}"/>
            </a:ext>
          </a:extLst>
        </xdr:cNvPr>
        <xdr:cNvSpPr txBox="1"/>
      </xdr:nvSpPr>
      <xdr:spPr>
        <a:xfrm>
          <a:off x="763170" y="37719635"/>
          <a:ext cx="603011" cy="398247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11</xdr:col>
      <xdr:colOff>9763</xdr:colOff>
      <xdr:row>178</xdr:row>
      <xdr:rowOff>180975</xdr:rowOff>
    </xdr:from>
    <xdr:to>
      <xdr:col>11</xdr:col>
      <xdr:colOff>613283</xdr:colOff>
      <xdr:row>203</xdr:row>
      <xdr:rowOff>147705</xdr:rowOff>
    </xdr:to>
    <xdr:sp macro="" textlink="">
      <xdr:nvSpPr>
        <xdr:cNvPr id="44" name="Comment 43" hidden="1">
          <a:extLst>
            <a:ext uri="{FF2B5EF4-FFF2-40B4-BE49-F238E27FC236}">
              <a16:creationId xmlns:a16="http://schemas.microsoft.com/office/drawing/2014/main" xmlns="" id="{00000000-0008-0000-2400-00002C000000}"/>
            </a:ext>
          </a:extLst>
        </xdr:cNvPr>
        <xdr:cNvSpPr txBox="1"/>
      </xdr:nvSpPr>
      <xdr:spPr>
        <a:xfrm>
          <a:off x="9198483" y="37719635"/>
          <a:ext cx="603520" cy="398247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188</xdr:row>
      <xdr:rowOff>175895</xdr:rowOff>
    </xdr:from>
    <xdr:to>
      <xdr:col>1</xdr:col>
      <xdr:colOff>1678796</xdr:colOff>
      <xdr:row>201</xdr:row>
      <xdr:rowOff>113016</xdr:rowOff>
    </xdr:to>
    <xdr:sp macro="" textlink="">
      <xdr:nvSpPr>
        <xdr:cNvPr id="45" name="Comment 44" hidden="1">
          <a:extLst>
            <a:ext uri="{FF2B5EF4-FFF2-40B4-BE49-F238E27FC236}">
              <a16:creationId xmlns:a16="http://schemas.microsoft.com/office/drawing/2014/main" xmlns="" id="{00000000-0008-0000-2400-00002D000000}"/>
            </a:ext>
          </a:extLst>
        </xdr:cNvPr>
        <xdr:cNvSpPr txBox="1"/>
      </xdr:nvSpPr>
      <xdr:spPr>
        <a:xfrm>
          <a:off x="763170" y="39238555"/>
          <a:ext cx="1499267" cy="204405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192</xdr:row>
      <xdr:rowOff>173355</xdr:rowOff>
    </xdr:from>
    <xdr:to>
      <xdr:col>1</xdr:col>
      <xdr:colOff>782540</xdr:colOff>
      <xdr:row>197</xdr:row>
      <xdr:rowOff>94462</xdr:rowOff>
    </xdr:to>
    <xdr:sp macro="" textlink="">
      <xdr:nvSpPr>
        <xdr:cNvPr id="46" name="Comment 45" hidden="1">
          <a:extLst>
            <a:ext uri="{FF2B5EF4-FFF2-40B4-BE49-F238E27FC236}">
              <a16:creationId xmlns:a16="http://schemas.microsoft.com/office/drawing/2014/main" xmlns="" id="{00000000-0008-0000-2400-00002E000000}"/>
            </a:ext>
          </a:extLst>
        </xdr:cNvPr>
        <xdr:cNvSpPr txBox="1"/>
      </xdr:nvSpPr>
      <xdr:spPr>
        <a:xfrm>
          <a:off x="763170" y="39998015"/>
          <a:ext cx="603011" cy="68691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3</xdr:col>
      <xdr:colOff>642112</xdr:colOff>
      <xdr:row>192</xdr:row>
      <xdr:rowOff>173355</xdr:rowOff>
    </xdr:from>
    <xdr:to>
      <xdr:col>4</xdr:col>
      <xdr:colOff>589820</xdr:colOff>
      <xdr:row>197</xdr:row>
      <xdr:rowOff>94462</xdr:rowOff>
    </xdr:to>
    <xdr:sp macro="" textlink="">
      <xdr:nvSpPr>
        <xdr:cNvPr id="47" name="Comment 46" hidden="1">
          <a:extLst>
            <a:ext uri="{FF2B5EF4-FFF2-40B4-BE49-F238E27FC236}">
              <a16:creationId xmlns:a16="http://schemas.microsoft.com/office/drawing/2014/main" xmlns="" id="{00000000-0008-0000-2400-00002F000000}"/>
            </a:ext>
          </a:extLst>
        </xdr:cNvPr>
        <xdr:cNvSpPr txBox="1"/>
      </xdr:nvSpPr>
      <xdr:spPr>
        <a:xfrm>
          <a:off x="4007521" y="39998015"/>
          <a:ext cx="614523" cy="68691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202</xdr:row>
      <xdr:rowOff>156845</xdr:rowOff>
    </xdr:from>
    <xdr:to>
      <xdr:col>1</xdr:col>
      <xdr:colOff>1678796</xdr:colOff>
      <xdr:row>208</xdr:row>
      <xdr:rowOff>33139</xdr:rowOff>
    </xdr:to>
    <xdr:sp macro="" textlink="">
      <xdr:nvSpPr>
        <xdr:cNvPr id="48" name="Comment 47" hidden="1">
          <a:extLst>
            <a:ext uri="{FF2B5EF4-FFF2-40B4-BE49-F238E27FC236}">
              <a16:creationId xmlns:a16="http://schemas.microsoft.com/office/drawing/2014/main" xmlns="" id="{00000000-0008-0000-2400-000030000000}"/>
            </a:ext>
          </a:extLst>
        </xdr:cNvPr>
        <xdr:cNvSpPr txBox="1"/>
      </xdr:nvSpPr>
      <xdr:spPr>
        <a:xfrm>
          <a:off x="763170" y="41516935"/>
          <a:ext cx="1499267" cy="84403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206</xdr:row>
      <xdr:rowOff>139065</xdr:rowOff>
    </xdr:from>
    <xdr:to>
      <xdr:col>1</xdr:col>
      <xdr:colOff>782540</xdr:colOff>
      <xdr:row>222</xdr:row>
      <xdr:rowOff>96143</xdr:rowOff>
    </xdr:to>
    <xdr:sp macro="" textlink="">
      <xdr:nvSpPr>
        <xdr:cNvPr id="49" name="Comment 48" hidden="1">
          <a:extLst>
            <a:ext uri="{FF2B5EF4-FFF2-40B4-BE49-F238E27FC236}">
              <a16:creationId xmlns:a16="http://schemas.microsoft.com/office/drawing/2014/main" xmlns="" id="{00000000-0008-0000-2400-000031000000}"/>
            </a:ext>
          </a:extLst>
        </xdr:cNvPr>
        <xdr:cNvSpPr txBox="1"/>
      </xdr:nvSpPr>
      <xdr:spPr>
        <a:xfrm>
          <a:off x="763170" y="42276395"/>
          <a:ext cx="603011" cy="2879348"/>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10</xdr:col>
      <xdr:colOff>69010</xdr:colOff>
      <xdr:row>206</xdr:row>
      <xdr:rowOff>139065</xdr:rowOff>
    </xdr:from>
    <xdr:to>
      <xdr:col>10</xdr:col>
      <xdr:colOff>662744</xdr:colOff>
      <xdr:row>222</xdr:row>
      <xdr:rowOff>96143</xdr:rowOff>
    </xdr:to>
    <xdr:sp macro="" textlink="">
      <xdr:nvSpPr>
        <xdr:cNvPr id="50" name="Comment 49" hidden="1">
          <a:extLst>
            <a:ext uri="{FF2B5EF4-FFF2-40B4-BE49-F238E27FC236}">
              <a16:creationId xmlns:a16="http://schemas.microsoft.com/office/drawing/2014/main" xmlns="" id="{00000000-0008-0000-2400-000032000000}"/>
            </a:ext>
          </a:extLst>
        </xdr:cNvPr>
        <xdr:cNvSpPr txBox="1"/>
      </xdr:nvSpPr>
      <xdr:spPr>
        <a:xfrm>
          <a:off x="8549613" y="42276395"/>
          <a:ext cx="593734" cy="2879348"/>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274</xdr:row>
      <xdr:rowOff>50165</xdr:rowOff>
    </xdr:from>
    <xdr:to>
      <xdr:col>1</xdr:col>
      <xdr:colOff>1678796</xdr:colOff>
      <xdr:row>277</xdr:row>
      <xdr:rowOff>179199</xdr:rowOff>
    </xdr:to>
    <xdr:sp macro="" textlink="">
      <xdr:nvSpPr>
        <xdr:cNvPr id="51" name="Comment 50" hidden="1">
          <a:extLst>
            <a:ext uri="{FF2B5EF4-FFF2-40B4-BE49-F238E27FC236}">
              <a16:creationId xmlns:a16="http://schemas.microsoft.com/office/drawing/2014/main" xmlns="" id="{00000000-0008-0000-2400-000033000000}"/>
            </a:ext>
          </a:extLst>
        </xdr:cNvPr>
        <xdr:cNvSpPr txBox="1"/>
      </xdr:nvSpPr>
      <xdr:spPr>
        <a:xfrm>
          <a:off x="763170" y="55187215"/>
          <a:ext cx="1499267" cy="71196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278</xdr:row>
      <xdr:rowOff>36195</xdr:rowOff>
    </xdr:from>
    <xdr:to>
      <xdr:col>1</xdr:col>
      <xdr:colOff>782540</xdr:colOff>
      <xdr:row>281</xdr:row>
      <xdr:rowOff>118154</xdr:rowOff>
    </xdr:to>
    <xdr:sp macro="" textlink="">
      <xdr:nvSpPr>
        <xdr:cNvPr id="52" name="Comment 51" hidden="1">
          <a:extLst>
            <a:ext uri="{FF2B5EF4-FFF2-40B4-BE49-F238E27FC236}">
              <a16:creationId xmlns:a16="http://schemas.microsoft.com/office/drawing/2014/main" xmlns="" id="{00000000-0008-0000-2400-000034000000}"/>
            </a:ext>
          </a:extLst>
        </xdr:cNvPr>
        <xdr:cNvSpPr txBox="1"/>
      </xdr:nvSpPr>
      <xdr:spPr>
        <a:xfrm>
          <a:off x="763170" y="55946675"/>
          <a:ext cx="603011" cy="66869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11</xdr:col>
      <xdr:colOff>9763</xdr:colOff>
      <xdr:row>278</xdr:row>
      <xdr:rowOff>36195</xdr:rowOff>
    </xdr:from>
    <xdr:to>
      <xdr:col>11</xdr:col>
      <xdr:colOff>613283</xdr:colOff>
      <xdr:row>281</xdr:row>
      <xdr:rowOff>118154</xdr:rowOff>
    </xdr:to>
    <xdr:sp macro="" textlink="">
      <xdr:nvSpPr>
        <xdr:cNvPr id="53" name="Comment 52" hidden="1">
          <a:extLst>
            <a:ext uri="{FF2B5EF4-FFF2-40B4-BE49-F238E27FC236}">
              <a16:creationId xmlns:a16="http://schemas.microsoft.com/office/drawing/2014/main" xmlns="" id="{00000000-0008-0000-2400-000035000000}"/>
            </a:ext>
          </a:extLst>
        </xdr:cNvPr>
        <xdr:cNvSpPr txBox="1"/>
      </xdr:nvSpPr>
      <xdr:spPr>
        <a:xfrm>
          <a:off x="9198483" y="55946675"/>
          <a:ext cx="603520" cy="66869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286</xdr:row>
      <xdr:rowOff>635</xdr:rowOff>
    </xdr:from>
    <xdr:to>
      <xdr:col>1</xdr:col>
      <xdr:colOff>1678796</xdr:colOff>
      <xdr:row>300</xdr:row>
      <xdr:rowOff>97775</xdr:rowOff>
    </xdr:to>
    <xdr:sp macro="" textlink="">
      <xdr:nvSpPr>
        <xdr:cNvPr id="54" name="Comment 53" hidden="1">
          <a:extLst>
            <a:ext uri="{FF2B5EF4-FFF2-40B4-BE49-F238E27FC236}">
              <a16:creationId xmlns:a16="http://schemas.microsoft.com/office/drawing/2014/main" xmlns="" id="{00000000-0008-0000-2400-000036000000}"/>
            </a:ext>
          </a:extLst>
        </xdr:cNvPr>
        <xdr:cNvSpPr txBox="1"/>
      </xdr:nvSpPr>
      <xdr:spPr>
        <a:xfrm>
          <a:off x="763170" y="57465595"/>
          <a:ext cx="1499267" cy="243267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289</xdr:row>
      <xdr:rowOff>173355</xdr:rowOff>
    </xdr:from>
    <xdr:to>
      <xdr:col>1</xdr:col>
      <xdr:colOff>782540</xdr:colOff>
      <xdr:row>299</xdr:row>
      <xdr:rowOff>117187</xdr:rowOff>
    </xdr:to>
    <xdr:sp macro="" textlink="">
      <xdr:nvSpPr>
        <xdr:cNvPr id="55" name="Comment 54" hidden="1">
          <a:extLst>
            <a:ext uri="{FF2B5EF4-FFF2-40B4-BE49-F238E27FC236}">
              <a16:creationId xmlns:a16="http://schemas.microsoft.com/office/drawing/2014/main" xmlns="" id="{00000000-0008-0000-2400-000037000000}"/>
            </a:ext>
          </a:extLst>
        </xdr:cNvPr>
        <xdr:cNvSpPr txBox="1"/>
      </xdr:nvSpPr>
      <xdr:spPr>
        <a:xfrm>
          <a:off x="763170" y="58225055"/>
          <a:ext cx="603011" cy="149831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11</xdr:col>
      <xdr:colOff>9763</xdr:colOff>
      <xdr:row>289</xdr:row>
      <xdr:rowOff>173355</xdr:rowOff>
    </xdr:from>
    <xdr:to>
      <xdr:col>11</xdr:col>
      <xdr:colOff>613283</xdr:colOff>
      <xdr:row>299</xdr:row>
      <xdr:rowOff>117187</xdr:rowOff>
    </xdr:to>
    <xdr:sp macro="" textlink="">
      <xdr:nvSpPr>
        <xdr:cNvPr id="56" name="Comment 55" hidden="1">
          <a:extLst>
            <a:ext uri="{FF2B5EF4-FFF2-40B4-BE49-F238E27FC236}">
              <a16:creationId xmlns:a16="http://schemas.microsoft.com/office/drawing/2014/main" xmlns="" id="{00000000-0008-0000-2400-000038000000}"/>
            </a:ext>
          </a:extLst>
        </xdr:cNvPr>
        <xdr:cNvSpPr txBox="1"/>
      </xdr:nvSpPr>
      <xdr:spPr>
        <a:xfrm>
          <a:off x="9198483" y="58225055"/>
          <a:ext cx="603520" cy="149831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299</xdr:row>
      <xdr:rowOff>137795</xdr:rowOff>
    </xdr:from>
    <xdr:to>
      <xdr:col>1</xdr:col>
      <xdr:colOff>1678796</xdr:colOff>
      <xdr:row>311</xdr:row>
      <xdr:rowOff>70242</xdr:rowOff>
    </xdr:to>
    <xdr:sp macro="" textlink="">
      <xdr:nvSpPr>
        <xdr:cNvPr id="57" name="Comment 56" hidden="1">
          <a:extLst>
            <a:ext uri="{FF2B5EF4-FFF2-40B4-BE49-F238E27FC236}">
              <a16:creationId xmlns:a16="http://schemas.microsoft.com/office/drawing/2014/main" xmlns="" id="{00000000-0008-0000-2400-000039000000}"/>
            </a:ext>
          </a:extLst>
        </xdr:cNvPr>
        <xdr:cNvSpPr txBox="1"/>
      </xdr:nvSpPr>
      <xdr:spPr>
        <a:xfrm>
          <a:off x="763170" y="59743975"/>
          <a:ext cx="1499267" cy="187554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304</xdr:row>
      <xdr:rowOff>120015</xdr:rowOff>
    </xdr:from>
    <xdr:to>
      <xdr:col>1</xdr:col>
      <xdr:colOff>782540</xdr:colOff>
      <xdr:row>313</xdr:row>
      <xdr:rowOff>139749</xdr:rowOff>
    </xdr:to>
    <xdr:sp macro="" textlink="">
      <xdr:nvSpPr>
        <xdr:cNvPr id="58" name="Comment 57" hidden="1">
          <a:extLst>
            <a:ext uri="{FF2B5EF4-FFF2-40B4-BE49-F238E27FC236}">
              <a16:creationId xmlns:a16="http://schemas.microsoft.com/office/drawing/2014/main" xmlns="" id="{00000000-0008-0000-2400-00003A000000}"/>
            </a:ext>
          </a:extLst>
        </xdr:cNvPr>
        <xdr:cNvSpPr txBox="1"/>
      </xdr:nvSpPr>
      <xdr:spPr>
        <a:xfrm>
          <a:off x="763170" y="60503435"/>
          <a:ext cx="603011" cy="157421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10</xdr:col>
      <xdr:colOff>69010</xdr:colOff>
      <xdr:row>304</xdr:row>
      <xdr:rowOff>120015</xdr:rowOff>
    </xdr:from>
    <xdr:to>
      <xdr:col>10</xdr:col>
      <xdr:colOff>662744</xdr:colOff>
      <xdr:row>313</xdr:row>
      <xdr:rowOff>139749</xdr:rowOff>
    </xdr:to>
    <xdr:sp macro="" textlink="">
      <xdr:nvSpPr>
        <xdr:cNvPr id="59" name="Comment 58" hidden="1">
          <a:extLst>
            <a:ext uri="{FF2B5EF4-FFF2-40B4-BE49-F238E27FC236}">
              <a16:creationId xmlns:a16="http://schemas.microsoft.com/office/drawing/2014/main" xmlns="" id="{00000000-0008-0000-2400-00003B000000}"/>
            </a:ext>
          </a:extLst>
        </xdr:cNvPr>
        <xdr:cNvSpPr txBox="1"/>
      </xdr:nvSpPr>
      <xdr:spPr>
        <a:xfrm>
          <a:off x="8549613" y="60503435"/>
          <a:ext cx="593734" cy="157421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313</xdr:row>
      <xdr:rowOff>84455</xdr:rowOff>
    </xdr:from>
    <xdr:to>
      <xdr:col>1</xdr:col>
      <xdr:colOff>1678796</xdr:colOff>
      <xdr:row>317</xdr:row>
      <xdr:rowOff>149731</xdr:rowOff>
    </xdr:to>
    <xdr:sp macro="" textlink="">
      <xdr:nvSpPr>
        <xdr:cNvPr id="60" name="Comment 59" hidden="1">
          <a:extLst>
            <a:ext uri="{FF2B5EF4-FFF2-40B4-BE49-F238E27FC236}">
              <a16:creationId xmlns:a16="http://schemas.microsoft.com/office/drawing/2014/main" xmlns="" id="{00000000-0008-0000-2400-00003C000000}"/>
            </a:ext>
          </a:extLst>
        </xdr:cNvPr>
        <xdr:cNvSpPr txBox="1"/>
      </xdr:nvSpPr>
      <xdr:spPr>
        <a:xfrm>
          <a:off x="763170" y="62022355"/>
          <a:ext cx="1499267" cy="648206"/>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318</xdr:row>
      <xdr:rowOff>51435</xdr:rowOff>
    </xdr:from>
    <xdr:to>
      <xdr:col>1</xdr:col>
      <xdr:colOff>792866</xdr:colOff>
      <xdr:row>318</xdr:row>
      <xdr:rowOff>181228</xdr:rowOff>
    </xdr:to>
    <xdr:sp macro="" textlink="">
      <xdr:nvSpPr>
        <xdr:cNvPr id="61" name="Comment 60" hidden="1">
          <a:extLst>
            <a:ext uri="{FF2B5EF4-FFF2-40B4-BE49-F238E27FC236}">
              <a16:creationId xmlns:a16="http://schemas.microsoft.com/office/drawing/2014/main" xmlns="" id="{00000000-0008-0000-2400-00003D000000}"/>
            </a:ext>
          </a:extLst>
        </xdr:cNvPr>
        <xdr:cNvSpPr txBox="1"/>
      </xdr:nvSpPr>
      <xdr:spPr>
        <a:xfrm>
          <a:off x="763170" y="62781815"/>
          <a:ext cx="613337" cy="129793"/>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10</xdr:col>
      <xdr:colOff>69010</xdr:colOff>
      <xdr:row>318</xdr:row>
      <xdr:rowOff>51435</xdr:rowOff>
    </xdr:from>
    <xdr:to>
      <xdr:col>10</xdr:col>
      <xdr:colOff>662744</xdr:colOff>
      <xdr:row>318</xdr:row>
      <xdr:rowOff>181228</xdr:rowOff>
    </xdr:to>
    <xdr:sp macro="" textlink="">
      <xdr:nvSpPr>
        <xdr:cNvPr id="62" name="Comment 61" hidden="1">
          <a:extLst>
            <a:ext uri="{FF2B5EF4-FFF2-40B4-BE49-F238E27FC236}">
              <a16:creationId xmlns:a16="http://schemas.microsoft.com/office/drawing/2014/main" xmlns="" id="{00000000-0008-0000-2400-00003E000000}"/>
            </a:ext>
          </a:extLst>
        </xdr:cNvPr>
        <xdr:cNvSpPr txBox="1"/>
      </xdr:nvSpPr>
      <xdr:spPr>
        <a:xfrm>
          <a:off x="8549613" y="62781815"/>
          <a:ext cx="593734" cy="129793"/>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320</xdr:row>
      <xdr:rowOff>1353185</xdr:rowOff>
    </xdr:from>
    <xdr:to>
      <xdr:col>1</xdr:col>
      <xdr:colOff>1678796</xdr:colOff>
      <xdr:row>324</xdr:row>
      <xdr:rowOff>52164</xdr:rowOff>
    </xdr:to>
    <xdr:sp macro="" textlink="">
      <xdr:nvSpPr>
        <xdr:cNvPr id="63" name="Comment 62" hidden="1">
          <a:extLst>
            <a:ext uri="{FF2B5EF4-FFF2-40B4-BE49-F238E27FC236}">
              <a16:creationId xmlns:a16="http://schemas.microsoft.com/office/drawing/2014/main" xmlns="" id="{00000000-0008-0000-2400-00003F000000}"/>
            </a:ext>
          </a:extLst>
        </xdr:cNvPr>
        <xdr:cNvSpPr txBox="1"/>
      </xdr:nvSpPr>
      <xdr:spPr>
        <a:xfrm>
          <a:off x="763170" y="64300735"/>
          <a:ext cx="1499267" cy="215845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320</xdr:row>
      <xdr:rowOff>2097405</xdr:rowOff>
    </xdr:from>
    <xdr:to>
      <xdr:col>1</xdr:col>
      <xdr:colOff>784605</xdr:colOff>
      <xdr:row>320</xdr:row>
      <xdr:rowOff>2097405</xdr:rowOff>
    </xdr:to>
    <xdr:sp macro="" textlink="">
      <xdr:nvSpPr>
        <xdr:cNvPr id="64" name="Comment 63" hidden="1">
          <a:extLst>
            <a:ext uri="{FF2B5EF4-FFF2-40B4-BE49-F238E27FC236}">
              <a16:creationId xmlns:a16="http://schemas.microsoft.com/office/drawing/2014/main" xmlns="" id="{00000000-0008-0000-2400-000040000000}"/>
            </a:ext>
          </a:extLst>
        </xdr:cNvPr>
        <xdr:cNvSpPr txBox="1"/>
      </xdr:nvSpPr>
      <xdr:spPr>
        <a:xfrm>
          <a:off x="763170" y="65060195"/>
          <a:ext cx="605076" cy="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6</xdr:col>
      <xdr:colOff>588277</xdr:colOff>
      <xdr:row>320</xdr:row>
      <xdr:rowOff>2097405</xdr:rowOff>
    </xdr:from>
    <xdr:to>
      <xdr:col>7</xdr:col>
      <xdr:colOff>452892</xdr:colOff>
      <xdr:row>320</xdr:row>
      <xdr:rowOff>2097405</xdr:rowOff>
    </xdr:to>
    <xdr:sp macro="" textlink="">
      <xdr:nvSpPr>
        <xdr:cNvPr id="65" name="Comment 64" hidden="1">
          <a:extLst>
            <a:ext uri="{FF2B5EF4-FFF2-40B4-BE49-F238E27FC236}">
              <a16:creationId xmlns:a16="http://schemas.microsoft.com/office/drawing/2014/main" xmlns="" id="{00000000-0008-0000-2400-000041000000}"/>
            </a:ext>
          </a:extLst>
        </xdr:cNvPr>
        <xdr:cNvSpPr txBox="1"/>
      </xdr:nvSpPr>
      <xdr:spPr>
        <a:xfrm>
          <a:off x="5954132" y="65060195"/>
          <a:ext cx="604350" cy="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320</xdr:row>
      <xdr:rowOff>2841625</xdr:rowOff>
    </xdr:from>
    <xdr:to>
      <xdr:col>1</xdr:col>
      <xdr:colOff>1678796</xdr:colOff>
      <xdr:row>337</xdr:row>
      <xdr:rowOff>36696</xdr:rowOff>
    </xdr:to>
    <xdr:sp macro="" textlink="">
      <xdr:nvSpPr>
        <xdr:cNvPr id="66" name="Comment 65" hidden="1">
          <a:extLst>
            <a:ext uri="{FF2B5EF4-FFF2-40B4-BE49-F238E27FC236}">
              <a16:creationId xmlns:a16="http://schemas.microsoft.com/office/drawing/2014/main" xmlns="" id="{00000000-0008-0000-2400-000042000000}"/>
            </a:ext>
          </a:extLst>
        </xdr:cNvPr>
        <xdr:cNvSpPr txBox="1"/>
      </xdr:nvSpPr>
      <xdr:spPr>
        <a:xfrm>
          <a:off x="763170" y="65819655"/>
          <a:ext cx="1499267" cy="275767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324</xdr:row>
      <xdr:rowOff>172085</xdr:rowOff>
    </xdr:from>
    <xdr:to>
      <xdr:col>1</xdr:col>
      <xdr:colOff>782540</xdr:colOff>
      <xdr:row>345</xdr:row>
      <xdr:rowOff>55747</xdr:rowOff>
    </xdr:to>
    <xdr:sp macro="" textlink="">
      <xdr:nvSpPr>
        <xdr:cNvPr id="67" name="Comment 66" hidden="1">
          <a:extLst>
            <a:ext uri="{FF2B5EF4-FFF2-40B4-BE49-F238E27FC236}">
              <a16:creationId xmlns:a16="http://schemas.microsoft.com/office/drawing/2014/main" xmlns="" id="{00000000-0008-0000-2400-000043000000}"/>
            </a:ext>
          </a:extLst>
        </xdr:cNvPr>
        <xdr:cNvSpPr txBox="1"/>
      </xdr:nvSpPr>
      <xdr:spPr>
        <a:xfrm>
          <a:off x="763170" y="66579115"/>
          <a:ext cx="603011" cy="316534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7</xdr:col>
      <xdr:colOff>497413</xdr:colOff>
      <xdr:row>324</xdr:row>
      <xdr:rowOff>172085</xdr:rowOff>
    </xdr:from>
    <xdr:to>
      <xdr:col>8</xdr:col>
      <xdr:colOff>413550</xdr:colOff>
      <xdr:row>345</xdr:row>
      <xdr:rowOff>55747</xdr:rowOff>
    </xdr:to>
    <xdr:sp macro="" textlink="">
      <xdr:nvSpPr>
        <xdr:cNvPr id="68" name="Comment 67" hidden="1">
          <a:extLst>
            <a:ext uri="{FF2B5EF4-FFF2-40B4-BE49-F238E27FC236}">
              <a16:creationId xmlns:a16="http://schemas.microsoft.com/office/drawing/2014/main" xmlns="" id="{00000000-0008-0000-2400-000044000000}"/>
            </a:ext>
          </a:extLst>
        </xdr:cNvPr>
        <xdr:cNvSpPr txBox="1"/>
      </xdr:nvSpPr>
      <xdr:spPr>
        <a:xfrm>
          <a:off x="6603002" y="66579115"/>
          <a:ext cx="582952" cy="316534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334</xdr:row>
      <xdr:rowOff>136525</xdr:rowOff>
    </xdr:from>
    <xdr:to>
      <xdr:col>1</xdr:col>
      <xdr:colOff>1678796</xdr:colOff>
      <xdr:row>370</xdr:row>
      <xdr:rowOff>152549</xdr:rowOff>
    </xdr:to>
    <xdr:sp macro="" textlink="">
      <xdr:nvSpPr>
        <xdr:cNvPr id="69" name="Comment 68" hidden="1">
          <a:extLst>
            <a:ext uri="{FF2B5EF4-FFF2-40B4-BE49-F238E27FC236}">
              <a16:creationId xmlns:a16="http://schemas.microsoft.com/office/drawing/2014/main" xmlns="" id="{00000000-0008-0000-2400-000045000000}"/>
            </a:ext>
          </a:extLst>
        </xdr:cNvPr>
        <xdr:cNvSpPr txBox="1"/>
      </xdr:nvSpPr>
      <xdr:spPr>
        <a:xfrm>
          <a:off x="763170" y="68098035"/>
          <a:ext cx="1499267" cy="581230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338</xdr:row>
      <xdr:rowOff>121285</xdr:rowOff>
    </xdr:from>
    <xdr:to>
      <xdr:col>1</xdr:col>
      <xdr:colOff>782540</xdr:colOff>
      <xdr:row>368</xdr:row>
      <xdr:rowOff>6806</xdr:rowOff>
    </xdr:to>
    <xdr:sp macro="" textlink="">
      <xdr:nvSpPr>
        <xdr:cNvPr id="70" name="Comment 69" hidden="1">
          <a:extLst>
            <a:ext uri="{FF2B5EF4-FFF2-40B4-BE49-F238E27FC236}">
              <a16:creationId xmlns:a16="http://schemas.microsoft.com/office/drawing/2014/main" xmlns="" id="{00000000-0008-0000-2400-000046000000}"/>
            </a:ext>
          </a:extLst>
        </xdr:cNvPr>
        <xdr:cNvSpPr txBox="1"/>
      </xdr:nvSpPr>
      <xdr:spPr>
        <a:xfrm>
          <a:off x="763170" y="68857495"/>
          <a:ext cx="603011" cy="451848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7</xdr:col>
      <xdr:colOff>497413</xdr:colOff>
      <xdr:row>338</xdr:row>
      <xdr:rowOff>121285</xdr:rowOff>
    </xdr:from>
    <xdr:to>
      <xdr:col>8</xdr:col>
      <xdr:colOff>413550</xdr:colOff>
      <xdr:row>368</xdr:row>
      <xdr:rowOff>6806</xdr:rowOff>
    </xdr:to>
    <xdr:sp macro="" textlink="">
      <xdr:nvSpPr>
        <xdr:cNvPr id="71" name="Comment 70" hidden="1">
          <a:extLst>
            <a:ext uri="{FF2B5EF4-FFF2-40B4-BE49-F238E27FC236}">
              <a16:creationId xmlns:a16="http://schemas.microsoft.com/office/drawing/2014/main" xmlns="" id="{00000000-0008-0000-2400-000047000000}"/>
            </a:ext>
          </a:extLst>
        </xdr:cNvPr>
        <xdr:cNvSpPr txBox="1"/>
      </xdr:nvSpPr>
      <xdr:spPr>
        <a:xfrm>
          <a:off x="6603002" y="68857495"/>
          <a:ext cx="582952" cy="451848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349</xdr:row>
      <xdr:rowOff>116205</xdr:rowOff>
    </xdr:from>
    <xdr:to>
      <xdr:col>1</xdr:col>
      <xdr:colOff>1678796</xdr:colOff>
      <xdr:row>362</xdr:row>
      <xdr:rowOff>8364</xdr:rowOff>
    </xdr:to>
    <xdr:sp macro="" textlink="">
      <xdr:nvSpPr>
        <xdr:cNvPr id="72" name="Comment 71" hidden="1">
          <a:extLst>
            <a:ext uri="{FF2B5EF4-FFF2-40B4-BE49-F238E27FC236}">
              <a16:creationId xmlns:a16="http://schemas.microsoft.com/office/drawing/2014/main" xmlns="" id="{00000000-0008-0000-2400-000048000000}"/>
            </a:ext>
          </a:extLst>
        </xdr:cNvPr>
        <xdr:cNvSpPr txBox="1"/>
      </xdr:nvSpPr>
      <xdr:spPr>
        <a:xfrm>
          <a:off x="763170" y="70376415"/>
          <a:ext cx="1499267" cy="201432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354</xdr:row>
      <xdr:rowOff>98425</xdr:rowOff>
    </xdr:from>
    <xdr:to>
      <xdr:col>1</xdr:col>
      <xdr:colOff>782540</xdr:colOff>
      <xdr:row>357</xdr:row>
      <xdr:rowOff>109840</xdr:rowOff>
    </xdr:to>
    <xdr:sp macro="" textlink="">
      <xdr:nvSpPr>
        <xdr:cNvPr id="73" name="Comment 72" hidden="1">
          <a:extLst>
            <a:ext uri="{FF2B5EF4-FFF2-40B4-BE49-F238E27FC236}">
              <a16:creationId xmlns:a16="http://schemas.microsoft.com/office/drawing/2014/main" xmlns="" id="{00000000-0008-0000-2400-000049000000}"/>
            </a:ext>
          </a:extLst>
        </xdr:cNvPr>
        <xdr:cNvSpPr txBox="1"/>
      </xdr:nvSpPr>
      <xdr:spPr>
        <a:xfrm>
          <a:off x="763170" y="71135875"/>
          <a:ext cx="603011" cy="582915"/>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10</xdr:col>
      <xdr:colOff>69010</xdr:colOff>
      <xdr:row>354</xdr:row>
      <xdr:rowOff>98425</xdr:rowOff>
    </xdr:from>
    <xdr:to>
      <xdr:col>10</xdr:col>
      <xdr:colOff>662744</xdr:colOff>
      <xdr:row>357</xdr:row>
      <xdr:rowOff>109840</xdr:rowOff>
    </xdr:to>
    <xdr:sp macro="" textlink="">
      <xdr:nvSpPr>
        <xdr:cNvPr id="74" name="Comment 73" hidden="1">
          <a:extLst>
            <a:ext uri="{FF2B5EF4-FFF2-40B4-BE49-F238E27FC236}">
              <a16:creationId xmlns:a16="http://schemas.microsoft.com/office/drawing/2014/main" xmlns="" id="{00000000-0008-0000-2400-00004A000000}"/>
            </a:ext>
          </a:extLst>
        </xdr:cNvPr>
        <xdr:cNvSpPr txBox="1"/>
      </xdr:nvSpPr>
      <xdr:spPr>
        <a:xfrm>
          <a:off x="8549613" y="71135875"/>
          <a:ext cx="593734" cy="582915"/>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364</xdr:row>
      <xdr:rowOff>74295</xdr:rowOff>
    </xdr:from>
    <xdr:to>
      <xdr:col>1</xdr:col>
      <xdr:colOff>1678796</xdr:colOff>
      <xdr:row>369</xdr:row>
      <xdr:rowOff>169129</xdr:rowOff>
    </xdr:to>
    <xdr:sp macro="" textlink="">
      <xdr:nvSpPr>
        <xdr:cNvPr id="75" name="Comment 74" hidden="1">
          <a:extLst>
            <a:ext uri="{FF2B5EF4-FFF2-40B4-BE49-F238E27FC236}">
              <a16:creationId xmlns:a16="http://schemas.microsoft.com/office/drawing/2014/main" xmlns="" id="{00000000-0008-0000-2400-00004B000000}"/>
            </a:ext>
          </a:extLst>
        </xdr:cNvPr>
        <xdr:cNvSpPr txBox="1"/>
      </xdr:nvSpPr>
      <xdr:spPr>
        <a:xfrm>
          <a:off x="763170" y="72654795"/>
          <a:ext cx="1499267" cy="107781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368</xdr:row>
      <xdr:rowOff>41275</xdr:rowOff>
    </xdr:from>
    <xdr:to>
      <xdr:col>1</xdr:col>
      <xdr:colOff>782540</xdr:colOff>
      <xdr:row>370</xdr:row>
      <xdr:rowOff>54952</xdr:rowOff>
    </xdr:to>
    <xdr:sp macro="" textlink="">
      <xdr:nvSpPr>
        <xdr:cNvPr id="76" name="Comment 75" hidden="1">
          <a:extLst>
            <a:ext uri="{FF2B5EF4-FFF2-40B4-BE49-F238E27FC236}">
              <a16:creationId xmlns:a16="http://schemas.microsoft.com/office/drawing/2014/main" xmlns="" id="{00000000-0008-0000-2400-00004C000000}"/>
            </a:ext>
          </a:extLst>
        </xdr:cNvPr>
        <xdr:cNvSpPr txBox="1"/>
      </xdr:nvSpPr>
      <xdr:spPr>
        <a:xfrm>
          <a:off x="763170" y="73414255"/>
          <a:ext cx="603011" cy="39848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10</xdr:col>
      <xdr:colOff>69010</xdr:colOff>
      <xdr:row>368</xdr:row>
      <xdr:rowOff>41275</xdr:rowOff>
    </xdr:from>
    <xdr:to>
      <xdr:col>10</xdr:col>
      <xdr:colOff>662744</xdr:colOff>
      <xdr:row>370</xdr:row>
      <xdr:rowOff>54952</xdr:rowOff>
    </xdr:to>
    <xdr:sp macro="" textlink="">
      <xdr:nvSpPr>
        <xdr:cNvPr id="77" name="Comment 76" hidden="1">
          <a:extLst>
            <a:ext uri="{FF2B5EF4-FFF2-40B4-BE49-F238E27FC236}">
              <a16:creationId xmlns:a16="http://schemas.microsoft.com/office/drawing/2014/main" xmlns="" id="{00000000-0008-0000-2400-00004D000000}"/>
            </a:ext>
          </a:extLst>
        </xdr:cNvPr>
        <xdr:cNvSpPr txBox="1"/>
      </xdr:nvSpPr>
      <xdr:spPr>
        <a:xfrm>
          <a:off x="8549613" y="73414255"/>
          <a:ext cx="593734" cy="398487"/>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377</xdr:row>
      <xdr:rowOff>188595</xdr:rowOff>
    </xdr:from>
    <xdr:to>
      <xdr:col>1</xdr:col>
      <xdr:colOff>1678796</xdr:colOff>
      <xdr:row>381</xdr:row>
      <xdr:rowOff>148754</xdr:rowOff>
    </xdr:to>
    <xdr:sp macro="" textlink="">
      <xdr:nvSpPr>
        <xdr:cNvPr id="78" name="Comment 77" hidden="1">
          <a:extLst>
            <a:ext uri="{FF2B5EF4-FFF2-40B4-BE49-F238E27FC236}">
              <a16:creationId xmlns:a16="http://schemas.microsoft.com/office/drawing/2014/main" xmlns="" id="{00000000-0008-0000-2400-00004E000000}"/>
            </a:ext>
          </a:extLst>
        </xdr:cNvPr>
        <xdr:cNvSpPr txBox="1"/>
      </xdr:nvSpPr>
      <xdr:spPr>
        <a:xfrm>
          <a:off x="763170" y="74933175"/>
          <a:ext cx="1499267" cy="733589"/>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381</xdr:row>
      <xdr:rowOff>174625</xdr:rowOff>
    </xdr:from>
    <xdr:to>
      <xdr:col>1</xdr:col>
      <xdr:colOff>782540</xdr:colOff>
      <xdr:row>393</xdr:row>
      <xdr:rowOff>88469</xdr:rowOff>
    </xdr:to>
    <xdr:sp macro="" textlink="">
      <xdr:nvSpPr>
        <xdr:cNvPr id="79" name="Comment 78" hidden="1">
          <a:extLst>
            <a:ext uri="{FF2B5EF4-FFF2-40B4-BE49-F238E27FC236}">
              <a16:creationId xmlns:a16="http://schemas.microsoft.com/office/drawing/2014/main" xmlns="" id="{00000000-0008-0000-2400-00004F000000}"/>
            </a:ext>
          </a:extLst>
        </xdr:cNvPr>
        <xdr:cNvSpPr txBox="1"/>
      </xdr:nvSpPr>
      <xdr:spPr>
        <a:xfrm>
          <a:off x="763170" y="75692635"/>
          <a:ext cx="603011" cy="187218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4</xdr:col>
      <xdr:colOff>624167</xdr:colOff>
      <xdr:row>381</xdr:row>
      <xdr:rowOff>174625</xdr:rowOff>
    </xdr:from>
    <xdr:to>
      <xdr:col>5</xdr:col>
      <xdr:colOff>581939</xdr:colOff>
      <xdr:row>393</xdr:row>
      <xdr:rowOff>88469</xdr:rowOff>
    </xdr:to>
    <xdr:sp macro="" textlink="">
      <xdr:nvSpPr>
        <xdr:cNvPr id="80" name="Comment 79" hidden="1">
          <a:extLst>
            <a:ext uri="{FF2B5EF4-FFF2-40B4-BE49-F238E27FC236}">
              <a16:creationId xmlns:a16="http://schemas.microsoft.com/office/drawing/2014/main" xmlns="" id="{00000000-0008-0000-2400-000050000000}"/>
            </a:ext>
          </a:extLst>
        </xdr:cNvPr>
        <xdr:cNvSpPr txBox="1"/>
      </xdr:nvSpPr>
      <xdr:spPr>
        <a:xfrm>
          <a:off x="4656392" y="75692635"/>
          <a:ext cx="624587" cy="1872184"/>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386</xdr:row>
      <xdr:rowOff>156845</xdr:rowOff>
    </xdr:from>
    <xdr:to>
      <xdr:col>1</xdr:col>
      <xdr:colOff>1678796</xdr:colOff>
      <xdr:row>400</xdr:row>
      <xdr:rowOff>417160</xdr:rowOff>
    </xdr:to>
    <xdr:sp macro="" textlink="">
      <xdr:nvSpPr>
        <xdr:cNvPr id="81" name="Comment 80" hidden="1">
          <a:extLst>
            <a:ext uri="{FF2B5EF4-FFF2-40B4-BE49-F238E27FC236}">
              <a16:creationId xmlns:a16="http://schemas.microsoft.com/office/drawing/2014/main" xmlns="" id="{00000000-0008-0000-2400-000051000000}"/>
            </a:ext>
          </a:extLst>
        </xdr:cNvPr>
        <xdr:cNvSpPr txBox="1"/>
      </xdr:nvSpPr>
      <xdr:spPr>
        <a:xfrm>
          <a:off x="763170" y="76452095"/>
          <a:ext cx="1499267" cy="2420585"/>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twoCellAnchor editAs="absolute">
    <xdr:from>
      <xdr:col>1</xdr:col>
      <xdr:colOff>179529</xdr:colOff>
      <xdr:row>394</xdr:row>
      <xdr:rowOff>110490</xdr:rowOff>
    </xdr:from>
    <xdr:to>
      <xdr:col>1</xdr:col>
      <xdr:colOff>782540</xdr:colOff>
      <xdr:row>405</xdr:row>
      <xdr:rowOff>162550</xdr:rowOff>
    </xdr:to>
    <xdr:sp macro="" textlink="">
      <xdr:nvSpPr>
        <xdr:cNvPr id="82" name="Comment 81" hidden="1">
          <a:extLst>
            <a:ext uri="{FF2B5EF4-FFF2-40B4-BE49-F238E27FC236}">
              <a16:creationId xmlns:a16="http://schemas.microsoft.com/office/drawing/2014/main" xmlns="" id="{00000000-0008-0000-2400-000052000000}"/>
            </a:ext>
          </a:extLst>
        </xdr:cNvPr>
        <xdr:cNvSpPr txBox="1"/>
      </xdr:nvSpPr>
      <xdr:spPr>
        <a:xfrm>
          <a:off x="763170" y="77781150"/>
          <a:ext cx="603011" cy="228472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5</xdr:col>
      <xdr:colOff>606222</xdr:colOff>
      <xdr:row>394</xdr:row>
      <xdr:rowOff>110490</xdr:rowOff>
    </xdr:from>
    <xdr:to>
      <xdr:col>6</xdr:col>
      <xdr:colOff>543343</xdr:colOff>
      <xdr:row>405</xdr:row>
      <xdr:rowOff>162550</xdr:rowOff>
    </xdr:to>
    <xdr:sp macro="" textlink="">
      <xdr:nvSpPr>
        <xdr:cNvPr id="83" name="Comment 82" hidden="1">
          <a:extLst>
            <a:ext uri="{FF2B5EF4-FFF2-40B4-BE49-F238E27FC236}">
              <a16:creationId xmlns:a16="http://schemas.microsoft.com/office/drawing/2014/main" xmlns="" id="{00000000-0008-0000-2400-000053000000}"/>
            </a:ext>
          </a:extLst>
        </xdr:cNvPr>
        <xdr:cNvSpPr txBox="1"/>
      </xdr:nvSpPr>
      <xdr:spPr>
        <a:xfrm>
          <a:off x="5305262" y="77781150"/>
          <a:ext cx="603936" cy="2284720"/>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p>
        <a:p>
          <a:pPr algn="l"/>
          <a:endParaRPr lang="en-US" sz="1100" b="0">
            <a:solidFill>
              <a:sysClr val="windowText" lastClr="000000"/>
            </a:solidFill>
            <a:latin typeface="Calibri"/>
          </a:endParaRPr>
        </a:p>
      </xdr:txBody>
    </xdr:sp>
    <xdr:clientData/>
  </xdr:twoCellAnchor>
  <xdr:twoCellAnchor editAs="absolute">
    <xdr:from>
      <xdr:col>1</xdr:col>
      <xdr:colOff>179529</xdr:colOff>
      <xdr:row>400</xdr:row>
      <xdr:rowOff>464820</xdr:rowOff>
    </xdr:from>
    <xdr:to>
      <xdr:col>1</xdr:col>
      <xdr:colOff>1678796</xdr:colOff>
      <xdr:row>404</xdr:row>
      <xdr:rowOff>185916</xdr:rowOff>
    </xdr:to>
    <xdr:sp macro="" textlink="">
      <xdr:nvSpPr>
        <xdr:cNvPr id="84" name="Comment 83" hidden="1">
          <a:extLst>
            <a:ext uri="{FF2B5EF4-FFF2-40B4-BE49-F238E27FC236}">
              <a16:creationId xmlns:a16="http://schemas.microsoft.com/office/drawing/2014/main" xmlns="" id="{00000000-0008-0000-2400-000054000000}"/>
            </a:ext>
          </a:extLst>
        </xdr:cNvPr>
        <xdr:cNvSpPr txBox="1"/>
      </xdr:nvSpPr>
      <xdr:spPr>
        <a:xfrm>
          <a:off x="763170" y="78920340"/>
          <a:ext cx="1499267" cy="974586"/>
        </a:xfrm>
        <a:prstGeom prst="rect">
          <a:avLst/>
        </a:prstGeom>
        <a:solidFill>
          <a:srgbClr val="FFFFE1"/>
        </a:solidFill>
        <a:ln w="9525">
          <a:solidFill>
            <a:srgbClr val="000000"/>
          </a:solidFill>
        </a:ln>
      </xdr:spPr>
      <xdr:txBody>
        <a:bodyPr rtlCol="0"/>
        <a:lstStyle/>
        <a:p>
          <a:pPr algn="l"/>
          <a:r>
            <a:rPr lang="en-US" sz="900">
              <a:solidFill>
                <a:sysClr val="windowText" lastClr="000000"/>
              </a:solidFill>
            </a:rPr>
            <a:t>Tai:</a:t>
          </a:r>
          <a:endParaRPr lang="en-US" sz="900" b="0">
            <a:solidFill>
              <a:sysClr val="windowText" lastClr="000000"/>
            </a:solidFill>
          </a:endParaRPr>
        </a:p>
        <a:p>
          <a:pPr algn="l"/>
          <a:r>
            <a:rPr lang="en-US" sz="900" b="0">
              <a:solidFill>
                <a:sysClr val="windowText" lastClr="000000"/>
              </a:solidFill>
            </a:rPr>
            <a:t>Số thứ tự là 5 vì thiếu Công trình thủy lợi trong TT258/2016/TT-BTC</a:t>
          </a:r>
          <a:endParaRPr lang="en-US" sz="1100" b="0">
            <a:solidFill>
              <a:sysClr val="windowText" lastClr="000000"/>
            </a:solidFill>
            <a:latin typeface="Calibri"/>
          </a:endParaRPr>
        </a:p>
      </xdr:txBody>
    </xdr:sp>
    <xdr:clientData/>
  </xdr:twoCellAnchor>
  <xdr:twoCellAnchor editAs="absolute">
    <xdr:from>
      <xdr:col>1</xdr:col>
      <xdr:colOff>179529</xdr:colOff>
      <xdr:row>401</xdr:row>
      <xdr:rowOff>173990</xdr:rowOff>
    </xdr:from>
    <xdr:to>
      <xdr:col>1</xdr:col>
      <xdr:colOff>1678796</xdr:colOff>
      <xdr:row>406</xdr:row>
      <xdr:rowOff>304800</xdr:rowOff>
    </xdr:to>
    <xdr:sp macro="" textlink="">
      <xdr:nvSpPr>
        <xdr:cNvPr id="85" name="Comment 84" hidden="1">
          <a:extLst>
            <a:ext uri="{FF2B5EF4-FFF2-40B4-BE49-F238E27FC236}">
              <a16:creationId xmlns:a16="http://schemas.microsoft.com/office/drawing/2014/main" xmlns="" id="{00000000-0008-0000-2400-000055000000}"/>
            </a:ext>
          </a:extLst>
        </xdr:cNvPr>
        <xdr:cNvSpPr txBox="1"/>
      </xdr:nvSpPr>
      <xdr:spPr>
        <a:xfrm>
          <a:off x="763170" y="79300070"/>
          <a:ext cx="1499267" cy="1110675"/>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Ô đặc biệt, dùng để xác định bảng</a:t>
          </a:r>
          <a:endParaRPr lang="en-US" sz="1100" b="0">
            <a:solidFill>
              <a:sysClr val="windowText" lastClr="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586853</xdr:colOff>
      <xdr:row>39</xdr:row>
      <xdr:rowOff>296545</xdr:rowOff>
    </xdr:from>
    <xdr:to>
      <xdr:col>5</xdr:col>
      <xdr:colOff>430706</xdr:colOff>
      <xdr:row>41</xdr:row>
      <xdr:rowOff>144326</xdr:rowOff>
    </xdr:to>
    <xdr:sp macro="" textlink="">
      <xdr:nvSpPr>
        <xdr:cNvPr id="2" name="Comment 1" hidden="1">
          <a:extLst>
            <a:ext uri="{FF2B5EF4-FFF2-40B4-BE49-F238E27FC236}">
              <a16:creationId xmlns:a16="http://schemas.microsoft.com/office/drawing/2014/main" xmlns="" id="{00000000-0008-0000-1100-000002000000}"/>
            </a:ext>
          </a:extLst>
        </xdr:cNvPr>
        <xdr:cNvSpPr txBox="1"/>
      </xdr:nvSpPr>
      <xdr:spPr>
        <a:xfrm>
          <a:off x="5305262" y="11328400"/>
          <a:ext cx="2093535" cy="562791"/>
        </a:xfrm>
        <a:prstGeom prst="rect">
          <a:avLst/>
        </a:prstGeom>
        <a:solidFill>
          <a:srgbClr val="FFFFE1"/>
        </a:solidFill>
        <a:ln w="9525">
          <a:solidFill>
            <a:srgbClr val="000000"/>
          </a:solidFill>
        </a:ln>
      </xdr:spPr>
      <xdr:txBody>
        <a:bodyPr rtlCol="0"/>
        <a:lstStyle/>
        <a:p>
          <a:pPr algn="l"/>
          <a:r>
            <a:rPr lang="en-US" sz="900">
              <a:solidFill>
                <a:sysClr val="windowText" lastClr="000000"/>
              </a:solidFill>
            </a:rPr>
            <a:t>Link từ bảng tính CP dự phòng</a:t>
          </a:r>
          <a:endParaRPr lang="en-US" sz="900" b="0">
            <a:solidFill>
              <a:sysClr val="windowText" lastClr="000000"/>
            </a:solidFill>
          </a:endParaRPr>
        </a:p>
        <a:p>
          <a:pPr algn="l"/>
          <a:endParaRPr lang="en-US" sz="1100" b="0">
            <a:solidFill>
              <a:sysClr val="windowText" lastClr="000000"/>
            </a:solidFill>
            <a:latin typeface="Calibri"/>
          </a:endParaRPr>
        </a:p>
      </xdr:txBody>
    </xdr:sp>
    <xdr:clientData/>
  </xdr:twoCellAnchor>
  <xdr:twoCellAnchor editAs="absolute">
    <xdr:from>
      <xdr:col>2</xdr:col>
      <xdr:colOff>507952</xdr:colOff>
      <xdr:row>22</xdr:row>
      <xdr:rowOff>195580</xdr:rowOff>
    </xdr:from>
    <xdr:to>
      <xdr:col>2</xdr:col>
      <xdr:colOff>758613</xdr:colOff>
      <xdr:row>25</xdr:row>
      <xdr:rowOff>104808</xdr:rowOff>
    </xdr:to>
    <xdr:sp macro="" textlink="">
      <xdr:nvSpPr>
        <xdr:cNvPr id="3" name="Comment 2" hidden="1">
          <a:extLst>
            <a:ext uri="{FF2B5EF4-FFF2-40B4-BE49-F238E27FC236}">
              <a16:creationId xmlns:a16="http://schemas.microsoft.com/office/drawing/2014/main" xmlns="" id="{00000000-0008-0000-1100-000003000000}"/>
            </a:ext>
          </a:extLst>
        </xdr:cNvPr>
        <xdr:cNvSpPr txBox="1"/>
      </xdr:nvSpPr>
      <xdr:spPr>
        <a:xfrm>
          <a:off x="4007521" y="6012180"/>
          <a:ext cx="250661" cy="815373"/>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Gán số cố định vào</a:t>
          </a:r>
        </a:p>
        <a:p>
          <a:pPr algn="l"/>
          <a:endParaRPr lang="en-US" sz="1100" b="0">
            <a:solidFill>
              <a:sysClr val="windowText" lastClr="000000"/>
            </a:solidFill>
            <a:latin typeface="Calibri"/>
          </a:endParaRPr>
        </a:p>
      </xdr:txBody>
    </xdr:sp>
    <xdr:clientData/>
  </xdr:twoCellAnchor>
  <xdr:twoCellAnchor editAs="absolute">
    <xdr:from>
      <xdr:col>2</xdr:col>
      <xdr:colOff>507952</xdr:colOff>
      <xdr:row>23</xdr:row>
      <xdr:rowOff>27940</xdr:rowOff>
    </xdr:from>
    <xdr:to>
      <xdr:col>4</xdr:col>
      <xdr:colOff>455541</xdr:colOff>
      <xdr:row>23</xdr:row>
      <xdr:rowOff>127092</xdr:rowOff>
    </xdr:to>
    <xdr:sp macro="" textlink="">
      <xdr:nvSpPr>
        <xdr:cNvPr id="4" name="Comment 3" hidden="1">
          <a:extLst>
            <a:ext uri="{FF2B5EF4-FFF2-40B4-BE49-F238E27FC236}">
              <a16:creationId xmlns:a16="http://schemas.microsoft.com/office/drawing/2014/main" xmlns="" id="{00000000-0008-0000-1100-000004000000}"/>
            </a:ext>
          </a:extLst>
        </xdr:cNvPr>
        <xdr:cNvSpPr txBox="1"/>
      </xdr:nvSpPr>
      <xdr:spPr>
        <a:xfrm>
          <a:off x="4007521" y="6202045"/>
          <a:ext cx="1166428" cy="99152"/>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Gán số cố định vào</a:t>
          </a:r>
        </a:p>
        <a:p>
          <a:pPr algn="l"/>
          <a:endParaRPr lang="en-US" sz="1100" b="0">
            <a:solidFill>
              <a:sysClr val="windowText" lastClr="000000"/>
            </a:solidFill>
            <a:latin typeface="Calibri"/>
          </a:endParaRPr>
        </a:p>
      </xdr:txBody>
    </xdr:sp>
    <xdr:clientData/>
  </xdr:twoCellAnchor>
  <xdr:twoCellAnchor editAs="absolute">
    <xdr:from>
      <xdr:col>1</xdr:col>
      <xdr:colOff>1498632</xdr:colOff>
      <xdr:row>18</xdr:row>
      <xdr:rowOff>106680</xdr:rowOff>
    </xdr:from>
    <xdr:to>
      <xdr:col>2</xdr:col>
      <xdr:colOff>176883</xdr:colOff>
      <xdr:row>21</xdr:row>
      <xdr:rowOff>80146</xdr:rowOff>
    </xdr:to>
    <xdr:sp macro="" textlink="">
      <xdr:nvSpPr>
        <xdr:cNvPr id="5" name="Comment 4" hidden="1">
          <a:extLst>
            <a:ext uri="{FF2B5EF4-FFF2-40B4-BE49-F238E27FC236}">
              <a16:creationId xmlns:a16="http://schemas.microsoft.com/office/drawing/2014/main" xmlns="" id="{00000000-0008-0000-1100-000005000000}"/>
            </a:ext>
          </a:extLst>
        </xdr:cNvPr>
        <xdr:cNvSpPr txBox="1"/>
      </xdr:nvSpPr>
      <xdr:spPr>
        <a:xfrm>
          <a:off x="2060911" y="4493260"/>
          <a:ext cx="1615541" cy="1045981"/>
        </a:xfrm>
        <a:prstGeom prst="rect">
          <a:avLst/>
        </a:prstGeom>
        <a:solidFill>
          <a:srgbClr val="FFFFE1"/>
        </a:solidFill>
        <a:ln w="9525">
          <a:solidFill>
            <a:srgbClr val="000000"/>
          </a:solidFill>
        </a:ln>
      </xdr:spPr>
      <xdr:txBody>
        <a:bodyPr rtlCol="0"/>
        <a:lstStyle/>
        <a:p>
          <a:pPr algn="l"/>
          <a:r>
            <a:rPr lang="en-US" sz="900" b="0">
              <a:solidFill>
                <a:sysClr val="windowText" lastClr="000000"/>
              </a:solidFill>
            </a:rPr>
            <a:t>QĐ79: Nếu có thì là 20%</a:t>
          </a:r>
        </a:p>
        <a:p>
          <a:pPr algn="l"/>
          <a:endParaRPr lang="en-US" sz="1100" b="0">
            <a:solidFill>
              <a:sysClr val="windowText" lastClr="000000"/>
            </a:solidFill>
            <a:latin typeface="Calibri"/>
          </a:endParaRPr>
        </a:p>
      </xdr:txBody>
    </xdr:sp>
    <xdr:clientData/>
  </xdr:twoCellAnchor>
  <xdr:twoCellAnchor editAs="absolute">
    <xdr:from>
      <xdr:col>1</xdr:col>
      <xdr:colOff>1498632</xdr:colOff>
      <xdr:row>37</xdr:row>
      <xdr:rowOff>62230</xdr:rowOff>
    </xdr:from>
    <xdr:to>
      <xdr:col>3</xdr:col>
      <xdr:colOff>8820</xdr:colOff>
      <xdr:row>40</xdr:row>
      <xdr:rowOff>23128</xdr:rowOff>
    </xdr:to>
    <xdr:sp macro="" textlink="">
      <xdr:nvSpPr>
        <xdr:cNvPr id="6" name="Comment 5" hidden="1">
          <a:extLst>
            <a:ext uri="{FF2B5EF4-FFF2-40B4-BE49-F238E27FC236}">
              <a16:creationId xmlns:a16="http://schemas.microsoft.com/office/drawing/2014/main" xmlns="" id="{00000000-0008-0000-1100-000006000000}"/>
            </a:ext>
          </a:extLst>
        </xdr:cNvPr>
        <xdr:cNvSpPr txBox="1"/>
      </xdr:nvSpPr>
      <xdr:spPr>
        <a:xfrm>
          <a:off x="2060911" y="10379075"/>
          <a:ext cx="2249879" cy="1033413"/>
        </a:xfrm>
        <a:prstGeom prst="rect">
          <a:avLst/>
        </a:prstGeom>
        <a:solidFill>
          <a:srgbClr val="FFFFE1"/>
        </a:solidFill>
        <a:ln w="9525">
          <a:solidFill>
            <a:srgbClr val="000000"/>
          </a:solidFill>
        </a:ln>
      </xdr:spPr>
      <xdr:txBody>
        <a:bodyPr rtlCol="0"/>
        <a:lstStyle/>
        <a:p>
          <a:pPr algn="l"/>
          <a:r>
            <a:rPr lang="en-US" sz="900">
              <a:solidFill>
                <a:sysClr val="windowText" lastClr="000000"/>
              </a:solidFill>
            </a:rPr>
            <a:t>Người dùng tự tra cứu theo Thông tư</a:t>
          </a:r>
          <a:endParaRPr lang="en-US" sz="1100" b="0">
            <a:solidFill>
              <a:sysClr val="windowText" lastClr="000000"/>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ocVanChuyen"/>
      <sheetName val="CauHinh"/>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2" Type="http://schemas.openxmlformats.org/officeDocument/2006/relationships/hyperlink" Target="https://dutoaneta.vn/huong-dan-xu-ly-loi-name-khi-xuat-excel/" TargetMode="External"/><Relationship Id="rId1" Type="http://schemas.openxmlformats.org/officeDocument/2006/relationships/hyperlink" Target="https://dutoaneta.vn/huong-dan-xu-ly-loi-name-khi-xuat-excel/"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dutoaneta.vn/"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dutoaneta.v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2" sqref="C2:E7"/>
    </sheetView>
  </sheetViews>
  <sheetFormatPr defaultRowHeight="15" x14ac:dyDescent="0.25"/>
  <cols>
    <col min="1" max="1" width="5.85546875" customWidth="1"/>
    <col min="2" max="2" width="24.7109375" customWidth="1"/>
    <col min="3" max="3" width="17.7109375" customWidth="1"/>
    <col min="4" max="4" width="22" customWidth="1"/>
    <col min="5" max="5" width="23" customWidth="1"/>
  </cols>
  <sheetData>
    <row r="1" spans="1:5" ht="37.5" x14ac:dyDescent="0.25">
      <c r="A1" s="764" t="s">
        <v>386</v>
      </c>
      <c r="B1" s="764" t="s">
        <v>538</v>
      </c>
      <c r="C1" s="764" t="s">
        <v>1357</v>
      </c>
      <c r="D1" s="764" t="s">
        <v>1358</v>
      </c>
      <c r="E1" s="764" t="s">
        <v>1359</v>
      </c>
    </row>
    <row r="2" spans="1:5" ht="18.75" x14ac:dyDescent="0.25">
      <c r="A2" s="765">
        <v>1</v>
      </c>
      <c r="B2" s="766" t="s">
        <v>110</v>
      </c>
      <c r="C2" s="767">
        <v>954013000</v>
      </c>
      <c r="D2" s="767">
        <f>'Tong du toan'!E12</f>
        <v>926698000</v>
      </c>
      <c r="E2" s="767">
        <f>D2-C2</f>
        <v>-27315000</v>
      </c>
    </row>
    <row r="3" spans="1:5" ht="18.75" x14ac:dyDescent="0.25">
      <c r="A3" s="765">
        <v>2</v>
      </c>
      <c r="B3" s="766" t="s">
        <v>760</v>
      </c>
      <c r="C3" s="767">
        <v>26712000</v>
      </c>
      <c r="D3" s="767">
        <f>'Tong du toan'!E15</f>
        <v>25948000</v>
      </c>
      <c r="E3" s="767">
        <f t="shared" ref="E3:E6" si="0">D3-C3</f>
        <v>-764000</v>
      </c>
    </row>
    <row r="4" spans="1:5" ht="18.75" x14ac:dyDescent="0.25">
      <c r="A4" s="765">
        <v>3</v>
      </c>
      <c r="B4" s="766" t="s">
        <v>1360</v>
      </c>
      <c r="C4" s="767">
        <v>111547000</v>
      </c>
      <c r="D4" s="767">
        <f>'Tong du toan'!E16</f>
        <v>96783000</v>
      </c>
      <c r="E4" s="767">
        <f t="shared" si="0"/>
        <v>-14764000</v>
      </c>
    </row>
    <row r="5" spans="1:5" ht="18.75" x14ac:dyDescent="0.25">
      <c r="A5" s="765">
        <v>4</v>
      </c>
      <c r="B5" s="766" t="s">
        <v>963</v>
      </c>
      <c r="C5" s="767">
        <v>12297000</v>
      </c>
      <c r="D5" s="767">
        <f>'Tong du toan'!E23</f>
        <v>8849000</v>
      </c>
      <c r="E5" s="767">
        <f t="shared" si="0"/>
        <v>-3448000</v>
      </c>
    </row>
    <row r="6" spans="1:5" ht="18.75" x14ac:dyDescent="0.25">
      <c r="A6" s="765">
        <v>5</v>
      </c>
      <c r="B6" s="766" t="s">
        <v>1138</v>
      </c>
      <c r="C6" s="767">
        <v>25431000</v>
      </c>
      <c r="D6" s="767">
        <f>'Tong du toan'!E27</f>
        <v>71722000</v>
      </c>
      <c r="E6" s="767">
        <f t="shared" si="0"/>
        <v>46291000</v>
      </c>
    </row>
    <row r="7" spans="1:5" ht="18.75" x14ac:dyDescent="0.25">
      <c r="A7" s="766"/>
      <c r="B7" s="768" t="s">
        <v>1361</v>
      </c>
      <c r="C7" s="769">
        <f>SUM(C2:C6)</f>
        <v>1130000000</v>
      </c>
      <c r="D7" s="769">
        <f>SUM(D2:D6)</f>
        <v>1130000000</v>
      </c>
      <c r="E7" s="769">
        <f>SUM(E2:E6)</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I128"/>
  <sheetViews>
    <sheetView showZeros="0" topLeftCell="B1" workbookViewId="0">
      <selection activeCell="E6" sqref="E6"/>
    </sheetView>
  </sheetViews>
  <sheetFormatPr defaultColWidth="9.140625" defaultRowHeight="15" x14ac:dyDescent="0.25"/>
  <cols>
    <col min="1" max="1" width="6.7109375" style="751" hidden="1" customWidth="1"/>
    <col min="2" max="2" width="4.85546875" style="751" bestFit="1" customWidth="1"/>
    <col min="3" max="3" width="8.42578125" style="751" bestFit="1" customWidth="1"/>
    <col min="4" max="4" width="10.28515625" style="751" hidden="1" customWidth="1"/>
    <col min="5" max="5" width="47.7109375" style="751" customWidth="1"/>
    <col min="6" max="6" width="8.140625" style="751" customWidth="1"/>
    <col min="7" max="7" width="12.5703125" style="751" hidden="1" customWidth="1"/>
    <col min="8" max="8" width="10" style="751" hidden="1" customWidth="1"/>
    <col min="9" max="9" width="9.140625" style="751" hidden="1" customWidth="1"/>
    <col min="10" max="10" width="12.42578125" style="751" customWidth="1"/>
    <col min="11" max="11" width="10.42578125" style="751" customWidth="1"/>
    <col min="12" max="12" width="11.7109375" style="751" hidden="1" customWidth="1"/>
    <col min="13" max="13" width="9.42578125" style="751" hidden="1" customWidth="1"/>
    <col min="14" max="15" width="12.5703125" style="751" hidden="1" customWidth="1"/>
    <col min="16" max="16" width="12.42578125" style="751" hidden="1" customWidth="1"/>
    <col min="17" max="17" width="9.42578125" style="751" hidden="1" customWidth="1"/>
    <col min="18" max="18" width="12.28515625" style="751" hidden="1" customWidth="1"/>
    <col min="19" max="19" width="11.7109375" style="751" hidden="1" customWidth="1"/>
    <col min="20" max="20" width="11.85546875" style="751" hidden="1" customWidth="1"/>
    <col min="21" max="21" width="13.5703125" style="751" hidden="1" customWidth="1"/>
    <col min="22" max="22" width="9.85546875" style="751" hidden="1" customWidth="1"/>
    <col min="23" max="23" width="12.140625" style="751" hidden="1" customWidth="1"/>
    <col min="24" max="24" width="10.42578125" style="751" customWidth="1"/>
    <col min="25" max="25" width="11.28515625" style="751" hidden="1" customWidth="1"/>
    <col min="26" max="26" width="12.140625" style="751" customWidth="1"/>
    <col min="27" max="27" width="11.85546875" style="751" customWidth="1"/>
    <col min="28" max="35" width="9.140625" style="751" hidden="1" customWidth="1"/>
    <col min="36" max="36" width="9.140625" style="751" customWidth="1"/>
    <col min="37" max="16384" width="9.140625" style="751"/>
  </cols>
  <sheetData>
    <row r="1" spans="1:27" ht="18.75" x14ac:dyDescent="0.3">
      <c r="A1" s="978" t="s">
        <v>78</v>
      </c>
      <c r="B1" s="978" t="s">
        <v>78</v>
      </c>
      <c r="C1" s="978" t="s">
        <v>78</v>
      </c>
      <c r="D1" s="978" t="s">
        <v>78</v>
      </c>
      <c r="E1" s="978" t="s">
        <v>78</v>
      </c>
      <c r="F1" s="978" t="s">
        <v>78</v>
      </c>
      <c r="G1" s="978" t="s">
        <v>78</v>
      </c>
      <c r="H1" s="978" t="s">
        <v>78</v>
      </c>
      <c r="I1" s="978" t="s">
        <v>78</v>
      </c>
      <c r="J1" s="978" t="s">
        <v>78</v>
      </c>
      <c r="K1" s="978" t="s">
        <v>78</v>
      </c>
      <c r="L1" s="978" t="s">
        <v>78</v>
      </c>
      <c r="M1" s="978" t="s">
        <v>78</v>
      </c>
      <c r="N1" s="978" t="s">
        <v>78</v>
      </c>
      <c r="O1" s="978" t="s">
        <v>78</v>
      </c>
      <c r="P1" s="978" t="s">
        <v>78</v>
      </c>
      <c r="Q1" s="978" t="s">
        <v>78</v>
      </c>
      <c r="R1" s="978" t="s">
        <v>78</v>
      </c>
      <c r="S1" s="978" t="s">
        <v>78</v>
      </c>
      <c r="T1" s="978" t="s">
        <v>78</v>
      </c>
      <c r="U1" s="978" t="s">
        <v>78</v>
      </c>
      <c r="V1" s="978" t="s">
        <v>78</v>
      </c>
      <c r="W1" s="978" t="s">
        <v>78</v>
      </c>
      <c r="X1" s="978" t="s">
        <v>78</v>
      </c>
      <c r="Y1" s="978" t="s">
        <v>78</v>
      </c>
      <c r="Z1" s="978" t="s">
        <v>78</v>
      </c>
      <c r="AA1" s="978" t="s">
        <v>78</v>
      </c>
    </row>
    <row r="2" spans="1:27" x14ac:dyDescent="0.25">
      <c r="A2" s="979" t="s">
        <v>315</v>
      </c>
      <c r="B2" s="979" t="s">
        <v>315</v>
      </c>
      <c r="C2" s="979" t="s">
        <v>315</v>
      </c>
      <c r="D2" s="979" t="s">
        <v>315</v>
      </c>
      <c r="E2" s="979" t="s">
        <v>315</v>
      </c>
      <c r="F2" s="979" t="s">
        <v>315</v>
      </c>
      <c r="G2" s="979" t="s">
        <v>315</v>
      </c>
      <c r="H2" s="979" t="s">
        <v>315</v>
      </c>
      <c r="I2" s="979" t="s">
        <v>315</v>
      </c>
      <c r="J2" s="979" t="s">
        <v>315</v>
      </c>
      <c r="K2" s="979" t="s">
        <v>315</v>
      </c>
      <c r="L2" s="979" t="s">
        <v>315</v>
      </c>
      <c r="M2" s="979" t="s">
        <v>315</v>
      </c>
      <c r="N2" s="979" t="s">
        <v>315</v>
      </c>
      <c r="O2" s="979" t="s">
        <v>315</v>
      </c>
      <c r="P2" s="979" t="s">
        <v>315</v>
      </c>
      <c r="Q2" s="979" t="s">
        <v>315</v>
      </c>
      <c r="R2" s="979" t="s">
        <v>315</v>
      </c>
      <c r="S2" s="979" t="s">
        <v>315</v>
      </c>
      <c r="T2" s="979" t="s">
        <v>315</v>
      </c>
      <c r="U2" s="979" t="s">
        <v>315</v>
      </c>
      <c r="V2" s="979" t="s">
        <v>315</v>
      </c>
      <c r="W2" s="979" t="s">
        <v>315</v>
      </c>
      <c r="X2" s="979" t="s">
        <v>315</v>
      </c>
      <c r="Y2" s="979" t="s">
        <v>315</v>
      </c>
      <c r="Z2" s="979" t="s">
        <v>315</v>
      </c>
      <c r="AA2" s="979" t="s">
        <v>315</v>
      </c>
    </row>
    <row r="3" spans="1:27" x14ac:dyDescent="0.25">
      <c r="A3" s="981" t="s">
        <v>60</v>
      </c>
      <c r="B3" s="981" t="s">
        <v>60</v>
      </c>
      <c r="C3" s="981" t="s">
        <v>60</v>
      </c>
      <c r="D3" s="981" t="s">
        <v>60</v>
      </c>
      <c r="E3" s="981" t="s">
        <v>60</v>
      </c>
      <c r="F3" s="981" t="s">
        <v>60</v>
      </c>
      <c r="G3" s="981" t="s">
        <v>60</v>
      </c>
      <c r="H3" s="981" t="s">
        <v>60</v>
      </c>
      <c r="I3" s="981" t="s">
        <v>60</v>
      </c>
      <c r="J3" s="981" t="s">
        <v>60</v>
      </c>
      <c r="K3" s="981" t="s">
        <v>60</v>
      </c>
      <c r="L3" s="981" t="s">
        <v>60</v>
      </c>
      <c r="M3" s="981" t="s">
        <v>60</v>
      </c>
      <c r="N3" s="981" t="s">
        <v>60</v>
      </c>
      <c r="O3" s="981" t="s">
        <v>60</v>
      </c>
      <c r="P3" s="981" t="s">
        <v>60</v>
      </c>
      <c r="Q3" s="981" t="s">
        <v>60</v>
      </c>
      <c r="R3" s="981" t="s">
        <v>60</v>
      </c>
      <c r="S3" s="981" t="s">
        <v>60</v>
      </c>
      <c r="T3" s="981" t="s">
        <v>60</v>
      </c>
      <c r="U3" s="981" t="s">
        <v>60</v>
      </c>
      <c r="V3" s="981" t="s">
        <v>60</v>
      </c>
      <c r="W3" s="981" t="s">
        <v>60</v>
      </c>
      <c r="X3" s="981" t="s">
        <v>60</v>
      </c>
      <c r="Y3" s="981" t="s">
        <v>60</v>
      </c>
      <c r="Z3" s="981" t="s">
        <v>60</v>
      </c>
      <c r="AA3" s="981" t="s">
        <v>60</v>
      </c>
    </row>
    <row r="4" spans="1:27" x14ac:dyDescent="0.25">
      <c r="A4" s="410"/>
      <c r="B4" s="980" t="s">
        <v>386</v>
      </c>
      <c r="C4" s="980" t="s">
        <v>752</v>
      </c>
      <c r="D4" s="588"/>
      <c r="E4" s="980" t="s">
        <v>925</v>
      </c>
      <c r="F4" s="980" t="s">
        <v>1136</v>
      </c>
      <c r="G4" s="980" t="s">
        <v>730</v>
      </c>
      <c r="H4" s="980" t="s">
        <v>1243</v>
      </c>
      <c r="I4" s="980" t="s">
        <v>972</v>
      </c>
      <c r="J4" s="980" t="s">
        <v>4</v>
      </c>
      <c r="K4" s="980" t="s">
        <v>915</v>
      </c>
      <c r="L4" s="980" t="s">
        <v>120</v>
      </c>
      <c r="M4" s="980" t="s">
        <v>57</v>
      </c>
      <c r="N4" s="980" t="s">
        <v>120</v>
      </c>
      <c r="O4" s="980" t="s">
        <v>999</v>
      </c>
      <c r="P4" s="980" t="s">
        <v>120</v>
      </c>
      <c r="Q4" s="980" t="s">
        <v>972</v>
      </c>
      <c r="R4" s="980" t="s">
        <v>568</v>
      </c>
      <c r="S4" s="980" t="s">
        <v>120</v>
      </c>
      <c r="T4" s="980" t="s">
        <v>999</v>
      </c>
      <c r="U4" s="980" t="s">
        <v>120</v>
      </c>
      <c r="V4" s="980" t="s">
        <v>1190</v>
      </c>
      <c r="W4" s="980" t="s">
        <v>120</v>
      </c>
      <c r="X4" s="980" t="s">
        <v>848</v>
      </c>
      <c r="Y4" s="980" t="s">
        <v>120</v>
      </c>
      <c r="Z4" s="980" t="s">
        <v>999</v>
      </c>
      <c r="AA4" s="980" t="s">
        <v>120</v>
      </c>
    </row>
    <row r="5" spans="1:27" ht="7.15" customHeight="1" x14ac:dyDescent="0.25">
      <c r="A5" s="410"/>
      <c r="B5" s="980"/>
      <c r="C5" s="980"/>
      <c r="D5" s="588"/>
      <c r="E5" s="980"/>
      <c r="F5" s="980"/>
      <c r="G5" s="980" t="s">
        <v>730</v>
      </c>
      <c r="H5" s="980" t="s">
        <v>1243</v>
      </c>
      <c r="I5" s="980" t="s">
        <v>972</v>
      </c>
      <c r="J5" s="980" t="s">
        <v>4</v>
      </c>
      <c r="K5" s="980"/>
      <c r="L5" s="980"/>
      <c r="M5" s="980"/>
      <c r="N5" s="980"/>
      <c r="O5" s="980"/>
      <c r="P5" s="980"/>
      <c r="Q5" s="980"/>
      <c r="R5" s="980"/>
      <c r="S5" s="980"/>
      <c r="T5" s="980"/>
      <c r="U5" s="980"/>
      <c r="V5" s="980"/>
      <c r="W5" s="980"/>
      <c r="X5" s="980"/>
      <c r="Y5" s="980"/>
      <c r="Z5" s="980"/>
      <c r="AA5" s="980"/>
    </row>
    <row r="6" spans="1:27" x14ac:dyDescent="0.25">
      <c r="A6" s="421" t="s">
        <v>262</v>
      </c>
      <c r="B6" s="140">
        <v>1</v>
      </c>
      <c r="C6" s="465" t="s">
        <v>1256</v>
      </c>
      <c r="D6" s="465"/>
      <c r="E6" s="227" t="str">
        <f>'Giá VL'!E6</f>
        <v>Carboncor Asphalt (loại CA 9,5)</v>
      </c>
      <c r="F6" s="140" t="str">
        <f>'Giá VL'!F6</f>
        <v>tấn</v>
      </c>
      <c r="G6" s="655"/>
      <c r="H6" s="655"/>
      <c r="I6" s="655"/>
      <c r="J6" s="455">
        <f>SUM(J7:J9)</f>
        <v>111.981342</v>
      </c>
      <c r="K6" s="285">
        <f>'Giá VL'!G6</f>
        <v>3780000</v>
      </c>
      <c r="L6" s="285">
        <f>J6*K6</f>
        <v>423289472.75999999</v>
      </c>
      <c r="M6" s="285">
        <f>'Giá VL'!J6</f>
        <v>3780000</v>
      </c>
      <c r="N6" s="285">
        <f>J6*M6</f>
        <v>423289472.75999999</v>
      </c>
      <c r="O6" s="24">
        <f>M6-K6</f>
        <v>0</v>
      </c>
      <c r="P6" s="285">
        <f>J6*O6</f>
        <v>0</v>
      </c>
      <c r="Q6" s="655">
        <v>1</v>
      </c>
      <c r="R6" s="285">
        <f>M6*Q6</f>
        <v>3780000</v>
      </c>
      <c r="S6" s="285">
        <f>J6*R6</f>
        <v>423289472.75999999</v>
      </c>
      <c r="T6" s="484">
        <v>0</v>
      </c>
      <c r="U6" s="285">
        <v>0</v>
      </c>
      <c r="V6" s="285">
        <v>0</v>
      </c>
      <c r="W6" s="285">
        <v>0</v>
      </c>
      <c r="X6" s="285">
        <f>'Giá VL'!V6</f>
        <v>3822120</v>
      </c>
      <c r="Y6" s="285">
        <f>J6*X6</f>
        <v>428006126.88503999</v>
      </c>
      <c r="Z6" s="653">
        <f>X6-K6</f>
        <v>42120</v>
      </c>
      <c r="AA6" s="285">
        <f>J6*Z6</f>
        <v>4716654.1250400003</v>
      </c>
    </row>
    <row r="7" spans="1:27" s="391" customFormat="1" ht="45" hidden="1" x14ac:dyDescent="0.25">
      <c r="A7" s="529"/>
      <c r="B7" s="76"/>
      <c r="C7" s="411" t="str">
        <f>'Du toan chi tiet'!C8</f>
        <v>AD.23263</v>
      </c>
      <c r="D7" s="411"/>
      <c r="E7" s="155" t="str">
        <f>'Du toan chi tiet'!D8</f>
        <v>Rải thảm mặt đường Carboncor Asphalt, bằng phương pháp thủ cơ giới, chiều dày mặt đường đã lèn ép 3cm</v>
      </c>
      <c r="F7" s="76" t="str">
        <f>'Du toan chi tiet'!E8</f>
        <v>m2</v>
      </c>
      <c r="G7" s="603">
        <f>'Du toan chi tiet'!M8</f>
        <v>1631.42</v>
      </c>
      <c r="H7" s="603">
        <f>'Phan tich don gia'!G8</f>
        <v>5.8200000000000002E-2</v>
      </c>
      <c r="I7" s="603">
        <f>'Du toan chi tiet'!V8</f>
        <v>1</v>
      </c>
      <c r="J7" s="381">
        <f t="shared" ref="J7:J9" si="0">PRODUCT(G7,H7,I7)</f>
        <v>94.948644000000002</v>
      </c>
      <c r="K7" s="237"/>
      <c r="L7" s="237"/>
      <c r="M7" s="237"/>
      <c r="N7" s="237"/>
      <c r="O7" s="237"/>
      <c r="P7" s="237"/>
      <c r="Q7" s="603"/>
      <c r="R7" s="237"/>
      <c r="S7" s="237"/>
      <c r="T7" s="237"/>
      <c r="U7" s="237"/>
      <c r="V7" s="237"/>
      <c r="W7" s="237"/>
      <c r="X7" s="237"/>
      <c r="Y7" s="237"/>
      <c r="Z7" s="237"/>
      <c r="AA7" s="237"/>
    </row>
    <row r="8" spans="1:27" s="391" customFormat="1" ht="45" hidden="1" x14ac:dyDescent="0.25">
      <c r="A8" s="529"/>
      <c r="B8" s="76"/>
      <c r="C8" s="411" t="str">
        <f>'Du toan chi tiet'!C9</f>
        <v>AD.23261vd</v>
      </c>
      <c r="D8" s="411"/>
      <c r="E8" s="155" t="str">
        <f>'Du toan chi tiet'!D9</f>
        <v>Rải thảm mặt đường Carboncor Asphalt, bằng phương pháp thủ cơ giới, chiều dày mặt đường đã lèn ép 1cm</v>
      </c>
      <c r="F8" s="76" t="str">
        <f>'Du toan chi tiet'!E9</f>
        <v>m2</v>
      </c>
      <c r="G8" s="603">
        <f>'Du toan chi tiet'!M9</f>
        <v>856.71</v>
      </c>
      <c r="H8" s="603">
        <f>'Phan tich don gia'!G19</f>
        <v>1.9800000000000002E-2</v>
      </c>
      <c r="I8" s="603">
        <f>'Du toan chi tiet'!V9</f>
        <v>1</v>
      </c>
      <c r="J8" s="381">
        <f t="shared" si="0"/>
        <v>16.962858000000001</v>
      </c>
      <c r="K8" s="237"/>
      <c r="L8" s="237"/>
      <c r="M8" s="237"/>
      <c r="N8" s="237"/>
      <c r="O8" s="237"/>
      <c r="P8" s="237"/>
      <c r="Q8" s="603"/>
      <c r="R8" s="237"/>
      <c r="S8" s="237"/>
      <c r="T8" s="237"/>
      <c r="U8" s="237"/>
      <c r="V8" s="237"/>
      <c r="W8" s="237"/>
      <c r="X8" s="237"/>
      <c r="Y8" s="237"/>
      <c r="Z8" s="237"/>
      <c r="AA8" s="237"/>
    </row>
    <row r="9" spans="1:27" s="391" customFormat="1" ht="45" hidden="1" x14ac:dyDescent="0.25">
      <c r="A9" s="529"/>
      <c r="B9" s="76"/>
      <c r="C9" s="411" t="str">
        <f>'Du toan chi tiet'!C49</f>
        <v>AD.23263</v>
      </c>
      <c r="D9" s="411"/>
      <c r="E9" s="155" t="str">
        <f>'Du toan chi tiet'!D49</f>
        <v>Rải thảm mặt đường Carboncor Asphalt, bằng phương pháp thủ cơ giới, chiều dày mặt đường đã lèn ép 3cm</v>
      </c>
      <c r="F9" s="76" t="str">
        <f>'Du toan chi tiet'!E49</f>
        <v>m2</v>
      </c>
      <c r="G9" s="603">
        <f>'Du toan chi tiet'!M49</f>
        <v>1.2</v>
      </c>
      <c r="H9" s="603">
        <f>'Phan tich don gia'!G325</f>
        <v>5.8200000000000002E-2</v>
      </c>
      <c r="I9" s="603">
        <f>'Du toan chi tiet'!V49</f>
        <v>1</v>
      </c>
      <c r="J9" s="381">
        <f t="shared" si="0"/>
        <v>6.9839999999999999E-2</v>
      </c>
      <c r="K9" s="237"/>
      <c r="L9" s="237"/>
      <c r="M9" s="237"/>
      <c r="N9" s="237"/>
      <c r="O9" s="237"/>
      <c r="P9" s="237"/>
      <c r="Q9" s="603"/>
      <c r="R9" s="237"/>
      <c r="S9" s="237"/>
      <c r="T9" s="237"/>
      <c r="U9" s="237"/>
      <c r="V9" s="237"/>
      <c r="W9" s="237"/>
      <c r="X9" s="237"/>
      <c r="Y9" s="237"/>
      <c r="Z9" s="237"/>
      <c r="AA9" s="237"/>
    </row>
    <row r="10" spans="1:27" x14ac:dyDescent="0.25">
      <c r="A10" s="159" t="s">
        <v>262</v>
      </c>
      <c r="B10" s="649">
        <v>2</v>
      </c>
      <c r="C10" s="214" t="s">
        <v>603</v>
      </c>
      <c r="D10" s="214"/>
      <c r="E10" s="720" t="str">
        <f>'Giá VL'!E7</f>
        <v>Cát</v>
      </c>
      <c r="F10" s="649" t="str">
        <f>'Giá VL'!F7</f>
        <v>m3</v>
      </c>
      <c r="G10" s="406"/>
      <c r="H10" s="406"/>
      <c r="I10" s="406"/>
      <c r="J10" s="176" t="e">
        <f>SUM(J11:J11)</f>
        <v>#REF!</v>
      </c>
      <c r="K10" s="10">
        <f>'Giá VL'!G7</f>
        <v>272727</v>
      </c>
      <c r="L10" s="10" t="e">
        <f>J10*K10</f>
        <v>#REF!</v>
      </c>
      <c r="M10" s="10">
        <f>'Giá VL'!J7</f>
        <v>272727</v>
      </c>
      <c r="N10" s="10" t="e">
        <f>J10*M10</f>
        <v>#REF!</v>
      </c>
      <c r="O10" s="526">
        <f>M10-K10</f>
        <v>0</v>
      </c>
      <c r="P10" s="10" t="e">
        <f>J10*O10</f>
        <v>#REF!</v>
      </c>
      <c r="Q10" s="406">
        <v>1</v>
      </c>
      <c r="R10" s="10">
        <f>M10*Q10</f>
        <v>272727</v>
      </c>
      <c r="S10" s="10" t="e">
        <f>J10*R10</f>
        <v>#REF!</v>
      </c>
      <c r="T10" s="241">
        <v>0</v>
      </c>
      <c r="U10" s="10">
        <v>0</v>
      </c>
      <c r="V10" s="10">
        <v>27456.314434628999</v>
      </c>
      <c r="W10" s="10">
        <v>6260.0396910954096</v>
      </c>
      <c r="X10" s="10">
        <f>'Giá VL'!V7</f>
        <v>306207.189442</v>
      </c>
      <c r="Y10" s="10" t="e">
        <f>J10*X10</f>
        <v>#REF!</v>
      </c>
      <c r="Z10" s="10">
        <f>X10-K10</f>
        <v>33480.189442000003</v>
      </c>
      <c r="AA10" s="10" t="e">
        <f>J10*Z10</f>
        <v>#REF!</v>
      </c>
    </row>
    <row r="11" spans="1:27" s="391" customFormat="1" hidden="1" x14ac:dyDescent="0.25">
      <c r="A11" s="529"/>
      <c r="B11" s="76"/>
      <c r="C11" s="411" t="str">
        <f>'Du toan chi tiet'!C40</f>
        <v>AK.98110</v>
      </c>
      <c r="D11" s="411"/>
      <c r="E11" s="155" t="str">
        <f>'Du toan chi tiet'!D40</f>
        <v>Thi công lớp đá đệm móng, đá dăm 2x4</v>
      </c>
      <c r="F11" s="76" t="str">
        <f>'Du toan chi tiet'!E40</f>
        <v>m3</v>
      </c>
      <c r="G11" s="603">
        <f>'Du toan chi tiet'!M40</f>
        <v>0.76</v>
      </c>
      <c r="H11" s="603" t="e">
        <f>'Phan tich don gia'!#REF!</f>
        <v>#REF!</v>
      </c>
      <c r="I11" s="603">
        <f>'Du toan chi tiet'!V40</f>
        <v>1</v>
      </c>
      <c r="J11" s="381" t="e">
        <f>PRODUCT(G11,H11,I11)</f>
        <v>#REF!</v>
      </c>
      <c r="K11" s="237"/>
      <c r="L11" s="237"/>
      <c r="M11" s="237"/>
      <c r="N11" s="237"/>
      <c r="O11" s="237"/>
      <c r="P11" s="237"/>
      <c r="Q11" s="603"/>
      <c r="R11" s="237"/>
      <c r="S11" s="237"/>
      <c r="T11" s="237"/>
      <c r="U11" s="237"/>
      <c r="V11" s="237"/>
      <c r="W11" s="237"/>
      <c r="X11" s="237"/>
      <c r="Y11" s="237"/>
      <c r="Z11" s="237"/>
      <c r="AA11" s="237"/>
    </row>
    <row r="12" spans="1:27" x14ac:dyDescent="0.25">
      <c r="A12" s="159" t="s">
        <v>262</v>
      </c>
      <c r="B12" s="649">
        <v>3</v>
      </c>
      <c r="C12" s="214" t="s">
        <v>99</v>
      </c>
      <c r="D12" s="214"/>
      <c r="E12" s="720" t="str">
        <f>'Giá VL'!E8</f>
        <v>Bột đá</v>
      </c>
      <c r="F12" s="649" t="str">
        <f>'Giá VL'!F8</f>
        <v>m3</v>
      </c>
      <c r="G12" s="406"/>
      <c r="H12" s="406"/>
      <c r="I12" s="406"/>
      <c r="J12" s="176">
        <f>SUM(J13:J14)</f>
        <v>48.970799999999997</v>
      </c>
      <c r="K12" s="10">
        <f>'Giá VL'!G8</f>
        <v>109091</v>
      </c>
      <c r="L12" s="10">
        <f>J12*K12</f>
        <v>5342273.5427999999</v>
      </c>
      <c r="M12" s="10">
        <f>'Giá VL'!J8</f>
        <v>109091</v>
      </c>
      <c r="N12" s="10">
        <f>J12*M12</f>
        <v>5342273.5427999999</v>
      </c>
      <c r="O12" s="526">
        <f>M12-K12</f>
        <v>0</v>
      </c>
      <c r="P12" s="10">
        <f>J12*O12</f>
        <v>0</v>
      </c>
      <c r="Q12" s="406">
        <v>1</v>
      </c>
      <c r="R12" s="10">
        <f>M12*Q12</f>
        <v>109091</v>
      </c>
      <c r="S12" s="10">
        <f>J12*R12</f>
        <v>5342273.5427999999</v>
      </c>
      <c r="T12" s="241">
        <v>0</v>
      </c>
      <c r="U12" s="10">
        <v>0</v>
      </c>
      <c r="V12" s="10">
        <v>22660.5844761429</v>
      </c>
      <c r="W12" s="10">
        <v>1046121.35022424</v>
      </c>
      <c r="X12" s="88">
        <f>'Giá VL'!V8</f>
        <v>142571.189442</v>
      </c>
      <c r="Y12" s="10">
        <f>J12*X12</f>
        <v>6981825.2039262932</v>
      </c>
      <c r="Z12" s="398">
        <f>X12-K12</f>
        <v>33480.189442000003</v>
      </c>
      <c r="AA12" s="10">
        <f>J12*Z12</f>
        <v>1639551.6611262937</v>
      </c>
    </row>
    <row r="13" spans="1:27" s="391" customFormat="1" hidden="1" x14ac:dyDescent="0.25">
      <c r="A13" s="529"/>
      <c r="B13" s="76"/>
      <c r="C13" s="411" t="str">
        <f>'Du toan chi tiet'!C11</f>
        <v>AB.66141</v>
      </c>
      <c r="D13" s="411"/>
      <c r="E13" s="155" t="str">
        <f>'Du toan chi tiet'!D11</f>
        <v>Đắp bột đá công trình dày 5cm</v>
      </c>
      <c r="F13" s="76" t="str">
        <f>'Du toan chi tiet'!E11</f>
        <v>m3</v>
      </c>
      <c r="G13" s="603">
        <f>'Du toan chi tiet'!M11</f>
        <v>39.97</v>
      </c>
      <c r="H13" s="603">
        <f>'Phan tich don gia'!G42</f>
        <v>1.22</v>
      </c>
      <c r="I13" s="603">
        <f>'Du toan chi tiet'!V11</f>
        <v>1</v>
      </c>
      <c r="J13" s="381">
        <f t="shared" ref="J13:J14" si="1">PRODUCT(G13,H13,I13)</f>
        <v>48.763399999999997</v>
      </c>
      <c r="K13" s="237"/>
      <c r="L13" s="237"/>
      <c r="M13" s="237"/>
      <c r="N13" s="237"/>
      <c r="O13" s="237"/>
      <c r="P13" s="237"/>
      <c r="Q13" s="603"/>
      <c r="R13" s="237"/>
      <c r="S13" s="237"/>
      <c r="T13" s="237"/>
      <c r="U13" s="237"/>
      <c r="V13" s="237"/>
      <c r="W13" s="237"/>
      <c r="X13" s="237"/>
      <c r="Y13" s="237"/>
      <c r="Z13" s="237"/>
      <c r="AA13" s="237"/>
    </row>
    <row r="14" spans="1:27" s="391" customFormat="1" hidden="1" x14ac:dyDescent="0.25">
      <c r="A14" s="529"/>
      <c r="B14" s="76"/>
      <c r="C14" s="411" t="str">
        <f>'Du toan chi tiet'!C46</f>
        <v>AB.66141</v>
      </c>
      <c r="D14" s="411"/>
      <c r="E14" s="155" t="str">
        <f>'Du toan chi tiet'!D46</f>
        <v>Đắpbột đáy dày 5cm</v>
      </c>
      <c r="F14" s="76" t="str">
        <f>'Du toan chi tiet'!E46</f>
        <v>m3</v>
      </c>
      <c r="G14" s="603">
        <f>'Du toan chi tiet'!M46</f>
        <v>0.17</v>
      </c>
      <c r="H14" s="603">
        <f>'Phan tich don gia'!G301</f>
        <v>1.22</v>
      </c>
      <c r="I14" s="603">
        <f>'Du toan chi tiet'!V46</f>
        <v>1</v>
      </c>
      <c r="J14" s="381">
        <f t="shared" si="1"/>
        <v>0.2074</v>
      </c>
      <c r="K14" s="237"/>
      <c r="L14" s="237"/>
      <c r="M14" s="237"/>
      <c r="N14" s="237"/>
      <c r="O14" s="237"/>
      <c r="P14" s="237"/>
      <c r="Q14" s="603"/>
      <c r="R14" s="237"/>
      <c r="S14" s="237"/>
      <c r="T14" s="237"/>
      <c r="U14" s="237"/>
      <c r="V14" s="237"/>
      <c r="W14" s="237"/>
      <c r="X14" s="237"/>
      <c r="Y14" s="237"/>
      <c r="Z14" s="237"/>
      <c r="AA14" s="237"/>
    </row>
    <row r="15" spans="1:27" x14ac:dyDescent="0.25">
      <c r="A15" s="159" t="s">
        <v>262</v>
      </c>
      <c r="B15" s="649">
        <v>4</v>
      </c>
      <c r="C15" s="214" t="s">
        <v>523</v>
      </c>
      <c r="D15" s="214"/>
      <c r="E15" s="720" t="str">
        <f>'Giá VL'!E9</f>
        <v>Cát vàng</v>
      </c>
      <c r="F15" s="649" t="str">
        <f>'Giá VL'!F9</f>
        <v>m3</v>
      </c>
      <c r="G15" s="406"/>
      <c r="H15" s="406"/>
      <c r="I15" s="406"/>
      <c r="J15" s="176" t="e">
        <f>SUM(J16:J21)</f>
        <v>#REF!</v>
      </c>
      <c r="K15" s="10">
        <f>'Giá VL'!G9</f>
        <v>318182</v>
      </c>
      <c r="L15" s="10" t="e">
        <f>J15*K15</f>
        <v>#REF!</v>
      </c>
      <c r="M15" s="10">
        <f>'Giá VL'!J9</f>
        <v>318182</v>
      </c>
      <c r="N15" s="10" t="e">
        <f>J15*M15</f>
        <v>#REF!</v>
      </c>
      <c r="O15" s="526">
        <f>M15-K15</f>
        <v>0</v>
      </c>
      <c r="P15" s="10" t="e">
        <f>J15*O15</f>
        <v>#REF!</v>
      </c>
      <c r="Q15" s="406">
        <v>1</v>
      </c>
      <c r="R15" s="10">
        <f>M15*Q15</f>
        <v>318182</v>
      </c>
      <c r="S15" s="10" t="e">
        <f>J15*R15</f>
        <v>#REF!</v>
      </c>
      <c r="T15" s="241">
        <v>0</v>
      </c>
      <c r="U15" s="10">
        <v>0</v>
      </c>
      <c r="V15" s="10">
        <v>22660.584476143002</v>
      </c>
      <c r="W15" s="10">
        <v>1575444.79338465</v>
      </c>
      <c r="X15" s="10">
        <f>'Giá VL'!V9</f>
        <v>345317.29174999997</v>
      </c>
      <c r="Y15" s="10" t="e">
        <f>J15*X15</f>
        <v>#REF!</v>
      </c>
      <c r="Z15" s="10">
        <f>X15-K15</f>
        <v>27135.291749999975</v>
      </c>
      <c r="AA15" s="10" t="e">
        <f>J15*Z15</f>
        <v>#REF!</v>
      </c>
    </row>
    <row r="16" spans="1:27" s="391" customFormat="1" ht="30" hidden="1" x14ac:dyDescent="0.25">
      <c r="A16" s="529"/>
      <c r="B16" s="76"/>
      <c r="C16" s="411" t="str">
        <f>'Du toan chi tiet'!C10</f>
        <v>AF.15433</v>
      </c>
      <c r="D16" s="411"/>
      <c r="E16" s="155" t="str">
        <f>'Du toan chi tiet'!D10</f>
        <v>Bê tông thương phẩm, bê tông mặt đường dày mặt đường ≤25cm, bê tông M300, đá 2x4</v>
      </c>
      <c r="F16" s="76" t="str">
        <f>'Du toan chi tiet'!E10</f>
        <v>m3</v>
      </c>
      <c r="G16" s="603">
        <f>'Du toan chi tiet'!M10</f>
        <v>133.84</v>
      </c>
      <c r="H16" s="603" t="e">
        <f>'Phan tich don gia'!#REF!</f>
        <v>#REF!</v>
      </c>
      <c r="I16" s="603">
        <f>'Du toan chi tiet'!V10</f>
        <v>1</v>
      </c>
      <c r="J16" s="381" t="e">
        <f t="shared" ref="J16:J21" si="2">PRODUCT(G16,H16,I16)</f>
        <v>#REF!</v>
      </c>
      <c r="K16" s="237"/>
      <c r="L16" s="237"/>
      <c r="M16" s="237"/>
      <c r="N16" s="237"/>
      <c r="O16" s="237"/>
      <c r="P16" s="237"/>
      <c r="Q16" s="603"/>
      <c r="R16" s="237"/>
      <c r="S16" s="237"/>
      <c r="T16" s="237"/>
      <c r="U16" s="237"/>
      <c r="V16" s="237"/>
      <c r="W16" s="237"/>
      <c r="X16" s="237"/>
      <c r="Y16" s="237"/>
      <c r="Z16" s="237"/>
      <c r="AA16" s="237"/>
    </row>
    <row r="17" spans="1:27" s="391" customFormat="1" ht="30" hidden="1" x14ac:dyDescent="0.25">
      <c r="A17" s="529"/>
      <c r="B17" s="76"/>
      <c r="C17" s="411" t="str">
        <f>'Du toan chi tiet'!C28</f>
        <v>AD.32531</v>
      </c>
      <c r="D17" s="411"/>
      <c r="E17" s="155" t="str">
        <f>'Du toan chi tiet'!D28</f>
        <v>Lắp đặt cột và biển báo phản quang - Loại biển báo phản quang: Biển tam giác cạnh 70cm</v>
      </c>
      <c r="F17" s="76" t="str">
        <f>'Du toan chi tiet'!E28</f>
        <v>cái</v>
      </c>
      <c r="G17" s="603">
        <f>'Du toan chi tiet'!M28</f>
        <v>1</v>
      </c>
      <c r="H17" s="603">
        <f>'Phan tich don gia'!G158</f>
        <v>4.6991999999999999E-2</v>
      </c>
      <c r="I17" s="603">
        <f>'Du toan chi tiet'!V28</f>
        <v>1</v>
      </c>
      <c r="J17" s="381">
        <f t="shared" si="2"/>
        <v>4.6991999999999999E-2</v>
      </c>
      <c r="K17" s="237"/>
      <c r="L17" s="237"/>
      <c r="M17" s="237"/>
      <c r="N17" s="237"/>
      <c r="O17" s="237"/>
      <c r="P17" s="237"/>
      <c r="Q17" s="603"/>
      <c r="R17" s="237"/>
      <c r="S17" s="237"/>
      <c r="T17" s="237"/>
      <c r="U17" s="237"/>
      <c r="V17" s="237"/>
      <c r="W17" s="237"/>
      <c r="X17" s="237"/>
      <c r="Y17" s="237"/>
      <c r="Z17" s="237"/>
      <c r="AA17" s="237"/>
    </row>
    <row r="18" spans="1:27" s="391" customFormat="1" ht="30" hidden="1" x14ac:dyDescent="0.25">
      <c r="A18" s="529"/>
      <c r="B18" s="76"/>
      <c r="C18" s="411" t="str">
        <f>'Du toan chi tiet'!C32</f>
        <v>AF.13413</v>
      </c>
      <c r="D18" s="411"/>
      <c r="E18" s="155" t="str">
        <f>'Du toan chi tiet'!D32</f>
        <v>Bê tông ống cống hình hộp SX bằng máy trộn, đổ bằng thủ công, bê tông M250, đá 1x2, PCB40</v>
      </c>
      <c r="F18" s="76" t="str">
        <f>'Du toan chi tiet'!E32</f>
        <v>m3</v>
      </c>
      <c r="G18" s="603">
        <f>'Du toan chi tiet'!M32</f>
        <v>2.63</v>
      </c>
      <c r="H18" s="603">
        <f>'Phan tich don gia'!G174</f>
        <v>0.53197499999999998</v>
      </c>
      <c r="I18" s="603">
        <f>'Du toan chi tiet'!V32</f>
        <v>1</v>
      </c>
      <c r="J18" s="381">
        <f t="shared" si="2"/>
        <v>1.3990942499999999</v>
      </c>
      <c r="K18" s="237"/>
      <c r="L18" s="237"/>
      <c r="M18" s="237"/>
      <c r="N18" s="237"/>
      <c r="O18" s="237"/>
      <c r="P18" s="237"/>
      <c r="Q18" s="603"/>
      <c r="R18" s="237"/>
      <c r="S18" s="237"/>
      <c r="T18" s="237"/>
      <c r="U18" s="237"/>
      <c r="V18" s="237"/>
      <c r="W18" s="237"/>
      <c r="X18" s="237"/>
      <c r="Y18" s="237"/>
      <c r="Z18" s="237"/>
      <c r="AA18" s="237"/>
    </row>
    <row r="19" spans="1:27" s="391" customFormat="1" ht="45" hidden="1" x14ac:dyDescent="0.25">
      <c r="A19" s="529"/>
      <c r="B19" s="76"/>
      <c r="C19" s="411" t="str">
        <f>'Du toan chi tiet'!C36</f>
        <v>AF.11231</v>
      </c>
      <c r="D19" s="411"/>
      <c r="E19" s="155" t="str">
        <f>'Du toan chi tiet'!D36</f>
        <v>Bê tông móng tường cánh SX bằng máy trộn, đổ bằng thủ công, rộng ≤250cm, M150, đá 2x4, PCB40</v>
      </c>
      <c r="F19" s="76" t="str">
        <f>'Du toan chi tiet'!E36</f>
        <v>m3</v>
      </c>
      <c r="G19" s="603">
        <f>'Du toan chi tiet'!M36</f>
        <v>0.59</v>
      </c>
      <c r="H19" s="603">
        <f>'Phan tich don gia'!G215</f>
        <v>0.56272500000000003</v>
      </c>
      <c r="I19" s="603">
        <f>'Du toan chi tiet'!V36</f>
        <v>1</v>
      </c>
      <c r="J19" s="381">
        <f t="shared" si="2"/>
        <v>0.33200774999999999</v>
      </c>
      <c r="K19" s="237"/>
      <c r="L19" s="237"/>
      <c r="M19" s="237"/>
      <c r="N19" s="237"/>
      <c r="O19" s="237"/>
      <c r="P19" s="237"/>
      <c r="Q19" s="603"/>
      <c r="R19" s="237"/>
      <c r="S19" s="237"/>
      <c r="T19" s="237"/>
      <c r="U19" s="237"/>
      <c r="V19" s="237"/>
      <c r="W19" s="237"/>
      <c r="X19" s="237"/>
      <c r="Y19" s="237"/>
      <c r="Z19" s="237"/>
      <c r="AA19" s="237"/>
    </row>
    <row r="20" spans="1:27" s="391" customFormat="1" ht="45" hidden="1" x14ac:dyDescent="0.25">
      <c r="A20" s="529"/>
      <c r="B20" s="76"/>
      <c r="C20" s="411" t="str">
        <f>'Du toan chi tiet'!C38</f>
        <v>AF.12151</v>
      </c>
      <c r="D20" s="411"/>
      <c r="E20" s="155" t="str">
        <f>'Du toan chi tiet'!D38</f>
        <v>Bê tông tường cánh SX bằng máy trộn, đổ bằng thủ công - Chiều dày ≤45cm, chiều cao ≤6m, M150, đá 2x4, PCB40</v>
      </c>
      <c r="F20" s="76" t="str">
        <f>'Du toan chi tiet'!E38</f>
        <v>m3</v>
      </c>
      <c r="G20" s="603">
        <f>'Du toan chi tiet'!M38</f>
        <v>0.15</v>
      </c>
      <c r="H20" s="603">
        <f>'Phan tich don gia'!G238</f>
        <v>0.56272500000000003</v>
      </c>
      <c r="I20" s="603">
        <f>'Du toan chi tiet'!V38</f>
        <v>1</v>
      </c>
      <c r="J20" s="381">
        <f t="shared" si="2"/>
        <v>8.4408750000000005E-2</v>
      </c>
      <c r="K20" s="237"/>
      <c r="L20" s="237"/>
      <c r="M20" s="237"/>
      <c r="N20" s="237"/>
      <c r="O20" s="237"/>
      <c r="P20" s="237"/>
      <c r="Q20" s="603"/>
      <c r="R20" s="237"/>
      <c r="S20" s="237"/>
      <c r="T20" s="237"/>
      <c r="U20" s="237"/>
      <c r="V20" s="237"/>
      <c r="W20" s="237"/>
      <c r="X20" s="237"/>
      <c r="Y20" s="237"/>
      <c r="Z20" s="237"/>
      <c r="AA20" s="237"/>
    </row>
    <row r="21" spans="1:27" s="391" customFormat="1" ht="45" hidden="1" x14ac:dyDescent="0.25">
      <c r="A21" s="529"/>
      <c r="B21" s="76"/>
      <c r="C21" s="411" t="str">
        <f>'Du toan chi tiet'!C45</f>
        <v>AF.15433</v>
      </c>
      <c r="D21" s="411"/>
      <c r="E21" s="155" t="str">
        <f>'Du toan chi tiet'!D45</f>
        <v>Bê tông thương phẩm, bê tông hoàn trả mặt đường dày mặt đường ≤25cm, bê tông M250, đá 2x4, PCB40</v>
      </c>
      <c r="F21" s="76" t="str">
        <f>'Du toan chi tiet'!E45</f>
        <v>m3</v>
      </c>
      <c r="G21" s="603">
        <f>'Du toan chi tiet'!M45</f>
        <v>0.59</v>
      </c>
      <c r="H21" s="603" t="e">
        <f>'Phan tich don gia'!#REF!</f>
        <v>#REF!</v>
      </c>
      <c r="I21" s="603">
        <f>'Du toan chi tiet'!V45</f>
        <v>1</v>
      </c>
      <c r="J21" s="381" t="e">
        <f t="shared" si="2"/>
        <v>#REF!</v>
      </c>
      <c r="K21" s="237"/>
      <c r="L21" s="237"/>
      <c r="M21" s="237"/>
      <c r="N21" s="237"/>
      <c r="O21" s="237"/>
      <c r="P21" s="237"/>
      <c r="Q21" s="603"/>
      <c r="R21" s="237"/>
      <c r="S21" s="237"/>
      <c r="T21" s="237"/>
      <c r="U21" s="237"/>
      <c r="V21" s="237"/>
      <c r="W21" s="237"/>
      <c r="X21" s="237"/>
      <c r="Y21" s="237"/>
      <c r="Z21" s="237"/>
      <c r="AA21" s="237"/>
    </row>
    <row r="22" spans="1:27" x14ac:dyDescent="0.25">
      <c r="A22" s="159" t="s">
        <v>262</v>
      </c>
      <c r="B22" s="649">
        <v>5</v>
      </c>
      <c r="C22" s="214" t="s">
        <v>984</v>
      </c>
      <c r="D22" s="214"/>
      <c r="E22" s="720" t="str">
        <f>'Giá VL'!E10</f>
        <v>Cột chống thép ống</v>
      </c>
      <c r="F22" s="649" t="str">
        <f>'Giá VL'!F10</f>
        <v>kg</v>
      </c>
      <c r="G22" s="406"/>
      <c r="H22" s="406"/>
      <c r="I22" s="406"/>
      <c r="J22" s="176" t="e">
        <f>SUM(J23:J24)</f>
        <v>#REF!</v>
      </c>
      <c r="K22" s="10">
        <f>'Giá VL'!G10</f>
        <v>19600</v>
      </c>
      <c r="L22" s="10" t="e">
        <f>J22*K22</f>
        <v>#REF!</v>
      </c>
      <c r="M22" s="10">
        <f>'Giá VL'!J10</f>
        <v>17000</v>
      </c>
      <c r="N22" s="10" t="e">
        <f>J22*M22</f>
        <v>#REF!</v>
      </c>
      <c r="O22" s="526">
        <f>M22-K22</f>
        <v>-2600</v>
      </c>
      <c r="P22" s="10" t="e">
        <f>J22*O22</f>
        <v>#REF!</v>
      </c>
      <c r="Q22" s="406">
        <v>1</v>
      </c>
      <c r="R22" s="10">
        <f>M22*Q22</f>
        <v>17000</v>
      </c>
      <c r="S22" s="10" t="e">
        <f>J22*R22</f>
        <v>#REF!</v>
      </c>
      <c r="T22" s="241">
        <v>0</v>
      </c>
      <c r="U22" s="10">
        <v>0</v>
      </c>
      <c r="V22" s="10">
        <v>0</v>
      </c>
      <c r="W22" s="10">
        <v>0</v>
      </c>
      <c r="X22" s="10">
        <f>'Giá VL'!V10</f>
        <v>17000</v>
      </c>
      <c r="Y22" s="10" t="e">
        <f>J22*X22</f>
        <v>#REF!</v>
      </c>
      <c r="Z22" s="398">
        <f>X22-K22</f>
        <v>-2600</v>
      </c>
      <c r="AA22" s="10" t="e">
        <f>J22*Z22</f>
        <v>#REF!</v>
      </c>
    </row>
    <row r="23" spans="1:27" s="391" customFormat="1" ht="30" hidden="1" x14ac:dyDescent="0.25">
      <c r="A23" s="529"/>
      <c r="B23" s="76"/>
      <c r="C23" s="411" t="str">
        <f>'Du toan chi tiet'!C35</f>
        <v>AF.86211</v>
      </c>
      <c r="D23" s="411"/>
      <c r="E23" s="155" t="str">
        <f>'Du toan chi tiet'!D35</f>
        <v>Ván khuôn thép, khung xương, cột chống giáo ống, tường, chiều cao ≤28m</v>
      </c>
      <c r="F23" s="76" t="str">
        <f>'Du toan chi tiet'!E35</f>
        <v>m2</v>
      </c>
      <c r="G23" s="603">
        <f>'Du toan chi tiet'!M35</f>
        <v>21.33</v>
      </c>
      <c r="H23" s="603" t="e">
        <f>'Phan tich don gia'!#REF!</f>
        <v>#REF!</v>
      </c>
      <c r="I23" s="603">
        <f>'Du toan chi tiet'!V35</f>
        <v>1</v>
      </c>
      <c r="J23" s="381" t="e">
        <f t="shared" ref="J23:J24" si="3">PRODUCT(G23,H23,I23)</f>
        <v>#REF!</v>
      </c>
      <c r="K23" s="237"/>
      <c r="L23" s="237"/>
      <c r="M23" s="237"/>
      <c r="N23" s="237"/>
      <c r="O23" s="237"/>
      <c r="P23" s="237"/>
      <c r="Q23" s="603"/>
      <c r="R23" s="237"/>
      <c r="S23" s="237"/>
      <c r="T23" s="237"/>
      <c r="U23" s="237"/>
      <c r="V23" s="237"/>
      <c r="W23" s="237"/>
      <c r="X23" s="237"/>
      <c r="Y23" s="237"/>
      <c r="Z23" s="237"/>
      <c r="AA23" s="237"/>
    </row>
    <row r="24" spans="1:27" s="391" customFormat="1" ht="30" hidden="1" x14ac:dyDescent="0.25">
      <c r="A24" s="529"/>
      <c r="B24" s="76"/>
      <c r="C24" s="411" t="str">
        <f>'Du toan chi tiet'!C39</f>
        <v>AF.86211</v>
      </c>
      <c r="D24" s="411"/>
      <c r="E24" s="155" t="str">
        <f>'Du toan chi tiet'!D39</f>
        <v>Ván khuôn thép, khung xương, cột chống giáo ống, tường cánh chiều cao ≤28m</v>
      </c>
      <c r="F24" s="76" t="str">
        <f>'Du toan chi tiet'!E39</f>
        <v>m2</v>
      </c>
      <c r="G24" s="603">
        <f>'Du toan chi tiet'!M39</f>
        <v>0.81</v>
      </c>
      <c r="H24" s="603" t="e">
        <f>'Phan tich don gia'!#REF!</f>
        <v>#REF!</v>
      </c>
      <c r="I24" s="603">
        <f>'Du toan chi tiet'!V39</f>
        <v>1</v>
      </c>
      <c r="J24" s="381" t="e">
        <f t="shared" si="3"/>
        <v>#REF!</v>
      </c>
      <c r="K24" s="237"/>
      <c r="L24" s="237"/>
      <c r="M24" s="237"/>
      <c r="N24" s="237"/>
      <c r="O24" s="237"/>
      <c r="P24" s="237"/>
      <c r="Q24" s="603"/>
      <c r="R24" s="237"/>
      <c r="S24" s="237"/>
      <c r="T24" s="237"/>
      <c r="U24" s="237"/>
      <c r="V24" s="237"/>
      <c r="W24" s="237"/>
      <c r="X24" s="237"/>
      <c r="Y24" s="237"/>
      <c r="Z24" s="237"/>
      <c r="AA24" s="237"/>
    </row>
    <row r="25" spans="1:27" x14ac:dyDescent="0.25">
      <c r="A25" s="159" t="s">
        <v>262</v>
      </c>
      <c r="B25" s="649">
        <v>6</v>
      </c>
      <c r="C25" s="214" t="s">
        <v>123</v>
      </c>
      <c r="D25" s="214"/>
      <c r="E25" s="720" t="str">
        <f>'Giá VL'!E11</f>
        <v>Đá 1x2</v>
      </c>
      <c r="F25" s="649" t="str">
        <f>'Giá VL'!F11</f>
        <v>m3</v>
      </c>
      <c r="G25" s="406"/>
      <c r="H25" s="406"/>
      <c r="I25" s="406"/>
      <c r="J25" s="176">
        <f>SUM(J26:J27)</f>
        <v>2.38238525</v>
      </c>
      <c r="K25" s="10">
        <f>'Giá VL'!G11</f>
        <v>290909</v>
      </c>
      <c r="L25" s="10">
        <f>J25*K25</f>
        <v>693057.31069225003</v>
      </c>
      <c r="M25" s="10">
        <f>'Giá VL'!J11</f>
        <v>290909</v>
      </c>
      <c r="N25" s="10">
        <f>J25*M25</f>
        <v>693057.31069225003</v>
      </c>
      <c r="O25" s="526">
        <f>M25-K25</f>
        <v>0</v>
      </c>
      <c r="P25" s="10">
        <f>J25*O25</f>
        <v>0</v>
      </c>
      <c r="Q25" s="406">
        <v>1</v>
      </c>
      <c r="R25" s="10">
        <f>M25*Q25</f>
        <v>290909</v>
      </c>
      <c r="S25" s="10">
        <f>J25*R25</f>
        <v>693057.31069225003</v>
      </c>
      <c r="T25" s="241">
        <v>0</v>
      </c>
      <c r="U25" s="10">
        <v>0</v>
      </c>
      <c r="V25" s="10">
        <v>29126.708748920999</v>
      </c>
      <c r="W25" s="10">
        <v>69391.041304475293</v>
      </c>
      <c r="X25" s="88">
        <f>'Giá VL'!V11</f>
        <v>325404.14456500002</v>
      </c>
      <c r="Y25" s="10">
        <f>J25*X25</f>
        <v>775238.03430052369</v>
      </c>
      <c r="Z25" s="398">
        <f>X25-K25</f>
        <v>34495.144565000024</v>
      </c>
      <c r="AA25" s="10">
        <f>J25*Z25</f>
        <v>82180.723608273722</v>
      </c>
    </row>
    <row r="26" spans="1:27" s="391" customFormat="1" ht="30" hidden="1" x14ac:dyDescent="0.25">
      <c r="A26" s="529"/>
      <c r="B26" s="76"/>
      <c r="C26" s="411" t="str">
        <f>'Du toan chi tiet'!C28</f>
        <v>AD.32531</v>
      </c>
      <c r="D26" s="411"/>
      <c r="E26" s="155" t="str">
        <f>'Du toan chi tiet'!D28</f>
        <v>Lắp đặt cột và biển báo phản quang - Loại biển báo phản quang: Biển tam giác cạnh 70cm</v>
      </c>
      <c r="F26" s="76" t="str">
        <f>'Du toan chi tiet'!E28</f>
        <v>cái</v>
      </c>
      <c r="G26" s="603">
        <f>'Du toan chi tiet'!M28</f>
        <v>1</v>
      </c>
      <c r="H26" s="603">
        <f>'Phan tich don gia'!G159</f>
        <v>7.7519000000000005E-2</v>
      </c>
      <c r="I26" s="603">
        <f>'Du toan chi tiet'!V28</f>
        <v>1</v>
      </c>
      <c r="J26" s="381">
        <f t="shared" ref="J26:J27" si="4">PRODUCT(G26,H26,I26)</f>
        <v>7.7519000000000005E-2</v>
      </c>
      <c r="K26" s="237"/>
      <c r="L26" s="237"/>
      <c r="M26" s="237"/>
      <c r="N26" s="237"/>
      <c r="O26" s="237"/>
      <c r="P26" s="237"/>
      <c r="Q26" s="603"/>
      <c r="R26" s="237"/>
      <c r="S26" s="237"/>
      <c r="T26" s="237"/>
      <c r="U26" s="237"/>
      <c r="V26" s="237"/>
      <c r="W26" s="237"/>
      <c r="X26" s="237"/>
      <c r="Y26" s="237"/>
      <c r="Z26" s="237"/>
      <c r="AA26" s="237"/>
    </row>
    <row r="27" spans="1:27" s="391" customFormat="1" ht="30" hidden="1" x14ac:dyDescent="0.25">
      <c r="A27" s="529"/>
      <c r="B27" s="76"/>
      <c r="C27" s="411" t="str">
        <f>'Du toan chi tiet'!C32</f>
        <v>AF.13413</v>
      </c>
      <c r="D27" s="411"/>
      <c r="E27" s="155" t="str">
        <f>'Du toan chi tiet'!D32</f>
        <v>Bê tông ống cống hình hộp SX bằng máy trộn, đổ bằng thủ công, bê tông M250, đá 1x2, PCB40</v>
      </c>
      <c r="F27" s="76" t="str">
        <f>'Du toan chi tiet'!E32</f>
        <v>m3</v>
      </c>
      <c r="G27" s="603">
        <f>'Du toan chi tiet'!M32</f>
        <v>2.63</v>
      </c>
      <c r="H27" s="603">
        <f>'Phan tich don gia'!G175</f>
        <v>0.87637500000000002</v>
      </c>
      <c r="I27" s="603">
        <f>'Du toan chi tiet'!V32</f>
        <v>1</v>
      </c>
      <c r="J27" s="381">
        <f t="shared" si="4"/>
        <v>2.3048662499999999</v>
      </c>
      <c r="K27" s="237"/>
      <c r="L27" s="237"/>
      <c r="M27" s="237"/>
      <c r="N27" s="237"/>
      <c r="O27" s="237"/>
      <c r="P27" s="237"/>
      <c r="Q27" s="603"/>
      <c r="R27" s="237"/>
      <c r="S27" s="237"/>
      <c r="T27" s="237"/>
      <c r="U27" s="237"/>
      <c r="V27" s="237"/>
      <c r="W27" s="237"/>
      <c r="X27" s="237"/>
      <c r="Y27" s="237"/>
      <c r="Z27" s="237"/>
      <c r="AA27" s="237"/>
    </row>
    <row r="28" spans="1:27" x14ac:dyDescent="0.25">
      <c r="A28" s="159" t="s">
        <v>262</v>
      </c>
      <c r="B28" s="649">
        <v>7</v>
      </c>
      <c r="C28" s="214" t="s">
        <v>485</v>
      </c>
      <c r="D28" s="214"/>
      <c r="E28" s="720" t="str">
        <f>'Giá VL'!E12</f>
        <v>Đá 2x4</v>
      </c>
      <c r="F28" s="649" t="str">
        <f>'Giá VL'!F12</f>
        <v>m3</v>
      </c>
      <c r="G28" s="406"/>
      <c r="H28" s="406"/>
      <c r="I28" s="406"/>
      <c r="J28" s="176" t="e">
        <f>SUM(J29:J32)</f>
        <v>#REF!</v>
      </c>
      <c r="K28" s="10">
        <f>'Giá VL'!G12</f>
        <v>281818</v>
      </c>
      <c r="L28" s="10" t="e">
        <f>J28*K28</f>
        <v>#REF!</v>
      </c>
      <c r="M28" s="10">
        <f>'Giá VL'!J12</f>
        <v>281818</v>
      </c>
      <c r="N28" s="10" t="e">
        <f>J28*M28</f>
        <v>#REF!</v>
      </c>
      <c r="O28" s="526">
        <f>M28-K28</f>
        <v>0</v>
      </c>
      <c r="P28" s="10" t="e">
        <f>J28*O28</f>
        <v>#REF!</v>
      </c>
      <c r="Q28" s="406">
        <v>1</v>
      </c>
      <c r="R28" s="10">
        <f>M28*Q28</f>
        <v>281818</v>
      </c>
      <c r="S28" s="10" t="e">
        <f>J28*R28</f>
        <v>#REF!</v>
      </c>
      <c r="T28" s="241">
        <v>0</v>
      </c>
      <c r="U28" s="10">
        <v>0</v>
      </c>
      <c r="V28" s="10">
        <v>29126.708748920999</v>
      </c>
      <c r="W28" s="10">
        <v>3215999.8349099602</v>
      </c>
      <c r="X28" s="88">
        <f>'Giá VL'!V12</f>
        <v>316313.14456500002</v>
      </c>
      <c r="Y28" s="10" t="e">
        <f>J28*X28</f>
        <v>#REF!</v>
      </c>
      <c r="Z28" s="10">
        <f>X28-K28</f>
        <v>34495.144565000024</v>
      </c>
      <c r="AA28" s="10" t="e">
        <f>J28*Z28</f>
        <v>#REF!</v>
      </c>
    </row>
    <row r="29" spans="1:27" s="391" customFormat="1" ht="30" hidden="1" x14ac:dyDescent="0.25">
      <c r="A29" s="529"/>
      <c r="B29" s="76"/>
      <c r="C29" s="411" t="str">
        <f>'Du toan chi tiet'!C10</f>
        <v>AF.15433</v>
      </c>
      <c r="D29" s="411"/>
      <c r="E29" s="155" t="str">
        <f>'Du toan chi tiet'!D10</f>
        <v>Bê tông thương phẩm, bê tông mặt đường dày mặt đường ≤25cm, bê tông M300, đá 2x4</v>
      </c>
      <c r="F29" s="76" t="str">
        <f>'Du toan chi tiet'!E10</f>
        <v>m3</v>
      </c>
      <c r="G29" s="603">
        <f>'Du toan chi tiet'!M10</f>
        <v>133.84</v>
      </c>
      <c r="H29" s="603" t="e">
        <f>'Phan tich don gia'!#REF!</f>
        <v>#REF!</v>
      </c>
      <c r="I29" s="603">
        <f>'Du toan chi tiet'!V10</f>
        <v>1</v>
      </c>
      <c r="J29" s="381" t="e">
        <f t="shared" ref="J29:J32" si="5">PRODUCT(G29,H29,I29)</f>
        <v>#REF!</v>
      </c>
      <c r="K29" s="237"/>
      <c r="L29" s="237"/>
      <c r="M29" s="237"/>
      <c r="N29" s="237"/>
      <c r="O29" s="237"/>
      <c r="P29" s="237"/>
      <c r="Q29" s="603"/>
      <c r="R29" s="237"/>
      <c r="S29" s="237"/>
      <c r="T29" s="237"/>
      <c r="U29" s="237"/>
      <c r="V29" s="237"/>
      <c r="W29" s="237"/>
      <c r="X29" s="237"/>
      <c r="Y29" s="237"/>
      <c r="Z29" s="237"/>
      <c r="AA29" s="237"/>
    </row>
    <row r="30" spans="1:27" s="391" customFormat="1" ht="45" hidden="1" x14ac:dyDescent="0.25">
      <c r="A30" s="529"/>
      <c r="B30" s="76"/>
      <c r="C30" s="411" t="str">
        <f>'Du toan chi tiet'!C36</f>
        <v>AF.11231</v>
      </c>
      <c r="D30" s="411"/>
      <c r="E30" s="155" t="str">
        <f>'Du toan chi tiet'!D36</f>
        <v>Bê tông móng tường cánh SX bằng máy trộn, đổ bằng thủ công, rộng ≤250cm, M150, đá 2x4, PCB40</v>
      </c>
      <c r="F30" s="76" t="str">
        <f>'Du toan chi tiet'!E36</f>
        <v>m3</v>
      </c>
      <c r="G30" s="603">
        <f>'Du toan chi tiet'!M36</f>
        <v>0.59</v>
      </c>
      <c r="H30" s="603">
        <f>'Phan tich don gia'!G216</f>
        <v>0.91225000000000001</v>
      </c>
      <c r="I30" s="603">
        <f>'Du toan chi tiet'!V36</f>
        <v>1</v>
      </c>
      <c r="J30" s="381">
        <f t="shared" si="5"/>
        <v>0.53822749999999997</v>
      </c>
      <c r="K30" s="237"/>
      <c r="L30" s="237"/>
      <c r="M30" s="237"/>
      <c r="N30" s="237"/>
      <c r="O30" s="237"/>
      <c r="P30" s="237"/>
      <c r="Q30" s="603"/>
      <c r="R30" s="237"/>
      <c r="S30" s="237"/>
      <c r="T30" s="237"/>
      <c r="U30" s="237"/>
      <c r="V30" s="237"/>
      <c r="W30" s="237"/>
      <c r="X30" s="237"/>
      <c r="Y30" s="237"/>
      <c r="Z30" s="237"/>
      <c r="AA30" s="237"/>
    </row>
    <row r="31" spans="1:27" s="391" customFormat="1" ht="45" hidden="1" x14ac:dyDescent="0.25">
      <c r="A31" s="529"/>
      <c r="B31" s="76"/>
      <c r="C31" s="411" t="str">
        <f>'Du toan chi tiet'!C38</f>
        <v>AF.12151</v>
      </c>
      <c r="D31" s="411"/>
      <c r="E31" s="155" t="str">
        <f>'Du toan chi tiet'!D38</f>
        <v>Bê tông tường cánh SX bằng máy trộn, đổ bằng thủ công - Chiều dày ≤45cm, chiều cao ≤6m, M150, đá 2x4, PCB40</v>
      </c>
      <c r="F31" s="76" t="str">
        <f>'Du toan chi tiet'!E38</f>
        <v>m3</v>
      </c>
      <c r="G31" s="603">
        <f>'Du toan chi tiet'!M38</f>
        <v>0.15</v>
      </c>
      <c r="H31" s="603">
        <f>'Phan tich don gia'!G239</f>
        <v>0.91225000000000001</v>
      </c>
      <c r="I31" s="603">
        <f>'Du toan chi tiet'!V38</f>
        <v>1</v>
      </c>
      <c r="J31" s="381">
        <f t="shared" si="5"/>
        <v>0.1368375</v>
      </c>
      <c r="K31" s="237"/>
      <c r="L31" s="237"/>
      <c r="M31" s="237"/>
      <c r="N31" s="237"/>
      <c r="O31" s="237"/>
      <c r="P31" s="237"/>
      <c r="Q31" s="603"/>
      <c r="R31" s="237"/>
      <c r="S31" s="237"/>
      <c r="T31" s="237"/>
      <c r="U31" s="237"/>
      <c r="V31" s="237"/>
      <c r="W31" s="237"/>
      <c r="X31" s="237"/>
      <c r="Y31" s="237"/>
      <c r="Z31" s="237"/>
      <c r="AA31" s="237"/>
    </row>
    <row r="32" spans="1:27" s="391" customFormat="1" ht="45" hidden="1" x14ac:dyDescent="0.25">
      <c r="A32" s="529"/>
      <c r="B32" s="76"/>
      <c r="C32" s="411" t="str">
        <f>'Du toan chi tiet'!C45</f>
        <v>AF.15433</v>
      </c>
      <c r="D32" s="411"/>
      <c r="E32" s="155" t="str">
        <f>'Du toan chi tiet'!D45</f>
        <v>Bê tông thương phẩm, bê tông hoàn trả mặt đường dày mặt đường ≤25cm, bê tông M250, đá 2x4, PCB40</v>
      </c>
      <c r="F32" s="76" t="str">
        <f>'Du toan chi tiet'!E45</f>
        <v>m3</v>
      </c>
      <c r="G32" s="603">
        <f>'Du toan chi tiet'!M45</f>
        <v>0.59</v>
      </c>
      <c r="H32" s="603" t="e">
        <f>'Phan tich don gia'!#REF!</f>
        <v>#REF!</v>
      </c>
      <c r="I32" s="603">
        <f>'Du toan chi tiet'!V45</f>
        <v>1</v>
      </c>
      <c r="J32" s="381" t="e">
        <f t="shared" si="5"/>
        <v>#REF!</v>
      </c>
      <c r="K32" s="237"/>
      <c r="L32" s="237"/>
      <c r="M32" s="237"/>
      <c r="N32" s="237"/>
      <c r="O32" s="237"/>
      <c r="P32" s="237"/>
      <c r="Q32" s="603"/>
      <c r="R32" s="237"/>
      <c r="S32" s="237"/>
      <c r="T32" s="237"/>
      <c r="U32" s="237"/>
      <c r="V32" s="237"/>
      <c r="W32" s="237"/>
      <c r="X32" s="237"/>
      <c r="Y32" s="237"/>
      <c r="Z32" s="237"/>
      <c r="AA32" s="237"/>
    </row>
    <row r="33" spans="1:27" x14ac:dyDescent="0.25">
      <c r="A33" s="159" t="s">
        <v>262</v>
      </c>
      <c r="B33" s="649">
        <v>8</v>
      </c>
      <c r="C33" s="214" t="s">
        <v>552</v>
      </c>
      <c r="D33" s="214"/>
      <c r="E33" s="720" t="str">
        <f>'Giá VL'!E13</f>
        <v xml:space="preserve">Đá dăm 2x4 </v>
      </c>
      <c r="F33" s="649" t="str">
        <f>'Giá VL'!F13</f>
        <v>m3</v>
      </c>
      <c r="G33" s="406"/>
      <c r="H33" s="406"/>
      <c r="I33" s="406"/>
      <c r="J33" s="176">
        <f>SUM(J34:J34)</f>
        <v>0.91199999999999992</v>
      </c>
      <c r="K33" s="10">
        <f>'Giá VL'!G13</f>
        <v>281818</v>
      </c>
      <c r="L33" s="10">
        <f>J33*K33</f>
        <v>257018.01599999997</v>
      </c>
      <c r="M33" s="10">
        <f>'Giá VL'!J13</f>
        <v>281818</v>
      </c>
      <c r="N33" s="10">
        <f>J33*M33</f>
        <v>257018.01599999997</v>
      </c>
      <c r="O33" s="526">
        <f>M33-K33</f>
        <v>0</v>
      </c>
      <c r="P33" s="10">
        <f>J33*O33</f>
        <v>0</v>
      </c>
      <c r="Q33" s="406">
        <v>1</v>
      </c>
      <c r="R33" s="10">
        <f>M33*Q33</f>
        <v>281818</v>
      </c>
      <c r="S33" s="10">
        <f>J33*R33</f>
        <v>257018.01599999997</v>
      </c>
      <c r="T33" s="241">
        <v>0</v>
      </c>
      <c r="U33" s="10">
        <v>0</v>
      </c>
      <c r="V33" s="10">
        <v>0</v>
      </c>
      <c r="W33" s="10">
        <v>0</v>
      </c>
      <c r="X33" s="10">
        <f>'Giá VL'!V13</f>
        <v>316313.14456500002</v>
      </c>
      <c r="Y33" s="10">
        <f>J33*X33</f>
        <v>288477.58784327999</v>
      </c>
      <c r="Z33" s="398">
        <f>X33-K33</f>
        <v>34495.144565000024</v>
      </c>
      <c r="AA33" s="10">
        <f>J33*Z33</f>
        <v>31459.57184328002</v>
      </c>
    </row>
    <row r="34" spans="1:27" s="391" customFormat="1" hidden="1" x14ac:dyDescent="0.25">
      <c r="A34" s="529"/>
      <c r="B34" s="76"/>
      <c r="C34" s="411" t="str">
        <f>'Du toan chi tiet'!C40</f>
        <v>AK.98110</v>
      </c>
      <c r="D34" s="411"/>
      <c r="E34" s="155" t="str">
        <f>'Du toan chi tiet'!D40</f>
        <v>Thi công lớp đá đệm móng, đá dăm 2x4</v>
      </c>
      <c r="F34" s="76" t="str">
        <f>'Du toan chi tiet'!E40</f>
        <v>m3</v>
      </c>
      <c r="G34" s="603">
        <f>'Du toan chi tiet'!M40</f>
        <v>0.76</v>
      </c>
      <c r="H34" s="603">
        <f>'Phan tich don gia'!G260</f>
        <v>1.2</v>
      </c>
      <c r="I34" s="603">
        <f>'Du toan chi tiet'!V40</f>
        <v>1</v>
      </c>
      <c r="J34" s="381">
        <f>PRODUCT(G34,H34,I34)</f>
        <v>0.91199999999999992</v>
      </c>
      <c r="K34" s="237"/>
      <c r="L34" s="237"/>
      <c r="M34" s="237"/>
      <c r="N34" s="237"/>
      <c r="O34" s="237"/>
      <c r="P34" s="237"/>
      <c r="Q34" s="603"/>
      <c r="R34" s="237"/>
      <c r="S34" s="237"/>
      <c r="T34" s="237"/>
      <c r="U34" s="237"/>
      <c r="V34" s="237"/>
      <c r="W34" s="237"/>
      <c r="X34" s="237"/>
      <c r="Y34" s="237"/>
      <c r="Z34" s="237"/>
      <c r="AA34" s="237"/>
    </row>
    <row r="35" spans="1:27" x14ac:dyDescent="0.25">
      <c r="A35" s="159" t="s">
        <v>262</v>
      </c>
      <c r="B35" s="649">
        <v>9</v>
      </c>
      <c r="C35" s="214" t="s">
        <v>901</v>
      </c>
      <c r="D35" s="214"/>
      <c r="E35" s="720" t="str">
        <f>'Giá VL'!E14</f>
        <v>Dây thép</v>
      </c>
      <c r="F35" s="649" t="str">
        <f>'Giá VL'!F14</f>
        <v>kg</v>
      </c>
      <c r="G35" s="406"/>
      <c r="H35" s="406"/>
      <c r="I35" s="406"/>
      <c r="J35" s="176">
        <f>SUM(J36:J37)</f>
        <v>4.42537</v>
      </c>
      <c r="K35" s="10">
        <f>'Giá VL'!G14</f>
        <v>16300</v>
      </c>
      <c r="L35" s="10">
        <f>J35*K35</f>
        <v>72133.531000000003</v>
      </c>
      <c r="M35" s="10">
        <f>'Giá VL'!J14</f>
        <v>16300</v>
      </c>
      <c r="N35" s="10">
        <f>J35*M35</f>
        <v>72133.531000000003</v>
      </c>
      <c r="O35" s="526">
        <f>M35-K35</f>
        <v>0</v>
      </c>
      <c r="P35" s="10">
        <f>J35*O35</f>
        <v>0</v>
      </c>
      <c r="Q35" s="406">
        <v>1</v>
      </c>
      <c r="R35" s="10">
        <f>M35*Q35</f>
        <v>16300</v>
      </c>
      <c r="S35" s="10">
        <f>J35*R35</f>
        <v>72133.531000000003</v>
      </c>
      <c r="T35" s="241">
        <v>0</v>
      </c>
      <c r="U35" s="10">
        <v>0</v>
      </c>
      <c r="V35" s="10">
        <v>0</v>
      </c>
      <c r="W35" s="10">
        <v>0</v>
      </c>
      <c r="X35" s="10">
        <f>'Giá VL'!V14</f>
        <v>16300</v>
      </c>
      <c r="Y35" s="10">
        <f>J35*X35</f>
        <v>72133.531000000003</v>
      </c>
      <c r="Z35" s="398">
        <f>X35-K35</f>
        <v>0</v>
      </c>
      <c r="AA35" s="10">
        <f>J35*Z35</f>
        <v>0</v>
      </c>
    </row>
    <row r="36" spans="1:27" s="391" customFormat="1" hidden="1" x14ac:dyDescent="0.25">
      <c r="A36" s="529"/>
      <c r="B36" s="76"/>
      <c r="C36" s="411" t="str">
        <f>'Du toan chi tiet'!C33</f>
        <v>AF.63310</v>
      </c>
      <c r="D36" s="411"/>
      <c r="E36" s="155" t="str">
        <f>'Du toan chi tiet'!D33</f>
        <v>Lắp dựng cốt thép cống, ĐK ≤10mm</v>
      </c>
      <c r="F36" s="76" t="str">
        <f>'Du toan chi tiet'!E33</f>
        <v>tấn</v>
      </c>
      <c r="G36" s="603">
        <f>'Du toan chi tiet'!M33</f>
        <v>0.23899999999999999</v>
      </c>
      <c r="H36" s="603">
        <f>'Phan tich don gia'!G186</f>
        <v>16.07</v>
      </c>
      <c r="I36" s="603">
        <f>'Du toan chi tiet'!V33</f>
        <v>1</v>
      </c>
      <c r="J36" s="381">
        <f t="shared" ref="J36:J37" si="6">PRODUCT(G36,H36,I36)</f>
        <v>3.8407299999999998</v>
      </c>
      <c r="K36" s="237"/>
      <c r="L36" s="237"/>
      <c r="M36" s="237"/>
      <c r="N36" s="237"/>
      <c r="O36" s="237"/>
      <c r="P36" s="237"/>
      <c r="Q36" s="603"/>
      <c r="R36" s="237"/>
      <c r="S36" s="237"/>
      <c r="T36" s="237"/>
      <c r="U36" s="237"/>
      <c r="V36" s="237"/>
      <c r="W36" s="237"/>
      <c r="X36" s="237"/>
      <c r="Y36" s="237"/>
      <c r="Z36" s="237"/>
      <c r="AA36" s="237"/>
    </row>
    <row r="37" spans="1:27" s="391" customFormat="1" hidden="1" x14ac:dyDescent="0.25">
      <c r="A37" s="529"/>
      <c r="B37" s="76"/>
      <c r="C37" s="411" t="str">
        <f>'Du toan chi tiet'!C34</f>
        <v>AF.63320</v>
      </c>
      <c r="D37" s="411"/>
      <c r="E37" s="155" t="str">
        <f>'Du toan chi tiet'!D34</f>
        <v>Lắp dựng cốt thép cống, ĐK ≤18mm</v>
      </c>
      <c r="F37" s="76" t="str">
        <f>'Du toan chi tiet'!E34</f>
        <v>tấn</v>
      </c>
      <c r="G37" s="603">
        <f>'Du toan chi tiet'!M34</f>
        <v>6.3E-2</v>
      </c>
      <c r="H37" s="603">
        <f>'Phan tich don gia'!G194</f>
        <v>9.2799999999999994</v>
      </c>
      <c r="I37" s="603">
        <f>'Du toan chi tiet'!V34</f>
        <v>1</v>
      </c>
      <c r="J37" s="381">
        <f t="shared" si="6"/>
        <v>0.58463999999999994</v>
      </c>
      <c r="K37" s="237"/>
      <c r="L37" s="237"/>
      <c r="M37" s="237"/>
      <c r="N37" s="237"/>
      <c r="O37" s="237"/>
      <c r="P37" s="237"/>
      <c r="Q37" s="603"/>
      <c r="R37" s="237"/>
      <c r="S37" s="237"/>
      <c r="T37" s="237"/>
      <c r="U37" s="237"/>
      <c r="V37" s="237"/>
      <c r="W37" s="237"/>
      <c r="X37" s="237"/>
      <c r="Y37" s="237"/>
      <c r="Z37" s="237"/>
      <c r="AA37" s="237"/>
    </row>
    <row r="38" spans="1:27" x14ac:dyDescent="0.25">
      <c r="A38" s="159" t="s">
        <v>262</v>
      </c>
      <c r="B38" s="649">
        <v>10</v>
      </c>
      <c r="C38" s="214" t="s">
        <v>894</v>
      </c>
      <c r="D38" s="214"/>
      <c r="E38" s="720" t="str">
        <f>'Giá VL'!E15</f>
        <v>Khí gas</v>
      </c>
      <c r="F38" s="649" t="str">
        <f>'Giá VL'!F15</f>
        <v>kg</v>
      </c>
      <c r="G38" s="406"/>
      <c r="H38" s="406"/>
      <c r="I38" s="406"/>
      <c r="J38" s="176">
        <f>SUM(J39:J39)</f>
        <v>2.3759999999999999</v>
      </c>
      <c r="K38" s="10">
        <f>'Giá VL'!G15</f>
        <v>27273</v>
      </c>
      <c r="L38" s="10">
        <f>J38*K38</f>
        <v>64800.647999999994</v>
      </c>
      <c r="M38" s="10">
        <f>'Giá VL'!J15</f>
        <v>27273</v>
      </c>
      <c r="N38" s="10">
        <f>J38*M38</f>
        <v>64800.647999999994</v>
      </c>
      <c r="O38" s="526">
        <f>M38-K38</f>
        <v>0</v>
      </c>
      <c r="P38" s="10">
        <f>J38*O38</f>
        <v>0</v>
      </c>
      <c r="Q38" s="406">
        <v>1</v>
      </c>
      <c r="R38" s="10">
        <f>M38*Q38</f>
        <v>27273</v>
      </c>
      <c r="S38" s="10">
        <f>J38*R38</f>
        <v>64800.647999999994</v>
      </c>
      <c r="T38" s="241">
        <v>0</v>
      </c>
      <c r="U38" s="10">
        <v>0</v>
      </c>
      <c r="V38" s="10">
        <v>0</v>
      </c>
      <c r="W38" s="10">
        <v>0</v>
      </c>
      <c r="X38" s="10">
        <f>'Giá VL'!V15</f>
        <v>27273</v>
      </c>
      <c r="Y38" s="10">
        <f>J38*X38</f>
        <v>64800.647999999994</v>
      </c>
      <c r="Z38" s="398">
        <f>X38-K38</f>
        <v>0</v>
      </c>
      <c r="AA38" s="10">
        <f>J38*Z38</f>
        <v>0</v>
      </c>
    </row>
    <row r="39" spans="1:27" s="391" customFormat="1" ht="30" hidden="1" x14ac:dyDescent="0.25">
      <c r="A39" s="529"/>
      <c r="B39" s="76"/>
      <c r="C39" s="411" t="str">
        <f>'Du toan chi tiet'!C24</f>
        <v>AK.91141vd</v>
      </c>
      <c r="D39" s="411"/>
      <c r="E39" s="155" t="str">
        <f>'Du toan chi tiet'!D24</f>
        <v>Sơn kẻ đường bằng sơn dẻo nhiệt phản quang, dày sơn 6mm</v>
      </c>
      <c r="F39" s="76" t="str">
        <f>'Du toan chi tiet'!E24</f>
        <v>m2</v>
      </c>
      <c r="G39" s="603">
        <f>'Du toan chi tiet'!M24</f>
        <v>6.6</v>
      </c>
      <c r="H39" s="603">
        <f>'Phan tich don gia'!G130</f>
        <v>0.36</v>
      </c>
      <c r="I39" s="603">
        <f>'Du toan chi tiet'!V24</f>
        <v>1</v>
      </c>
      <c r="J39" s="381">
        <f>PRODUCT(G39,H39,I39)</f>
        <v>2.3759999999999999</v>
      </c>
      <c r="K39" s="237"/>
      <c r="L39" s="237"/>
      <c r="M39" s="237"/>
      <c r="N39" s="237"/>
      <c r="O39" s="237"/>
      <c r="P39" s="237"/>
      <c r="Q39" s="603"/>
      <c r="R39" s="237"/>
      <c r="S39" s="237"/>
      <c r="T39" s="237"/>
      <c r="U39" s="237"/>
      <c r="V39" s="237"/>
      <c r="W39" s="237"/>
      <c r="X39" s="237"/>
      <c r="Y39" s="237"/>
      <c r="Z39" s="237"/>
      <c r="AA39" s="237"/>
    </row>
    <row r="40" spans="1:27" x14ac:dyDescent="0.25">
      <c r="A40" s="159" t="s">
        <v>262</v>
      </c>
      <c r="B40" s="649">
        <v>11</v>
      </c>
      <c r="C40" s="214" t="s">
        <v>580</v>
      </c>
      <c r="D40" s="214"/>
      <c r="E40" s="720" t="str">
        <f>'Giá VL'!E16</f>
        <v>Bạc sọc xanh trắng</v>
      </c>
      <c r="F40" s="649" t="str">
        <f>'Giá VL'!F16</f>
        <v>m2</v>
      </c>
      <c r="G40" s="406"/>
      <c r="H40" s="406"/>
      <c r="I40" s="406"/>
      <c r="J40" s="176">
        <f>SUM(J41:J42)</f>
        <v>843.05100000000004</v>
      </c>
      <c r="K40" s="10">
        <f>'Giá VL'!G16</f>
        <v>5000</v>
      </c>
      <c r="L40" s="10">
        <f>J40*K40</f>
        <v>4215255</v>
      </c>
      <c r="M40" s="10">
        <f>'Giá VL'!J16</f>
        <v>5000</v>
      </c>
      <c r="N40" s="10">
        <f>J40*M40</f>
        <v>4215255</v>
      </c>
      <c r="O40" s="526">
        <f>M40-K40</f>
        <v>0</v>
      </c>
      <c r="P40" s="10">
        <f>J40*O40</f>
        <v>0</v>
      </c>
      <c r="Q40" s="406">
        <v>1</v>
      </c>
      <c r="R40" s="10">
        <f>M40*Q40</f>
        <v>5000</v>
      </c>
      <c r="S40" s="10">
        <f>J40*R40</f>
        <v>4215255</v>
      </c>
      <c r="T40" s="241">
        <v>0</v>
      </c>
      <c r="U40" s="10">
        <v>0</v>
      </c>
      <c r="V40" s="10">
        <v>0</v>
      </c>
      <c r="W40" s="10">
        <v>0</v>
      </c>
      <c r="X40" s="10">
        <f>'Giá VL'!V16</f>
        <v>5000</v>
      </c>
      <c r="Y40" s="10">
        <f>J40*X40</f>
        <v>4215255</v>
      </c>
      <c r="Z40" s="398">
        <f>X40-K40</f>
        <v>0</v>
      </c>
      <c r="AA40" s="10">
        <f>J40*Z40</f>
        <v>0</v>
      </c>
    </row>
    <row r="41" spans="1:27" s="391" customFormat="1" hidden="1" x14ac:dyDescent="0.25">
      <c r="A41" s="529"/>
      <c r="B41" s="76"/>
      <c r="C41" s="411" t="str">
        <f>'Du toan chi tiet'!C12</f>
        <v>AL.16201</v>
      </c>
      <c r="D41" s="411"/>
      <c r="E41" s="155" t="str">
        <f>'Du toan chi tiet'!D12</f>
        <v>Lót bạc nilong sọc xanh đỏ</v>
      </c>
      <c r="F41" s="76" t="str">
        <f>'Du toan chi tiet'!E12</f>
        <v>m2</v>
      </c>
      <c r="G41" s="603">
        <f>'Du toan chi tiet'!M12</f>
        <v>763.11</v>
      </c>
      <c r="H41" s="603">
        <f>'Phan tich don gia'!G50</f>
        <v>1.1000000000000001</v>
      </c>
      <c r="I41" s="603">
        <f>'Du toan chi tiet'!V12</f>
        <v>1</v>
      </c>
      <c r="J41" s="381">
        <f t="shared" ref="J41:J42" si="7">PRODUCT(G41,H41,I41)</f>
        <v>839.42100000000005</v>
      </c>
      <c r="K41" s="237"/>
      <c r="L41" s="237"/>
      <c r="M41" s="237"/>
      <c r="N41" s="237"/>
      <c r="O41" s="237"/>
      <c r="P41" s="237"/>
      <c r="Q41" s="603"/>
      <c r="R41" s="237"/>
      <c r="S41" s="237"/>
      <c r="T41" s="237"/>
      <c r="U41" s="237"/>
      <c r="V41" s="237"/>
      <c r="W41" s="237"/>
      <c r="X41" s="237"/>
      <c r="Y41" s="237"/>
      <c r="Z41" s="237"/>
      <c r="AA41" s="237"/>
    </row>
    <row r="42" spans="1:27" s="391" customFormat="1" hidden="1" x14ac:dyDescent="0.25">
      <c r="A42" s="529"/>
      <c r="B42" s="76"/>
      <c r="C42" s="411" t="str">
        <f>'Du toan chi tiet'!C47</f>
        <v>AL.16201</v>
      </c>
      <c r="D42" s="411"/>
      <c r="E42" s="155" t="str">
        <f>'Du toan chi tiet'!D47</f>
        <v>Lót bạc nilong sọc xanh đỏ</v>
      </c>
      <c r="F42" s="76" t="str">
        <f>'Du toan chi tiet'!E47</f>
        <v>m2</v>
      </c>
      <c r="G42" s="603">
        <f>'Du toan chi tiet'!M47</f>
        <v>3.3</v>
      </c>
      <c r="H42" s="603">
        <f>'Phan tich don gia'!G309</f>
        <v>1.1000000000000001</v>
      </c>
      <c r="I42" s="603">
        <f>'Du toan chi tiet'!V47</f>
        <v>1</v>
      </c>
      <c r="J42" s="381">
        <f t="shared" si="7"/>
        <v>3.63</v>
      </c>
      <c r="K42" s="237"/>
      <c r="L42" s="237"/>
      <c r="M42" s="237"/>
      <c r="N42" s="237"/>
      <c r="O42" s="237"/>
      <c r="P42" s="237"/>
      <c r="Q42" s="603"/>
      <c r="R42" s="237"/>
      <c r="S42" s="237"/>
      <c r="T42" s="237"/>
      <c r="U42" s="237"/>
      <c r="V42" s="237"/>
      <c r="W42" s="237"/>
      <c r="X42" s="237"/>
      <c r="Y42" s="237"/>
      <c r="Z42" s="237"/>
      <c r="AA42" s="237"/>
    </row>
    <row r="43" spans="1:27" x14ac:dyDescent="0.25">
      <c r="A43" s="159" t="s">
        <v>262</v>
      </c>
      <c r="B43" s="649">
        <v>12</v>
      </c>
      <c r="C43" s="214" t="s">
        <v>103</v>
      </c>
      <c r="D43" s="214"/>
      <c r="E43" s="720" t="str">
        <f>'Giá VL'!E17</f>
        <v>Gỗ làm khe co dãn</v>
      </c>
      <c r="F43" s="649" t="str">
        <f>'Giá VL'!F17</f>
        <v>m3</v>
      </c>
      <c r="G43" s="406"/>
      <c r="H43" s="406"/>
      <c r="I43" s="406"/>
      <c r="J43" s="176">
        <f>SUM(J44:J45)</f>
        <v>0.94514000000000009</v>
      </c>
      <c r="K43" s="10">
        <f>'Giá VL'!G17</f>
        <v>4090909</v>
      </c>
      <c r="L43" s="10">
        <f>J43*K43</f>
        <v>3866481.7322600004</v>
      </c>
      <c r="M43" s="10">
        <f>'Giá VL'!J17</f>
        <v>4090909</v>
      </c>
      <c r="N43" s="10">
        <f>J43*M43</f>
        <v>3866481.7322600004</v>
      </c>
      <c r="O43" s="526">
        <f>M43-K43</f>
        <v>0</v>
      </c>
      <c r="P43" s="10">
        <f>J43*O43</f>
        <v>0</v>
      </c>
      <c r="Q43" s="406">
        <v>1</v>
      </c>
      <c r="R43" s="10">
        <f>M43*Q43</f>
        <v>4090909</v>
      </c>
      <c r="S43" s="10">
        <f>J43*R43</f>
        <v>3866481.7322600004</v>
      </c>
      <c r="T43" s="241">
        <v>0</v>
      </c>
      <c r="U43" s="10">
        <v>0</v>
      </c>
      <c r="V43" s="10">
        <v>10343.824080009899</v>
      </c>
      <c r="W43" s="10">
        <v>18346.4270177504</v>
      </c>
      <c r="X43" s="88">
        <f>'Giá VL'!V17</f>
        <v>4123452.631914</v>
      </c>
      <c r="Y43" s="10">
        <f>J43*X43</f>
        <v>3897240.0205271984</v>
      </c>
      <c r="Z43" s="398">
        <f>X43-K43</f>
        <v>32543.631914000027</v>
      </c>
      <c r="AA43" s="10">
        <f>J43*Z43</f>
        <v>30758.28826719799</v>
      </c>
    </row>
    <row r="44" spans="1:27" s="391" customFormat="1" ht="30" hidden="1" x14ac:dyDescent="0.25">
      <c r="A44" s="529"/>
      <c r="B44" s="76"/>
      <c r="C44" s="411" t="str">
        <f>'Du toan chi tiet'!C10</f>
        <v>AF.15433</v>
      </c>
      <c r="D44" s="411"/>
      <c r="E44" s="155" t="str">
        <f>'Du toan chi tiet'!D10</f>
        <v>Bê tông thương phẩm, bê tông mặt đường dày mặt đường ≤25cm, bê tông M300, đá 2x4</v>
      </c>
      <c r="F44" s="76" t="str">
        <f>'Du toan chi tiet'!E10</f>
        <v>m3</v>
      </c>
      <c r="G44" s="603">
        <f>'Du toan chi tiet'!M10</f>
        <v>133.84</v>
      </c>
      <c r="H44" s="603">
        <f>'Phan tich don gia'!G31</f>
        <v>7.0000000000000001E-3</v>
      </c>
      <c r="I44" s="603">
        <f>'Du toan chi tiet'!V10</f>
        <v>1</v>
      </c>
      <c r="J44" s="381">
        <f t="shared" ref="J44:J45" si="8">PRODUCT(G44,H44,I44)</f>
        <v>0.93688000000000005</v>
      </c>
      <c r="K44" s="237"/>
      <c r="L44" s="237"/>
      <c r="M44" s="237"/>
      <c r="N44" s="237"/>
      <c r="O44" s="237"/>
      <c r="P44" s="237"/>
      <c r="Q44" s="603"/>
      <c r="R44" s="237"/>
      <c r="S44" s="237"/>
      <c r="T44" s="237"/>
      <c r="U44" s="237"/>
      <c r="V44" s="237"/>
      <c r="W44" s="237"/>
      <c r="X44" s="237"/>
      <c r="Y44" s="237"/>
      <c r="Z44" s="237"/>
      <c r="AA44" s="237"/>
    </row>
    <row r="45" spans="1:27" s="391" customFormat="1" ht="45" hidden="1" x14ac:dyDescent="0.25">
      <c r="A45" s="529"/>
      <c r="B45" s="76"/>
      <c r="C45" s="411" t="str">
        <f>'Du toan chi tiet'!C45</f>
        <v>AF.15433</v>
      </c>
      <c r="D45" s="411"/>
      <c r="E45" s="155" t="str">
        <f>'Du toan chi tiet'!D45</f>
        <v>Bê tông thương phẩm, bê tông hoàn trả mặt đường dày mặt đường ≤25cm, bê tông M250, đá 2x4, PCB40</v>
      </c>
      <c r="F45" s="76" t="str">
        <f>'Du toan chi tiet'!E45</f>
        <v>m3</v>
      </c>
      <c r="G45" s="603">
        <f>'Du toan chi tiet'!M45</f>
        <v>0.59</v>
      </c>
      <c r="H45" s="603">
        <f>'Phan tich don gia'!G290</f>
        <v>1.4E-2</v>
      </c>
      <c r="I45" s="603">
        <f>'Du toan chi tiet'!V45</f>
        <v>1</v>
      </c>
      <c r="J45" s="381">
        <f t="shared" si="8"/>
        <v>8.26E-3</v>
      </c>
      <c r="K45" s="237"/>
      <c r="L45" s="237"/>
      <c r="M45" s="237"/>
      <c r="N45" s="237"/>
      <c r="O45" s="237"/>
      <c r="P45" s="237"/>
      <c r="Q45" s="603"/>
      <c r="R45" s="237"/>
      <c r="S45" s="237"/>
      <c r="T45" s="237"/>
      <c r="U45" s="237"/>
      <c r="V45" s="237"/>
      <c r="W45" s="237"/>
      <c r="X45" s="237"/>
      <c r="Y45" s="237"/>
      <c r="Z45" s="237"/>
      <c r="AA45" s="237"/>
    </row>
    <row r="46" spans="1:27" x14ac:dyDescent="0.25">
      <c r="A46" s="159" t="s">
        <v>262</v>
      </c>
      <c r="B46" s="649">
        <v>13</v>
      </c>
      <c r="C46" s="214" t="s">
        <v>855</v>
      </c>
      <c r="D46" s="214"/>
      <c r="E46" s="720" t="str">
        <f>'Giá VL'!E18</f>
        <v>Lưỡi cắt bê tông loại 356mm</v>
      </c>
      <c r="F46" s="649" t="str">
        <f>'Giá VL'!F18</f>
        <v>cái</v>
      </c>
      <c r="G46" s="406"/>
      <c r="H46" s="406"/>
      <c r="I46" s="406"/>
      <c r="J46" s="176">
        <f>SUM(J47:J47)</f>
        <v>6.25E-2</v>
      </c>
      <c r="K46" s="10">
        <f>'Giá VL'!G18</f>
        <v>1322000</v>
      </c>
      <c r="L46" s="10">
        <f>J46*K46</f>
        <v>82625</v>
      </c>
      <c r="M46" s="10">
        <f>'Giá VL'!J18</f>
        <v>1322000</v>
      </c>
      <c r="N46" s="10">
        <f>J46*M46</f>
        <v>82625</v>
      </c>
      <c r="O46" s="526">
        <f>M46-K46</f>
        <v>0</v>
      </c>
      <c r="P46" s="10">
        <f>J46*O46</f>
        <v>0</v>
      </c>
      <c r="Q46" s="406">
        <v>1</v>
      </c>
      <c r="R46" s="10">
        <f>M46*Q46</f>
        <v>1322000</v>
      </c>
      <c r="S46" s="10">
        <f>J46*R46</f>
        <v>82625</v>
      </c>
      <c r="T46" s="241">
        <v>0</v>
      </c>
      <c r="U46" s="10">
        <v>0</v>
      </c>
      <c r="V46" s="10">
        <v>0</v>
      </c>
      <c r="W46" s="10">
        <v>0</v>
      </c>
      <c r="X46" s="88">
        <f>'Giá VL'!V18</f>
        <v>1322000</v>
      </c>
      <c r="Y46" s="10">
        <f>J46*X46</f>
        <v>82625</v>
      </c>
      <c r="Z46" s="10">
        <f>X46-K46</f>
        <v>0</v>
      </c>
      <c r="AA46" s="10">
        <f>J46*Z46</f>
        <v>0</v>
      </c>
    </row>
    <row r="47" spans="1:27" s="391" customFormat="1" ht="30" hidden="1" x14ac:dyDescent="0.25">
      <c r="A47" s="529"/>
      <c r="B47" s="76"/>
      <c r="C47" s="411" t="str">
        <f>'Du toan chi tiet'!C14</f>
        <v>SE.11211</v>
      </c>
      <c r="D47" s="411"/>
      <c r="E47" s="155" t="str">
        <f>'Du toan chi tiet'!D14</f>
        <v>Cắt mặt đường bê tông Asphalt chiều dày lớp cắt ≤ 5cm</v>
      </c>
      <c r="F47" s="76" t="str">
        <f>'Du toan chi tiet'!E14</f>
        <v>m</v>
      </c>
      <c r="G47" s="603">
        <f>'Du toan chi tiet'!M14</f>
        <v>25</v>
      </c>
      <c r="H47" s="603">
        <f>'Phan tich don gia'!G66</f>
        <v>2.5000000000000001E-3</v>
      </c>
      <c r="I47" s="603">
        <f>'Du toan chi tiet'!V14</f>
        <v>1</v>
      </c>
      <c r="J47" s="381">
        <f>PRODUCT(G47,H47,I47)</f>
        <v>6.25E-2</v>
      </c>
      <c r="K47" s="237"/>
      <c r="L47" s="237"/>
      <c r="M47" s="237"/>
      <c r="N47" s="237"/>
      <c r="O47" s="237"/>
      <c r="P47" s="237"/>
      <c r="Q47" s="603"/>
      <c r="R47" s="237"/>
      <c r="S47" s="237"/>
      <c r="T47" s="237"/>
      <c r="U47" s="237"/>
      <c r="V47" s="237"/>
      <c r="W47" s="237"/>
      <c r="X47" s="237"/>
      <c r="Y47" s="237"/>
      <c r="Z47" s="237"/>
      <c r="AA47" s="237"/>
    </row>
    <row r="48" spans="1:27" x14ac:dyDescent="0.25">
      <c r="A48" s="159" t="s">
        <v>262</v>
      </c>
      <c r="B48" s="649">
        <v>14</v>
      </c>
      <c r="C48" s="214" t="s">
        <v>1077</v>
      </c>
      <c r="D48" s="214"/>
      <c r="E48" s="720" t="str">
        <f>'Giá VL'!E19</f>
        <v>Lưỡi cắt D350mm</v>
      </c>
      <c r="F48" s="649" t="str">
        <f>'Giá VL'!F19</f>
        <v>cái</v>
      </c>
      <c r="G48" s="406"/>
      <c r="H48" s="406"/>
      <c r="I48" s="406"/>
      <c r="J48" s="176">
        <f>SUM(J49:J50)</f>
        <v>0.216</v>
      </c>
      <c r="K48" s="10">
        <f>'Giá VL'!G19</f>
        <v>1322000</v>
      </c>
      <c r="L48" s="10">
        <f>J48*K48</f>
        <v>285552</v>
      </c>
      <c r="M48" s="10">
        <f>'Giá VL'!J19</f>
        <v>1322000</v>
      </c>
      <c r="N48" s="10">
        <f>J48*M48</f>
        <v>285552</v>
      </c>
      <c r="O48" s="526">
        <f>M48-K48</f>
        <v>0</v>
      </c>
      <c r="P48" s="10">
        <f>J48*O48</f>
        <v>0</v>
      </c>
      <c r="Q48" s="406">
        <v>1</v>
      </c>
      <c r="R48" s="10">
        <f>M48*Q48</f>
        <v>1322000</v>
      </c>
      <c r="S48" s="10">
        <f>J48*R48</f>
        <v>285552</v>
      </c>
      <c r="T48" s="241">
        <v>0</v>
      </c>
      <c r="U48" s="10">
        <v>0</v>
      </c>
      <c r="V48" s="10">
        <v>0</v>
      </c>
      <c r="W48" s="10">
        <v>0</v>
      </c>
      <c r="X48" s="10">
        <f>'Giá VL'!V19</f>
        <v>1322000</v>
      </c>
      <c r="Y48" s="10">
        <f>J48*X48</f>
        <v>285552</v>
      </c>
      <c r="Z48" s="398">
        <f>X48-K48</f>
        <v>0</v>
      </c>
      <c r="AA48" s="10">
        <f>J48*Z48</f>
        <v>0</v>
      </c>
    </row>
    <row r="49" spans="1:27" s="391" customFormat="1" hidden="1" x14ac:dyDescent="0.25">
      <c r="A49" s="529"/>
      <c r="B49" s="76"/>
      <c r="C49" s="411" t="str">
        <f>'Du toan chi tiet'!C15</f>
        <v>AL.22112</v>
      </c>
      <c r="D49" s="411"/>
      <c r="E49" s="155" t="str">
        <f>'Du toan chi tiet'!D15</f>
        <v>Cắt mặt đường bê tông hiện có</v>
      </c>
      <c r="F49" s="76" t="str">
        <f>'Du toan chi tiet'!E15</f>
        <v>10m</v>
      </c>
      <c r="G49" s="603">
        <f>'Du toan chi tiet'!M15</f>
        <v>0.6</v>
      </c>
      <c r="H49" s="603">
        <f>'Phan tich don gia'!G74</f>
        <v>0.18</v>
      </c>
      <c r="I49" s="603">
        <f>'Du toan chi tiet'!V15</f>
        <v>1</v>
      </c>
      <c r="J49" s="381">
        <f t="shared" ref="J49:J50" si="9">PRODUCT(G49,H49,I49)</f>
        <v>0.108</v>
      </c>
      <c r="K49" s="237"/>
      <c r="L49" s="237"/>
      <c r="M49" s="237"/>
      <c r="N49" s="237"/>
      <c r="O49" s="237"/>
      <c r="P49" s="237"/>
      <c r="Q49" s="603"/>
      <c r="R49" s="237"/>
      <c r="S49" s="237"/>
      <c r="T49" s="237"/>
      <c r="U49" s="237"/>
      <c r="V49" s="237"/>
      <c r="W49" s="237"/>
      <c r="X49" s="237"/>
      <c r="Y49" s="237"/>
      <c r="Z49" s="237"/>
      <c r="AA49" s="237"/>
    </row>
    <row r="50" spans="1:27" s="391" customFormat="1" hidden="1" x14ac:dyDescent="0.25">
      <c r="A50" s="529"/>
      <c r="B50" s="76"/>
      <c r="C50" s="411" t="str">
        <f>'Du toan chi tiet'!C41</f>
        <v>AL.22112</v>
      </c>
      <c r="D50" s="411"/>
      <c r="E50" s="155" t="str">
        <f>'Du toan chi tiet'!D41</f>
        <v>Cắt mặt đường bê tông hiện có</v>
      </c>
      <c r="F50" s="76" t="str">
        <f>'Du toan chi tiet'!E41</f>
        <v>10m</v>
      </c>
      <c r="G50" s="603">
        <f>'Du toan chi tiet'!M41</f>
        <v>0.6</v>
      </c>
      <c r="H50" s="603">
        <f>'Phan tich don gia'!G265</f>
        <v>0.18</v>
      </c>
      <c r="I50" s="603">
        <f>'Du toan chi tiet'!V41</f>
        <v>1</v>
      </c>
      <c r="J50" s="381">
        <f t="shared" si="9"/>
        <v>0.108</v>
      </c>
      <c r="K50" s="237"/>
      <c r="L50" s="237"/>
      <c r="M50" s="237"/>
      <c r="N50" s="237"/>
      <c r="O50" s="237"/>
      <c r="P50" s="237"/>
      <c r="Q50" s="603"/>
      <c r="R50" s="237"/>
      <c r="S50" s="237"/>
      <c r="T50" s="237"/>
      <c r="U50" s="237"/>
      <c r="V50" s="237"/>
      <c r="W50" s="237"/>
      <c r="X50" s="237"/>
      <c r="Y50" s="237"/>
      <c r="Z50" s="237"/>
      <c r="AA50" s="237"/>
    </row>
    <row r="51" spans="1:27" x14ac:dyDescent="0.25">
      <c r="A51" s="159" t="s">
        <v>262</v>
      </c>
      <c r="B51" s="649">
        <v>15</v>
      </c>
      <c r="C51" s="214" t="s">
        <v>461</v>
      </c>
      <c r="D51" s="214"/>
      <c r="E51" s="720" t="str">
        <f>'Giá VL'!E20</f>
        <v>Matit</v>
      </c>
      <c r="F51" s="649" t="str">
        <f>'Giá VL'!F20</f>
        <v>kg</v>
      </c>
      <c r="G51" s="406"/>
      <c r="H51" s="406"/>
      <c r="I51" s="406"/>
      <c r="J51" s="176">
        <f>SUM(J52:J52)</f>
        <v>223.15500000000003</v>
      </c>
      <c r="K51" s="10">
        <f>'Giá VL'!G20</f>
        <v>16818</v>
      </c>
      <c r="L51" s="10">
        <f>J51*K51</f>
        <v>3753020.7900000005</v>
      </c>
      <c r="M51" s="10">
        <f>'Giá VL'!J20</f>
        <v>16818</v>
      </c>
      <c r="N51" s="10">
        <f>J51*M51</f>
        <v>3753020.7900000005</v>
      </c>
      <c r="O51" s="526">
        <f>M51-K51</f>
        <v>0</v>
      </c>
      <c r="P51" s="10">
        <f>J51*O51</f>
        <v>0</v>
      </c>
      <c r="Q51" s="406">
        <v>1</v>
      </c>
      <c r="R51" s="10">
        <f>M51*Q51</f>
        <v>16818</v>
      </c>
      <c r="S51" s="10">
        <f>J51*R51</f>
        <v>3753020.7900000005</v>
      </c>
      <c r="T51" s="241">
        <v>0</v>
      </c>
      <c r="U51" s="10">
        <v>0</v>
      </c>
      <c r="V51" s="10">
        <v>0</v>
      </c>
      <c r="W51" s="10">
        <v>0</v>
      </c>
      <c r="X51" s="10">
        <f>'Giá VL'!V20</f>
        <v>16818</v>
      </c>
      <c r="Y51" s="10">
        <f>J51*X51</f>
        <v>3753020.7900000005</v>
      </c>
      <c r="Z51" s="398">
        <f>X51-K51</f>
        <v>0</v>
      </c>
      <c r="AA51" s="10">
        <f>J51*Z51</f>
        <v>0</v>
      </c>
    </row>
    <row r="52" spans="1:27" s="391" customFormat="1" ht="30" hidden="1" x14ac:dyDescent="0.25">
      <c r="A52" s="529"/>
      <c r="B52" s="76"/>
      <c r="C52" s="411" t="str">
        <f>'Du toan chi tiet'!C16</f>
        <v>SF.12112</v>
      </c>
      <c r="D52" s="411"/>
      <c r="E52" s="155" t="str">
        <f>'Du toan chi tiet'!D16</f>
        <v>Bảo dưỡng khe co dãn mặt đường bê tông xi măng - Chiều dày mặt đường 25cm</v>
      </c>
      <c r="F52" s="76" t="str">
        <f>'Du toan chi tiet'!E16</f>
        <v>1m</v>
      </c>
      <c r="G52" s="603">
        <f>'Du toan chi tiet'!M16</f>
        <v>52.2</v>
      </c>
      <c r="H52" s="603">
        <f>'Phan tich don gia'!G82</f>
        <v>4.2750000000000004</v>
      </c>
      <c r="I52" s="603">
        <f>'Du toan chi tiet'!V16</f>
        <v>1</v>
      </c>
      <c r="J52" s="381">
        <f>PRODUCT(G52,H52,I52)</f>
        <v>223.15500000000003</v>
      </c>
      <c r="K52" s="237"/>
      <c r="L52" s="237"/>
      <c r="M52" s="237"/>
      <c r="N52" s="237"/>
      <c r="O52" s="237"/>
      <c r="P52" s="237"/>
      <c r="Q52" s="603"/>
      <c r="R52" s="237"/>
      <c r="S52" s="237"/>
      <c r="T52" s="237"/>
      <c r="U52" s="237"/>
      <c r="V52" s="237"/>
      <c r="W52" s="237"/>
      <c r="X52" s="237"/>
      <c r="Y52" s="237"/>
      <c r="Z52" s="237"/>
      <c r="AA52" s="237"/>
    </row>
    <row r="53" spans="1:27" x14ac:dyDescent="0.25">
      <c r="A53" s="159" t="s">
        <v>262</v>
      </c>
      <c r="B53" s="649">
        <v>16</v>
      </c>
      <c r="C53" s="214" t="s">
        <v>35</v>
      </c>
      <c r="D53" s="214"/>
      <c r="E53" s="720" t="str">
        <f>'Giá VL'!E21</f>
        <v>Màng phản quang</v>
      </c>
      <c r="F53" s="649" t="str">
        <f>'Giá VL'!F21</f>
        <v>m2</v>
      </c>
      <c r="G53" s="406"/>
      <c r="H53" s="406"/>
      <c r="I53" s="406"/>
      <c r="J53" s="176">
        <f>SUM(J54:J54)</f>
        <v>0.41800000000000004</v>
      </c>
      <c r="K53" s="10">
        <f>'Giá VL'!G21</f>
        <v>410000</v>
      </c>
      <c r="L53" s="10">
        <f>J53*K53</f>
        <v>171380.00000000003</v>
      </c>
      <c r="M53" s="10">
        <f>'Giá VL'!J21</f>
        <v>410000</v>
      </c>
      <c r="N53" s="10">
        <f>J53*M53</f>
        <v>171380.00000000003</v>
      </c>
      <c r="O53" s="526">
        <f>M53-K53</f>
        <v>0</v>
      </c>
      <c r="P53" s="10">
        <f>J53*O53</f>
        <v>0</v>
      </c>
      <c r="Q53" s="406">
        <v>1</v>
      </c>
      <c r="R53" s="10">
        <f>M53*Q53</f>
        <v>410000</v>
      </c>
      <c r="S53" s="10">
        <f>J53*R53</f>
        <v>171380.00000000003</v>
      </c>
      <c r="T53" s="241">
        <v>0</v>
      </c>
      <c r="U53" s="10">
        <v>0</v>
      </c>
      <c r="V53" s="10">
        <v>0</v>
      </c>
      <c r="W53" s="10">
        <v>0</v>
      </c>
      <c r="X53" s="88">
        <f>'Giá VL'!V21</f>
        <v>410000</v>
      </c>
      <c r="Y53" s="10">
        <f>J53*X53</f>
        <v>171380.00000000003</v>
      </c>
      <c r="Z53" s="10">
        <f>X53-K53</f>
        <v>0</v>
      </c>
      <c r="AA53" s="10">
        <f>J53*Z53</f>
        <v>0</v>
      </c>
    </row>
    <row r="54" spans="1:27" s="391" customFormat="1" hidden="1" x14ac:dyDescent="0.25">
      <c r="A54" s="529"/>
      <c r="B54" s="76"/>
      <c r="C54" s="411" t="str">
        <f>'Du toan chi tiet'!C27</f>
        <v>SE.31330</v>
      </c>
      <c r="D54" s="411"/>
      <c r="E54" s="155" t="str">
        <f>'Du toan chi tiet'!D27</f>
        <v>Dán màng phản quang đầu dải phân cách</v>
      </c>
      <c r="F54" s="76" t="str">
        <f>'Du toan chi tiet'!E27</f>
        <v>m2</v>
      </c>
      <c r="G54" s="603">
        <f>'Du toan chi tiet'!M27</f>
        <v>0.38</v>
      </c>
      <c r="H54" s="603">
        <f>'Phan tich don gia'!G152</f>
        <v>1.1000000000000001</v>
      </c>
      <c r="I54" s="603">
        <f>'Du toan chi tiet'!V27</f>
        <v>1</v>
      </c>
      <c r="J54" s="381">
        <f>PRODUCT(G54,H54,I54)</f>
        <v>0.41800000000000004</v>
      </c>
      <c r="K54" s="237"/>
      <c r="L54" s="237"/>
      <c r="M54" s="237"/>
      <c r="N54" s="237"/>
      <c r="O54" s="237"/>
      <c r="P54" s="237"/>
      <c r="Q54" s="603"/>
      <c r="R54" s="237"/>
      <c r="S54" s="237"/>
      <c r="T54" s="237"/>
      <c r="U54" s="237"/>
      <c r="V54" s="237"/>
      <c r="W54" s="237"/>
      <c r="X54" s="237"/>
      <c r="Y54" s="237"/>
      <c r="Z54" s="237"/>
      <c r="AA54" s="237"/>
    </row>
    <row r="55" spans="1:27" x14ac:dyDescent="0.25">
      <c r="A55" s="159" t="s">
        <v>262</v>
      </c>
      <c r="B55" s="649">
        <v>17</v>
      </c>
      <c r="C55" s="214" t="s">
        <v>104</v>
      </c>
      <c r="D55" s="214"/>
      <c r="E55" s="720" t="str">
        <f>'Giá VL'!E22</f>
        <v>Nhựa đường</v>
      </c>
      <c r="F55" s="649" t="str">
        <f>'Giá VL'!F22</f>
        <v>kg</v>
      </c>
      <c r="G55" s="406"/>
      <c r="H55" s="406"/>
      <c r="I55" s="406"/>
      <c r="J55" s="176">
        <f>SUM(J56:J57)</f>
        <v>236.285</v>
      </c>
      <c r="K55" s="10">
        <f>'Giá VL'!G22</f>
        <v>16818</v>
      </c>
      <c r="L55" s="10">
        <f>J55*K55</f>
        <v>3973841.13</v>
      </c>
      <c r="M55" s="10">
        <f>'Giá VL'!J22</f>
        <v>16818</v>
      </c>
      <c r="N55" s="10">
        <f>J55*M55</f>
        <v>3973841.13</v>
      </c>
      <c r="O55" s="526">
        <f>M55-K55</f>
        <v>0</v>
      </c>
      <c r="P55" s="10">
        <f>J55*O55</f>
        <v>0</v>
      </c>
      <c r="Q55" s="406">
        <v>1</v>
      </c>
      <c r="R55" s="10">
        <f>M55*Q55</f>
        <v>16818</v>
      </c>
      <c r="S55" s="10">
        <f>J55*R55</f>
        <v>3973841.13</v>
      </c>
      <c r="T55" s="241">
        <v>0</v>
      </c>
      <c r="U55" s="10">
        <v>0</v>
      </c>
      <c r="V55" s="10">
        <v>13.155473422499201</v>
      </c>
      <c r="W55" s="10">
        <v>5833.3342476374801</v>
      </c>
      <c r="X55" s="88">
        <f>'Giá VL'!V22</f>
        <v>16818</v>
      </c>
      <c r="Y55" s="10">
        <f>J55*X55</f>
        <v>3973841.13</v>
      </c>
      <c r="Z55" s="398">
        <f>X55-K55</f>
        <v>0</v>
      </c>
      <c r="AA55" s="10">
        <f>J55*Z55</f>
        <v>0</v>
      </c>
    </row>
    <row r="56" spans="1:27" s="391" customFormat="1" ht="30" hidden="1" x14ac:dyDescent="0.25">
      <c r="A56" s="529"/>
      <c r="B56" s="76"/>
      <c r="C56" s="411" t="str">
        <f>'Du toan chi tiet'!C10</f>
        <v>AF.15433</v>
      </c>
      <c r="D56" s="411"/>
      <c r="E56" s="155" t="str">
        <f>'Du toan chi tiet'!D10</f>
        <v>Bê tông thương phẩm, bê tông mặt đường dày mặt đường ≤25cm, bê tông M300, đá 2x4</v>
      </c>
      <c r="F56" s="76" t="str">
        <f>'Du toan chi tiet'!E10</f>
        <v>m3</v>
      </c>
      <c r="G56" s="603">
        <f>'Du toan chi tiet'!M10</f>
        <v>133.84</v>
      </c>
      <c r="H56" s="603">
        <f>'Phan tich don gia'!G32</f>
        <v>1.75</v>
      </c>
      <c r="I56" s="603">
        <f>'Du toan chi tiet'!V10</f>
        <v>1</v>
      </c>
      <c r="J56" s="381">
        <f t="shared" ref="J56:J57" si="10">PRODUCT(G56,H56,I56)</f>
        <v>234.22</v>
      </c>
      <c r="K56" s="237"/>
      <c r="L56" s="237"/>
      <c r="M56" s="237"/>
      <c r="N56" s="237"/>
      <c r="O56" s="237"/>
      <c r="P56" s="237"/>
      <c r="Q56" s="603"/>
      <c r="R56" s="237"/>
      <c r="S56" s="237"/>
      <c r="T56" s="237"/>
      <c r="U56" s="237"/>
      <c r="V56" s="237"/>
      <c r="W56" s="237"/>
      <c r="X56" s="237"/>
      <c r="Y56" s="237"/>
      <c r="Z56" s="237"/>
      <c r="AA56" s="237"/>
    </row>
    <row r="57" spans="1:27" s="391" customFormat="1" ht="45" hidden="1" x14ac:dyDescent="0.25">
      <c r="A57" s="529"/>
      <c r="B57" s="76"/>
      <c r="C57" s="411" t="str">
        <f>'Du toan chi tiet'!C45</f>
        <v>AF.15433</v>
      </c>
      <c r="D57" s="411"/>
      <c r="E57" s="155" t="str">
        <f>'Du toan chi tiet'!D45</f>
        <v>Bê tông thương phẩm, bê tông hoàn trả mặt đường dày mặt đường ≤25cm, bê tông M250, đá 2x4, PCB40</v>
      </c>
      <c r="F57" s="76" t="str">
        <f>'Du toan chi tiet'!E45</f>
        <v>m3</v>
      </c>
      <c r="G57" s="603">
        <f>'Du toan chi tiet'!M45</f>
        <v>0.59</v>
      </c>
      <c r="H57" s="603">
        <f>'Phan tich don gia'!G291</f>
        <v>3.5</v>
      </c>
      <c r="I57" s="603">
        <f>'Du toan chi tiet'!V45</f>
        <v>1</v>
      </c>
      <c r="J57" s="381">
        <f t="shared" si="10"/>
        <v>2.0649999999999999</v>
      </c>
      <c r="K57" s="237"/>
      <c r="L57" s="237"/>
      <c r="M57" s="237"/>
      <c r="N57" s="237"/>
      <c r="O57" s="237"/>
      <c r="P57" s="237"/>
      <c r="Q57" s="603"/>
      <c r="R57" s="237"/>
      <c r="S57" s="237"/>
      <c r="T57" s="237"/>
      <c r="U57" s="237"/>
      <c r="V57" s="237"/>
      <c r="W57" s="237"/>
      <c r="X57" s="237"/>
      <c r="Y57" s="237"/>
      <c r="Z57" s="237"/>
      <c r="AA57" s="237"/>
    </row>
    <row r="58" spans="1:27" x14ac:dyDescent="0.25">
      <c r="A58" s="159" t="s">
        <v>262</v>
      </c>
      <c r="B58" s="649">
        <v>18</v>
      </c>
      <c r="C58" s="214" t="s">
        <v>316</v>
      </c>
      <c r="D58" s="214"/>
      <c r="E58" s="720" t="e">
        <f>'Giá VL'!#REF!</f>
        <v>#REF!</v>
      </c>
      <c r="F58" s="649" t="e">
        <f>'Giá VL'!#REF!</f>
        <v>#REF!</v>
      </c>
      <c r="G58" s="406"/>
      <c r="H58" s="406"/>
      <c r="I58" s="406"/>
      <c r="J58" s="176" t="e">
        <f>SUM(J59:J60)</f>
        <v>#REF!</v>
      </c>
      <c r="K58" s="10" t="e">
        <f>'Giá VL'!#REF!</f>
        <v>#REF!</v>
      </c>
      <c r="L58" s="10" t="e">
        <f>J58*K58</f>
        <v>#REF!</v>
      </c>
      <c r="M58" s="10" t="e">
        <f>'Giá VL'!#REF!</f>
        <v>#REF!</v>
      </c>
      <c r="N58" s="10" t="e">
        <f>J58*M58</f>
        <v>#REF!</v>
      </c>
      <c r="O58" s="526" t="e">
        <f>M58-K58</f>
        <v>#REF!</v>
      </c>
      <c r="P58" s="10" t="e">
        <f>J58*O58</f>
        <v>#REF!</v>
      </c>
      <c r="Q58" s="406">
        <v>1</v>
      </c>
      <c r="R58" s="10" t="e">
        <f>M58*Q58</f>
        <v>#REF!</v>
      </c>
      <c r="S58" s="10" t="e">
        <f>J58*R58</f>
        <v>#REF!</v>
      </c>
      <c r="T58" s="241">
        <v>0</v>
      </c>
      <c r="U58" s="10">
        <v>0</v>
      </c>
      <c r="V58" s="10">
        <v>227.05545870569901</v>
      </c>
      <c r="W58" s="10">
        <v>179632.911037818</v>
      </c>
      <c r="X58" s="88" t="e">
        <f>'Giá VL'!#REF!</f>
        <v>#REF!</v>
      </c>
      <c r="Y58" s="10" t="e">
        <f>J58*X58</f>
        <v>#REF!</v>
      </c>
      <c r="Z58" s="398" t="e">
        <f>X58-K58</f>
        <v>#REF!</v>
      </c>
      <c r="AA58" s="10" t="e">
        <f>J58*Z58</f>
        <v>#REF!</v>
      </c>
    </row>
    <row r="59" spans="1:27" s="391" customFormat="1" hidden="1" x14ac:dyDescent="0.25">
      <c r="A59" s="529"/>
      <c r="B59" s="76"/>
      <c r="C59" s="411" t="e">
        <f>'Du toan chi tiet'!#REF!</f>
        <v>#REF!</v>
      </c>
      <c r="D59" s="411"/>
      <c r="E59" s="155" t="e">
        <f>'Du toan chi tiet'!#REF!</f>
        <v>#REF!</v>
      </c>
      <c r="F59" s="76" t="e">
        <f>'Du toan chi tiet'!#REF!</f>
        <v>#REF!</v>
      </c>
      <c r="G59" s="603" t="e">
        <f>'Du toan chi tiet'!#REF!</f>
        <v>#REF!</v>
      </c>
      <c r="H59" s="603" t="e">
        <f>'Phan tich don gia'!#REF!</f>
        <v>#REF!</v>
      </c>
      <c r="I59" s="603" t="e">
        <f>'Du toan chi tiet'!#REF!</f>
        <v>#REF!</v>
      </c>
      <c r="J59" s="381" t="e">
        <f t="shared" ref="J59:J60" si="11">PRODUCT(G59,H59,I59)</f>
        <v>#REF!</v>
      </c>
      <c r="K59" s="237"/>
      <c r="L59" s="237"/>
      <c r="M59" s="237"/>
      <c r="N59" s="237"/>
      <c r="O59" s="237"/>
      <c r="P59" s="237"/>
      <c r="Q59" s="603"/>
      <c r="R59" s="237"/>
      <c r="S59" s="237"/>
      <c r="T59" s="237"/>
      <c r="U59" s="237"/>
      <c r="V59" s="237"/>
      <c r="W59" s="237"/>
      <c r="X59" s="237"/>
      <c r="Y59" s="237"/>
      <c r="Z59" s="237"/>
      <c r="AA59" s="237"/>
    </row>
    <row r="60" spans="1:27" s="391" customFormat="1" hidden="1" x14ac:dyDescent="0.25">
      <c r="A60" s="529"/>
      <c r="B60" s="76"/>
      <c r="C60" s="411" t="e">
        <f>'Du toan chi tiet'!#REF!</f>
        <v>#REF!</v>
      </c>
      <c r="D60" s="411"/>
      <c r="E60" s="155" t="e">
        <f>'Du toan chi tiet'!#REF!</f>
        <v>#REF!</v>
      </c>
      <c r="F60" s="76" t="e">
        <f>'Du toan chi tiet'!#REF!</f>
        <v>#REF!</v>
      </c>
      <c r="G60" s="603" t="e">
        <f>'Du toan chi tiet'!#REF!</f>
        <v>#REF!</v>
      </c>
      <c r="H60" s="603" t="e">
        <f>'Phan tich don gia'!#REF!</f>
        <v>#REF!</v>
      </c>
      <c r="I60" s="603" t="e">
        <f>'Du toan chi tiet'!#REF!</f>
        <v>#REF!</v>
      </c>
      <c r="J60" s="381" t="e">
        <f t="shared" si="11"/>
        <v>#REF!</v>
      </c>
      <c r="K60" s="237"/>
      <c r="L60" s="237"/>
      <c r="M60" s="237"/>
      <c r="N60" s="237"/>
      <c r="O60" s="237"/>
      <c r="P60" s="237"/>
      <c r="Q60" s="603"/>
      <c r="R60" s="237"/>
      <c r="S60" s="237"/>
      <c r="T60" s="237"/>
      <c r="U60" s="237"/>
      <c r="V60" s="237"/>
      <c r="W60" s="237"/>
      <c r="X60" s="237"/>
      <c r="Y60" s="237"/>
      <c r="Z60" s="237"/>
      <c r="AA60" s="237"/>
    </row>
    <row r="61" spans="1:27" x14ac:dyDescent="0.25">
      <c r="A61" s="159" t="s">
        <v>262</v>
      </c>
      <c r="B61" s="649">
        <v>19</v>
      </c>
      <c r="C61" s="214" t="s">
        <v>956</v>
      </c>
      <c r="D61" s="214"/>
      <c r="E61" s="720" t="str">
        <f>'Giá VL'!E23</f>
        <v>Nước</v>
      </c>
      <c r="F61" s="649" t="str">
        <f>'Giá VL'!F23</f>
        <v>lít</v>
      </c>
      <c r="G61" s="406"/>
      <c r="H61" s="406"/>
      <c r="I61" s="406"/>
      <c r="J61" s="176">
        <f>SUM(J62:J70)</f>
        <v>5756.5219999999999</v>
      </c>
      <c r="K61" s="526">
        <f>'Giá VL'!G23</f>
        <v>10</v>
      </c>
      <c r="L61" s="10">
        <f>J61*K61</f>
        <v>57565.22</v>
      </c>
      <c r="M61" s="10">
        <f>'Giá VL'!J23</f>
        <v>10</v>
      </c>
      <c r="N61" s="10">
        <f>J61*M61</f>
        <v>57565.22</v>
      </c>
      <c r="O61" s="526">
        <f>M61-K61</f>
        <v>0</v>
      </c>
      <c r="P61" s="10">
        <f>J61*O61</f>
        <v>0</v>
      </c>
      <c r="Q61" s="406">
        <v>1</v>
      </c>
      <c r="R61" s="526">
        <f>M61*Q61</f>
        <v>10</v>
      </c>
      <c r="S61" s="10">
        <f>J61*R61</f>
        <v>57565.22</v>
      </c>
      <c r="T61" s="241">
        <v>0</v>
      </c>
      <c r="U61" s="10">
        <v>0</v>
      </c>
      <c r="V61" s="10">
        <v>0</v>
      </c>
      <c r="W61" s="10">
        <v>0</v>
      </c>
      <c r="X61" s="693">
        <f>'Giá VL'!V23</f>
        <v>10</v>
      </c>
      <c r="Y61" s="10">
        <f>J61*X61</f>
        <v>57565.22</v>
      </c>
      <c r="Z61" s="398">
        <f>X61-K61</f>
        <v>0</v>
      </c>
      <c r="AA61" s="10">
        <f>J61*Z61</f>
        <v>0</v>
      </c>
    </row>
    <row r="62" spans="1:27" s="391" customFormat="1" ht="45" hidden="1" x14ac:dyDescent="0.25">
      <c r="A62" s="529"/>
      <c r="B62" s="76"/>
      <c r="C62" s="411" t="str">
        <f>'Du toan chi tiet'!C8</f>
        <v>AD.23263</v>
      </c>
      <c r="D62" s="411"/>
      <c r="E62" s="155" t="str">
        <f>'Du toan chi tiet'!D8</f>
        <v>Rải thảm mặt đường Carboncor Asphalt, bằng phương pháp thủ cơ giới, chiều dày mặt đường đã lèn ép 3cm</v>
      </c>
      <c r="F62" s="76" t="str">
        <f>'Du toan chi tiet'!E8</f>
        <v>m2</v>
      </c>
      <c r="G62" s="603">
        <f>'Du toan chi tiet'!M8</f>
        <v>1631.42</v>
      </c>
      <c r="H62" s="603">
        <f>'Phan tich don gia'!G9</f>
        <v>2</v>
      </c>
      <c r="I62" s="603">
        <f>'Du toan chi tiet'!V8</f>
        <v>1</v>
      </c>
      <c r="J62" s="381">
        <f t="shared" ref="J62:J70" si="12">PRODUCT(G62,H62,I62)</f>
        <v>3262.84</v>
      </c>
      <c r="K62" s="237"/>
      <c r="L62" s="237"/>
      <c r="M62" s="237"/>
      <c r="N62" s="237"/>
      <c r="O62" s="237"/>
      <c r="P62" s="237"/>
      <c r="Q62" s="603"/>
      <c r="R62" s="237"/>
      <c r="S62" s="237"/>
      <c r="T62" s="237"/>
      <c r="U62" s="237"/>
      <c r="V62" s="237"/>
      <c r="W62" s="237"/>
      <c r="X62" s="237"/>
      <c r="Y62" s="237"/>
      <c r="Z62" s="237"/>
      <c r="AA62" s="237"/>
    </row>
    <row r="63" spans="1:27" s="391" customFormat="1" ht="45" hidden="1" x14ac:dyDescent="0.25">
      <c r="A63" s="529"/>
      <c r="B63" s="76"/>
      <c r="C63" s="411" t="str">
        <f>'Du toan chi tiet'!C9</f>
        <v>AD.23261vd</v>
      </c>
      <c r="D63" s="411"/>
      <c r="E63" s="155" t="str">
        <f>'Du toan chi tiet'!D9</f>
        <v>Rải thảm mặt đường Carboncor Asphalt, bằng phương pháp thủ cơ giới, chiều dày mặt đường đã lèn ép 1cm</v>
      </c>
      <c r="F63" s="76" t="str">
        <f>'Du toan chi tiet'!E9</f>
        <v>m2</v>
      </c>
      <c r="G63" s="603">
        <f>'Du toan chi tiet'!M9</f>
        <v>856.71</v>
      </c>
      <c r="H63" s="603">
        <f>'Phan tich don gia'!G20</f>
        <v>2</v>
      </c>
      <c r="I63" s="603">
        <f>'Du toan chi tiet'!V9</f>
        <v>1</v>
      </c>
      <c r="J63" s="381">
        <f t="shared" si="12"/>
        <v>1713.42</v>
      </c>
      <c r="K63" s="237"/>
      <c r="L63" s="237"/>
      <c r="M63" s="237"/>
      <c r="N63" s="237"/>
      <c r="O63" s="237"/>
      <c r="P63" s="237"/>
      <c r="Q63" s="603"/>
      <c r="R63" s="237"/>
      <c r="S63" s="237"/>
      <c r="T63" s="237"/>
      <c r="U63" s="237"/>
      <c r="V63" s="237"/>
      <c r="W63" s="237"/>
      <c r="X63" s="237"/>
      <c r="Y63" s="237"/>
      <c r="Z63" s="237"/>
      <c r="AA63" s="237"/>
    </row>
    <row r="64" spans="1:27" s="391" customFormat="1" ht="30" hidden="1" x14ac:dyDescent="0.25">
      <c r="A64" s="529"/>
      <c r="B64" s="76"/>
      <c r="C64" s="411" t="str">
        <f>'Du toan chi tiet'!C10</f>
        <v>AF.15433</v>
      </c>
      <c r="D64" s="411"/>
      <c r="E64" s="155" t="str">
        <f>'Du toan chi tiet'!D10</f>
        <v>Bê tông thương phẩm, bê tông mặt đường dày mặt đường ≤25cm, bê tông M300, đá 2x4</v>
      </c>
      <c r="F64" s="76" t="str">
        <f>'Du toan chi tiet'!E10</f>
        <v>m3</v>
      </c>
      <c r="G64" s="603">
        <f>'Du toan chi tiet'!M10</f>
        <v>133.84</v>
      </c>
      <c r="H64" s="603">
        <f>'Phan tich don gia'!G30</f>
        <v>1.0249999999999999</v>
      </c>
      <c r="I64" s="603">
        <f>'Du toan chi tiet'!V10</f>
        <v>1</v>
      </c>
      <c r="J64" s="381">
        <f t="shared" si="12"/>
        <v>137.18599999999998</v>
      </c>
      <c r="K64" s="237"/>
      <c r="L64" s="237"/>
      <c r="M64" s="237"/>
      <c r="N64" s="237"/>
      <c r="O64" s="237"/>
      <c r="P64" s="237"/>
      <c r="Q64" s="603"/>
      <c r="R64" s="237"/>
      <c r="S64" s="237"/>
      <c r="T64" s="237"/>
      <c r="U64" s="237"/>
      <c r="V64" s="237"/>
      <c r="W64" s="237"/>
      <c r="X64" s="237"/>
      <c r="Y64" s="237"/>
      <c r="Z64" s="237"/>
      <c r="AA64" s="237"/>
    </row>
    <row r="65" spans="1:27" s="391" customFormat="1" ht="30" hidden="1" x14ac:dyDescent="0.25">
      <c r="A65" s="529"/>
      <c r="B65" s="76"/>
      <c r="C65" s="411" t="str">
        <f>'Du toan chi tiet'!C28</f>
        <v>AD.32531</v>
      </c>
      <c r="D65" s="411"/>
      <c r="E65" s="155" t="str">
        <f>'Du toan chi tiet'!D28</f>
        <v>Lắp đặt cột và biển báo phản quang - Loại biển báo phản quang: Biển tam giác cạnh 70cm</v>
      </c>
      <c r="F65" s="76" t="str">
        <f>'Du toan chi tiet'!E28</f>
        <v>cái</v>
      </c>
      <c r="G65" s="603">
        <f>'Du toan chi tiet'!M28</f>
        <v>1</v>
      </c>
      <c r="H65" s="603">
        <f>'Phan tich don gia'!G160</f>
        <v>16.286999999999999</v>
      </c>
      <c r="I65" s="603">
        <f>'Du toan chi tiet'!V28</f>
        <v>1</v>
      </c>
      <c r="J65" s="381">
        <f t="shared" si="12"/>
        <v>16.286999999999999</v>
      </c>
      <c r="K65" s="237"/>
      <c r="L65" s="237"/>
      <c r="M65" s="237"/>
      <c r="N65" s="237"/>
      <c r="O65" s="237"/>
      <c r="P65" s="237"/>
      <c r="Q65" s="603"/>
      <c r="R65" s="237"/>
      <c r="S65" s="237"/>
      <c r="T65" s="237"/>
      <c r="U65" s="237"/>
      <c r="V65" s="237"/>
      <c r="W65" s="237"/>
      <c r="X65" s="237"/>
      <c r="Y65" s="237"/>
      <c r="Z65" s="237"/>
      <c r="AA65" s="237"/>
    </row>
    <row r="66" spans="1:27" s="391" customFormat="1" ht="30" hidden="1" x14ac:dyDescent="0.25">
      <c r="A66" s="529"/>
      <c r="B66" s="76"/>
      <c r="C66" s="411" t="str">
        <f>'Du toan chi tiet'!C32</f>
        <v>AF.13413</v>
      </c>
      <c r="D66" s="411"/>
      <c r="E66" s="155" t="str">
        <f>'Du toan chi tiet'!D32</f>
        <v>Bê tông ống cống hình hộp SX bằng máy trộn, đổ bằng thủ công, bê tông M250, đá 1x2, PCB40</v>
      </c>
      <c r="F66" s="76" t="str">
        <f>'Du toan chi tiet'!E32</f>
        <v>m3</v>
      </c>
      <c r="G66" s="603">
        <f>'Du toan chi tiet'!M32</f>
        <v>2.63</v>
      </c>
      <c r="H66" s="603">
        <f>'Phan tich don gia'!G176</f>
        <v>187.57499999999999</v>
      </c>
      <c r="I66" s="603">
        <f>'Du toan chi tiet'!V32</f>
        <v>1</v>
      </c>
      <c r="J66" s="381">
        <f t="shared" si="12"/>
        <v>493.32224999999994</v>
      </c>
      <c r="K66" s="237"/>
      <c r="L66" s="237"/>
      <c r="M66" s="237"/>
      <c r="N66" s="237"/>
      <c r="O66" s="237"/>
      <c r="P66" s="237"/>
      <c r="Q66" s="603"/>
      <c r="R66" s="237"/>
      <c r="S66" s="237"/>
      <c r="T66" s="237"/>
      <c r="U66" s="237"/>
      <c r="V66" s="237"/>
      <c r="W66" s="237"/>
      <c r="X66" s="237"/>
      <c r="Y66" s="237"/>
      <c r="Z66" s="237"/>
      <c r="AA66" s="237"/>
    </row>
    <row r="67" spans="1:27" s="391" customFormat="1" ht="45" hidden="1" x14ac:dyDescent="0.25">
      <c r="A67" s="529"/>
      <c r="B67" s="76"/>
      <c r="C67" s="411" t="str">
        <f>'Du toan chi tiet'!C36</f>
        <v>AF.11231</v>
      </c>
      <c r="D67" s="411"/>
      <c r="E67" s="155" t="str">
        <f>'Du toan chi tiet'!D36</f>
        <v>Bê tông móng tường cánh SX bằng máy trộn, đổ bằng thủ công, rộng ≤250cm, M150, đá 2x4, PCB40</v>
      </c>
      <c r="F67" s="76" t="str">
        <f>'Du toan chi tiet'!E36</f>
        <v>m3</v>
      </c>
      <c r="G67" s="603">
        <f>'Du toan chi tiet'!M36</f>
        <v>0.59</v>
      </c>
      <c r="H67" s="603">
        <f>'Phan tich don gia'!G217</f>
        <v>176.3</v>
      </c>
      <c r="I67" s="603">
        <f>'Du toan chi tiet'!V36</f>
        <v>1</v>
      </c>
      <c r="J67" s="381">
        <f t="shared" si="12"/>
        <v>104.017</v>
      </c>
      <c r="K67" s="237"/>
      <c r="L67" s="237"/>
      <c r="M67" s="237"/>
      <c r="N67" s="237"/>
      <c r="O67" s="237"/>
      <c r="P67" s="237"/>
      <c r="Q67" s="603"/>
      <c r="R67" s="237"/>
      <c r="S67" s="237"/>
      <c r="T67" s="237"/>
      <c r="U67" s="237"/>
      <c r="V67" s="237"/>
      <c r="W67" s="237"/>
      <c r="X67" s="237"/>
      <c r="Y67" s="237"/>
      <c r="Z67" s="237"/>
      <c r="AA67" s="237"/>
    </row>
    <row r="68" spans="1:27" s="391" customFormat="1" ht="45" hidden="1" x14ac:dyDescent="0.25">
      <c r="A68" s="529"/>
      <c r="B68" s="76"/>
      <c r="C68" s="411" t="str">
        <f>'Du toan chi tiet'!C38</f>
        <v>AF.12151</v>
      </c>
      <c r="D68" s="411"/>
      <c r="E68" s="155" t="str">
        <f>'Du toan chi tiet'!D38</f>
        <v>Bê tông tường cánh SX bằng máy trộn, đổ bằng thủ công - Chiều dày ≤45cm, chiều cao ≤6m, M150, đá 2x4, PCB40</v>
      </c>
      <c r="F68" s="76" t="str">
        <f>'Du toan chi tiet'!E38</f>
        <v>m3</v>
      </c>
      <c r="G68" s="603">
        <f>'Du toan chi tiet'!M38</f>
        <v>0.15</v>
      </c>
      <c r="H68" s="603">
        <f>'Phan tich don gia'!G240</f>
        <v>176.3</v>
      </c>
      <c r="I68" s="603">
        <f>'Du toan chi tiet'!V38</f>
        <v>1</v>
      </c>
      <c r="J68" s="381">
        <f t="shared" si="12"/>
        <v>26.445</v>
      </c>
      <c r="K68" s="237"/>
      <c r="L68" s="237"/>
      <c r="M68" s="237"/>
      <c r="N68" s="237"/>
      <c r="O68" s="237"/>
      <c r="P68" s="237"/>
      <c r="Q68" s="603"/>
      <c r="R68" s="237"/>
      <c r="S68" s="237"/>
      <c r="T68" s="237"/>
      <c r="U68" s="237"/>
      <c r="V68" s="237"/>
      <c r="W68" s="237"/>
      <c r="X68" s="237"/>
      <c r="Y68" s="237"/>
      <c r="Z68" s="237"/>
      <c r="AA68" s="237"/>
    </row>
    <row r="69" spans="1:27" s="391" customFormat="1" ht="45" hidden="1" x14ac:dyDescent="0.25">
      <c r="A69" s="529"/>
      <c r="B69" s="76"/>
      <c r="C69" s="411" t="str">
        <f>'Du toan chi tiet'!C45</f>
        <v>AF.15433</v>
      </c>
      <c r="D69" s="411"/>
      <c r="E69" s="155" t="str">
        <f>'Du toan chi tiet'!D45</f>
        <v>Bê tông thương phẩm, bê tông hoàn trả mặt đường dày mặt đường ≤25cm, bê tông M250, đá 2x4, PCB40</v>
      </c>
      <c r="F69" s="76" t="str">
        <f>'Du toan chi tiet'!E45</f>
        <v>m3</v>
      </c>
      <c r="G69" s="603">
        <f>'Du toan chi tiet'!M45</f>
        <v>0.59</v>
      </c>
      <c r="H69" s="603">
        <f>'Phan tich don gia'!G289</f>
        <v>1.0249999999999999</v>
      </c>
      <c r="I69" s="603">
        <f>'Du toan chi tiet'!V45</f>
        <v>1</v>
      </c>
      <c r="J69" s="381">
        <f t="shared" si="12"/>
        <v>0.6047499999999999</v>
      </c>
      <c r="K69" s="237"/>
      <c r="L69" s="237"/>
      <c r="M69" s="237"/>
      <c r="N69" s="237"/>
      <c r="O69" s="237"/>
      <c r="P69" s="237"/>
      <c r="Q69" s="603"/>
      <c r="R69" s="237"/>
      <c r="S69" s="237"/>
      <c r="T69" s="237"/>
      <c r="U69" s="237"/>
      <c r="V69" s="237"/>
      <c r="W69" s="237"/>
      <c r="X69" s="237"/>
      <c r="Y69" s="237"/>
      <c r="Z69" s="237"/>
      <c r="AA69" s="237"/>
    </row>
    <row r="70" spans="1:27" s="391" customFormat="1" ht="45" hidden="1" x14ac:dyDescent="0.25">
      <c r="A70" s="529"/>
      <c r="B70" s="76"/>
      <c r="C70" s="411" t="str">
        <f>'Du toan chi tiet'!C49</f>
        <v>AD.23263</v>
      </c>
      <c r="D70" s="411"/>
      <c r="E70" s="155" t="str">
        <f>'Du toan chi tiet'!D49</f>
        <v>Rải thảm mặt đường Carboncor Asphalt, bằng phương pháp thủ cơ giới, chiều dày mặt đường đã lèn ép 3cm</v>
      </c>
      <c r="F70" s="76" t="str">
        <f>'Du toan chi tiet'!E49</f>
        <v>m2</v>
      </c>
      <c r="G70" s="603">
        <f>'Du toan chi tiet'!M49</f>
        <v>1.2</v>
      </c>
      <c r="H70" s="603">
        <f>'Phan tich don gia'!G326</f>
        <v>2</v>
      </c>
      <c r="I70" s="603">
        <f>'Du toan chi tiet'!V49</f>
        <v>1</v>
      </c>
      <c r="J70" s="381">
        <f t="shared" si="12"/>
        <v>2.4</v>
      </c>
      <c r="K70" s="237"/>
      <c r="L70" s="237"/>
      <c r="M70" s="237"/>
      <c r="N70" s="237"/>
      <c r="O70" s="237"/>
      <c r="P70" s="237"/>
      <c r="Q70" s="603"/>
      <c r="R70" s="237"/>
      <c r="S70" s="237"/>
      <c r="T70" s="237"/>
      <c r="U70" s="237"/>
      <c r="V70" s="237"/>
      <c r="W70" s="237"/>
      <c r="X70" s="237"/>
      <c r="Y70" s="237"/>
      <c r="Z70" s="237"/>
      <c r="AA70" s="237"/>
    </row>
    <row r="71" spans="1:27" x14ac:dyDescent="0.25">
      <c r="A71" s="159" t="s">
        <v>262</v>
      </c>
      <c r="B71" s="649">
        <v>20</v>
      </c>
      <c r="C71" s="214" t="s">
        <v>615</v>
      </c>
      <c r="D71" s="214"/>
      <c r="E71" s="720" t="str">
        <f>'Giá VL'!E24</f>
        <v>Nước</v>
      </c>
      <c r="F71" s="649" t="str">
        <f>'Giá VL'!F24</f>
        <v>m3</v>
      </c>
      <c r="G71" s="406"/>
      <c r="H71" s="406"/>
      <c r="I71" s="406"/>
      <c r="J71" s="176">
        <f>SUM(J72:J73)</f>
        <v>0.14399999999999999</v>
      </c>
      <c r="K71" s="10">
        <f>'Giá VL'!G24</f>
        <v>10182</v>
      </c>
      <c r="L71" s="10">
        <f>J71*K71</f>
        <v>1466.2079999999999</v>
      </c>
      <c r="M71" s="10">
        <f>'Giá VL'!J24</f>
        <v>10182</v>
      </c>
      <c r="N71" s="10">
        <f>J71*M71</f>
        <v>1466.2079999999999</v>
      </c>
      <c r="O71" s="526">
        <f>M71-K71</f>
        <v>0</v>
      </c>
      <c r="P71" s="10">
        <f>J71*O71</f>
        <v>0</v>
      </c>
      <c r="Q71" s="406">
        <v>1</v>
      </c>
      <c r="R71" s="10">
        <f>M71*Q71</f>
        <v>10182</v>
      </c>
      <c r="S71" s="10">
        <f>J71*R71</f>
        <v>1466.2079999999999</v>
      </c>
      <c r="T71" s="241">
        <v>0</v>
      </c>
      <c r="U71" s="10">
        <v>0</v>
      </c>
      <c r="V71" s="10">
        <v>0</v>
      </c>
      <c r="W71" s="10">
        <v>0</v>
      </c>
      <c r="X71" s="10">
        <f>'Giá VL'!V24</f>
        <v>10182</v>
      </c>
      <c r="Y71" s="10">
        <f>J71*X71</f>
        <v>1466.2079999999999</v>
      </c>
      <c r="Z71" s="398">
        <f>X71-K71</f>
        <v>0</v>
      </c>
      <c r="AA71" s="10">
        <f>J71*Z71</f>
        <v>0</v>
      </c>
    </row>
    <row r="72" spans="1:27" s="391" customFormat="1" hidden="1" x14ac:dyDescent="0.25">
      <c r="A72" s="529"/>
      <c r="B72" s="76"/>
      <c r="C72" s="411" t="str">
        <f>'Du toan chi tiet'!C15</f>
        <v>AL.22112</v>
      </c>
      <c r="D72" s="411"/>
      <c r="E72" s="155" t="str">
        <f>'Du toan chi tiet'!D15</f>
        <v>Cắt mặt đường bê tông hiện có</v>
      </c>
      <c r="F72" s="76" t="str">
        <f>'Du toan chi tiet'!E15</f>
        <v>10m</v>
      </c>
      <c r="G72" s="603">
        <f>'Du toan chi tiet'!M15</f>
        <v>0.6</v>
      </c>
      <c r="H72" s="603">
        <f>'Phan tich don gia'!G75</f>
        <v>0.12</v>
      </c>
      <c r="I72" s="603">
        <f>'Du toan chi tiet'!V15</f>
        <v>1</v>
      </c>
      <c r="J72" s="381">
        <f t="shared" ref="J72:J73" si="13">PRODUCT(G72,H72,I72)</f>
        <v>7.1999999999999995E-2</v>
      </c>
      <c r="K72" s="237"/>
      <c r="L72" s="237"/>
      <c r="M72" s="237"/>
      <c r="N72" s="237"/>
      <c r="O72" s="237"/>
      <c r="P72" s="237"/>
      <c r="Q72" s="603"/>
      <c r="R72" s="237"/>
      <c r="S72" s="237"/>
      <c r="T72" s="237"/>
      <c r="U72" s="237"/>
      <c r="V72" s="237"/>
      <c r="W72" s="237"/>
      <c r="X72" s="237"/>
      <c r="Y72" s="237"/>
      <c r="Z72" s="237"/>
      <c r="AA72" s="237"/>
    </row>
    <row r="73" spans="1:27" s="391" customFormat="1" hidden="1" x14ac:dyDescent="0.25">
      <c r="A73" s="529"/>
      <c r="B73" s="76"/>
      <c r="C73" s="411" t="str">
        <f>'Du toan chi tiet'!C41</f>
        <v>AL.22112</v>
      </c>
      <c r="D73" s="411"/>
      <c r="E73" s="155" t="str">
        <f>'Du toan chi tiet'!D41</f>
        <v>Cắt mặt đường bê tông hiện có</v>
      </c>
      <c r="F73" s="76" t="str">
        <f>'Du toan chi tiet'!E41</f>
        <v>10m</v>
      </c>
      <c r="G73" s="603">
        <f>'Du toan chi tiet'!M41</f>
        <v>0.6</v>
      </c>
      <c r="H73" s="603">
        <f>'Phan tich don gia'!G266</f>
        <v>0.12</v>
      </c>
      <c r="I73" s="603">
        <f>'Du toan chi tiet'!V41</f>
        <v>1</v>
      </c>
      <c r="J73" s="381">
        <f t="shared" si="13"/>
        <v>7.1999999999999995E-2</v>
      </c>
      <c r="K73" s="237"/>
      <c r="L73" s="237"/>
      <c r="M73" s="237"/>
      <c r="N73" s="237"/>
      <c r="O73" s="237"/>
      <c r="P73" s="237"/>
      <c r="Q73" s="603"/>
      <c r="R73" s="237"/>
      <c r="S73" s="237"/>
      <c r="T73" s="237"/>
      <c r="U73" s="237"/>
      <c r="V73" s="237"/>
      <c r="W73" s="237"/>
      <c r="X73" s="237"/>
      <c r="Y73" s="237"/>
      <c r="Z73" s="237"/>
      <c r="AA73" s="237"/>
    </row>
    <row r="74" spans="1:27" x14ac:dyDescent="0.25">
      <c r="A74" s="159" t="s">
        <v>262</v>
      </c>
      <c r="B74" s="649">
        <v>21</v>
      </c>
      <c r="C74" s="214" t="s">
        <v>919</v>
      </c>
      <c r="D74" s="214"/>
      <c r="E74" s="720" t="str">
        <f>'Giá VL'!E25</f>
        <v>Que hàn</v>
      </c>
      <c r="F74" s="649" t="str">
        <f>'Giá VL'!F25</f>
        <v>kg</v>
      </c>
      <c r="G74" s="406"/>
      <c r="H74" s="406"/>
      <c r="I74" s="406"/>
      <c r="J74" s="176">
        <f>SUM(J75:J80)</f>
        <v>3.6139860000000006</v>
      </c>
      <c r="K74" s="10">
        <f>'Giá VL'!G25</f>
        <v>18182</v>
      </c>
      <c r="L74" s="10">
        <f>J74*K74</f>
        <v>65709.49345200001</v>
      </c>
      <c r="M74" s="10">
        <f>'Giá VL'!J25</f>
        <v>18182</v>
      </c>
      <c r="N74" s="10">
        <f>J74*M74</f>
        <v>65709.49345200001</v>
      </c>
      <c r="O74" s="526">
        <f>M74-K74</f>
        <v>0</v>
      </c>
      <c r="P74" s="10">
        <f>J74*O74</f>
        <v>0</v>
      </c>
      <c r="Q74" s="406">
        <v>1</v>
      </c>
      <c r="R74" s="10">
        <f>M74*Q74</f>
        <v>18182</v>
      </c>
      <c r="S74" s="10">
        <f>J74*R74</f>
        <v>65709.49345200001</v>
      </c>
      <c r="T74" s="241">
        <v>0</v>
      </c>
      <c r="U74" s="10">
        <v>0</v>
      </c>
      <c r="V74" s="10">
        <v>0</v>
      </c>
      <c r="W74" s="10">
        <v>0</v>
      </c>
      <c r="X74" s="10">
        <f>'Giá VL'!V25</f>
        <v>18182</v>
      </c>
      <c r="Y74" s="10">
        <f>J74*X74</f>
        <v>65709.49345200001</v>
      </c>
      <c r="Z74" s="398">
        <f>X74-K74</f>
        <v>0</v>
      </c>
      <c r="AA74" s="10">
        <f>J74*Z74</f>
        <v>0</v>
      </c>
    </row>
    <row r="75" spans="1:27" s="391" customFormat="1" hidden="1" x14ac:dyDescent="0.25">
      <c r="A75" s="529"/>
      <c r="B75" s="76"/>
      <c r="C75" s="411" t="str">
        <f>'Du toan chi tiet'!C13</f>
        <v>AF.82411</v>
      </c>
      <c r="D75" s="411"/>
      <c r="E75" s="155" t="str">
        <f>'Du toan chi tiet'!D13</f>
        <v>Ván khuôn thép mặt đường bê tông</v>
      </c>
      <c r="F75" s="76" t="str">
        <f>'Du toan chi tiet'!E13</f>
        <v>m2</v>
      </c>
      <c r="G75" s="603">
        <f>'Du toan chi tiet'!M13</f>
        <v>105.49</v>
      </c>
      <c r="H75" s="603">
        <f>'Phan tich don gia'!G57</f>
        <v>1.5800000000000002E-2</v>
      </c>
      <c r="I75" s="603">
        <f>'Du toan chi tiet'!V13</f>
        <v>1</v>
      </c>
      <c r="J75" s="381">
        <f t="shared" ref="J75:J80" si="14">PRODUCT(G75,H75,I75)</f>
        <v>1.6667420000000002</v>
      </c>
      <c r="K75" s="237"/>
      <c r="L75" s="237"/>
      <c r="M75" s="237"/>
      <c r="N75" s="237"/>
      <c r="O75" s="237"/>
      <c r="P75" s="237"/>
      <c r="Q75" s="603"/>
      <c r="R75" s="237"/>
      <c r="S75" s="237"/>
      <c r="T75" s="237"/>
      <c r="U75" s="237"/>
      <c r="V75" s="237"/>
      <c r="W75" s="237"/>
      <c r="X75" s="237"/>
      <c r="Y75" s="237"/>
      <c r="Z75" s="237"/>
      <c r="AA75" s="237"/>
    </row>
    <row r="76" spans="1:27" s="391" customFormat="1" hidden="1" x14ac:dyDescent="0.25">
      <c r="A76" s="529"/>
      <c r="B76" s="76"/>
      <c r="C76" s="411" t="str">
        <f>'Du toan chi tiet'!C34</f>
        <v>AF.63320</v>
      </c>
      <c r="D76" s="411"/>
      <c r="E76" s="155" t="str">
        <f>'Du toan chi tiet'!D34</f>
        <v>Lắp dựng cốt thép cống, ĐK ≤18mm</v>
      </c>
      <c r="F76" s="76" t="str">
        <f>'Du toan chi tiet'!E34</f>
        <v>tấn</v>
      </c>
      <c r="G76" s="603">
        <f>'Du toan chi tiet'!M34</f>
        <v>6.3E-2</v>
      </c>
      <c r="H76" s="603">
        <f>'Phan tich don gia'!G195</f>
        <v>9.5</v>
      </c>
      <c r="I76" s="603">
        <f>'Du toan chi tiet'!V34</f>
        <v>1</v>
      </c>
      <c r="J76" s="381">
        <f t="shared" si="14"/>
        <v>0.59850000000000003</v>
      </c>
      <c r="K76" s="237"/>
      <c r="L76" s="237"/>
      <c r="M76" s="237"/>
      <c r="N76" s="237"/>
      <c r="O76" s="237"/>
      <c r="P76" s="237"/>
      <c r="Q76" s="603"/>
      <c r="R76" s="237"/>
      <c r="S76" s="237"/>
      <c r="T76" s="237"/>
      <c r="U76" s="237"/>
      <c r="V76" s="237"/>
      <c r="W76" s="237"/>
      <c r="X76" s="237"/>
      <c r="Y76" s="237"/>
      <c r="Z76" s="237"/>
      <c r="AA76" s="237"/>
    </row>
    <row r="77" spans="1:27" s="391" customFormat="1" ht="30" hidden="1" x14ac:dyDescent="0.25">
      <c r="A77" s="529"/>
      <c r="B77" s="76"/>
      <c r="C77" s="411" t="str">
        <f>'Du toan chi tiet'!C35</f>
        <v>AF.86211</v>
      </c>
      <c r="D77" s="411"/>
      <c r="E77" s="155" t="str">
        <f>'Du toan chi tiet'!D35</f>
        <v>Ván khuôn thép, khung xương, cột chống giáo ống, tường, chiều cao ≤28m</v>
      </c>
      <c r="F77" s="76" t="str">
        <f>'Du toan chi tiet'!E35</f>
        <v>m2</v>
      </c>
      <c r="G77" s="603">
        <f>'Du toan chi tiet'!M35</f>
        <v>21.33</v>
      </c>
      <c r="H77" s="603">
        <f>'Phan tich don gia'!G205</f>
        <v>5.6000000000000001E-2</v>
      </c>
      <c r="I77" s="603">
        <f>'Du toan chi tiet'!V35</f>
        <v>1</v>
      </c>
      <c r="J77" s="381">
        <f t="shared" si="14"/>
        <v>1.19448</v>
      </c>
      <c r="K77" s="237"/>
      <c r="L77" s="237"/>
      <c r="M77" s="237"/>
      <c r="N77" s="237"/>
      <c r="O77" s="237"/>
      <c r="P77" s="237"/>
      <c r="Q77" s="603"/>
      <c r="R77" s="237"/>
      <c r="S77" s="237"/>
      <c r="T77" s="237"/>
      <c r="U77" s="237"/>
      <c r="V77" s="237"/>
      <c r="W77" s="237"/>
      <c r="X77" s="237"/>
      <c r="Y77" s="237"/>
      <c r="Z77" s="237"/>
      <c r="AA77" s="237"/>
    </row>
    <row r="78" spans="1:27" s="391" customFormat="1" hidden="1" x14ac:dyDescent="0.25">
      <c r="A78" s="529"/>
      <c r="B78" s="76"/>
      <c r="C78" s="411" t="str">
        <f>'Du toan chi tiet'!C37</f>
        <v>AF.82511</v>
      </c>
      <c r="D78" s="411"/>
      <c r="E78" s="155" t="str">
        <f>'Du toan chi tiet'!D37</f>
        <v>Ván khuôn móng dài</v>
      </c>
      <c r="F78" s="76" t="str">
        <f>'Du toan chi tiet'!E37</f>
        <v>m2</v>
      </c>
      <c r="G78" s="603">
        <f>'Du toan chi tiet'!M37</f>
        <v>1.78</v>
      </c>
      <c r="H78" s="603">
        <f>'Phan tich don gia'!G228</f>
        <v>3.2599999999999997E-2</v>
      </c>
      <c r="I78" s="603">
        <f>'Du toan chi tiet'!V37</f>
        <v>1</v>
      </c>
      <c r="J78" s="381">
        <f t="shared" si="14"/>
        <v>5.8027999999999996E-2</v>
      </c>
      <c r="K78" s="237"/>
      <c r="L78" s="237"/>
      <c r="M78" s="237"/>
      <c r="N78" s="237"/>
      <c r="O78" s="237"/>
      <c r="P78" s="237"/>
      <c r="Q78" s="603"/>
      <c r="R78" s="237"/>
      <c r="S78" s="237"/>
      <c r="T78" s="237"/>
      <c r="U78" s="237"/>
      <c r="V78" s="237"/>
      <c r="W78" s="237"/>
      <c r="X78" s="237"/>
      <c r="Y78" s="237"/>
      <c r="Z78" s="237"/>
      <c r="AA78" s="237"/>
    </row>
    <row r="79" spans="1:27" s="391" customFormat="1" ht="30" hidden="1" x14ac:dyDescent="0.25">
      <c r="A79" s="529"/>
      <c r="B79" s="76"/>
      <c r="C79" s="411" t="str">
        <f>'Du toan chi tiet'!C39</f>
        <v>AF.86211</v>
      </c>
      <c r="D79" s="411"/>
      <c r="E79" s="155" t="str">
        <f>'Du toan chi tiet'!D39</f>
        <v>Ván khuôn thép, khung xương, cột chống giáo ống, tường cánh chiều cao ≤28m</v>
      </c>
      <c r="F79" s="76" t="str">
        <f>'Du toan chi tiet'!E39</f>
        <v>m2</v>
      </c>
      <c r="G79" s="603">
        <f>'Du toan chi tiet'!M39</f>
        <v>0.81</v>
      </c>
      <c r="H79" s="603">
        <f>'Phan tich don gia'!G251</f>
        <v>5.6000000000000001E-2</v>
      </c>
      <c r="I79" s="603">
        <f>'Du toan chi tiet'!V39</f>
        <v>1</v>
      </c>
      <c r="J79" s="381">
        <f t="shared" si="14"/>
        <v>4.5360000000000004E-2</v>
      </c>
      <c r="K79" s="237"/>
      <c r="L79" s="237"/>
      <c r="M79" s="237"/>
      <c r="N79" s="237"/>
      <c r="O79" s="237"/>
      <c r="P79" s="237"/>
      <c r="Q79" s="603"/>
      <c r="R79" s="237"/>
      <c r="S79" s="237"/>
      <c r="T79" s="237"/>
      <c r="U79" s="237"/>
      <c r="V79" s="237"/>
      <c r="W79" s="237"/>
      <c r="X79" s="237"/>
      <c r="Y79" s="237"/>
      <c r="Z79" s="237"/>
      <c r="AA79" s="237"/>
    </row>
    <row r="80" spans="1:27" s="391" customFormat="1" hidden="1" x14ac:dyDescent="0.25">
      <c r="A80" s="529"/>
      <c r="B80" s="76"/>
      <c r="C80" s="411" t="str">
        <f>'Du toan chi tiet'!C48</f>
        <v>AF.82411</v>
      </c>
      <c r="D80" s="411"/>
      <c r="E80" s="155" t="str">
        <f>'Du toan chi tiet'!D48</f>
        <v>Ván khuôn thép mặt đường bê tông</v>
      </c>
      <c r="F80" s="76" t="str">
        <f>'Du toan chi tiet'!E48</f>
        <v>m2</v>
      </c>
      <c r="G80" s="603">
        <f>'Du toan chi tiet'!M48</f>
        <v>3.22</v>
      </c>
      <c r="H80" s="603">
        <f>'Phan tich don gia'!G316</f>
        <v>1.5800000000000002E-2</v>
      </c>
      <c r="I80" s="603">
        <f>'Du toan chi tiet'!V48</f>
        <v>1</v>
      </c>
      <c r="J80" s="381">
        <f t="shared" si="14"/>
        <v>5.0876000000000011E-2</v>
      </c>
      <c r="K80" s="237"/>
      <c r="L80" s="237"/>
      <c r="M80" s="237"/>
      <c r="N80" s="237"/>
      <c r="O80" s="237"/>
      <c r="P80" s="237"/>
      <c r="Q80" s="603"/>
      <c r="R80" s="237"/>
      <c r="S80" s="237"/>
      <c r="T80" s="237"/>
      <c r="U80" s="237"/>
      <c r="V80" s="237"/>
      <c r="W80" s="237"/>
      <c r="X80" s="237"/>
      <c r="Y80" s="237"/>
      <c r="Z80" s="237"/>
      <c r="AA80" s="237"/>
    </row>
    <row r="81" spans="1:27" x14ac:dyDescent="0.25">
      <c r="A81" s="159" t="s">
        <v>262</v>
      </c>
      <c r="B81" s="649">
        <v>22</v>
      </c>
      <c r="C81" s="214" t="s">
        <v>1210</v>
      </c>
      <c r="D81" s="214"/>
      <c r="E81" s="720" t="str">
        <f>'Giá VL'!E26</f>
        <v>Sơn dẻo nhiệt màu vàng</v>
      </c>
      <c r="F81" s="649" t="str">
        <f>'Giá VL'!F26</f>
        <v>kg</v>
      </c>
      <c r="G81" s="406"/>
      <c r="H81" s="406"/>
      <c r="I81" s="406"/>
      <c r="J81" s="176">
        <f>SUM(J82:J82)</f>
        <v>103.884</v>
      </c>
      <c r="K81" s="10">
        <f>'Giá VL'!G26</f>
        <v>28000</v>
      </c>
      <c r="L81" s="10">
        <f>J81*K81</f>
        <v>2908752</v>
      </c>
      <c r="M81" s="10">
        <f>'Giá VL'!J26</f>
        <v>28000</v>
      </c>
      <c r="N81" s="10">
        <f>J81*M81</f>
        <v>2908752</v>
      </c>
      <c r="O81" s="526">
        <f>M81-K81</f>
        <v>0</v>
      </c>
      <c r="P81" s="10">
        <f>J81*O81</f>
        <v>0</v>
      </c>
      <c r="Q81" s="406">
        <v>1</v>
      </c>
      <c r="R81" s="10">
        <f>M81*Q81</f>
        <v>28000</v>
      </c>
      <c r="S81" s="10">
        <f>J81*R81</f>
        <v>2908752</v>
      </c>
      <c r="T81" s="241">
        <v>0</v>
      </c>
      <c r="U81" s="10">
        <v>0</v>
      </c>
      <c r="V81" s="10">
        <v>0</v>
      </c>
      <c r="W81" s="10">
        <v>0</v>
      </c>
      <c r="X81" s="10">
        <f>'Giá VL'!V26</f>
        <v>28000</v>
      </c>
      <c r="Y81" s="10">
        <f>J81*X81</f>
        <v>2908752</v>
      </c>
      <c r="Z81" s="398">
        <f>X81-K81</f>
        <v>0</v>
      </c>
      <c r="AA81" s="10">
        <f>J81*Z81</f>
        <v>0</v>
      </c>
    </row>
    <row r="82" spans="1:27" s="391" customFormat="1" ht="30" hidden="1" x14ac:dyDescent="0.25">
      <c r="A82" s="529"/>
      <c r="B82" s="76"/>
      <c r="C82" s="411" t="str">
        <f>'Du toan chi tiet'!C24</f>
        <v>AK.91141vd</v>
      </c>
      <c r="D82" s="411"/>
      <c r="E82" s="155" t="str">
        <f>'Du toan chi tiet'!D24</f>
        <v>Sơn kẻ đường bằng sơn dẻo nhiệt phản quang, dày sơn 6mm</v>
      </c>
      <c r="F82" s="76" t="str">
        <f>'Du toan chi tiet'!E24</f>
        <v>m2</v>
      </c>
      <c r="G82" s="603">
        <f>'Du toan chi tiet'!M24</f>
        <v>6.6</v>
      </c>
      <c r="H82" s="603">
        <f>'Phan tich don gia'!G128</f>
        <v>15.74</v>
      </c>
      <c r="I82" s="603">
        <f>'Du toan chi tiet'!V24</f>
        <v>1</v>
      </c>
      <c r="J82" s="381">
        <f>PRODUCT(G82,H82,I82)</f>
        <v>103.884</v>
      </c>
      <c r="K82" s="237"/>
      <c r="L82" s="237"/>
      <c r="M82" s="237"/>
      <c r="N82" s="237"/>
      <c r="O82" s="237"/>
      <c r="P82" s="237"/>
      <c r="Q82" s="603"/>
      <c r="R82" s="237"/>
      <c r="S82" s="237"/>
      <c r="T82" s="237"/>
      <c r="U82" s="237"/>
      <c r="V82" s="237"/>
      <c r="W82" s="237"/>
      <c r="X82" s="237"/>
      <c r="Y82" s="237"/>
      <c r="Z82" s="237"/>
      <c r="AA82" s="237"/>
    </row>
    <row r="83" spans="1:27" x14ac:dyDescent="0.25">
      <c r="A83" s="159" t="s">
        <v>262</v>
      </c>
      <c r="B83" s="649">
        <v>23</v>
      </c>
      <c r="C83" s="214" t="s">
        <v>340</v>
      </c>
      <c r="D83" s="214"/>
      <c r="E83" s="720" t="str">
        <f>'Giá VL'!E27</f>
        <v>Sơn lót</v>
      </c>
      <c r="F83" s="649" t="str">
        <f>'Giá VL'!F27</f>
        <v>kg</v>
      </c>
      <c r="G83" s="406"/>
      <c r="H83" s="406"/>
      <c r="I83" s="406"/>
      <c r="J83" s="176">
        <f>SUM(J84:J84)</f>
        <v>1.65</v>
      </c>
      <c r="K83" s="10">
        <f>'Giá VL'!G27</f>
        <v>89500</v>
      </c>
      <c r="L83" s="10">
        <f>J83*K83</f>
        <v>147675</v>
      </c>
      <c r="M83" s="10">
        <f>'Giá VL'!J27</f>
        <v>89500</v>
      </c>
      <c r="N83" s="10">
        <f>J83*M83</f>
        <v>147675</v>
      </c>
      <c r="O83" s="526">
        <f>M83-K83</f>
        <v>0</v>
      </c>
      <c r="P83" s="10">
        <f>J83*O83</f>
        <v>0</v>
      </c>
      <c r="Q83" s="406">
        <v>1</v>
      </c>
      <c r="R83" s="10">
        <f>M83*Q83</f>
        <v>89500</v>
      </c>
      <c r="S83" s="10">
        <f>J83*R83</f>
        <v>147675</v>
      </c>
      <c r="T83" s="241">
        <v>0</v>
      </c>
      <c r="U83" s="10">
        <v>0</v>
      </c>
      <c r="V83" s="10">
        <v>0</v>
      </c>
      <c r="W83" s="10">
        <v>0</v>
      </c>
      <c r="X83" s="10">
        <f>'Giá VL'!V27</f>
        <v>89500</v>
      </c>
      <c r="Y83" s="10">
        <f>J83*X83</f>
        <v>147675</v>
      </c>
      <c r="Z83" s="398">
        <f>X83-K83</f>
        <v>0</v>
      </c>
      <c r="AA83" s="10">
        <f>J83*Z83</f>
        <v>0</v>
      </c>
    </row>
    <row r="84" spans="1:27" s="391" customFormat="1" ht="30" hidden="1" x14ac:dyDescent="0.25">
      <c r="A84" s="529"/>
      <c r="B84" s="76"/>
      <c r="C84" s="411" t="str">
        <f>'Du toan chi tiet'!C24</f>
        <v>AK.91141vd</v>
      </c>
      <c r="D84" s="411"/>
      <c r="E84" s="155" t="str">
        <f>'Du toan chi tiet'!D24</f>
        <v>Sơn kẻ đường bằng sơn dẻo nhiệt phản quang, dày sơn 6mm</v>
      </c>
      <c r="F84" s="76" t="str">
        <f>'Du toan chi tiet'!E24</f>
        <v>m2</v>
      </c>
      <c r="G84" s="603">
        <f>'Du toan chi tiet'!M24</f>
        <v>6.6</v>
      </c>
      <c r="H84" s="603">
        <f>'Phan tich don gia'!G129</f>
        <v>0.25</v>
      </c>
      <c r="I84" s="603">
        <f>'Du toan chi tiet'!V24</f>
        <v>1</v>
      </c>
      <c r="J84" s="381">
        <f>PRODUCT(G84,H84,I84)</f>
        <v>1.65</v>
      </c>
      <c r="K84" s="237"/>
      <c r="L84" s="237"/>
      <c r="M84" s="237"/>
      <c r="N84" s="237"/>
      <c r="O84" s="237"/>
      <c r="P84" s="237"/>
      <c r="Q84" s="603"/>
      <c r="R84" s="237"/>
      <c r="S84" s="237"/>
      <c r="T84" s="237"/>
      <c r="U84" s="237"/>
      <c r="V84" s="237"/>
      <c r="W84" s="237"/>
      <c r="X84" s="237"/>
      <c r="Y84" s="237"/>
      <c r="Z84" s="237"/>
      <c r="AA84" s="237"/>
    </row>
    <row r="85" spans="1:27" x14ac:dyDescent="0.25">
      <c r="A85" s="159" t="s">
        <v>262</v>
      </c>
      <c r="B85" s="649">
        <v>24</v>
      </c>
      <c r="C85" s="214" t="s">
        <v>849</v>
      </c>
      <c r="D85" s="214"/>
      <c r="E85" s="720" t="str">
        <f>'Giá VL'!E28</f>
        <v>Sơn sắt thép</v>
      </c>
      <c r="F85" s="649" t="str">
        <f>'Giá VL'!F28</f>
        <v>kg</v>
      </c>
      <c r="G85" s="406"/>
      <c r="H85" s="406"/>
      <c r="I85" s="406"/>
      <c r="J85" s="176">
        <f>SUM(J86:J86)</f>
        <v>0.24640000000000004</v>
      </c>
      <c r="K85" s="10">
        <f>'Giá VL'!G28</f>
        <v>130090.9</v>
      </c>
      <c r="L85" s="10">
        <f>J85*K85</f>
        <v>32054.397760000003</v>
      </c>
      <c r="M85" s="10">
        <f>'Giá VL'!J28</f>
        <v>130090.9</v>
      </c>
      <c r="N85" s="10">
        <f>J85*M85</f>
        <v>32054.397760000003</v>
      </c>
      <c r="O85" s="526">
        <f>M85-K85</f>
        <v>0</v>
      </c>
      <c r="P85" s="10">
        <f>J85*O85</f>
        <v>0</v>
      </c>
      <c r="Q85" s="406">
        <v>1</v>
      </c>
      <c r="R85" s="10">
        <f>M85*Q85</f>
        <v>130090.9</v>
      </c>
      <c r="S85" s="10">
        <f>J85*R85</f>
        <v>32054.397760000003</v>
      </c>
      <c r="T85" s="241">
        <v>0</v>
      </c>
      <c r="U85" s="10">
        <v>0</v>
      </c>
      <c r="V85" s="10">
        <v>0</v>
      </c>
      <c r="W85" s="10">
        <v>0</v>
      </c>
      <c r="X85" s="10">
        <f>'Giá VL'!V28</f>
        <v>130090.9</v>
      </c>
      <c r="Y85" s="10">
        <f>J85*X85</f>
        <v>32054.397760000003</v>
      </c>
      <c r="Z85" s="398">
        <f>X85-K85</f>
        <v>0</v>
      </c>
      <c r="AA85" s="10">
        <f>J85*Z85</f>
        <v>0</v>
      </c>
    </row>
    <row r="86" spans="1:27" s="391" customFormat="1" hidden="1" x14ac:dyDescent="0.25">
      <c r="A86" s="529"/>
      <c r="B86" s="76"/>
      <c r="C86" s="411" t="str">
        <f>'Du toan chi tiet'!C26</f>
        <v>SE.31420</v>
      </c>
      <c r="D86" s="411"/>
      <c r="E86" s="155" t="str">
        <f>'Du toan chi tiet'!D26</f>
        <v>Sơn biển báo, cột biển báo bằng thép - 3 nước</v>
      </c>
      <c r="F86" s="76" t="str">
        <f>'Du toan chi tiet'!E26</f>
        <v>m2</v>
      </c>
      <c r="G86" s="603">
        <f>'Du toan chi tiet'!M26</f>
        <v>1.1200000000000001</v>
      </c>
      <c r="H86" s="603">
        <f>'Phan tich don gia'!G146</f>
        <v>0.22</v>
      </c>
      <c r="I86" s="603">
        <f>'Du toan chi tiet'!V26</f>
        <v>1</v>
      </c>
      <c r="J86" s="381">
        <f>PRODUCT(G86,H86,I86)</f>
        <v>0.24640000000000004</v>
      </c>
      <c r="K86" s="237"/>
      <c r="L86" s="237"/>
      <c r="M86" s="237"/>
      <c r="N86" s="237"/>
      <c r="O86" s="237"/>
      <c r="P86" s="237"/>
      <c r="Q86" s="603"/>
      <c r="R86" s="237"/>
      <c r="S86" s="237"/>
      <c r="T86" s="237"/>
      <c r="U86" s="237"/>
      <c r="V86" s="237"/>
      <c r="W86" s="237"/>
      <c r="X86" s="237"/>
      <c r="Y86" s="237"/>
      <c r="Z86" s="237"/>
      <c r="AA86" s="237"/>
    </row>
    <row r="87" spans="1:27" x14ac:dyDescent="0.25">
      <c r="A87" s="159" t="s">
        <v>262</v>
      </c>
      <c r="B87" s="649">
        <v>25</v>
      </c>
      <c r="C87" s="214" t="s">
        <v>1141</v>
      </c>
      <c r="D87" s="214"/>
      <c r="E87" s="720" t="str">
        <f>'Giá VL'!E29</f>
        <v>Thép hình</v>
      </c>
      <c r="F87" s="649" t="str">
        <f>'Giá VL'!F29</f>
        <v>kg</v>
      </c>
      <c r="G87" s="406"/>
      <c r="H87" s="406"/>
      <c r="I87" s="406"/>
      <c r="J87" s="176">
        <f>SUM(J88:J90)</f>
        <v>11.383132</v>
      </c>
      <c r="K87" s="10">
        <f>'Giá VL'!G29</f>
        <v>19600</v>
      </c>
      <c r="L87" s="10">
        <f>J87*K87</f>
        <v>223109.3872</v>
      </c>
      <c r="M87" s="10">
        <f>'Giá VL'!J29</f>
        <v>19600</v>
      </c>
      <c r="N87" s="10">
        <f>J87*M87</f>
        <v>223109.3872</v>
      </c>
      <c r="O87" s="526">
        <f>M87-K87</f>
        <v>0</v>
      </c>
      <c r="P87" s="10">
        <f>J87*O87</f>
        <v>0</v>
      </c>
      <c r="Q87" s="406">
        <v>1</v>
      </c>
      <c r="R87" s="10">
        <f>M87*Q87</f>
        <v>19600</v>
      </c>
      <c r="S87" s="10">
        <f>J87*R87</f>
        <v>223109.3872</v>
      </c>
      <c r="T87" s="241">
        <v>0</v>
      </c>
      <c r="U87" s="10">
        <v>0</v>
      </c>
      <c r="V87" s="10">
        <v>9.3377213171988807</v>
      </c>
      <c r="W87" s="10">
        <v>243.108807072487</v>
      </c>
      <c r="X87" s="88">
        <f>'Giá VL'!V29</f>
        <v>19657.495796390001</v>
      </c>
      <c r="Y87" s="10">
        <f>J87*X87</f>
        <v>223763.86943975251</v>
      </c>
      <c r="Z87" s="10">
        <f>X87-K87</f>
        <v>57.495796390001487</v>
      </c>
      <c r="AA87" s="10">
        <f>J87*Z87</f>
        <v>654.4822397525104</v>
      </c>
    </row>
    <row r="88" spans="1:27" s="391" customFormat="1" ht="30" hidden="1" x14ac:dyDescent="0.25">
      <c r="A88" s="529"/>
      <c r="B88" s="76"/>
      <c r="C88" s="411" t="str">
        <f>'Du toan chi tiet'!C35</f>
        <v>AF.86211</v>
      </c>
      <c r="D88" s="411"/>
      <c r="E88" s="155" t="str">
        <f>'Du toan chi tiet'!D35</f>
        <v>Ván khuôn thép, khung xương, cột chống giáo ống, tường, chiều cao ≤28m</v>
      </c>
      <c r="F88" s="76" t="str">
        <f>'Du toan chi tiet'!E35</f>
        <v>m2</v>
      </c>
      <c r="G88" s="603">
        <f>'Du toan chi tiet'!M35</f>
        <v>21.33</v>
      </c>
      <c r="H88" s="603">
        <f>'Phan tich don gia'!G204</f>
        <v>0.4884</v>
      </c>
      <c r="I88" s="603">
        <f>'Du toan chi tiet'!V35</f>
        <v>1</v>
      </c>
      <c r="J88" s="381">
        <f t="shared" ref="J88:J90" si="15">PRODUCT(G88,H88,I88)</f>
        <v>10.417572</v>
      </c>
      <c r="K88" s="237"/>
      <c r="L88" s="237"/>
      <c r="M88" s="237"/>
      <c r="N88" s="237"/>
      <c r="O88" s="237"/>
      <c r="P88" s="237"/>
      <c r="Q88" s="603"/>
      <c r="R88" s="237"/>
      <c r="S88" s="237"/>
      <c r="T88" s="237"/>
      <c r="U88" s="237"/>
      <c r="V88" s="237"/>
      <c r="W88" s="237"/>
      <c r="X88" s="237"/>
      <c r="Y88" s="237"/>
      <c r="Z88" s="237"/>
      <c r="AA88" s="237"/>
    </row>
    <row r="89" spans="1:27" s="391" customFormat="1" hidden="1" x14ac:dyDescent="0.25">
      <c r="A89" s="529"/>
      <c r="B89" s="76"/>
      <c r="C89" s="411" t="str">
        <f>'Du toan chi tiet'!C37</f>
        <v>AF.82511</v>
      </c>
      <c r="D89" s="411"/>
      <c r="E89" s="155" t="str">
        <f>'Du toan chi tiet'!D37</f>
        <v>Ván khuôn móng dài</v>
      </c>
      <c r="F89" s="76" t="str">
        <f>'Du toan chi tiet'!E37</f>
        <v>m2</v>
      </c>
      <c r="G89" s="603">
        <f>'Du toan chi tiet'!M37</f>
        <v>1.78</v>
      </c>
      <c r="H89" s="603">
        <f>'Phan tich don gia'!G227</f>
        <v>0.32019999999999998</v>
      </c>
      <c r="I89" s="603">
        <f>'Du toan chi tiet'!V37</f>
        <v>1</v>
      </c>
      <c r="J89" s="381">
        <f t="shared" si="15"/>
        <v>0.56995600000000002</v>
      </c>
      <c r="K89" s="237"/>
      <c r="L89" s="237"/>
      <c r="M89" s="237"/>
      <c r="N89" s="237"/>
      <c r="O89" s="237"/>
      <c r="P89" s="237"/>
      <c r="Q89" s="603"/>
      <c r="R89" s="237"/>
      <c r="S89" s="237"/>
      <c r="T89" s="237"/>
      <c r="U89" s="237"/>
      <c r="V89" s="237"/>
      <c r="W89" s="237"/>
      <c r="X89" s="237"/>
      <c r="Y89" s="237"/>
      <c r="Z89" s="237"/>
      <c r="AA89" s="237"/>
    </row>
    <row r="90" spans="1:27" s="391" customFormat="1" ht="30" hidden="1" x14ac:dyDescent="0.25">
      <c r="A90" s="529"/>
      <c r="B90" s="76"/>
      <c r="C90" s="411" t="str">
        <f>'Du toan chi tiet'!C39</f>
        <v>AF.86211</v>
      </c>
      <c r="D90" s="411"/>
      <c r="E90" s="155" t="str">
        <f>'Du toan chi tiet'!D39</f>
        <v>Ván khuôn thép, khung xương, cột chống giáo ống, tường cánh chiều cao ≤28m</v>
      </c>
      <c r="F90" s="76" t="str">
        <f>'Du toan chi tiet'!E39</f>
        <v>m2</v>
      </c>
      <c r="G90" s="603">
        <f>'Du toan chi tiet'!M39</f>
        <v>0.81</v>
      </c>
      <c r="H90" s="603">
        <f>'Phan tich don gia'!G250</f>
        <v>0.4884</v>
      </c>
      <c r="I90" s="603">
        <f>'Du toan chi tiet'!V39</f>
        <v>1</v>
      </c>
      <c r="J90" s="381">
        <f t="shared" si="15"/>
        <v>0.39560400000000001</v>
      </c>
      <c r="K90" s="237"/>
      <c r="L90" s="237"/>
      <c r="M90" s="237"/>
      <c r="N90" s="237"/>
      <c r="O90" s="237"/>
      <c r="P90" s="237"/>
      <c r="Q90" s="603"/>
      <c r="R90" s="237"/>
      <c r="S90" s="237"/>
      <c r="T90" s="237"/>
      <c r="U90" s="237"/>
      <c r="V90" s="237"/>
      <c r="W90" s="237"/>
      <c r="X90" s="237"/>
      <c r="Y90" s="237"/>
      <c r="Z90" s="237"/>
      <c r="AA90" s="237"/>
    </row>
    <row r="91" spans="1:27" x14ac:dyDescent="0.25">
      <c r="A91" s="159" t="s">
        <v>262</v>
      </c>
      <c r="B91" s="649">
        <v>26</v>
      </c>
      <c r="C91" s="214" t="s">
        <v>649</v>
      </c>
      <c r="D91" s="214"/>
      <c r="E91" s="720" t="str">
        <f>'Giá VL'!E30</f>
        <v>Thép hình, thép tấm</v>
      </c>
      <c r="F91" s="649" t="str">
        <f>'Giá VL'!F30</f>
        <v>kg</v>
      </c>
      <c r="G91" s="406"/>
      <c r="H91" s="406"/>
      <c r="I91" s="406"/>
      <c r="J91" s="176">
        <f>SUM(J92:J93)</f>
        <v>34.243649999999995</v>
      </c>
      <c r="K91" s="10">
        <f>'Giá VL'!G30</f>
        <v>19600</v>
      </c>
      <c r="L91" s="10">
        <f>J91*K91</f>
        <v>671175.53999999992</v>
      </c>
      <c r="M91" s="10">
        <f>'Giá VL'!J30</f>
        <v>19600</v>
      </c>
      <c r="N91" s="10">
        <f>J91*M91</f>
        <v>671175.53999999992</v>
      </c>
      <c r="O91" s="526">
        <f>M91-K91</f>
        <v>0</v>
      </c>
      <c r="P91" s="10">
        <f>J91*O91</f>
        <v>0</v>
      </c>
      <c r="Q91" s="406">
        <v>1</v>
      </c>
      <c r="R91" s="10">
        <f>M91*Q91</f>
        <v>19600</v>
      </c>
      <c r="S91" s="10">
        <f>J91*R91</f>
        <v>671175.53999999992</v>
      </c>
      <c r="T91" s="241">
        <v>0</v>
      </c>
      <c r="U91" s="10">
        <v>0</v>
      </c>
      <c r="V91" s="10">
        <v>9.3377213171988807</v>
      </c>
      <c r="W91" s="10">
        <v>302.63881609287699</v>
      </c>
      <c r="X91" s="88">
        <f>'Giá VL'!V30</f>
        <v>19657.495796390001</v>
      </c>
      <c r="Y91" s="10">
        <f>J91*X91</f>
        <v>673144.4059280504</v>
      </c>
      <c r="Z91" s="398">
        <f>X91-K91</f>
        <v>57.495796390001487</v>
      </c>
      <c r="AA91" s="10">
        <f>J91*Z91</f>
        <v>1968.8659280504742</v>
      </c>
    </row>
    <row r="92" spans="1:27" s="391" customFormat="1" hidden="1" x14ac:dyDescent="0.25">
      <c r="A92" s="529"/>
      <c r="B92" s="76"/>
      <c r="C92" s="411" t="str">
        <f>'Du toan chi tiet'!C13</f>
        <v>AF.82411</v>
      </c>
      <c r="D92" s="411"/>
      <c r="E92" s="155" t="str">
        <f>'Du toan chi tiet'!D13</f>
        <v>Ván khuôn thép mặt đường bê tông</v>
      </c>
      <c r="F92" s="76" t="str">
        <f>'Du toan chi tiet'!E13</f>
        <v>m2</v>
      </c>
      <c r="G92" s="603">
        <f>'Du toan chi tiet'!M13</f>
        <v>105.49</v>
      </c>
      <c r="H92" s="603">
        <f>'Phan tich don gia'!G56</f>
        <v>0.315</v>
      </c>
      <c r="I92" s="603">
        <f>'Du toan chi tiet'!V13</f>
        <v>1</v>
      </c>
      <c r="J92" s="381">
        <f t="shared" ref="J92:J93" si="16">PRODUCT(G92,H92,I92)</f>
        <v>33.229349999999997</v>
      </c>
      <c r="K92" s="237"/>
      <c r="L92" s="237"/>
      <c r="M92" s="237"/>
      <c r="N92" s="237"/>
      <c r="O92" s="237"/>
      <c r="P92" s="237"/>
      <c r="Q92" s="603"/>
      <c r="R92" s="237"/>
      <c r="S92" s="237"/>
      <c r="T92" s="237"/>
      <c r="U92" s="237"/>
      <c r="V92" s="237"/>
      <c r="W92" s="237"/>
      <c r="X92" s="237"/>
      <c r="Y92" s="237"/>
      <c r="Z92" s="237"/>
      <c r="AA92" s="237"/>
    </row>
    <row r="93" spans="1:27" s="391" customFormat="1" hidden="1" x14ac:dyDescent="0.25">
      <c r="A93" s="529"/>
      <c r="B93" s="76"/>
      <c r="C93" s="411" t="str">
        <f>'Du toan chi tiet'!C48</f>
        <v>AF.82411</v>
      </c>
      <c r="D93" s="411"/>
      <c r="E93" s="155" t="str">
        <f>'Du toan chi tiet'!D48</f>
        <v>Ván khuôn thép mặt đường bê tông</v>
      </c>
      <c r="F93" s="76" t="str">
        <f>'Du toan chi tiet'!E48</f>
        <v>m2</v>
      </c>
      <c r="G93" s="603">
        <f>'Du toan chi tiet'!M48</f>
        <v>3.22</v>
      </c>
      <c r="H93" s="603">
        <f>'Phan tich don gia'!G315</f>
        <v>0.315</v>
      </c>
      <c r="I93" s="603">
        <f>'Du toan chi tiet'!V48</f>
        <v>1</v>
      </c>
      <c r="J93" s="381">
        <f t="shared" si="16"/>
        <v>1.0143</v>
      </c>
      <c r="K93" s="237"/>
      <c r="L93" s="237"/>
      <c r="M93" s="237"/>
      <c r="N93" s="237"/>
      <c r="O93" s="237"/>
      <c r="P93" s="237"/>
      <c r="Q93" s="603"/>
      <c r="R93" s="237"/>
      <c r="S93" s="237"/>
      <c r="T93" s="237"/>
      <c r="U93" s="237"/>
      <c r="V93" s="237"/>
      <c r="W93" s="237"/>
      <c r="X93" s="237"/>
      <c r="Y93" s="237"/>
      <c r="Z93" s="237"/>
      <c r="AA93" s="237"/>
    </row>
    <row r="94" spans="1:27" x14ac:dyDescent="0.25">
      <c r="A94" s="159" t="s">
        <v>262</v>
      </c>
      <c r="B94" s="649">
        <v>27</v>
      </c>
      <c r="C94" s="214" t="s">
        <v>713</v>
      </c>
      <c r="D94" s="214"/>
      <c r="E94" s="720" t="str">
        <f>'Giá VL'!E31</f>
        <v>Thép tấm</v>
      </c>
      <c r="F94" s="649" t="str">
        <f>'Giá VL'!F31</f>
        <v>kg</v>
      </c>
      <c r="G94" s="406"/>
      <c r="H94" s="406"/>
      <c r="I94" s="406"/>
      <c r="J94" s="176">
        <f>SUM(J95:J97)</f>
        <v>12.392951999999999</v>
      </c>
      <c r="K94" s="10">
        <f>'Giá VL'!G31</f>
        <v>19600</v>
      </c>
      <c r="L94" s="10">
        <f>J94*K94</f>
        <v>242901.85919999998</v>
      </c>
      <c r="M94" s="10">
        <f>'Giá VL'!J31</f>
        <v>19600</v>
      </c>
      <c r="N94" s="10">
        <f>J94*M94</f>
        <v>242901.85919999998</v>
      </c>
      <c r="O94" s="526">
        <f>M94-K94</f>
        <v>0</v>
      </c>
      <c r="P94" s="10">
        <f>J94*O94</f>
        <v>0</v>
      </c>
      <c r="Q94" s="406">
        <v>1</v>
      </c>
      <c r="R94" s="10">
        <f>M94*Q94</f>
        <v>19600</v>
      </c>
      <c r="S94" s="10">
        <f>J94*R94</f>
        <v>242901.85919999998</v>
      </c>
      <c r="T94" s="241">
        <v>0</v>
      </c>
      <c r="U94" s="10">
        <v>0</v>
      </c>
      <c r="V94" s="10">
        <v>9.3377213171988807</v>
      </c>
      <c r="W94" s="10">
        <v>260.858134506645</v>
      </c>
      <c r="X94" s="88">
        <f>'Giá VL'!V31</f>
        <v>19657.495796390001</v>
      </c>
      <c r="Y94" s="10">
        <f>J94*X94</f>
        <v>243614.40184486305</v>
      </c>
      <c r="Z94" s="398">
        <f>X94-K94</f>
        <v>57.495796390001487</v>
      </c>
      <c r="AA94" s="10">
        <f>J94*Z94</f>
        <v>712.5426448630617</v>
      </c>
    </row>
    <row r="95" spans="1:27" s="391" customFormat="1" ht="30" hidden="1" x14ac:dyDescent="0.25">
      <c r="A95" s="529"/>
      <c r="B95" s="76"/>
      <c r="C95" s="411" t="str">
        <f>'Du toan chi tiet'!C35</f>
        <v>AF.86211</v>
      </c>
      <c r="D95" s="411"/>
      <c r="E95" s="155" t="str">
        <f>'Du toan chi tiet'!D35</f>
        <v>Ván khuôn thép, khung xương, cột chống giáo ống, tường, chiều cao ≤28m</v>
      </c>
      <c r="F95" s="76" t="str">
        <f>'Du toan chi tiet'!E35</f>
        <v>m2</v>
      </c>
      <c r="G95" s="603">
        <f>'Du toan chi tiet'!M35</f>
        <v>21.33</v>
      </c>
      <c r="H95" s="603">
        <f>'Phan tich don gia'!G203</f>
        <v>0.5181</v>
      </c>
      <c r="I95" s="603">
        <f>'Du toan chi tiet'!V35</f>
        <v>1</v>
      </c>
      <c r="J95" s="381">
        <f t="shared" ref="J95:J97" si="17">PRODUCT(G95,H95,I95)</f>
        <v>11.051072999999999</v>
      </c>
      <c r="K95" s="237"/>
      <c r="L95" s="237"/>
      <c r="M95" s="237"/>
      <c r="N95" s="237"/>
      <c r="O95" s="237"/>
      <c r="P95" s="237"/>
      <c r="Q95" s="603"/>
      <c r="R95" s="237"/>
      <c r="S95" s="237"/>
      <c r="T95" s="237"/>
      <c r="U95" s="237"/>
      <c r="V95" s="237"/>
      <c r="W95" s="237"/>
      <c r="X95" s="237"/>
      <c r="Y95" s="237"/>
      <c r="Z95" s="237"/>
      <c r="AA95" s="237"/>
    </row>
    <row r="96" spans="1:27" s="391" customFormat="1" hidden="1" x14ac:dyDescent="0.25">
      <c r="A96" s="529"/>
      <c r="B96" s="76"/>
      <c r="C96" s="411" t="str">
        <f>'Du toan chi tiet'!C37</f>
        <v>AF.82511</v>
      </c>
      <c r="D96" s="411"/>
      <c r="E96" s="155" t="str">
        <f>'Du toan chi tiet'!D37</f>
        <v>Ván khuôn móng dài</v>
      </c>
      <c r="F96" s="76" t="str">
        <f>'Du toan chi tiet'!E37</f>
        <v>m2</v>
      </c>
      <c r="G96" s="603">
        <f>'Du toan chi tiet'!M37</f>
        <v>1.78</v>
      </c>
      <c r="H96" s="603">
        <f>'Phan tich don gia'!G226</f>
        <v>0.5181</v>
      </c>
      <c r="I96" s="603">
        <f>'Du toan chi tiet'!V37</f>
        <v>1</v>
      </c>
      <c r="J96" s="381">
        <f t="shared" si="17"/>
        <v>0.92221799999999998</v>
      </c>
      <c r="K96" s="237"/>
      <c r="L96" s="237"/>
      <c r="M96" s="237"/>
      <c r="N96" s="237"/>
      <c r="O96" s="237"/>
      <c r="P96" s="237"/>
      <c r="Q96" s="603"/>
      <c r="R96" s="237"/>
      <c r="S96" s="237"/>
      <c r="T96" s="237"/>
      <c r="U96" s="237"/>
      <c r="V96" s="237"/>
      <c r="W96" s="237"/>
      <c r="X96" s="237"/>
      <c r="Y96" s="237"/>
      <c r="Z96" s="237"/>
      <c r="AA96" s="237"/>
    </row>
    <row r="97" spans="1:27" s="391" customFormat="1" ht="30" hidden="1" x14ac:dyDescent="0.25">
      <c r="A97" s="529"/>
      <c r="B97" s="76"/>
      <c r="C97" s="411" t="str">
        <f>'Du toan chi tiet'!C39</f>
        <v>AF.86211</v>
      </c>
      <c r="D97" s="411"/>
      <c r="E97" s="155" t="str">
        <f>'Du toan chi tiet'!D39</f>
        <v>Ván khuôn thép, khung xương, cột chống giáo ống, tường cánh chiều cao ≤28m</v>
      </c>
      <c r="F97" s="76" t="str">
        <f>'Du toan chi tiet'!E39</f>
        <v>m2</v>
      </c>
      <c r="G97" s="603">
        <f>'Du toan chi tiet'!M39</f>
        <v>0.81</v>
      </c>
      <c r="H97" s="603">
        <f>'Phan tich don gia'!G249</f>
        <v>0.5181</v>
      </c>
      <c r="I97" s="603">
        <f>'Du toan chi tiet'!V39</f>
        <v>1</v>
      </c>
      <c r="J97" s="381">
        <f t="shared" si="17"/>
        <v>0.41966100000000001</v>
      </c>
      <c r="K97" s="237"/>
      <c r="L97" s="237"/>
      <c r="M97" s="237"/>
      <c r="N97" s="237"/>
      <c r="O97" s="237"/>
      <c r="P97" s="237"/>
      <c r="Q97" s="603"/>
      <c r="R97" s="237"/>
      <c r="S97" s="237"/>
      <c r="T97" s="237"/>
      <c r="U97" s="237"/>
      <c r="V97" s="237"/>
      <c r="W97" s="237"/>
      <c r="X97" s="237"/>
      <c r="Y97" s="237"/>
      <c r="Z97" s="237"/>
      <c r="AA97" s="237"/>
    </row>
    <row r="98" spans="1:27" x14ac:dyDescent="0.25">
      <c r="A98" s="159" t="s">
        <v>262</v>
      </c>
      <c r="B98" s="649">
        <v>28</v>
      </c>
      <c r="C98" s="214" t="s">
        <v>132</v>
      </c>
      <c r="D98" s="214"/>
      <c r="E98" s="720" t="str">
        <f>'Giá VL'!E32</f>
        <v>Thép tròn Fi ≤10mm</v>
      </c>
      <c r="F98" s="649" t="str">
        <f>'Giá VL'!F32</f>
        <v>kg</v>
      </c>
      <c r="G98" s="406"/>
      <c r="H98" s="406"/>
      <c r="I98" s="406"/>
      <c r="J98" s="176">
        <f>SUM(J99:J99)</f>
        <v>240.19499999999999</v>
      </c>
      <c r="K98" s="10">
        <f>'Giá VL'!G32</f>
        <v>14409</v>
      </c>
      <c r="L98" s="10">
        <f>J98*K98</f>
        <v>3460969.7549999999</v>
      </c>
      <c r="M98" s="10">
        <f>'Giá VL'!J32</f>
        <v>14409</v>
      </c>
      <c r="N98" s="10">
        <f>J98*M98</f>
        <v>3460969.7549999999</v>
      </c>
      <c r="O98" s="526">
        <f>M98-K98</f>
        <v>0</v>
      </c>
      <c r="P98" s="10">
        <f>J98*O98</f>
        <v>0</v>
      </c>
      <c r="Q98" s="406">
        <v>1</v>
      </c>
      <c r="R98" s="10">
        <f>M98*Q98</f>
        <v>14409</v>
      </c>
      <c r="S98" s="10">
        <f>J98*R98</f>
        <v>3460969.7549999999</v>
      </c>
      <c r="T98" s="241">
        <v>0</v>
      </c>
      <c r="U98" s="10">
        <v>0</v>
      </c>
      <c r="V98" s="10">
        <v>9.3377213171988807</v>
      </c>
      <c r="W98" s="10">
        <v>2242.8739717845901</v>
      </c>
      <c r="X98" s="88">
        <f>'Giá VL'!V32</f>
        <v>14466.49579639</v>
      </c>
      <c r="Y98" s="10">
        <f>J98*X98</f>
        <v>3474779.9578138958</v>
      </c>
      <c r="Z98" s="398">
        <f>X98-K98</f>
        <v>57.495796389999668</v>
      </c>
      <c r="AA98" s="10">
        <f>J98*Z98</f>
        <v>13810.20281389597</v>
      </c>
    </row>
    <row r="99" spans="1:27" s="391" customFormat="1" hidden="1" x14ac:dyDescent="0.25">
      <c r="A99" s="529"/>
      <c r="B99" s="76"/>
      <c r="C99" s="411" t="str">
        <f>'Du toan chi tiet'!C33</f>
        <v>AF.63310</v>
      </c>
      <c r="D99" s="411"/>
      <c r="E99" s="155" t="str">
        <f>'Du toan chi tiet'!D33</f>
        <v>Lắp dựng cốt thép cống, ĐK ≤10mm</v>
      </c>
      <c r="F99" s="76" t="str">
        <f>'Du toan chi tiet'!E33</f>
        <v>tấn</v>
      </c>
      <c r="G99" s="603">
        <f>'Du toan chi tiet'!M33</f>
        <v>0.23899999999999999</v>
      </c>
      <c r="H99" s="603">
        <f>'Phan tich don gia'!G185</f>
        <v>1005</v>
      </c>
      <c r="I99" s="603">
        <f>'Du toan chi tiet'!V33</f>
        <v>1</v>
      </c>
      <c r="J99" s="381">
        <f>PRODUCT(G99,H99,I99)</f>
        <v>240.19499999999999</v>
      </c>
      <c r="K99" s="237"/>
      <c r="L99" s="237"/>
      <c r="M99" s="237"/>
      <c r="N99" s="237"/>
      <c r="O99" s="237"/>
      <c r="P99" s="237"/>
      <c r="Q99" s="603"/>
      <c r="R99" s="237"/>
      <c r="S99" s="237"/>
      <c r="T99" s="237"/>
      <c r="U99" s="237"/>
      <c r="V99" s="237"/>
      <c r="W99" s="237"/>
      <c r="X99" s="237"/>
      <c r="Y99" s="237"/>
      <c r="Z99" s="237"/>
      <c r="AA99" s="237"/>
    </row>
    <row r="100" spans="1:27" x14ac:dyDescent="0.25">
      <c r="A100" s="159" t="s">
        <v>262</v>
      </c>
      <c r="B100" s="649">
        <v>29</v>
      </c>
      <c r="C100" s="214" t="s">
        <v>149</v>
      </c>
      <c r="D100" s="214"/>
      <c r="E100" s="720" t="str">
        <f>'Giá VL'!E33</f>
        <v>Thép tròn Fi ≤18mm</v>
      </c>
      <c r="F100" s="649" t="str">
        <f>'Giá VL'!F33</f>
        <v>kg</v>
      </c>
      <c r="G100" s="406"/>
      <c r="H100" s="406"/>
      <c r="I100" s="406"/>
      <c r="J100" s="176">
        <f>SUM(J101:J101)</f>
        <v>64.260000000000005</v>
      </c>
      <c r="K100" s="10">
        <f>'Giá VL'!G33</f>
        <v>14409</v>
      </c>
      <c r="L100" s="10">
        <f>J100*K100</f>
        <v>925922.34000000008</v>
      </c>
      <c r="M100" s="10">
        <f>'Giá VL'!J33</f>
        <v>14409</v>
      </c>
      <c r="N100" s="10">
        <f>J100*M100</f>
        <v>925922.34000000008</v>
      </c>
      <c r="O100" s="526">
        <f>M100-K100</f>
        <v>0</v>
      </c>
      <c r="P100" s="10">
        <f>J100*O100</f>
        <v>0</v>
      </c>
      <c r="Q100" s="406">
        <v>1</v>
      </c>
      <c r="R100" s="10">
        <f>M100*Q100</f>
        <v>14409</v>
      </c>
      <c r="S100" s="10">
        <f>J100*R100</f>
        <v>925922.34000000008</v>
      </c>
      <c r="T100" s="241">
        <v>0</v>
      </c>
      <c r="U100" s="10">
        <v>0</v>
      </c>
      <c r="V100" s="10">
        <v>9.3377213171988807</v>
      </c>
      <c r="W100" s="10">
        <v>600.04197184320003</v>
      </c>
      <c r="X100" s="88">
        <f>'Giá VL'!V33</f>
        <v>14466.49579639</v>
      </c>
      <c r="Y100" s="10">
        <f>J100*X100</f>
        <v>929617.01987602143</v>
      </c>
      <c r="Z100" s="398">
        <f>X100-K100</f>
        <v>57.495796389999668</v>
      </c>
      <c r="AA100" s="10">
        <f>J100*Z100</f>
        <v>3694.6798760213792</v>
      </c>
    </row>
    <row r="101" spans="1:27" s="391" customFormat="1" hidden="1" x14ac:dyDescent="0.25">
      <c r="A101" s="529"/>
      <c r="B101" s="76"/>
      <c r="C101" s="411" t="str">
        <f>'Du toan chi tiet'!C34</f>
        <v>AF.63320</v>
      </c>
      <c r="D101" s="411"/>
      <c r="E101" s="155" t="str">
        <f>'Du toan chi tiet'!D34</f>
        <v>Lắp dựng cốt thép cống, ĐK ≤18mm</v>
      </c>
      <c r="F101" s="76" t="str">
        <f>'Du toan chi tiet'!E34</f>
        <v>tấn</v>
      </c>
      <c r="G101" s="603">
        <f>'Du toan chi tiet'!M34</f>
        <v>6.3E-2</v>
      </c>
      <c r="H101" s="603">
        <f>'Phan tich don gia'!G193</f>
        <v>1020</v>
      </c>
      <c r="I101" s="603">
        <f>'Du toan chi tiet'!V34</f>
        <v>1</v>
      </c>
      <c r="J101" s="381">
        <f>PRODUCT(G101,H101,I101)</f>
        <v>64.260000000000005</v>
      </c>
      <c r="K101" s="237"/>
      <c r="L101" s="237"/>
      <c r="M101" s="237"/>
      <c r="N101" s="237"/>
      <c r="O101" s="237"/>
      <c r="P101" s="237"/>
      <c r="Q101" s="603"/>
      <c r="R101" s="237"/>
      <c r="S101" s="237"/>
      <c r="T101" s="237"/>
      <c r="U101" s="237"/>
      <c r="V101" s="237"/>
      <c r="W101" s="237"/>
      <c r="X101" s="237"/>
      <c r="Y101" s="237"/>
      <c r="Z101" s="237"/>
      <c r="AA101" s="237"/>
    </row>
    <row r="102" spans="1:27" x14ac:dyDescent="0.25">
      <c r="A102" s="159" t="s">
        <v>262</v>
      </c>
      <c r="B102" s="649">
        <v>30</v>
      </c>
      <c r="C102" s="214" t="s">
        <v>235</v>
      </c>
      <c r="D102" s="214"/>
      <c r="E102" s="720" t="str">
        <f>'Giá VL'!E37</f>
        <v>Xi măng PCB40</v>
      </c>
      <c r="F102" s="649" t="str">
        <f>'Giá VL'!F37</f>
        <v>kg</v>
      </c>
      <c r="G102" s="406"/>
      <c r="H102" s="406"/>
      <c r="I102" s="406"/>
      <c r="J102" s="176" t="e">
        <f>SUM(J103:J108)</f>
        <v>#REF!</v>
      </c>
      <c r="K102" s="10">
        <f>'Giá VL'!G37</f>
        <v>1563.7239999999999</v>
      </c>
      <c r="L102" s="10" t="e">
        <f>J102*K102</f>
        <v>#REF!</v>
      </c>
      <c r="M102" s="10">
        <f>'Giá VL'!J37</f>
        <v>1563.7239999999999</v>
      </c>
      <c r="N102" s="10" t="e">
        <f>J102*M102</f>
        <v>#REF!</v>
      </c>
      <c r="O102" s="526">
        <f>M102-K102</f>
        <v>0</v>
      </c>
      <c r="P102" s="10" t="e">
        <f>J102*O102</f>
        <v>#REF!</v>
      </c>
      <c r="Q102" s="406">
        <v>1</v>
      </c>
      <c r="R102" s="10">
        <f>M102*Q102</f>
        <v>1563.7239999999999</v>
      </c>
      <c r="S102" s="10" t="e">
        <f>J102*R102</f>
        <v>#REF!</v>
      </c>
      <c r="T102" s="241">
        <v>0</v>
      </c>
      <c r="U102" s="10">
        <v>0</v>
      </c>
      <c r="V102" s="10">
        <v>25.241396160190099</v>
      </c>
      <c r="W102" s="10">
        <v>1079852.6297845701</v>
      </c>
      <c r="X102" s="88">
        <f>'Giá VL'!V37</f>
        <v>1587.7239999999999</v>
      </c>
      <c r="Y102" s="10" t="e">
        <f>J102*X102</f>
        <v>#REF!</v>
      </c>
      <c r="Z102" s="398">
        <f>X102-K102</f>
        <v>24</v>
      </c>
      <c r="AA102" s="10" t="e">
        <f>J102*Z102</f>
        <v>#REF!</v>
      </c>
    </row>
    <row r="103" spans="1:27" s="391" customFormat="1" ht="30" hidden="1" x14ac:dyDescent="0.25">
      <c r="A103" s="529"/>
      <c r="B103" s="76"/>
      <c r="C103" s="411" t="str">
        <f>'Du toan chi tiet'!C10</f>
        <v>AF.15433</v>
      </c>
      <c r="D103" s="411"/>
      <c r="E103" s="155" t="str">
        <f>'Du toan chi tiet'!D10</f>
        <v>Bê tông thương phẩm, bê tông mặt đường dày mặt đường ≤25cm, bê tông M300, đá 2x4</v>
      </c>
      <c r="F103" s="76" t="str">
        <f>'Du toan chi tiet'!E10</f>
        <v>m3</v>
      </c>
      <c r="G103" s="603">
        <f>'Du toan chi tiet'!M10</f>
        <v>133.84</v>
      </c>
      <c r="H103" s="603" t="e">
        <f>'Phan tich don gia'!#REF!</f>
        <v>#REF!</v>
      </c>
      <c r="I103" s="603">
        <f>'Du toan chi tiet'!V10</f>
        <v>1</v>
      </c>
      <c r="J103" s="381" t="e">
        <f t="shared" ref="J103:J108" si="18">PRODUCT(G103,H103,I103)</f>
        <v>#REF!</v>
      </c>
      <c r="K103" s="237"/>
      <c r="L103" s="237"/>
      <c r="M103" s="237"/>
      <c r="N103" s="237"/>
      <c r="O103" s="237"/>
      <c r="P103" s="237"/>
      <c r="Q103" s="603"/>
      <c r="R103" s="237"/>
      <c r="S103" s="237"/>
      <c r="T103" s="237"/>
      <c r="U103" s="237"/>
      <c r="V103" s="237"/>
      <c r="W103" s="237"/>
      <c r="X103" s="237"/>
      <c r="Y103" s="237"/>
      <c r="Z103" s="237"/>
      <c r="AA103" s="237"/>
    </row>
    <row r="104" spans="1:27" s="391" customFormat="1" ht="30" hidden="1" x14ac:dyDescent="0.25">
      <c r="A104" s="529"/>
      <c r="B104" s="76"/>
      <c r="C104" s="411" t="str">
        <f>'Du toan chi tiet'!C28</f>
        <v>AD.32531</v>
      </c>
      <c r="D104" s="411"/>
      <c r="E104" s="155" t="str">
        <f>'Du toan chi tiet'!D28</f>
        <v>Lắp đặt cột và biển báo phản quang - Loại biển báo phản quang: Biển tam giác cạnh 70cm</v>
      </c>
      <c r="F104" s="76" t="str">
        <f>'Du toan chi tiet'!E28</f>
        <v>cái</v>
      </c>
      <c r="G104" s="603">
        <f>'Du toan chi tiet'!M28</f>
        <v>1</v>
      </c>
      <c r="H104" s="603">
        <f>'Phan tich don gia'!G157</f>
        <v>23.050999999999998</v>
      </c>
      <c r="I104" s="603">
        <f>'Du toan chi tiet'!V28</f>
        <v>1</v>
      </c>
      <c r="J104" s="381">
        <f t="shared" si="18"/>
        <v>23.050999999999998</v>
      </c>
      <c r="K104" s="237"/>
      <c r="L104" s="237"/>
      <c r="M104" s="237"/>
      <c r="N104" s="237"/>
      <c r="O104" s="237"/>
      <c r="P104" s="237"/>
      <c r="Q104" s="603"/>
      <c r="R104" s="237"/>
      <c r="S104" s="237"/>
      <c r="T104" s="237"/>
      <c r="U104" s="237"/>
      <c r="V104" s="237"/>
      <c r="W104" s="237"/>
      <c r="X104" s="237"/>
      <c r="Y104" s="237"/>
      <c r="Z104" s="237"/>
      <c r="AA104" s="237"/>
    </row>
    <row r="105" spans="1:27" s="391" customFormat="1" ht="30" hidden="1" x14ac:dyDescent="0.25">
      <c r="A105" s="529"/>
      <c r="B105" s="76"/>
      <c r="C105" s="411" t="str">
        <f>'Du toan chi tiet'!C32</f>
        <v>AF.13413</v>
      </c>
      <c r="D105" s="411"/>
      <c r="E105" s="155" t="str">
        <f>'Du toan chi tiet'!D32</f>
        <v>Bê tông ống cống hình hộp SX bằng máy trộn, đổ bằng thủ công, bê tông M250, đá 1x2, PCB40</v>
      </c>
      <c r="F105" s="76" t="str">
        <f>'Du toan chi tiet'!E32</f>
        <v>m3</v>
      </c>
      <c r="G105" s="603">
        <f>'Du toan chi tiet'!M32</f>
        <v>2.63</v>
      </c>
      <c r="H105" s="603">
        <f>'Phan tich don gia'!G173</f>
        <v>308.52499999999998</v>
      </c>
      <c r="I105" s="603">
        <f>'Du toan chi tiet'!V32</f>
        <v>1</v>
      </c>
      <c r="J105" s="381">
        <f t="shared" si="18"/>
        <v>811.42074999999988</v>
      </c>
      <c r="K105" s="237"/>
      <c r="L105" s="237"/>
      <c r="M105" s="237"/>
      <c r="N105" s="237"/>
      <c r="O105" s="237"/>
      <c r="P105" s="237"/>
      <c r="Q105" s="603"/>
      <c r="R105" s="237"/>
      <c r="S105" s="237"/>
      <c r="T105" s="237"/>
      <c r="U105" s="237"/>
      <c r="V105" s="237"/>
      <c r="W105" s="237"/>
      <c r="X105" s="237"/>
      <c r="Y105" s="237"/>
      <c r="Z105" s="237"/>
      <c r="AA105" s="237"/>
    </row>
    <row r="106" spans="1:27" s="391" customFormat="1" ht="45" hidden="1" x14ac:dyDescent="0.25">
      <c r="A106" s="529"/>
      <c r="B106" s="76"/>
      <c r="C106" s="411" t="str">
        <f>'Du toan chi tiet'!C36</f>
        <v>AF.11231</v>
      </c>
      <c r="D106" s="411"/>
      <c r="E106" s="155" t="str">
        <f>'Du toan chi tiet'!D36</f>
        <v>Bê tông móng tường cánh SX bằng máy trộn, đổ bằng thủ công, rộng ≤250cm, M150, đá 2x4, PCB40</v>
      </c>
      <c r="F106" s="76" t="str">
        <f>'Du toan chi tiet'!E36</f>
        <v>m3</v>
      </c>
      <c r="G106" s="603">
        <f>'Du toan chi tiet'!M36</f>
        <v>0.59</v>
      </c>
      <c r="H106" s="603">
        <f>'Phan tich don gia'!G214</f>
        <v>210.125</v>
      </c>
      <c r="I106" s="603">
        <f>'Du toan chi tiet'!V36</f>
        <v>1</v>
      </c>
      <c r="J106" s="381">
        <f t="shared" si="18"/>
        <v>123.97375</v>
      </c>
      <c r="K106" s="237"/>
      <c r="L106" s="237"/>
      <c r="M106" s="237"/>
      <c r="N106" s="237"/>
      <c r="O106" s="237"/>
      <c r="P106" s="237"/>
      <c r="Q106" s="603"/>
      <c r="R106" s="237"/>
      <c r="S106" s="237"/>
      <c r="T106" s="237"/>
      <c r="U106" s="237"/>
      <c r="V106" s="237"/>
      <c r="W106" s="237"/>
      <c r="X106" s="237"/>
      <c r="Y106" s="237"/>
      <c r="Z106" s="237"/>
      <c r="AA106" s="237"/>
    </row>
    <row r="107" spans="1:27" s="391" customFormat="1" ht="45" hidden="1" x14ac:dyDescent="0.25">
      <c r="A107" s="529"/>
      <c r="B107" s="76"/>
      <c r="C107" s="411" t="str">
        <f>'Du toan chi tiet'!C38</f>
        <v>AF.12151</v>
      </c>
      <c r="D107" s="411"/>
      <c r="E107" s="155" t="str">
        <f>'Du toan chi tiet'!D38</f>
        <v>Bê tông tường cánh SX bằng máy trộn, đổ bằng thủ công - Chiều dày ≤45cm, chiều cao ≤6m, M150, đá 2x4, PCB40</v>
      </c>
      <c r="F107" s="76" t="str">
        <f>'Du toan chi tiet'!E38</f>
        <v>m3</v>
      </c>
      <c r="G107" s="603">
        <f>'Du toan chi tiet'!M38</f>
        <v>0.15</v>
      </c>
      <c r="H107" s="603">
        <f>'Phan tich don gia'!G237</f>
        <v>210.125</v>
      </c>
      <c r="I107" s="603">
        <f>'Du toan chi tiet'!V38</f>
        <v>1</v>
      </c>
      <c r="J107" s="381">
        <f t="shared" si="18"/>
        <v>31.518749999999997</v>
      </c>
      <c r="K107" s="237"/>
      <c r="L107" s="237"/>
      <c r="M107" s="237"/>
      <c r="N107" s="237"/>
      <c r="O107" s="237"/>
      <c r="P107" s="237"/>
      <c r="Q107" s="603"/>
      <c r="R107" s="237"/>
      <c r="S107" s="237"/>
      <c r="T107" s="237"/>
      <c r="U107" s="237"/>
      <c r="V107" s="237"/>
      <c r="W107" s="237"/>
      <c r="X107" s="237"/>
      <c r="Y107" s="237"/>
      <c r="Z107" s="237"/>
      <c r="AA107" s="237"/>
    </row>
    <row r="108" spans="1:27" s="391" customFormat="1" ht="45" hidden="1" x14ac:dyDescent="0.25">
      <c r="A108" s="529"/>
      <c r="B108" s="76"/>
      <c r="C108" s="411" t="str">
        <f>'Du toan chi tiet'!C45</f>
        <v>AF.15433</v>
      </c>
      <c r="D108" s="411"/>
      <c r="E108" s="155" t="str">
        <f>'Du toan chi tiet'!D45</f>
        <v>Bê tông thương phẩm, bê tông hoàn trả mặt đường dày mặt đường ≤25cm, bê tông M250, đá 2x4, PCB40</v>
      </c>
      <c r="F108" s="76" t="str">
        <f>'Du toan chi tiet'!E45</f>
        <v>m3</v>
      </c>
      <c r="G108" s="603">
        <f>'Du toan chi tiet'!M45</f>
        <v>0.59</v>
      </c>
      <c r="H108" s="603" t="e">
        <f>'Phan tich don gia'!#REF!</f>
        <v>#REF!</v>
      </c>
      <c r="I108" s="603">
        <f>'Du toan chi tiet'!V45</f>
        <v>1</v>
      </c>
      <c r="J108" s="381" t="e">
        <f t="shared" si="18"/>
        <v>#REF!</v>
      </c>
      <c r="K108" s="237"/>
      <c r="L108" s="237"/>
      <c r="M108" s="237"/>
      <c r="N108" s="237"/>
      <c r="O108" s="237"/>
      <c r="P108" s="237"/>
      <c r="Q108" s="603"/>
      <c r="R108" s="237"/>
      <c r="S108" s="237"/>
      <c r="T108" s="237"/>
      <c r="U108" s="237"/>
      <c r="V108" s="237"/>
      <c r="W108" s="237"/>
      <c r="X108" s="237"/>
      <c r="Y108" s="237"/>
      <c r="Z108" s="237"/>
      <c r="AA108" s="237"/>
    </row>
    <row r="109" spans="1:27" x14ac:dyDescent="0.25">
      <c r="A109" s="159" t="s">
        <v>262</v>
      </c>
      <c r="B109" s="649">
        <v>31</v>
      </c>
      <c r="C109" s="214" t="s">
        <v>667</v>
      </c>
      <c r="D109" s="214"/>
      <c r="E109" s="720" t="s">
        <v>569</v>
      </c>
      <c r="F109" s="649" t="s">
        <v>1113</v>
      </c>
      <c r="G109" s="406"/>
      <c r="H109" s="406"/>
      <c r="I109" s="406"/>
      <c r="J109" s="176">
        <f>SUM(J110:J124)</f>
        <v>2072.1999999999998</v>
      </c>
      <c r="K109" s="526">
        <v>0</v>
      </c>
      <c r="L109" s="10" t="e">
        <f>SUM(L110:L124)</f>
        <v>#REF!</v>
      </c>
      <c r="M109" s="10">
        <v>0</v>
      </c>
      <c r="N109" s="10" t="e">
        <f>SUM(N110:N124)</f>
        <v>#REF!</v>
      </c>
      <c r="O109" s="526">
        <v>0</v>
      </c>
      <c r="P109" s="10">
        <v>0</v>
      </c>
      <c r="Q109" s="406">
        <v>1</v>
      </c>
      <c r="R109" s="526">
        <v>0</v>
      </c>
      <c r="S109" s="10" t="e">
        <f>SUM(S110:S124)</f>
        <v>#REF!</v>
      </c>
      <c r="T109" s="241">
        <v>0</v>
      </c>
      <c r="U109" s="10">
        <v>0</v>
      </c>
      <c r="V109" s="10">
        <v>0</v>
      </c>
      <c r="W109" s="10">
        <f>SUM(W110:W124)</f>
        <v>0</v>
      </c>
      <c r="X109" s="693">
        <v>0</v>
      </c>
      <c r="Y109" s="10">
        <f>SUM(Y110:Y124)</f>
        <v>3006149.7266176944</v>
      </c>
      <c r="Z109" s="398"/>
      <c r="AA109" s="10" t="e">
        <f>SUM(AA110:AA124)</f>
        <v>#REF!</v>
      </c>
    </row>
    <row r="110" spans="1:27" s="391" customFormat="1" ht="30" hidden="1" x14ac:dyDescent="0.25">
      <c r="A110" s="529"/>
      <c r="B110" s="76"/>
      <c r="C110" s="411" t="str">
        <f>'Du toan chi tiet'!C14</f>
        <v>SE.11211</v>
      </c>
      <c r="D110" s="411"/>
      <c r="E110" s="155" t="str">
        <f>'Du toan chi tiet'!D14</f>
        <v>Cắt mặt đường bê tông Asphalt chiều dày lớp cắt ≤ 5cm</v>
      </c>
      <c r="F110" s="76" t="str">
        <f>'Du toan chi tiet'!E14</f>
        <v>m</v>
      </c>
      <c r="G110" s="603">
        <f>'Du toan chi tiet'!M14</f>
        <v>25</v>
      </c>
      <c r="H110" s="603">
        <f>'Phan tich don gia'!G67</f>
        <v>2</v>
      </c>
      <c r="I110" s="603">
        <f>'Du toan chi tiet'!V14</f>
        <v>1</v>
      </c>
      <c r="J110" s="381">
        <f t="shared" ref="J110:J124" si="19">PRODUCT(G110,H110,I110)</f>
        <v>50</v>
      </c>
      <c r="K110" s="237">
        <f>'Phan tich don gia'!J67</f>
        <v>33.049999999999997</v>
      </c>
      <c r="L110" s="237">
        <f t="shared" ref="L110:L124" si="20">J110*K110</f>
        <v>1652.4999999999998</v>
      </c>
      <c r="M110" s="237">
        <f>'Phan tich don gia'!L67</f>
        <v>33.049999999999997</v>
      </c>
      <c r="N110" s="237">
        <f t="shared" ref="N110:N124" si="21">J110*M110</f>
        <v>1652.4999999999998</v>
      </c>
      <c r="O110" s="237">
        <f t="shared" ref="O110:O124" si="22">M110-K110</f>
        <v>0</v>
      </c>
      <c r="P110" s="237">
        <f t="shared" ref="P110:P124" si="23">J110*O110</f>
        <v>0</v>
      </c>
      <c r="Q110" s="603">
        <v>1</v>
      </c>
      <c r="R110" s="237">
        <f t="shared" ref="R110:R124" si="24">M110*Q110</f>
        <v>33.049999999999997</v>
      </c>
      <c r="S110" s="237">
        <f t="shared" ref="S110:S124" si="25">J110*R110</f>
        <v>1652.4999999999998</v>
      </c>
      <c r="T110" s="237"/>
      <c r="U110" s="237"/>
      <c r="V110" s="237">
        <v>0</v>
      </c>
      <c r="W110" s="237">
        <f t="shared" ref="W110:W124" si="26">J110*V110</f>
        <v>0</v>
      </c>
      <c r="X110" s="237">
        <f>'Phan tich don gia'!P67</f>
        <v>33.049999999999997</v>
      </c>
      <c r="Y110" s="237">
        <f t="shared" ref="Y110:Y124" si="27">J110*X110</f>
        <v>1652.4999999999998</v>
      </c>
      <c r="Z110" s="237">
        <f t="shared" ref="Z110:Z124" si="28">X110-K110</f>
        <v>0</v>
      </c>
      <c r="AA110" s="698">
        <f t="shared" ref="AA110:AA124" si="29">J110*Z110</f>
        <v>0</v>
      </c>
    </row>
    <row r="111" spans="1:27" s="391" customFormat="1" hidden="1" x14ac:dyDescent="0.25">
      <c r="A111" s="529"/>
      <c r="B111" s="76"/>
      <c r="C111" s="411" t="str">
        <f>'Du toan chi tiet'!C12</f>
        <v>AL.16201</v>
      </c>
      <c r="D111" s="411"/>
      <c r="E111" s="155" t="str">
        <f>'Du toan chi tiet'!D12</f>
        <v>Lót bạc nilong sọc xanh đỏ</v>
      </c>
      <c r="F111" s="76" t="str">
        <f>'Du toan chi tiet'!E12</f>
        <v>m2</v>
      </c>
      <c r="G111" s="603">
        <f>'Du toan chi tiet'!M12</f>
        <v>763.11</v>
      </c>
      <c r="H111" s="603">
        <f>'Phan tich don gia'!G51</f>
        <v>2</v>
      </c>
      <c r="I111" s="603">
        <f>'Du toan chi tiet'!V12</f>
        <v>1</v>
      </c>
      <c r="J111" s="381">
        <f t="shared" si="19"/>
        <v>1526.22</v>
      </c>
      <c r="K111" s="237">
        <f>'Phan tich don gia'!J51</f>
        <v>55</v>
      </c>
      <c r="L111" s="237">
        <f t="shared" si="20"/>
        <v>83942.1</v>
      </c>
      <c r="M111" s="237">
        <f>'Phan tich don gia'!L51</f>
        <v>55</v>
      </c>
      <c r="N111" s="237">
        <f t="shared" si="21"/>
        <v>83942.1</v>
      </c>
      <c r="O111" s="237">
        <f t="shared" si="22"/>
        <v>0</v>
      </c>
      <c r="P111" s="237">
        <f t="shared" si="23"/>
        <v>0</v>
      </c>
      <c r="Q111" s="603">
        <v>1</v>
      </c>
      <c r="R111" s="237">
        <f t="shared" si="24"/>
        <v>55</v>
      </c>
      <c r="S111" s="237">
        <f t="shared" si="25"/>
        <v>83942.1</v>
      </c>
      <c r="T111" s="237"/>
      <c r="U111" s="237"/>
      <c r="V111" s="237">
        <v>0</v>
      </c>
      <c r="W111" s="237">
        <f t="shared" si="26"/>
        <v>0</v>
      </c>
      <c r="X111" s="237">
        <f>'Phan tich don gia'!P51</f>
        <v>55</v>
      </c>
      <c r="Y111" s="237">
        <f t="shared" si="27"/>
        <v>83942.1</v>
      </c>
      <c r="Z111" s="237">
        <f t="shared" si="28"/>
        <v>0</v>
      </c>
      <c r="AA111" s="237">
        <f t="shared" si="29"/>
        <v>0</v>
      </c>
    </row>
    <row r="112" spans="1:27" s="391" customFormat="1" hidden="1" x14ac:dyDescent="0.25">
      <c r="A112" s="529"/>
      <c r="B112" s="76"/>
      <c r="C112" s="411" t="str">
        <f>'Du toan chi tiet'!C47</f>
        <v>AL.16201</v>
      </c>
      <c r="D112" s="411"/>
      <c r="E112" s="155" t="str">
        <f>'Du toan chi tiet'!D47</f>
        <v>Lót bạc nilong sọc xanh đỏ</v>
      </c>
      <c r="F112" s="76" t="str">
        <f>'Du toan chi tiet'!E47</f>
        <v>m2</v>
      </c>
      <c r="G112" s="603">
        <f>'Du toan chi tiet'!M47</f>
        <v>3.3</v>
      </c>
      <c r="H112" s="603">
        <f>'Phan tich don gia'!G310</f>
        <v>2</v>
      </c>
      <c r="I112" s="603">
        <f>'Du toan chi tiet'!V47</f>
        <v>1</v>
      </c>
      <c r="J112" s="381">
        <f t="shared" si="19"/>
        <v>6.6</v>
      </c>
      <c r="K112" s="237">
        <f>'Phan tich don gia'!J310</f>
        <v>55</v>
      </c>
      <c r="L112" s="237">
        <f t="shared" si="20"/>
        <v>363</v>
      </c>
      <c r="M112" s="237">
        <f>'Phan tich don gia'!L310</f>
        <v>55</v>
      </c>
      <c r="N112" s="237">
        <f t="shared" si="21"/>
        <v>363</v>
      </c>
      <c r="O112" s="237">
        <f t="shared" si="22"/>
        <v>0</v>
      </c>
      <c r="P112" s="237">
        <f t="shared" si="23"/>
        <v>0</v>
      </c>
      <c r="Q112" s="603">
        <v>1</v>
      </c>
      <c r="R112" s="237">
        <f t="shared" si="24"/>
        <v>55</v>
      </c>
      <c r="S112" s="237">
        <f t="shared" si="25"/>
        <v>363</v>
      </c>
      <c r="T112" s="237"/>
      <c r="U112" s="237"/>
      <c r="V112" s="237">
        <v>0</v>
      </c>
      <c r="W112" s="237">
        <f t="shared" si="26"/>
        <v>0</v>
      </c>
      <c r="X112" s="237">
        <f>'Phan tich don gia'!P310</f>
        <v>55</v>
      </c>
      <c r="Y112" s="237">
        <f t="shared" si="27"/>
        <v>363</v>
      </c>
      <c r="Z112" s="237">
        <f t="shared" si="28"/>
        <v>0</v>
      </c>
      <c r="AA112" s="237">
        <f t="shared" si="29"/>
        <v>0</v>
      </c>
    </row>
    <row r="113" spans="1:27" s="391" customFormat="1" hidden="1" x14ac:dyDescent="0.25">
      <c r="A113" s="529"/>
      <c r="B113" s="76"/>
      <c r="C113" s="411" t="str">
        <f>'Du toan chi tiet'!C13</f>
        <v>AF.82411</v>
      </c>
      <c r="D113" s="411"/>
      <c r="E113" s="155" t="str">
        <f>'Du toan chi tiet'!D13</f>
        <v>Ván khuôn thép mặt đường bê tông</v>
      </c>
      <c r="F113" s="76" t="str">
        <f>'Du toan chi tiet'!E13</f>
        <v>m2</v>
      </c>
      <c r="G113" s="603">
        <f>'Du toan chi tiet'!M13</f>
        <v>105.49</v>
      </c>
      <c r="H113" s="603">
        <f>'Phan tich don gia'!G58</f>
        <v>2</v>
      </c>
      <c r="I113" s="603">
        <f>'Du toan chi tiet'!V13</f>
        <v>1</v>
      </c>
      <c r="J113" s="381">
        <f t="shared" si="19"/>
        <v>210.98</v>
      </c>
      <c r="K113" s="237">
        <f>'Phan tich don gia'!J58</f>
        <v>64.612756000000005</v>
      </c>
      <c r="L113" s="237">
        <f t="shared" si="20"/>
        <v>13631.99926088</v>
      </c>
      <c r="M113" s="237">
        <f>'Phan tich don gia'!L58</f>
        <v>64.612756000000005</v>
      </c>
      <c r="N113" s="237">
        <f t="shared" si="21"/>
        <v>13631.99926088</v>
      </c>
      <c r="O113" s="237">
        <f t="shared" si="22"/>
        <v>0</v>
      </c>
      <c r="P113" s="237">
        <f t="shared" si="23"/>
        <v>0</v>
      </c>
      <c r="Q113" s="603">
        <v>1</v>
      </c>
      <c r="R113" s="237">
        <f t="shared" si="24"/>
        <v>64.612756000000005</v>
      </c>
      <c r="S113" s="237">
        <f t="shared" si="25"/>
        <v>13631.99926088</v>
      </c>
      <c r="T113" s="237"/>
      <c r="U113" s="237"/>
      <c r="V113" s="237">
        <v>0</v>
      </c>
      <c r="W113" s="237">
        <f t="shared" si="26"/>
        <v>0</v>
      </c>
      <c r="X113" s="237">
        <f>'Phan tich don gia'!P58</f>
        <v>64.793867758628508</v>
      </c>
      <c r="Y113" s="237">
        <f t="shared" si="27"/>
        <v>13670.210219715442</v>
      </c>
      <c r="Z113" s="237">
        <f t="shared" si="28"/>
        <v>0.18111175862850359</v>
      </c>
      <c r="AA113" s="698">
        <f t="shared" si="29"/>
        <v>38.210958835441687</v>
      </c>
    </row>
    <row r="114" spans="1:27" s="391" customFormat="1" hidden="1" x14ac:dyDescent="0.25">
      <c r="A114" s="529"/>
      <c r="B114" s="76"/>
      <c r="C114" s="411" t="str">
        <f>'Du toan chi tiet'!C48</f>
        <v>AF.82411</v>
      </c>
      <c r="D114" s="411"/>
      <c r="E114" s="155" t="str">
        <f>'Du toan chi tiet'!D48</f>
        <v>Ván khuôn thép mặt đường bê tông</v>
      </c>
      <c r="F114" s="76" t="str">
        <f>'Du toan chi tiet'!E48</f>
        <v>m2</v>
      </c>
      <c r="G114" s="603">
        <f>'Du toan chi tiet'!M48</f>
        <v>3.22</v>
      </c>
      <c r="H114" s="603">
        <f>'Phan tich don gia'!G317</f>
        <v>2</v>
      </c>
      <c r="I114" s="603">
        <f>'Du toan chi tiet'!V48</f>
        <v>1</v>
      </c>
      <c r="J114" s="381">
        <f t="shared" si="19"/>
        <v>6.44</v>
      </c>
      <c r="K114" s="237">
        <f>'Phan tich don gia'!J317</f>
        <v>64.612756000000005</v>
      </c>
      <c r="L114" s="237">
        <f t="shared" si="20"/>
        <v>416.10614864000007</v>
      </c>
      <c r="M114" s="237">
        <f>'Phan tich don gia'!L317</f>
        <v>64.612756000000005</v>
      </c>
      <c r="N114" s="237">
        <f t="shared" si="21"/>
        <v>416.10614864000007</v>
      </c>
      <c r="O114" s="237">
        <f t="shared" si="22"/>
        <v>0</v>
      </c>
      <c r="P114" s="237">
        <f t="shared" si="23"/>
        <v>0</v>
      </c>
      <c r="Q114" s="603">
        <v>1</v>
      </c>
      <c r="R114" s="237">
        <f t="shared" si="24"/>
        <v>64.612756000000005</v>
      </c>
      <c r="S114" s="237">
        <f t="shared" si="25"/>
        <v>416.10614864000007</v>
      </c>
      <c r="T114" s="237"/>
      <c r="U114" s="237"/>
      <c r="V114" s="237">
        <v>0</v>
      </c>
      <c r="W114" s="237">
        <f t="shared" si="26"/>
        <v>0</v>
      </c>
      <c r="X114" s="237">
        <f>'Phan tich don gia'!P317</f>
        <v>64.793867758628508</v>
      </c>
      <c r="Y114" s="237">
        <f t="shared" si="27"/>
        <v>417.2725083655676</v>
      </c>
      <c r="Z114" s="237">
        <f t="shared" si="28"/>
        <v>0.18111175862850359</v>
      </c>
      <c r="AA114" s="237">
        <f t="shared" si="29"/>
        <v>1.1663597255675633</v>
      </c>
    </row>
    <row r="115" spans="1:27" s="391" customFormat="1" hidden="1" x14ac:dyDescent="0.25">
      <c r="A115" s="529"/>
      <c r="B115" s="76"/>
      <c r="C115" s="411" t="str">
        <f>'Du toan chi tiet'!C26</f>
        <v>SE.31420</v>
      </c>
      <c r="D115" s="411"/>
      <c r="E115" s="155" t="str">
        <f>'Du toan chi tiet'!D26</f>
        <v>Sơn biển báo, cột biển báo bằng thép - 3 nước</v>
      </c>
      <c r="F115" s="76" t="str">
        <f>'Du toan chi tiet'!E26</f>
        <v>m2</v>
      </c>
      <c r="G115" s="603">
        <f>'Du toan chi tiet'!M26</f>
        <v>1.1200000000000001</v>
      </c>
      <c r="H115" s="603">
        <f>'Phan tich don gia'!G147</f>
        <v>2</v>
      </c>
      <c r="I115" s="603">
        <f>'Du toan chi tiet'!V26</f>
        <v>1</v>
      </c>
      <c r="J115" s="381">
        <f t="shared" si="19"/>
        <v>2.2400000000000002</v>
      </c>
      <c r="K115" s="237">
        <f>'Phan tich don gia'!J147</f>
        <v>286.19997999999998</v>
      </c>
      <c r="L115" s="237">
        <f t="shared" si="20"/>
        <v>641.08795520000001</v>
      </c>
      <c r="M115" s="237">
        <f>'Phan tich don gia'!L147</f>
        <v>286.19997999999998</v>
      </c>
      <c r="N115" s="237">
        <f t="shared" si="21"/>
        <v>641.08795520000001</v>
      </c>
      <c r="O115" s="237">
        <f t="shared" si="22"/>
        <v>0</v>
      </c>
      <c r="P115" s="237">
        <f t="shared" si="23"/>
        <v>0</v>
      </c>
      <c r="Q115" s="603">
        <v>1</v>
      </c>
      <c r="R115" s="237">
        <f t="shared" si="24"/>
        <v>286.19997999999998</v>
      </c>
      <c r="S115" s="237">
        <f t="shared" si="25"/>
        <v>641.08795520000001</v>
      </c>
      <c r="T115" s="237"/>
      <c r="U115" s="237"/>
      <c r="V115" s="237">
        <v>0</v>
      </c>
      <c r="W115" s="237">
        <f t="shared" si="26"/>
        <v>0</v>
      </c>
      <c r="X115" s="237">
        <f>'Phan tich don gia'!P147</f>
        <v>286.19997999999998</v>
      </c>
      <c r="Y115" s="237">
        <f t="shared" si="27"/>
        <v>641.08795520000001</v>
      </c>
      <c r="Z115" s="237">
        <f t="shared" si="28"/>
        <v>0</v>
      </c>
      <c r="AA115" s="237">
        <f t="shared" si="29"/>
        <v>0</v>
      </c>
    </row>
    <row r="116" spans="1:27" s="391" customFormat="1" hidden="1" x14ac:dyDescent="0.25">
      <c r="A116" s="529"/>
      <c r="B116" s="76"/>
      <c r="C116" s="411" t="str">
        <f>'Du toan chi tiet'!C37</f>
        <v>AF.82511</v>
      </c>
      <c r="D116" s="411"/>
      <c r="E116" s="155" t="str">
        <f>'Du toan chi tiet'!D37</f>
        <v>Ván khuôn móng dài</v>
      </c>
      <c r="F116" s="76" t="str">
        <f>'Du toan chi tiet'!E37</f>
        <v>m2</v>
      </c>
      <c r="G116" s="603">
        <f>'Du toan chi tiet'!M37</f>
        <v>1.78</v>
      </c>
      <c r="H116" s="603">
        <f>'Phan tich don gia'!G229</f>
        <v>2</v>
      </c>
      <c r="I116" s="603">
        <f>'Du toan chi tiet'!V37</f>
        <v>1</v>
      </c>
      <c r="J116" s="381">
        <f t="shared" si="19"/>
        <v>3.56</v>
      </c>
      <c r="K116" s="237">
        <f>'Phan tich don gia'!J229</f>
        <v>170.23413199999999</v>
      </c>
      <c r="L116" s="237">
        <f t="shared" si="20"/>
        <v>606.03350991999991</v>
      </c>
      <c r="M116" s="237">
        <f>'Phan tich don gia'!L229</f>
        <v>170.23413199999999</v>
      </c>
      <c r="N116" s="237">
        <f t="shared" si="21"/>
        <v>606.03350991999991</v>
      </c>
      <c r="O116" s="237">
        <f t="shared" si="22"/>
        <v>0</v>
      </c>
      <c r="P116" s="237">
        <f t="shared" si="23"/>
        <v>0</v>
      </c>
      <c r="Q116" s="603">
        <v>1</v>
      </c>
      <c r="R116" s="237">
        <f t="shared" si="24"/>
        <v>170.23413199999999</v>
      </c>
      <c r="S116" s="237">
        <f t="shared" si="25"/>
        <v>606.03350991999991</v>
      </c>
      <c r="T116" s="237"/>
      <c r="U116" s="237"/>
      <c r="V116" s="237">
        <v>0</v>
      </c>
      <c r="W116" s="237">
        <f t="shared" si="26"/>
        <v>0</v>
      </c>
      <c r="X116" s="237">
        <f>'Phan tich don gia'!P229</f>
        <v>170.71611926113735</v>
      </c>
      <c r="Y116" s="237">
        <f t="shared" si="27"/>
        <v>607.74938456964901</v>
      </c>
      <c r="Z116" s="237">
        <f t="shared" si="28"/>
        <v>0.48198726113736257</v>
      </c>
      <c r="AA116" s="698">
        <f t="shared" si="29"/>
        <v>1.7158746496490107</v>
      </c>
    </row>
    <row r="117" spans="1:27" s="391" customFormat="1" ht="30" hidden="1" x14ac:dyDescent="0.25">
      <c r="A117" s="529"/>
      <c r="B117" s="76"/>
      <c r="C117" s="411" t="str">
        <f>'Du toan chi tiet'!C35</f>
        <v>AF.86211</v>
      </c>
      <c r="D117" s="411"/>
      <c r="E117" s="155" t="str">
        <f>'Du toan chi tiet'!D35</f>
        <v>Ván khuôn thép, khung xương, cột chống giáo ống, tường, chiều cao ≤28m</v>
      </c>
      <c r="F117" s="76" t="str">
        <f>'Du toan chi tiet'!E35</f>
        <v>m2</v>
      </c>
      <c r="G117" s="603">
        <f>'Du toan chi tiet'!M35</f>
        <v>21.33</v>
      </c>
      <c r="H117" s="603">
        <f>'Phan tich don gia'!G206</f>
        <v>2</v>
      </c>
      <c r="I117" s="603">
        <f>'Du toan chi tiet'!V35</f>
        <v>1</v>
      </c>
      <c r="J117" s="381">
        <f t="shared" si="19"/>
        <v>42.66</v>
      </c>
      <c r="K117" s="237" t="e">
        <f>'Phan tich don gia'!J206</f>
        <v>#REF!</v>
      </c>
      <c r="L117" s="237" t="e">
        <f t="shared" si="20"/>
        <v>#REF!</v>
      </c>
      <c r="M117" s="237" t="e">
        <f>'Phan tich don gia'!L206</f>
        <v>#REF!</v>
      </c>
      <c r="N117" s="237" t="e">
        <f t="shared" si="21"/>
        <v>#REF!</v>
      </c>
      <c r="O117" s="237" t="e">
        <f t="shared" si="22"/>
        <v>#REF!</v>
      </c>
      <c r="P117" s="237" t="e">
        <f t="shared" si="23"/>
        <v>#REF!</v>
      </c>
      <c r="Q117" s="603">
        <v>1</v>
      </c>
      <c r="R117" s="237" t="e">
        <f t="shared" si="24"/>
        <v>#REF!</v>
      </c>
      <c r="S117" s="237" t="e">
        <f t="shared" si="25"/>
        <v>#REF!</v>
      </c>
      <c r="T117" s="237"/>
      <c r="U117" s="237"/>
      <c r="V117" s="237">
        <v>0</v>
      </c>
      <c r="W117" s="237">
        <f t="shared" si="26"/>
        <v>0</v>
      </c>
      <c r="X117" s="237">
        <f>'Phan tich don gia'!P206</f>
        <v>208.03461519066536</v>
      </c>
      <c r="Y117" s="237">
        <f t="shared" si="27"/>
        <v>8874.756684033784</v>
      </c>
      <c r="Z117" s="237" t="e">
        <f t="shared" si="28"/>
        <v>#REF!</v>
      </c>
      <c r="AA117" s="698" t="e">
        <f t="shared" si="29"/>
        <v>#REF!</v>
      </c>
    </row>
    <row r="118" spans="1:27" s="391" customFormat="1" ht="30" hidden="1" x14ac:dyDescent="0.25">
      <c r="A118" s="529"/>
      <c r="B118" s="76"/>
      <c r="C118" s="411" t="str">
        <f>'Du toan chi tiet'!C39</f>
        <v>AF.86211</v>
      </c>
      <c r="D118" s="411"/>
      <c r="E118" s="155" t="str">
        <f>'Du toan chi tiet'!D39</f>
        <v>Ván khuôn thép, khung xương, cột chống giáo ống, tường cánh chiều cao ≤28m</v>
      </c>
      <c r="F118" s="76" t="str">
        <f>'Du toan chi tiet'!E39</f>
        <v>m2</v>
      </c>
      <c r="G118" s="603">
        <f>'Du toan chi tiet'!M39</f>
        <v>0.81</v>
      </c>
      <c r="H118" s="603">
        <f>'Phan tich don gia'!G252</f>
        <v>2</v>
      </c>
      <c r="I118" s="603">
        <f>'Du toan chi tiet'!V39</f>
        <v>1</v>
      </c>
      <c r="J118" s="381">
        <f t="shared" si="19"/>
        <v>1.62</v>
      </c>
      <c r="K118" s="237" t="e">
        <f>'Phan tich don gia'!J252</f>
        <v>#REF!</v>
      </c>
      <c r="L118" s="237" t="e">
        <f t="shared" si="20"/>
        <v>#REF!</v>
      </c>
      <c r="M118" s="237" t="e">
        <f>'Phan tich don gia'!L252</f>
        <v>#REF!</v>
      </c>
      <c r="N118" s="237" t="e">
        <f t="shared" si="21"/>
        <v>#REF!</v>
      </c>
      <c r="O118" s="237" t="e">
        <f t="shared" si="22"/>
        <v>#REF!</v>
      </c>
      <c r="P118" s="237" t="e">
        <f t="shared" si="23"/>
        <v>#REF!</v>
      </c>
      <c r="Q118" s="603">
        <v>1</v>
      </c>
      <c r="R118" s="237" t="e">
        <f t="shared" si="24"/>
        <v>#REF!</v>
      </c>
      <c r="S118" s="237" t="e">
        <f t="shared" si="25"/>
        <v>#REF!</v>
      </c>
      <c r="T118" s="237"/>
      <c r="U118" s="237"/>
      <c r="V118" s="237">
        <v>0</v>
      </c>
      <c r="W118" s="237">
        <f t="shared" si="26"/>
        <v>0</v>
      </c>
      <c r="X118" s="237">
        <f>'Phan tich don gia'!P252</f>
        <v>208.03461519066536</v>
      </c>
      <c r="Y118" s="237">
        <f t="shared" si="27"/>
        <v>337.01607660887794</v>
      </c>
      <c r="Z118" s="237" t="e">
        <f t="shared" si="28"/>
        <v>#REF!</v>
      </c>
      <c r="AA118" s="698" t="e">
        <f t="shared" si="29"/>
        <v>#REF!</v>
      </c>
    </row>
    <row r="119" spans="1:27" s="391" customFormat="1" ht="30" hidden="1" x14ac:dyDescent="0.25">
      <c r="A119" s="529"/>
      <c r="B119" s="76"/>
      <c r="C119" s="411" t="str">
        <f>'Du toan chi tiet'!C24</f>
        <v>AK.91141vd</v>
      </c>
      <c r="D119" s="411"/>
      <c r="E119" s="155" t="str">
        <f>'Du toan chi tiet'!D24</f>
        <v>Sơn kẻ đường bằng sơn dẻo nhiệt phản quang, dày sơn 6mm</v>
      </c>
      <c r="F119" s="76" t="str">
        <f>'Du toan chi tiet'!E24</f>
        <v>m2</v>
      </c>
      <c r="G119" s="603">
        <f>'Du toan chi tiet'!M24</f>
        <v>6.6</v>
      </c>
      <c r="H119" s="603">
        <f>'Phan tich don gia'!G131</f>
        <v>2</v>
      </c>
      <c r="I119" s="603">
        <f>'Du toan chi tiet'!V24</f>
        <v>1</v>
      </c>
      <c r="J119" s="381">
        <f t="shared" si="19"/>
        <v>13.2</v>
      </c>
      <c r="K119" s="237">
        <f>'Phan tich don gia'!J131</f>
        <v>4729.1328000000003</v>
      </c>
      <c r="L119" s="237">
        <f t="shared" si="20"/>
        <v>62424.552960000001</v>
      </c>
      <c r="M119" s="237">
        <f>'Phan tich don gia'!L131</f>
        <v>4729.1328000000003</v>
      </c>
      <c r="N119" s="237">
        <f t="shared" si="21"/>
        <v>62424.552960000001</v>
      </c>
      <c r="O119" s="237">
        <f t="shared" si="22"/>
        <v>0</v>
      </c>
      <c r="P119" s="237">
        <f t="shared" si="23"/>
        <v>0</v>
      </c>
      <c r="Q119" s="603">
        <v>1</v>
      </c>
      <c r="R119" s="237">
        <f t="shared" si="24"/>
        <v>4729.1328000000003</v>
      </c>
      <c r="S119" s="237">
        <f t="shared" si="25"/>
        <v>62424.552960000001</v>
      </c>
      <c r="T119" s="237"/>
      <c r="U119" s="237"/>
      <c r="V119" s="237">
        <v>0</v>
      </c>
      <c r="W119" s="237">
        <f t="shared" si="26"/>
        <v>0</v>
      </c>
      <c r="X119" s="237">
        <f>'Phan tich don gia'!P131</f>
        <v>4729.1328000000003</v>
      </c>
      <c r="Y119" s="237">
        <f t="shared" si="27"/>
        <v>62424.552960000001</v>
      </c>
      <c r="Z119" s="237">
        <f t="shared" si="28"/>
        <v>0</v>
      </c>
      <c r="AA119" s="237">
        <f t="shared" si="29"/>
        <v>0</v>
      </c>
    </row>
    <row r="120" spans="1:27" s="391" customFormat="1" ht="45" hidden="1" x14ac:dyDescent="0.25">
      <c r="A120" s="529"/>
      <c r="B120" s="76"/>
      <c r="C120" s="411" t="str">
        <f>'Du toan chi tiet'!C36</f>
        <v>AF.11231</v>
      </c>
      <c r="D120" s="411"/>
      <c r="E120" s="155" t="str">
        <f>'Du toan chi tiet'!D36</f>
        <v>Bê tông móng tường cánh SX bằng máy trộn, đổ bằng thủ công, rộng ≤250cm, M150, đá 2x4, PCB40</v>
      </c>
      <c r="F120" s="76" t="str">
        <f>'Du toan chi tiet'!E36</f>
        <v>m3</v>
      </c>
      <c r="G120" s="603">
        <f>'Du toan chi tiet'!M36</f>
        <v>0.59</v>
      </c>
      <c r="H120" s="603">
        <f>'Phan tich don gia'!G218</f>
        <v>2</v>
      </c>
      <c r="I120" s="603">
        <f>'Du toan chi tiet'!V36</f>
        <v>1</v>
      </c>
      <c r="J120" s="381">
        <f t="shared" si="19"/>
        <v>1.18</v>
      </c>
      <c r="K120" s="237">
        <f>'Phan tich don gia'!J218</f>
        <v>7664.7794194999988</v>
      </c>
      <c r="L120" s="237">
        <f t="shared" si="20"/>
        <v>9044.4397150099976</v>
      </c>
      <c r="M120" s="237">
        <f>'Phan tich don gia'!L218</f>
        <v>7664.7794194999988</v>
      </c>
      <c r="N120" s="237">
        <f t="shared" si="21"/>
        <v>9044.4397150099976</v>
      </c>
      <c r="O120" s="237">
        <f t="shared" si="22"/>
        <v>0</v>
      </c>
      <c r="P120" s="237">
        <f t="shared" si="23"/>
        <v>0</v>
      </c>
      <c r="Q120" s="603">
        <v>1</v>
      </c>
      <c r="R120" s="237">
        <f t="shared" si="24"/>
        <v>7664.7794194999988</v>
      </c>
      <c r="S120" s="237">
        <f t="shared" si="25"/>
        <v>9044.4397150099976</v>
      </c>
      <c r="T120" s="237"/>
      <c r="U120" s="237"/>
      <c r="V120" s="237">
        <v>0</v>
      </c>
      <c r="W120" s="237">
        <f t="shared" si="26"/>
        <v>0</v>
      </c>
      <c r="X120" s="237">
        <f>'Phan tich don gia'!P218</f>
        <v>8182.5884462943995</v>
      </c>
      <c r="Y120" s="237">
        <f t="shared" si="27"/>
        <v>9655.4543666273912</v>
      </c>
      <c r="Z120" s="237">
        <f t="shared" si="28"/>
        <v>517.80902679440078</v>
      </c>
      <c r="AA120" s="698">
        <f t="shared" si="29"/>
        <v>611.01465161739293</v>
      </c>
    </row>
    <row r="121" spans="1:27" s="391" customFormat="1" ht="45" hidden="1" x14ac:dyDescent="0.25">
      <c r="A121" s="529"/>
      <c r="B121" s="76"/>
      <c r="C121" s="411" t="str">
        <f>'Du toan chi tiet'!C38</f>
        <v>AF.12151</v>
      </c>
      <c r="D121" s="411"/>
      <c r="E121" s="155" t="str">
        <f>'Du toan chi tiet'!D38</f>
        <v>Bê tông tường cánh SX bằng máy trộn, đổ bằng thủ công - Chiều dày ≤45cm, chiều cao ≤6m, M150, đá 2x4, PCB40</v>
      </c>
      <c r="F121" s="76" t="str">
        <f>'Du toan chi tiet'!E38</f>
        <v>m3</v>
      </c>
      <c r="G121" s="603">
        <f>'Du toan chi tiet'!M38</f>
        <v>0.15</v>
      </c>
      <c r="H121" s="603">
        <f>'Phan tich don gia'!G241</f>
        <v>2</v>
      </c>
      <c r="I121" s="603">
        <f>'Du toan chi tiet'!V38</f>
        <v>1</v>
      </c>
      <c r="J121" s="381">
        <f t="shared" si="19"/>
        <v>0.3</v>
      </c>
      <c r="K121" s="237">
        <f>'Phan tich don gia'!J241</f>
        <v>7664.7794194999988</v>
      </c>
      <c r="L121" s="237">
        <f t="shared" si="20"/>
        <v>2299.4338258499997</v>
      </c>
      <c r="M121" s="237">
        <f>'Phan tich don gia'!L241</f>
        <v>7664.7794194999988</v>
      </c>
      <c r="N121" s="237">
        <f t="shared" si="21"/>
        <v>2299.4338258499997</v>
      </c>
      <c r="O121" s="237">
        <f t="shared" si="22"/>
        <v>0</v>
      </c>
      <c r="P121" s="237">
        <f t="shared" si="23"/>
        <v>0</v>
      </c>
      <c r="Q121" s="603">
        <v>1</v>
      </c>
      <c r="R121" s="237">
        <f t="shared" si="24"/>
        <v>7664.7794194999988</v>
      </c>
      <c r="S121" s="237">
        <f t="shared" si="25"/>
        <v>2299.4338258499997</v>
      </c>
      <c r="T121" s="237"/>
      <c r="U121" s="237"/>
      <c r="V121" s="237">
        <v>0</v>
      </c>
      <c r="W121" s="237">
        <f t="shared" si="26"/>
        <v>0</v>
      </c>
      <c r="X121" s="237">
        <f>'Phan tich don gia'!P241</f>
        <v>8182.5884462943995</v>
      </c>
      <c r="Y121" s="237">
        <f t="shared" si="27"/>
        <v>2454.7765338883196</v>
      </c>
      <c r="Z121" s="237">
        <f t="shared" si="28"/>
        <v>517.80902679440078</v>
      </c>
      <c r="AA121" s="698">
        <f t="shared" si="29"/>
        <v>155.34270803832024</v>
      </c>
    </row>
    <row r="122" spans="1:27" s="391" customFormat="1" ht="30" hidden="1" x14ac:dyDescent="0.25">
      <c r="A122" s="529"/>
      <c r="B122" s="76"/>
      <c r="C122" s="411" t="str">
        <f>'Du toan chi tiet'!C32</f>
        <v>AF.13413</v>
      </c>
      <c r="D122" s="411"/>
      <c r="E122" s="155" t="str">
        <f>'Du toan chi tiet'!D32</f>
        <v>Bê tông ống cống hình hộp SX bằng máy trộn, đổ bằng thủ công, bê tông M250, đá 1x2, PCB40</v>
      </c>
      <c r="F122" s="76" t="str">
        <f>'Du toan chi tiet'!E32</f>
        <v>m3</v>
      </c>
      <c r="G122" s="603">
        <f>'Du toan chi tiet'!M32</f>
        <v>2.63</v>
      </c>
      <c r="H122" s="603">
        <f>'Phan tich don gia'!G177</f>
        <v>2</v>
      </c>
      <c r="I122" s="603">
        <f>'Du toan chi tiet'!V32</f>
        <v>1</v>
      </c>
      <c r="J122" s="381">
        <f t="shared" si="19"/>
        <v>5.26</v>
      </c>
      <c r="K122" s="237">
        <f>'Phan tich don gia'!J177</f>
        <v>9085.3394142499983</v>
      </c>
      <c r="L122" s="237">
        <f t="shared" si="20"/>
        <v>47788.885318954992</v>
      </c>
      <c r="M122" s="237">
        <f>'Phan tich don gia'!L177</f>
        <v>9085.3394142499983</v>
      </c>
      <c r="N122" s="237">
        <f t="shared" si="21"/>
        <v>47788.885318954992</v>
      </c>
      <c r="O122" s="237">
        <f t="shared" si="22"/>
        <v>0</v>
      </c>
      <c r="P122" s="237">
        <f t="shared" si="23"/>
        <v>0</v>
      </c>
      <c r="Q122" s="603">
        <v>1</v>
      </c>
      <c r="R122" s="237">
        <f t="shared" si="24"/>
        <v>9085.3394142499983</v>
      </c>
      <c r="S122" s="237">
        <f t="shared" si="25"/>
        <v>47788.885318954992</v>
      </c>
      <c r="T122" s="237"/>
      <c r="U122" s="237"/>
      <c r="V122" s="237">
        <v>0</v>
      </c>
      <c r="W122" s="237">
        <f t="shared" si="26"/>
        <v>0</v>
      </c>
      <c r="X122" s="237">
        <f>'Phan tich don gia'!P177</f>
        <v>9606.0452057185812</v>
      </c>
      <c r="Y122" s="237">
        <f t="shared" si="27"/>
        <v>50527.797782079739</v>
      </c>
      <c r="Z122" s="237">
        <f t="shared" si="28"/>
        <v>520.7057914685829</v>
      </c>
      <c r="AA122" s="698">
        <f t="shared" si="29"/>
        <v>2738.912463124746</v>
      </c>
    </row>
    <row r="123" spans="1:27" s="391" customFormat="1" ht="45" hidden="1" x14ac:dyDescent="0.25">
      <c r="A123" s="529"/>
      <c r="B123" s="76"/>
      <c r="C123" s="411" t="str">
        <f>'Du toan chi tiet'!C45</f>
        <v>AF.15433</v>
      </c>
      <c r="D123" s="411"/>
      <c r="E123" s="155" t="str">
        <f>'Du toan chi tiet'!D45</f>
        <v>Bê tông thương phẩm, bê tông hoàn trả mặt đường dày mặt đường ≤25cm, bê tông M250, đá 2x4, PCB40</v>
      </c>
      <c r="F123" s="76" t="str">
        <f>'Du toan chi tiet'!E45</f>
        <v>m3</v>
      </c>
      <c r="G123" s="603">
        <f>'Du toan chi tiet'!M45</f>
        <v>0.59</v>
      </c>
      <c r="H123" s="603">
        <f>'Phan tich don gia'!G292</f>
        <v>2</v>
      </c>
      <c r="I123" s="603">
        <f>'Du toan chi tiet'!V45</f>
        <v>1</v>
      </c>
      <c r="J123" s="381">
        <f t="shared" si="19"/>
        <v>1.18</v>
      </c>
      <c r="K123" s="237" t="e">
        <f>'Phan tich don gia'!J292</f>
        <v>#REF!</v>
      </c>
      <c r="L123" s="237" t="e">
        <f t="shared" si="20"/>
        <v>#REF!</v>
      </c>
      <c r="M123" s="237" t="e">
        <f>'Phan tich don gia'!L292</f>
        <v>#REF!</v>
      </c>
      <c r="N123" s="237" t="e">
        <f t="shared" si="21"/>
        <v>#REF!</v>
      </c>
      <c r="O123" s="237" t="e">
        <f t="shared" si="22"/>
        <v>#REF!</v>
      </c>
      <c r="P123" s="237" t="e">
        <f t="shared" si="23"/>
        <v>#REF!</v>
      </c>
      <c r="Q123" s="603">
        <v>1</v>
      </c>
      <c r="R123" s="237" t="e">
        <f t="shared" si="24"/>
        <v>#REF!</v>
      </c>
      <c r="S123" s="237" t="e">
        <f t="shared" si="25"/>
        <v>#REF!</v>
      </c>
      <c r="T123" s="237"/>
      <c r="U123" s="237"/>
      <c r="V123" s="237">
        <v>0</v>
      </c>
      <c r="W123" s="237">
        <f t="shared" si="26"/>
        <v>0</v>
      </c>
      <c r="X123" s="237">
        <f>'Phan tich don gia'!P292</f>
        <v>13419.327118467962</v>
      </c>
      <c r="Y123" s="237">
        <f t="shared" si="27"/>
        <v>15834.805999792194</v>
      </c>
      <c r="Z123" s="237" t="e">
        <f t="shared" si="28"/>
        <v>#REF!</v>
      </c>
      <c r="AA123" s="698" t="e">
        <f t="shared" si="29"/>
        <v>#REF!</v>
      </c>
    </row>
    <row r="124" spans="1:27" s="391" customFormat="1" ht="30" hidden="1" x14ac:dyDescent="0.25">
      <c r="A124" s="529"/>
      <c r="B124" s="76"/>
      <c r="C124" s="411" t="str">
        <f>'Du toan chi tiet'!C10</f>
        <v>AF.15433</v>
      </c>
      <c r="D124" s="411"/>
      <c r="E124" s="155" t="str">
        <f>'Du toan chi tiet'!D10</f>
        <v>Bê tông thương phẩm, bê tông mặt đường dày mặt đường ≤25cm, bê tông M300, đá 2x4</v>
      </c>
      <c r="F124" s="76" t="str">
        <f>'Du toan chi tiet'!E10</f>
        <v>m3</v>
      </c>
      <c r="G124" s="603">
        <f>'Du toan chi tiet'!M10</f>
        <v>133.84</v>
      </c>
      <c r="H124" s="603">
        <f>'Phan tich don gia'!G33</f>
        <v>1.5</v>
      </c>
      <c r="I124" s="603">
        <f>'Du toan chi tiet'!V10</f>
        <v>1</v>
      </c>
      <c r="J124" s="381">
        <f t="shared" si="19"/>
        <v>200.76</v>
      </c>
      <c r="K124" s="237" t="e">
        <f>'Phan tich don gia'!J33</f>
        <v>#REF!</v>
      </c>
      <c r="L124" s="237" t="e">
        <f t="shared" si="20"/>
        <v>#REF!</v>
      </c>
      <c r="M124" s="237" t="e">
        <f>'Phan tich don gia'!L33</f>
        <v>#REF!</v>
      </c>
      <c r="N124" s="237" t="e">
        <f t="shared" si="21"/>
        <v>#REF!</v>
      </c>
      <c r="O124" s="237" t="e">
        <f t="shared" si="22"/>
        <v>#REF!</v>
      </c>
      <c r="P124" s="237" t="e">
        <f t="shared" si="23"/>
        <v>#REF!</v>
      </c>
      <c r="Q124" s="603">
        <v>1</v>
      </c>
      <c r="R124" s="237" t="e">
        <f t="shared" si="24"/>
        <v>#REF!</v>
      </c>
      <c r="S124" s="237" t="e">
        <f t="shared" si="25"/>
        <v>#REF!</v>
      </c>
      <c r="T124" s="237"/>
      <c r="U124" s="237"/>
      <c r="V124" s="237">
        <v>0</v>
      </c>
      <c r="W124" s="237">
        <f t="shared" si="26"/>
        <v>0</v>
      </c>
      <c r="X124" s="237">
        <f>'Phan tich don gia'!P33</f>
        <v>13721.591184233979</v>
      </c>
      <c r="Y124" s="237">
        <f t="shared" si="27"/>
        <v>2754746.6461468134</v>
      </c>
      <c r="Z124" s="237" t="e">
        <f t="shared" si="28"/>
        <v>#REF!</v>
      </c>
      <c r="AA124" s="698" t="e">
        <f t="shared" si="29"/>
        <v>#REF!</v>
      </c>
    </row>
    <row r="125" spans="1:27" x14ac:dyDescent="0.25">
      <c r="A125" s="446"/>
      <c r="B125" s="562"/>
      <c r="C125" s="108"/>
      <c r="D125" s="108"/>
      <c r="E125" s="629" t="s">
        <v>607</v>
      </c>
      <c r="F125" s="562"/>
      <c r="G125" s="329"/>
      <c r="H125" s="329"/>
      <c r="I125" s="329"/>
      <c r="J125" s="70"/>
      <c r="K125" s="689"/>
      <c r="L125" s="689" t="e">
        <f>SUMIF(A6:A124,"VT",L6:L124)</f>
        <v>#REF!</v>
      </c>
      <c r="M125" s="689"/>
      <c r="N125" s="689" t="e">
        <f>SUMIF(A6:A124,"VT",N6:N124)</f>
        <v>#REF!</v>
      </c>
      <c r="O125" s="689"/>
      <c r="P125" s="689" t="e">
        <f>SUMIF(A6:A124,"VT",P6:P124)</f>
        <v>#REF!</v>
      </c>
      <c r="Q125" s="329"/>
      <c r="R125" s="689"/>
      <c r="S125" s="689" t="e">
        <f>SUMIF(A6:A124,"VT",S6:S124)</f>
        <v>#REF!</v>
      </c>
      <c r="T125" s="689"/>
      <c r="U125" s="689">
        <f>SUMIF(A6:A124,"VT",U6:U124)</f>
        <v>0</v>
      </c>
      <c r="V125" s="689"/>
      <c r="W125" s="689">
        <f>SUMIF(A6:A124,"VT",W6:W124)</f>
        <v>7200531.8833034951</v>
      </c>
      <c r="X125" s="689"/>
      <c r="Y125" s="689" t="e">
        <f>SUMIF(A6:A124,"VT",Y6:Y124)</f>
        <v>#REF!</v>
      </c>
      <c r="Z125" s="689"/>
      <c r="AA125" s="689" t="e">
        <f>SUMIF(A6:A124,"VT",AA6:AA124)</f>
        <v>#REF!</v>
      </c>
    </row>
    <row r="126" spans="1:27" x14ac:dyDescent="0.25">
      <c r="A126" s="749"/>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spans="1:27" x14ac:dyDescent="0.2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row>
    <row r="128" spans="1:27" x14ac:dyDescent="0.2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row>
  </sheetData>
  <mergeCells count="28">
    <mergeCell ref="B4:B5"/>
    <mergeCell ref="C4:C5"/>
    <mergeCell ref="E4:E5"/>
    <mergeCell ref="F4:F5"/>
    <mergeCell ref="X4:X5"/>
    <mergeCell ref="Y4:Y5"/>
    <mergeCell ref="Z4:Z5"/>
    <mergeCell ref="Q4:Q5"/>
    <mergeCell ref="R4:R5"/>
    <mergeCell ref="S4:S5"/>
    <mergeCell ref="T4:T5"/>
    <mergeCell ref="U4:U5"/>
    <mergeCell ref="A1:AA1"/>
    <mergeCell ref="A2:AA2"/>
    <mergeCell ref="G4:G5"/>
    <mergeCell ref="H4:H5"/>
    <mergeCell ref="I4:I5"/>
    <mergeCell ref="J4:J5"/>
    <mergeCell ref="K4:K5"/>
    <mergeCell ref="L4:L5"/>
    <mergeCell ref="M4:M5"/>
    <mergeCell ref="N4:N5"/>
    <mergeCell ref="O4:O5"/>
    <mergeCell ref="P4:P5"/>
    <mergeCell ref="AA4:AA5"/>
    <mergeCell ref="A3:AA3"/>
    <mergeCell ref="V4:V5"/>
    <mergeCell ref="W4:W5"/>
  </mergeCells>
  <pageMargins left="0.75" right="0.75" top="0.79" bottom="0.79" header="0.3" footer="0.3"/>
  <pageSetup paperSize="9" orientation="landscape" useFirstPageNumber="1" horizontalDpi="65532"/>
  <headerFooter>
    <oddFooter>&amp;CTrang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A41"/>
  <sheetViews>
    <sheetView showZeros="0" topLeftCell="B1" workbookViewId="0">
      <selection activeCell="A3" sqref="A3:V3"/>
    </sheetView>
  </sheetViews>
  <sheetFormatPr defaultColWidth="9.140625" defaultRowHeight="15" x14ac:dyDescent="0.25"/>
  <cols>
    <col min="1" max="1" width="2" style="751" hidden="1" customWidth="1"/>
    <col min="2" max="2" width="4.85546875" style="751" bestFit="1" customWidth="1"/>
    <col min="3" max="3" width="8.42578125" style="751" bestFit="1" customWidth="1"/>
    <col min="4" max="4" width="10.85546875" style="751" customWidth="1"/>
    <col min="5" max="5" width="6.85546875" style="751" bestFit="1" customWidth="1"/>
    <col min="6" max="6" width="8.140625" style="751" bestFit="1" customWidth="1"/>
    <col min="7" max="7" width="9" style="751" bestFit="1" customWidth="1"/>
    <col min="8" max="8" width="8.140625" style="751" bestFit="1" customWidth="1"/>
    <col min="9" max="9" width="11" style="751" bestFit="1" customWidth="1"/>
    <col min="10" max="10" width="11.28515625" style="751" bestFit="1" customWidth="1"/>
    <col min="11" max="11" width="8.140625" style="751" bestFit="1" customWidth="1"/>
    <col min="12" max="12" width="11" style="751" bestFit="1" customWidth="1"/>
    <col min="13" max="13" width="7.28515625" style="751" bestFit="1" customWidth="1"/>
    <col min="14" max="14" width="10.140625" style="751" bestFit="1" customWidth="1"/>
    <col min="15" max="15" width="12" style="751" bestFit="1" customWidth="1"/>
    <col min="16" max="16" width="8.5703125" style="751" bestFit="1" customWidth="1"/>
    <col min="17" max="17" width="10.85546875" style="751" bestFit="1" customWidth="1"/>
    <col min="18" max="18" width="18.28515625" style="751" bestFit="1" customWidth="1"/>
    <col min="19" max="19" width="19.42578125" style="751" bestFit="1" customWidth="1"/>
    <col min="20" max="20" width="10.42578125" style="751" bestFit="1" customWidth="1"/>
    <col min="21" max="21" width="7.28515625" style="751" bestFit="1" customWidth="1"/>
    <col min="22" max="22" width="9.5703125" style="751" bestFit="1" customWidth="1"/>
    <col min="23" max="23" width="10.42578125" style="751" bestFit="1" customWidth="1"/>
    <col min="24" max="24" width="21.85546875" style="751" bestFit="1" customWidth="1"/>
    <col min="25" max="25" width="19.7109375" style="751" bestFit="1" customWidth="1"/>
    <col min="26" max="26" width="9.140625" style="751" customWidth="1"/>
    <col min="27" max="16384" width="9.140625" style="751"/>
  </cols>
  <sheetData>
    <row r="1" spans="1:27" ht="18.75" x14ac:dyDescent="0.3">
      <c r="A1" s="983" t="s">
        <v>521</v>
      </c>
      <c r="B1" s="983" t="s">
        <v>521</v>
      </c>
      <c r="C1" s="983" t="s">
        <v>521</v>
      </c>
      <c r="D1" s="983" t="s">
        <v>521</v>
      </c>
      <c r="E1" s="983" t="s">
        <v>521</v>
      </c>
      <c r="F1" s="983" t="s">
        <v>521</v>
      </c>
      <c r="G1" s="983" t="s">
        <v>521</v>
      </c>
      <c r="H1" s="983" t="s">
        <v>521</v>
      </c>
      <c r="I1" s="983" t="s">
        <v>521</v>
      </c>
      <c r="J1" s="983" t="s">
        <v>521</v>
      </c>
      <c r="K1" s="983" t="s">
        <v>521</v>
      </c>
      <c r="L1" s="983" t="s">
        <v>521</v>
      </c>
      <c r="M1" s="983" t="s">
        <v>521</v>
      </c>
      <c r="N1" s="983" t="s">
        <v>521</v>
      </c>
      <c r="O1" s="983" t="s">
        <v>521</v>
      </c>
      <c r="P1" s="983" t="s">
        <v>521</v>
      </c>
      <c r="Q1" s="983" t="s">
        <v>521</v>
      </c>
      <c r="R1" s="983" t="s">
        <v>521</v>
      </c>
      <c r="S1" s="983" t="s">
        <v>521</v>
      </c>
      <c r="T1" s="983" t="s">
        <v>521</v>
      </c>
      <c r="U1" s="983" t="s">
        <v>521</v>
      </c>
      <c r="V1" s="983" t="s">
        <v>521</v>
      </c>
    </row>
    <row r="2" spans="1:27" x14ac:dyDescent="0.25">
      <c r="A2" s="981" t="s">
        <v>315</v>
      </c>
      <c r="B2" s="981" t="s">
        <v>315</v>
      </c>
      <c r="C2" s="981" t="s">
        <v>315</v>
      </c>
      <c r="D2" s="981" t="s">
        <v>315</v>
      </c>
      <c r="E2" s="981" t="s">
        <v>315</v>
      </c>
      <c r="F2" s="981" t="s">
        <v>315</v>
      </c>
      <c r="G2" s="981" t="s">
        <v>315</v>
      </c>
      <c r="H2" s="981" t="s">
        <v>315</v>
      </c>
      <c r="I2" s="981" t="s">
        <v>315</v>
      </c>
      <c r="J2" s="981" t="s">
        <v>315</v>
      </c>
      <c r="K2" s="981" t="s">
        <v>315</v>
      </c>
      <c r="L2" s="981" t="s">
        <v>315</v>
      </c>
      <c r="M2" s="981" t="s">
        <v>315</v>
      </c>
      <c r="N2" s="981" t="s">
        <v>315</v>
      </c>
      <c r="O2" s="981" t="s">
        <v>315</v>
      </c>
      <c r="P2" s="981" t="s">
        <v>315</v>
      </c>
      <c r="Q2" s="981" t="s">
        <v>315</v>
      </c>
      <c r="R2" s="981" t="s">
        <v>315</v>
      </c>
      <c r="S2" s="981" t="s">
        <v>315</v>
      </c>
      <c r="T2" s="981" t="s">
        <v>315</v>
      </c>
      <c r="U2" s="981" t="s">
        <v>315</v>
      </c>
      <c r="V2" s="981" t="s">
        <v>315</v>
      </c>
    </row>
    <row r="3" spans="1:27" x14ac:dyDescent="0.25">
      <c r="A3" s="981" t="s">
        <v>1362</v>
      </c>
      <c r="B3" s="981" t="s">
        <v>284</v>
      </c>
      <c r="C3" s="981" t="s">
        <v>284</v>
      </c>
      <c r="D3" s="981" t="s">
        <v>284</v>
      </c>
      <c r="E3" s="981" t="s">
        <v>284</v>
      </c>
      <c r="F3" s="981" t="s">
        <v>284</v>
      </c>
      <c r="G3" s="981" t="s">
        <v>284</v>
      </c>
      <c r="H3" s="981" t="s">
        <v>284</v>
      </c>
      <c r="I3" s="981" t="s">
        <v>284</v>
      </c>
      <c r="J3" s="981" t="s">
        <v>284</v>
      </c>
      <c r="K3" s="981" t="s">
        <v>284</v>
      </c>
      <c r="L3" s="981" t="s">
        <v>284</v>
      </c>
      <c r="M3" s="981" t="s">
        <v>284</v>
      </c>
      <c r="N3" s="981" t="s">
        <v>284</v>
      </c>
      <c r="O3" s="981" t="s">
        <v>284</v>
      </c>
      <c r="P3" s="981" t="s">
        <v>284</v>
      </c>
      <c r="Q3" s="981" t="s">
        <v>284</v>
      </c>
      <c r="R3" s="981" t="s">
        <v>284</v>
      </c>
      <c r="S3" s="981" t="s">
        <v>284</v>
      </c>
      <c r="T3" s="981" t="s">
        <v>284</v>
      </c>
      <c r="U3" s="981" t="s">
        <v>284</v>
      </c>
      <c r="V3" s="981" t="s">
        <v>284</v>
      </c>
    </row>
    <row r="4" spans="1:27" x14ac:dyDescent="0.25">
      <c r="B4" s="49"/>
      <c r="C4" s="351"/>
      <c r="D4" s="49"/>
      <c r="E4" s="49"/>
      <c r="F4" s="49"/>
      <c r="G4" s="49"/>
      <c r="H4" s="49"/>
      <c r="I4" s="49"/>
      <c r="J4" s="49"/>
      <c r="K4" s="49"/>
      <c r="L4" s="49"/>
      <c r="M4" s="49"/>
      <c r="N4" s="49"/>
      <c r="O4" s="49"/>
      <c r="P4" s="49"/>
      <c r="Q4" s="49"/>
      <c r="R4" s="49"/>
      <c r="S4" s="49"/>
      <c r="T4" s="49"/>
      <c r="U4" s="49"/>
      <c r="V4" s="49"/>
      <c r="W4" s="550"/>
      <c r="X4" s="401" t="s">
        <v>445</v>
      </c>
      <c r="Y4" s="127">
        <v>0</v>
      </c>
      <c r="Z4" s="49"/>
      <c r="AA4" s="49"/>
    </row>
    <row r="5" spans="1:27" x14ac:dyDescent="0.25">
      <c r="B5" s="49"/>
      <c r="C5" s="351"/>
      <c r="D5" s="49"/>
      <c r="E5" s="49"/>
      <c r="F5" s="49"/>
      <c r="G5" s="49"/>
      <c r="H5" s="49"/>
      <c r="I5" s="49"/>
      <c r="J5" s="49"/>
      <c r="K5" s="49"/>
      <c r="L5" s="49"/>
      <c r="M5" s="49"/>
      <c r="N5" s="49"/>
      <c r="O5" s="49"/>
      <c r="P5" s="49"/>
      <c r="Q5" s="49"/>
      <c r="R5" s="49"/>
      <c r="S5" s="49"/>
      <c r="T5" s="49"/>
      <c r="U5" s="49"/>
      <c r="V5" s="49"/>
      <c r="W5" s="49"/>
      <c r="X5" s="401" t="s">
        <v>396</v>
      </c>
      <c r="Y5" s="656">
        <v>0</v>
      </c>
      <c r="Z5" s="49"/>
      <c r="AA5" s="49"/>
    </row>
    <row r="6" spans="1:27" x14ac:dyDescent="0.25">
      <c r="B6" s="49"/>
      <c r="C6" s="351"/>
      <c r="D6" s="49"/>
      <c r="E6" s="49"/>
      <c r="F6" s="49"/>
      <c r="G6" s="49"/>
      <c r="H6" s="49"/>
      <c r="I6" s="49"/>
      <c r="J6" s="49"/>
      <c r="K6" s="49"/>
      <c r="L6" s="49"/>
      <c r="M6" s="49"/>
      <c r="N6" s="49"/>
      <c r="O6" s="49"/>
      <c r="P6" s="49"/>
      <c r="Q6" s="49"/>
      <c r="R6" s="49"/>
      <c r="S6" s="49"/>
      <c r="T6" s="49"/>
      <c r="U6" s="49"/>
      <c r="V6" s="49"/>
      <c r="W6" s="49"/>
      <c r="X6" s="401" t="s">
        <v>88</v>
      </c>
      <c r="Y6" s="127">
        <v>1</v>
      </c>
      <c r="Z6" s="49"/>
      <c r="AA6" s="49"/>
    </row>
    <row r="7" spans="1:27" x14ac:dyDescent="0.25">
      <c r="A7" s="984"/>
      <c r="B7" s="982" t="s">
        <v>386</v>
      </c>
      <c r="C7" s="985" t="s">
        <v>752</v>
      </c>
      <c r="D7" s="982" t="s">
        <v>151</v>
      </c>
      <c r="E7" s="982" t="s">
        <v>1136</v>
      </c>
      <c r="F7" s="982" t="s">
        <v>14</v>
      </c>
      <c r="G7" s="982" t="s">
        <v>966</v>
      </c>
      <c r="H7" s="982" t="s">
        <v>153</v>
      </c>
      <c r="I7" s="982" t="s">
        <v>163</v>
      </c>
      <c r="J7" s="982" t="s">
        <v>319</v>
      </c>
      <c r="K7" s="982"/>
      <c r="L7" s="982" t="s">
        <v>476</v>
      </c>
      <c r="M7" s="982"/>
      <c r="N7" s="982"/>
      <c r="O7" s="982" t="s">
        <v>584</v>
      </c>
      <c r="P7" s="982"/>
      <c r="Q7" s="982"/>
      <c r="R7" s="982" t="s">
        <v>978</v>
      </c>
      <c r="S7" s="982"/>
      <c r="T7" s="982"/>
      <c r="U7" s="982" t="s">
        <v>57</v>
      </c>
      <c r="V7" s="982" t="s">
        <v>845</v>
      </c>
      <c r="W7" s="982"/>
      <c r="X7" s="982" t="s">
        <v>748</v>
      </c>
      <c r="Y7" s="982" t="s">
        <v>1189</v>
      </c>
      <c r="Z7" s="49"/>
      <c r="AA7" s="49"/>
    </row>
    <row r="8" spans="1:27" ht="28.5" x14ac:dyDescent="0.25">
      <c r="A8" s="984"/>
      <c r="B8" s="982"/>
      <c r="C8" s="985"/>
      <c r="D8" s="982"/>
      <c r="E8" s="982"/>
      <c r="F8" s="982"/>
      <c r="G8" s="982"/>
      <c r="H8" s="982"/>
      <c r="I8" s="982"/>
      <c r="J8" s="124" t="s">
        <v>319</v>
      </c>
      <c r="K8" s="124" t="s">
        <v>941</v>
      </c>
      <c r="L8" s="124" t="s">
        <v>476</v>
      </c>
      <c r="M8" s="124" t="s">
        <v>438</v>
      </c>
      <c r="N8" s="124" t="s">
        <v>1127</v>
      </c>
      <c r="O8" s="124" t="s">
        <v>893</v>
      </c>
      <c r="P8" s="124" t="s">
        <v>21</v>
      </c>
      <c r="Q8" s="124" t="s">
        <v>973</v>
      </c>
      <c r="R8" s="124" t="s">
        <v>30</v>
      </c>
      <c r="S8" s="124" t="s">
        <v>575</v>
      </c>
      <c r="T8" s="124" t="s">
        <v>120</v>
      </c>
      <c r="U8" s="982"/>
      <c r="V8" s="124" t="s">
        <v>1243</v>
      </c>
      <c r="W8" s="124" t="s">
        <v>120</v>
      </c>
      <c r="X8" s="982"/>
      <c r="Y8" s="982"/>
      <c r="Z8" s="49"/>
      <c r="AA8" s="49"/>
    </row>
    <row r="9" spans="1:27" x14ac:dyDescent="0.25">
      <c r="A9" s="426"/>
      <c r="B9" s="586">
        <v>1</v>
      </c>
      <c r="C9" s="754" t="s">
        <v>1256</v>
      </c>
      <c r="D9" s="467" t="s">
        <v>688</v>
      </c>
      <c r="E9" s="586" t="s">
        <v>165</v>
      </c>
      <c r="F9" s="267">
        <v>1</v>
      </c>
      <c r="G9" s="116" t="s">
        <v>214</v>
      </c>
      <c r="H9" s="667">
        <v>1</v>
      </c>
      <c r="I9" s="116"/>
      <c r="J9" s="267" t="s">
        <v>932</v>
      </c>
      <c r="K9" s="545">
        <v>1</v>
      </c>
      <c r="L9" s="116" t="s">
        <v>1012</v>
      </c>
      <c r="M9" s="267">
        <v>0</v>
      </c>
      <c r="N9" s="267">
        <f t="shared" ref="N9:N38" si="0">SUM(M9:M9)</f>
        <v>0</v>
      </c>
      <c r="O9" s="170">
        <v>0</v>
      </c>
      <c r="P9" s="28">
        <f>Y6*F9*H9*K9*M9*O9</f>
        <v>0</v>
      </c>
      <c r="Q9" s="28">
        <f>P9/(1+Y5)</f>
        <v>0</v>
      </c>
      <c r="R9" s="586">
        <v>0</v>
      </c>
      <c r="S9" s="28">
        <v>0</v>
      </c>
      <c r="T9" s="267">
        <f>(Y4*R9+S9)*F9</f>
        <v>0</v>
      </c>
      <c r="U9" s="116">
        <v>0</v>
      </c>
      <c r="V9" s="467">
        <v>0</v>
      </c>
      <c r="W9" s="116">
        <v>0</v>
      </c>
      <c r="X9" s="471">
        <v>0</v>
      </c>
      <c r="Y9" s="471">
        <f t="shared" ref="Y9:Y38" si="1">SUM(Q9:Q9)+SUM(T9:T9)+SUM(X9:X9)</f>
        <v>0</v>
      </c>
      <c r="Z9" s="49"/>
      <c r="AA9" s="49"/>
    </row>
    <row r="10" spans="1:27" x14ac:dyDescent="0.25">
      <c r="A10" s="169"/>
      <c r="B10" s="346">
        <v>2</v>
      </c>
      <c r="C10" s="518" t="s">
        <v>603</v>
      </c>
      <c r="D10" s="221" t="s">
        <v>215</v>
      </c>
      <c r="E10" s="346" t="s">
        <v>950</v>
      </c>
      <c r="F10" s="748">
        <v>1.31</v>
      </c>
      <c r="G10" s="630" t="s">
        <v>214</v>
      </c>
      <c r="H10" s="417">
        <v>1</v>
      </c>
      <c r="I10" s="630"/>
      <c r="J10" s="748" t="s">
        <v>932</v>
      </c>
      <c r="K10" s="301">
        <v>1</v>
      </c>
      <c r="L10" s="630" t="s">
        <v>1012</v>
      </c>
      <c r="M10" s="748">
        <v>0</v>
      </c>
      <c r="N10" s="748">
        <f t="shared" si="0"/>
        <v>0</v>
      </c>
      <c r="O10" s="652">
        <v>0</v>
      </c>
      <c r="P10" s="527">
        <f>Y6*F10*H10*K10*M10*O10</f>
        <v>0</v>
      </c>
      <c r="Q10" s="527">
        <f>P10/(1+Y5)</f>
        <v>0</v>
      </c>
      <c r="R10" s="346">
        <v>0</v>
      </c>
      <c r="S10" s="527">
        <v>0</v>
      </c>
      <c r="T10" s="748">
        <f>(Y4*R10+S10)*F10</f>
        <v>0</v>
      </c>
      <c r="U10" s="630">
        <v>0</v>
      </c>
      <c r="V10" s="221">
        <v>0</v>
      </c>
      <c r="W10" s="630">
        <v>0</v>
      </c>
      <c r="X10" s="229">
        <v>0</v>
      </c>
      <c r="Y10" s="229">
        <f t="shared" si="1"/>
        <v>0</v>
      </c>
      <c r="Z10" s="49"/>
      <c r="AA10" s="49"/>
    </row>
    <row r="11" spans="1:27" x14ac:dyDescent="0.25">
      <c r="A11" s="169"/>
      <c r="B11" s="346">
        <v>3</v>
      </c>
      <c r="C11" s="518" t="s">
        <v>99</v>
      </c>
      <c r="D11" s="221" t="s">
        <v>1199</v>
      </c>
      <c r="E11" s="346" t="s">
        <v>950</v>
      </c>
      <c r="F11" s="748">
        <v>1.45</v>
      </c>
      <c r="G11" s="630" t="s">
        <v>214</v>
      </c>
      <c r="H11" s="417">
        <v>1</v>
      </c>
      <c r="I11" s="630"/>
      <c r="J11" s="748" t="s">
        <v>932</v>
      </c>
      <c r="K11" s="301">
        <v>1</v>
      </c>
      <c r="L11" s="630" t="s">
        <v>1012</v>
      </c>
      <c r="M11" s="748">
        <v>0</v>
      </c>
      <c r="N11" s="748">
        <f t="shared" si="0"/>
        <v>0</v>
      </c>
      <c r="O11" s="652">
        <v>0</v>
      </c>
      <c r="P11" s="527">
        <f>Y6*F11*H11*K11*M11*O11</f>
        <v>0</v>
      </c>
      <c r="Q11" s="527">
        <f>P11/(1+Y5)</f>
        <v>0</v>
      </c>
      <c r="R11" s="346">
        <v>0</v>
      </c>
      <c r="S11" s="527">
        <v>0</v>
      </c>
      <c r="T11" s="748">
        <f>(Y4*R11+S11)*F11</f>
        <v>0</v>
      </c>
      <c r="U11" s="630">
        <v>0</v>
      </c>
      <c r="V11" s="221">
        <v>0</v>
      </c>
      <c r="W11" s="630">
        <v>0</v>
      </c>
      <c r="X11" s="229">
        <v>0</v>
      </c>
      <c r="Y11" s="229">
        <f t="shared" si="1"/>
        <v>0</v>
      </c>
      <c r="Z11" s="49"/>
      <c r="AA11" s="49"/>
    </row>
    <row r="12" spans="1:27" x14ac:dyDescent="0.25">
      <c r="A12" s="169"/>
      <c r="B12" s="346">
        <v>4</v>
      </c>
      <c r="C12" s="518" t="s">
        <v>523</v>
      </c>
      <c r="D12" s="221" t="s">
        <v>721</v>
      </c>
      <c r="E12" s="346" t="s">
        <v>950</v>
      </c>
      <c r="F12" s="748">
        <v>1.45</v>
      </c>
      <c r="G12" s="630" t="s">
        <v>214</v>
      </c>
      <c r="H12" s="417">
        <v>1</v>
      </c>
      <c r="I12" s="630"/>
      <c r="J12" s="748" t="s">
        <v>932</v>
      </c>
      <c r="K12" s="301">
        <v>1</v>
      </c>
      <c r="L12" s="630" t="s">
        <v>1012</v>
      </c>
      <c r="M12" s="748">
        <v>0</v>
      </c>
      <c r="N12" s="748">
        <f t="shared" si="0"/>
        <v>0</v>
      </c>
      <c r="O12" s="652">
        <v>0</v>
      </c>
      <c r="P12" s="527">
        <f>Y6*F12*H12*K12*M12*O12</f>
        <v>0</v>
      </c>
      <c r="Q12" s="527">
        <f>P12/(1+Y5)</f>
        <v>0</v>
      </c>
      <c r="R12" s="346">
        <v>0</v>
      </c>
      <c r="S12" s="527">
        <v>0</v>
      </c>
      <c r="T12" s="748">
        <f>(Y4*R12+S12)*F12</f>
        <v>0</v>
      </c>
      <c r="U12" s="630">
        <v>0</v>
      </c>
      <c r="V12" s="221">
        <v>0</v>
      </c>
      <c r="W12" s="630">
        <v>0</v>
      </c>
      <c r="X12" s="229">
        <v>0</v>
      </c>
      <c r="Y12" s="229">
        <f t="shared" si="1"/>
        <v>0</v>
      </c>
      <c r="Z12" s="49"/>
      <c r="AA12" s="49"/>
    </row>
    <row r="13" spans="1:27" x14ac:dyDescent="0.25">
      <c r="A13" s="169"/>
      <c r="B13" s="346">
        <v>5</v>
      </c>
      <c r="C13" s="518" t="s">
        <v>984</v>
      </c>
      <c r="D13" s="221" t="s">
        <v>401</v>
      </c>
      <c r="E13" s="346" t="s">
        <v>838</v>
      </c>
      <c r="F13" s="748">
        <v>1E-3</v>
      </c>
      <c r="G13" s="630" t="s">
        <v>62</v>
      </c>
      <c r="H13" s="417">
        <v>1</v>
      </c>
      <c r="I13" s="630"/>
      <c r="J13" s="748" t="s">
        <v>932</v>
      </c>
      <c r="K13" s="301">
        <v>1</v>
      </c>
      <c r="L13" s="630" t="s">
        <v>1012</v>
      </c>
      <c r="M13" s="748">
        <v>0</v>
      </c>
      <c r="N13" s="748">
        <f t="shared" si="0"/>
        <v>0</v>
      </c>
      <c r="O13" s="652">
        <v>0</v>
      </c>
      <c r="P13" s="527">
        <f>Y6*F13*H13*K13*M13*O13</f>
        <v>0</v>
      </c>
      <c r="Q13" s="527">
        <f>P13/(1+Y5)</f>
        <v>0</v>
      </c>
      <c r="R13" s="346">
        <v>0</v>
      </c>
      <c r="S13" s="527">
        <v>0</v>
      </c>
      <c r="T13" s="748">
        <f>(Y4*R13+S13)*F13</f>
        <v>0</v>
      </c>
      <c r="U13" s="630">
        <v>0</v>
      </c>
      <c r="V13" s="221">
        <v>0</v>
      </c>
      <c r="W13" s="630">
        <v>0</v>
      </c>
      <c r="X13" s="229">
        <v>0</v>
      </c>
      <c r="Y13" s="229">
        <f t="shared" si="1"/>
        <v>0</v>
      </c>
      <c r="Z13" s="49"/>
      <c r="AA13" s="49"/>
    </row>
    <row r="14" spans="1:27" x14ac:dyDescent="0.25">
      <c r="A14" s="169"/>
      <c r="B14" s="346">
        <v>6</v>
      </c>
      <c r="C14" s="518" t="s">
        <v>123</v>
      </c>
      <c r="D14" s="221" t="s">
        <v>495</v>
      </c>
      <c r="E14" s="346" t="s">
        <v>950</v>
      </c>
      <c r="F14" s="748">
        <v>1.6</v>
      </c>
      <c r="G14" s="630" t="s">
        <v>214</v>
      </c>
      <c r="H14" s="417">
        <v>1</v>
      </c>
      <c r="I14" s="630"/>
      <c r="J14" s="748" t="s">
        <v>932</v>
      </c>
      <c r="K14" s="301">
        <v>1</v>
      </c>
      <c r="L14" s="630" t="s">
        <v>1012</v>
      </c>
      <c r="M14" s="748">
        <v>0</v>
      </c>
      <c r="N14" s="748">
        <f t="shared" si="0"/>
        <v>0</v>
      </c>
      <c r="O14" s="652">
        <v>0</v>
      </c>
      <c r="P14" s="527">
        <f>Y6*F14*H14*K14*M14*O14</f>
        <v>0</v>
      </c>
      <c r="Q14" s="527">
        <f>P14/(1+Y5)</f>
        <v>0</v>
      </c>
      <c r="R14" s="346">
        <v>0</v>
      </c>
      <c r="S14" s="527">
        <v>0</v>
      </c>
      <c r="T14" s="748">
        <f>(Y4*R14+S14)*F14</f>
        <v>0</v>
      </c>
      <c r="U14" s="630">
        <v>0</v>
      </c>
      <c r="V14" s="221">
        <v>0</v>
      </c>
      <c r="W14" s="630">
        <v>0</v>
      </c>
      <c r="X14" s="229">
        <v>0</v>
      </c>
      <c r="Y14" s="229">
        <f t="shared" si="1"/>
        <v>0</v>
      </c>
      <c r="Z14" s="49"/>
      <c r="AA14" s="49"/>
    </row>
    <row r="15" spans="1:27" x14ac:dyDescent="0.25">
      <c r="A15" s="169"/>
      <c r="B15" s="346">
        <v>7</v>
      </c>
      <c r="C15" s="518" t="s">
        <v>485</v>
      </c>
      <c r="D15" s="221" t="s">
        <v>1011</v>
      </c>
      <c r="E15" s="346" t="s">
        <v>950</v>
      </c>
      <c r="F15" s="748">
        <v>1.5</v>
      </c>
      <c r="G15" s="630" t="s">
        <v>214</v>
      </c>
      <c r="H15" s="417">
        <v>1</v>
      </c>
      <c r="I15" s="630"/>
      <c r="J15" s="748" t="s">
        <v>932</v>
      </c>
      <c r="K15" s="301">
        <v>1</v>
      </c>
      <c r="L15" s="630" t="s">
        <v>1012</v>
      </c>
      <c r="M15" s="748">
        <v>0</v>
      </c>
      <c r="N15" s="748">
        <f t="shared" si="0"/>
        <v>0</v>
      </c>
      <c r="O15" s="652">
        <v>0</v>
      </c>
      <c r="P15" s="527">
        <f>Y6*F15*H15*K15*M15*O15</f>
        <v>0</v>
      </c>
      <c r="Q15" s="527">
        <f>P15/(1+Y5)</f>
        <v>0</v>
      </c>
      <c r="R15" s="346">
        <v>0</v>
      </c>
      <c r="S15" s="527">
        <v>0</v>
      </c>
      <c r="T15" s="748">
        <f>(Y4*R15+S15)*F15</f>
        <v>0</v>
      </c>
      <c r="U15" s="630">
        <v>0</v>
      </c>
      <c r="V15" s="221">
        <v>0</v>
      </c>
      <c r="W15" s="630">
        <v>0</v>
      </c>
      <c r="X15" s="229">
        <v>0</v>
      </c>
      <c r="Y15" s="229">
        <f t="shared" si="1"/>
        <v>0</v>
      </c>
      <c r="Z15" s="49"/>
      <c r="AA15" s="49"/>
    </row>
    <row r="16" spans="1:27" x14ac:dyDescent="0.25">
      <c r="A16" s="169"/>
      <c r="B16" s="346">
        <v>8</v>
      </c>
      <c r="C16" s="518" t="s">
        <v>552</v>
      </c>
      <c r="D16" s="221" t="s">
        <v>1044</v>
      </c>
      <c r="E16" s="346" t="s">
        <v>950</v>
      </c>
      <c r="F16" s="748">
        <v>1.5</v>
      </c>
      <c r="G16" s="630" t="s">
        <v>214</v>
      </c>
      <c r="H16" s="417">
        <v>1</v>
      </c>
      <c r="I16" s="630"/>
      <c r="J16" s="748" t="s">
        <v>932</v>
      </c>
      <c r="K16" s="301">
        <v>1</v>
      </c>
      <c r="L16" s="630" t="s">
        <v>1012</v>
      </c>
      <c r="M16" s="748">
        <v>0</v>
      </c>
      <c r="N16" s="748">
        <f t="shared" si="0"/>
        <v>0</v>
      </c>
      <c r="O16" s="652">
        <v>0</v>
      </c>
      <c r="P16" s="527">
        <f>Y6*F16*H16*K16*M16*O16</f>
        <v>0</v>
      </c>
      <c r="Q16" s="527">
        <f>P16/(1+Y5)</f>
        <v>0</v>
      </c>
      <c r="R16" s="346">
        <v>0</v>
      </c>
      <c r="S16" s="527">
        <v>0</v>
      </c>
      <c r="T16" s="748">
        <f>(Y4*R16+S16)*F16</f>
        <v>0</v>
      </c>
      <c r="U16" s="630">
        <v>0</v>
      </c>
      <c r="V16" s="221">
        <v>0</v>
      </c>
      <c r="W16" s="630">
        <v>0</v>
      </c>
      <c r="X16" s="229">
        <v>0</v>
      </c>
      <c r="Y16" s="229">
        <f t="shared" si="1"/>
        <v>0</v>
      </c>
      <c r="Z16" s="49"/>
      <c r="AA16" s="49"/>
    </row>
    <row r="17" spans="1:27" x14ac:dyDescent="0.25">
      <c r="A17" s="169"/>
      <c r="B17" s="346">
        <v>9</v>
      </c>
      <c r="C17" s="518" t="s">
        <v>901</v>
      </c>
      <c r="D17" s="221" t="s">
        <v>454</v>
      </c>
      <c r="E17" s="346" t="s">
        <v>838</v>
      </c>
      <c r="F17" s="748">
        <v>1E-3</v>
      </c>
      <c r="G17" s="630" t="s">
        <v>62</v>
      </c>
      <c r="H17" s="417">
        <v>1</v>
      </c>
      <c r="I17" s="630"/>
      <c r="J17" s="748" t="s">
        <v>932</v>
      </c>
      <c r="K17" s="301">
        <v>1</v>
      </c>
      <c r="L17" s="630" t="s">
        <v>1012</v>
      </c>
      <c r="M17" s="748">
        <v>0</v>
      </c>
      <c r="N17" s="748">
        <f t="shared" si="0"/>
        <v>0</v>
      </c>
      <c r="O17" s="652">
        <v>0</v>
      </c>
      <c r="P17" s="527">
        <f>Y6*F17*H17*K17*M17*O17</f>
        <v>0</v>
      </c>
      <c r="Q17" s="527">
        <f>P17/(1+Y5)</f>
        <v>0</v>
      </c>
      <c r="R17" s="346">
        <v>0</v>
      </c>
      <c r="S17" s="527">
        <v>0</v>
      </c>
      <c r="T17" s="748">
        <f>(Y4*R17+S17)*F17</f>
        <v>0</v>
      </c>
      <c r="U17" s="630">
        <v>0</v>
      </c>
      <c r="V17" s="221">
        <v>0</v>
      </c>
      <c r="W17" s="630">
        <v>0</v>
      </c>
      <c r="X17" s="229">
        <v>0</v>
      </c>
      <c r="Y17" s="229">
        <f t="shared" si="1"/>
        <v>0</v>
      </c>
      <c r="Z17" s="49"/>
      <c r="AA17" s="49"/>
    </row>
    <row r="18" spans="1:27" x14ac:dyDescent="0.25">
      <c r="A18" s="169"/>
      <c r="B18" s="346">
        <v>10</v>
      </c>
      <c r="C18" s="518" t="s">
        <v>894</v>
      </c>
      <c r="D18" s="221" t="s">
        <v>1147</v>
      </c>
      <c r="E18" s="346" t="s">
        <v>838</v>
      </c>
      <c r="F18" s="748">
        <v>1E-3</v>
      </c>
      <c r="G18" s="630" t="s">
        <v>214</v>
      </c>
      <c r="H18" s="417">
        <v>1</v>
      </c>
      <c r="I18" s="630"/>
      <c r="J18" s="748" t="s">
        <v>932</v>
      </c>
      <c r="K18" s="301">
        <v>1</v>
      </c>
      <c r="L18" s="630" t="s">
        <v>1012</v>
      </c>
      <c r="M18" s="748">
        <v>0</v>
      </c>
      <c r="N18" s="748">
        <f t="shared" si="0"/>
        <v>0</v>
      </c>
      <c r="O18" s="652">
        <v>0</v>
      </c>
      <c r="P18" s="527">
        <f>Y6*F18*H18*K18*M18*O18</f>
        <v>0</v>
      </c>
      <c r="Q18" s="527">
        <f>P18/(1+Y5)</f>
        <v>0</v>
      </c>
      <c r="R18" s="346">
        <v>0</v>
      </c>
      <c r="S18" s="527">
        <v>0</v>
      </c>
      <c r="T18" s="748">
        <f>(Y4*R18+S18)*F18</f>
        <v>0</v>
      </c>
      <c r="U18" s="630">
        <v>0</v>
      </c>
      <c r="V18" s="221">
        <v>0</v>
      </c>
      <c r="W18" s="630">
        <v>0</v>
      </c>
      <c r="X18" s="229">
        <v>0</v>
      </c>
      <c r="Y18" s="229">
        <f t="shared" si="1"/>
        <v>0</v>
      </c>
      <c r="Z18" s="49"/>
      <c r="AA18" s="49"/>
    </row>
    <row r="19" spans="1:27" x14ac:dyDescent="0.25">
      <c r="A19" s="169"/>
      <c r="B19" s="346">
        <v>11</v>
      </c>
      <c r="C19" s="518" t="s">
        <v>580</v>
      </c>
      <c r="D19" s="221" t="s">
        <v>1223</v>
      </c>
      <c r="E19" s="346" t="s">
        <v>594</v>
      </c>
      <c r="F19" s="748">
        <v>0</v>
      </c>
      <c r="G19" s="630" t="s">
        <v>416</v>
      </c>
      <c r="H19" s="417">
        <v>1</v>
      </c>
      <c r="I19" s="630"/>
      <c r="J19" s="748" t="s">
        <v>932</v>
      </c>
      <c r="K19" s="301">
        <v>1</v>
      </c>
      <c r="L19" s="630" t="s">
        <v>1012</v>
      </c>
      <c r="M19" s="748">
        <v>0</v>
      </c>
      <c r="N19" s="748">
        <f t="shared" si="0"/>
        <v>0</v>
      </c>
      <c r="O19" s="652">
        <v>0</v>
      </c>
      <c r="P19" s="527">
        <f>Y6*F19*H19*K19*M19*O19</f>
        <v>0</v>
      </c>
      <c r="Q19" s="527">
        <f>P19/(1+Y5)</f>
        <v>0</v>
      </c>
      <c r="R19" s="346">
        <v>0</v>
      </c>
      <c r="S19" s="527">
        <v>0</v>
      </c>
      <c r="T19" s="748">
        <f>(Y4*R19+S19)*F19</f>
        <v>0</v>
      </c>
      <c r="U19" s="630">
        <v>0</v>
      </c>
      <c r="V19" s="221">
        <v>0</v>
      </c>
      <c r="W19" s="630">
        <v>0</v>
      </c>
      <c r="X19" s="229">
        <v>0</v>
      </c>
      <c r="Y19" s="229">
        <f t="shared" si="1"/>
        <v>0</v>
      </c>
      <c r="Z19" s="49"/>
      <c r="AA19" s="49"/>
    </row>
    <row r="20" spans="1:27" x14ac:dyDescent="0.25">
      <c r="A20" s="169"/>
      <c r="B20" s="346">
        <v>12</v>
      </c>
      <c r="C20" s="518" t="s">
        <v>103</v>
      </c>
      <c r="D20" s="221" t="s">
        <v>422</v>
      </c>
      <c r="E20" s="346" t="s">
        <v>950</v>
      </c>
      <c r="F20" s="748">
        <v>0.77</v>
      </c>
      <c r="G20" s="630" t="s">
        <v>214</v>
      </c>
      <c r="H20" s="417">
        <v>1</v>
      </c>
      <c r="I20" s="630"/>
      <c r="J20" s="748" t="s">
        <v>932</v>
      </c>
      <c r="K20" s="301">
        <v>1</v>
      </c>
      <c r="L20" s="630" t="s">
        <v>1012</v>
      </c>
      <c r="M20" s="748">
        <v>0</v>
      </c>
      <c r="N20" s="748">
        <f t="shared" si="0"/>
        <v>0</v>
      </c>
      <c r="O20" s="652">
        <v>0</v>
      </c>
      <c r="P20" s="527">
        <f>Y6*F20*H20*K20*M20*O20</f>
        <v>0</v>
      </c>
      <c r="Q20" s="527">
        <f>P20/(1+Y5)</f>
        <v>0</v>
      </c>
      <c r="R20" s="346">
        <v>0</v>
      </c>
      <c r="S20" s="527">
        <v>0</v>
      </c>
      <c r="T20" s="748">
        <f>(Y4*R20+S20)*F20</f>
        <v>0</v>
      </c>
      <c r="U20" s="630">
        <v>0</v>
      </c>
      <c r="V20" s="221">
        <v>0</v>
      </c>
      <c r="W20" s="630">
        <v>0</v>
      </c>
      <c r="X20" s="229">
        <v>0</v>
      </c>
      <c r="Y20" s="229">
        <f t="shared" si="1"/>
        <v>0</v>
      </c>
      <c r="Z20" s="49"/>
      <c r="AA20" s="49"/>
    </row>
    <row r="21" spans="1:27" x14ac:dyDescent="0.25">
      <c r="A21" s="169"/>
      <c r="B21" s="346">
        <v>13</v>
      </c>
      <c r="C21" s="518" t="s">
        <v>855</v>
      </c>
      <c r="D21" s="221" t="s">
        <v>268</v>
      </c>
      <c r="E21" s="346" t="s">
        <v>630</v>
      </c>
      <c r="F21" s="748">
        <v>0</v>
      </c>
      <c r="G21" s="630" t="s">
        <v>214</v>
      </c>
      <c r="H21" s="417">
        <v>1</v>
      </c>
      <c r="I21" s="630"/>
      <c r="J21" s="748" t="s">
        <v>932</v>
      </c>
      <c r="K21" s="301">
        <v>1</v>
      </c>
      <c r="L21" s="630" t="s">
        <v>1012</v>
      </c>
      <c r="M21" s="748">
        <v>0</v>
      </c>
      <c r="N21" s="748">
        <f t="shared" si="0"/>
        <v>0</v>
      </c>
      <c r="O21" s="652">
        <v>0</v>
      </c>
      <c r="P21" s="527">
        <f>Y6*F21*H21*K21*M21*O21</f>
        <v>0</v>
      </c>
      <c r="Q21" s="527">
        <f>P21/(1+Y5)</f>
        <v>0</v>
      </c>
      <c r="R21" s="346">
        <v>0</v>
      </c>
      <c r="S21" s="527">
        <v>0</v>
      </c>
      <c r="T21" s="748">
        <f>(Y4*R21+S21)*F21</f>
        <v>0</v>
      </c>
      <c r="U21" s="630">
        <v>0</v>
      </c>
      <c r="V21" s="221">
        <v>0</v>
      </c>
      <c r="W21" s="630">
        <v>0</v>
      </c>
      <c r="X21" s="229">
        <v>0</v>
      </c>
      <c r="Y21" s="229">
        <f t="shared" si="1"/>
        <v>0</v>
      </c>
      <c r="Z21" s="49"/>
      <c r="AA21" s="49"/>
    </row>
    <row r="22" spans="1:27" x14ac:dyDescent="0.25">
      <c r="A22" s="169"/>
      <c r="B22" s="346">
        <v>14</v>
      </c>
      <c r="C22" s="518" t="s">
        <v>1077</v>
      </c>
      <c r="D22" s="221" t="s">
        <v>1274</v>
      </c>
      <c r="E22" s="346" t="s">
        <v>630</v>
      </c>
      <c r="F22" s="748">
        <v>0</v>
      </c>
      <c r="G22" s="630" t="s">
        <v>214</v>
      </c>
      <c r="H22" s="417">
        <v>1</v>
      </c>
      <c r="I22" s="630"/>
      <c r="J22" s="748" t="s">
        <v>932</v>
      </c>
      <c r="K22" s="301">
        <v>1</v>
      </c>
      <c r="L22" s="630" t="s">
        <v>1012</v>
      </c>
      <c r="M22" s="748">
        <v>0</v>
      </c>
      <c r="N22" s="748">
        <f t="shared" si="0"/>
        <v>0</v>
      </c>
      <c r="O22" s="652">
        <v>0</v>
      </c>
      <c r="P22" s="527">
        <f>Y6*F22*H22*K22*M22*O22</f>
        <v>0</v>
      </c>
      <c r="Q22" s="527">
        <f>P22/(1+Y5)</f>
        <v>0</v>
      </c>
      <c r="R22" s="346">
        <v>0</v>
      </c>
      <c r="S22" s="527">
        <v>0</v>
      </c>
      <c r="T22" s="748">
        <f>(Y4*R22+S22)*F22</f>
        <v>0</v>
      </c>
      <c r="U22" s="630">
        <v>0</v>
      </c>
      <c r="V22" s="221">
        <v>0</v>
      </c>
      <c r="W22" s="630">
        <v>0</v>
      </c>
      <c r="X22" s="229">
        <v>0</v>
      </c>
      <c r="Y22" s="229">
        <f t="shared" si="1"/>
        <v>0</v>
      </c>
      <c r="Z22" s="49"/>
      <c r="AA22" s="49"/>
    </row>
    <row r="23" spans="1:27" x14ac:dyDescent="0.25">
      <c r="A23" s="169"/>
      <c r="B23" s="346">
        <v>15</v>
      </c>
      <c r="C23" s="518" t="s">
        <v>461</v>
      </c>
      <c r="D23" s="221" t="s">
        <v>784</v>
      </c>
      <c r="E23" s="346" t="s">
        <v>838</v>
      </c>
      <c r="F23" s="748">
        <v>1E-3</v>
      </c>
      <c r="G23" s="630" t="s">
        <v>214</v>
      </c>
      <c r="H23" s="417">
        <v>1</v>
      </c>
      <c r="I23" s="630"/>
      <c r="J23" s="748" t="s">
        <v>932</v>
      </c>
      <c r="K23" s="301">
        <v>1</v>
      </c>
      <c r="L23" s="630" t="s">
        <v>1012</v>
      </c>
      <c r="M23" s="748">
        <v>0</v>
      </c>
      <c r="N23" s="748">
        <f t="shared" si="0"/>
        <v>0</v>
      </c>
      <c r="O23" s="652">
        <v>0</v>
      </c>
      <c r="P23" s="527">
        <f>Y6*F23*H23*K23*M23*O23</f>
        <v>0</v>
      </c>
      <c r="Q23" s="527">
        <f>P23/(1+Y5)</f>
        <v>0</v>
      </c>
      <c r="R23" s="346">
        <v>0</v>
      </c>
      <c r="S23" s="527">
        <v>0</v>
      </c>
      <c r="T23" s="748">
        <f>(Y4*R23+S23)*F23</f>
        <v>0</v>
      </c>
      <c r="U23" s="630">
        <v>0</v>
      </c>
      <c r="V23" s="221">
        <v>0</v>
      </c>
      <c r="W23" s="630">
        <v>0</v>
      </c>
      <c r="X23" s="229">
        <v>0</v>
      </c>
      <c r="Y23" s="229">
        <f t="shared" si="1"/>
        <v>0</v>
      </c>
      <c r="Z23" s="49"/>
      <c r="AA23" s="49"/>
    </row>
    <row r="24" spans="1:27" x14ac:dyDescent="0.25">
      <c r="A24" s="169"/>
      <c r="B24" s="346">
        <v>16</v>
      </c>
      <c r="C24" s="518" t="s">
        <v>35</v>
      </c>
      <c r="D24" s="221" t="s">
        <v>946</v>
      </c>
      <c r="E24" s="346" t="s">
        <v>594</v>
      </c>
      <c r="F24" s="748">
        <v>0</v>
      </c>
      <c r="G24" s="630" t="s">
        <v>214</v>
      </c>
      <c r="H24" s="417">
        <v>1</v>
      </c>
      <c r="I24" s="630"/>
      <c r="J24" s="748" t="s">
        <v>932</v>
      </c>
      <c r="K24" s="301">
        <v>1</v>
      </c>
      <c r="L24" s="630" t="s">
        <v>1012</v>
      </c>
      <c r="M24" s="748">
        <v>0</v>
      </c>
      <c r="N24" s="748">
        <f t="shared" si="0"/>
        <v>0</v>
      </c>
      <c r="O24" s="652">
        <v>0</v>
      </c>
      <c r="P24" s="527">
        <f>Y6*F24*H24*K24*M24*O24</f>
        <v>0</v>
      </c>
      <c r="Q24" s="527">
        <f>P24/(1+Y5)</f>
        <v>0</v>
      </c>
      <c r="R24" s="346">
        <v>0</v>
      </c>
      <c r="S24" s="527">
        <v>0</v>
      </c>
      <c r="T24" s="748">
        <f>(Y4*R24+S24)*F24</f>
        <v>0</v>
      </c>
      <c r="U24" s="630">
        <v>0</v>
      </c>
      <c r="V24" s="221">
        <v>0</v>
      </c>
      <c r="W24" s="630">
        <v>0</v>
      </c>
      <c r="X24" s="229">
        <v>0</v>
      </c>
      <c r="Y24" s="229">
        <f t="shared" si="1"/>
        <v>0</v>
      </c>
      <c r="Z24" s="49"/>
      <c r="AA24" s="49"/>
    </row>
    <row r="25" spans="1:27" x14ac:dyDescent="0.25">
      <c r="A25" s="169"/>
      <c r="B25" s="346">
        <v>17</v>
      </c>
      <c r="C25" s="518" t="s">
        <v>104</v>
      </c>
      <c r="D25" s="221" t="s">
        <v>283</v>
      </c>
      <c r="E25" s="346" t="s">
        <v>838</v>
      </c>
      <c r="F25" s="748">
        <v>1E-3</v>
      </c>
      <c r="G25" s="630" t="s">
        <v>416</v>
      </c>
      <c r="H25" s="417">
        <v>1</v>
      </c>
      <c r="I25" s="630"/>
      <c r="J25" s="748" t="s">
        <v>932</v>
      </c>
      <c r="K25" s="301">
        <v>1</v>
      </c>
      <c r="L25" s="630" t="s">
        <v>1012</v>
      </c>
      <c r="M25" s="748">
        <v>0</v>
      </c>
      <c r="N25" s="748">
        <f t="shared" si="0"/>
        <v>0</v>
      </c>
      <c r="O25" s="652">
        <v>0</v>
      </c>
      <c r="P25" s="527">
        <f>Y6*F25*H25*K25*M25*O25</f>
        <v>0</v>
      </c>
      <c r="Q25" s="527">
        <f>P25/(1+Y5)</f>
        <v>0</v>
      </c>
      <c r="R25" s="346">
        <v>0</v>
      </c>
      <c r="S25" s="527">
        <v>0</v>
      </c>
      <c r="T25" s="748">
        <f>(Y4*R25+S25)*F25</f>
        <v>0</v>
      </c>
      <c r="U25" s="630">
        <v>0</v>
      </c>
      <c r="V25" s="221">
        <v>0</v>
      </c>
      <c r="W25" s="630">
        <v>0</v>
      </c>
      <c r="X25" s="229">
        <v>0</v>
      </c>
      <c r="Y25" s="229">
        <f t="shared" si="1"/>
        <v>0</v>
      </c>
      <c r="Z25" s="49"/>
      <c r="AA25" s="49"/>
    </row>
    <row r="26" spans="1:27" x14ac:dyDescent="0.25">
      <c r="A26" s="169"/>
      <c r="B26" s="346">
        <v>18</v>
      </c>
      <c r="C26" s="518" t="s">
        <v>316</v>
      </c>
      <c r="D26" s="221" t="s">
        <v>1216</v>
      </c>
      <c r="E26" s="346" t="s">
        <v>838</v>
      </c>
      <c r="F26" s="748">
        <v>1E-3</v>
      </c>
      <c r="G26" s="630" t="s">
        <v>792</v>
      </c>
      <c r="H26" s="417">
        <v>1</v>
      </c>
      <c r="I26" s="630"/>
      <c r="J26" s="748" t="s">
        <v>932</v>
      </c>
      <c r="K26" s="301">
        <v>1</v>
      </c>
      <c r="L26" s="630" t="s">
        <v>1012</v>
      </c>
      <c r="M26" s="748">
        <v>0</v>
      </c>
      <c r="N26" s="748">
        <f t="shared" si="0"/>
        <v>0</v>
      </c>
      <c r="O26" s="652">
        <v>0</v>
      </c>
      <c r="P26" s="527">
        <f>Y6*F26*H26*K26*M26*O26</f>
        <v>0</v>
      </c>
      <c r="Q26" s="527">
        <f>P26/(1+Y5)</f>
        <v>0</v>
      </c>
      <c r="R26" s="346">
        <v>0</v>
      </c>
      <c r="S26" s="527">
        <v>0</v>
      </c>
      <c r="T26" s="748">
        <f>(Y4*R26+S26)*F26</f>
        <v>0</v>
      </c>
      <c r="U26" s="630">
        <v>0</v>
      </c>
      <c r="V26" s="221">
        <v>0</v>
      </c>
      <c r="W26" s="630">
        <v>0</v>
      </c>
      <c r="X26" s="229">
        <v>0</v>
      </c>
      <c r="Y26" s="229">
        <f t="shared" si="1"/>
        <v>0</v>
      </c>
      <c r="Z26" s="49"/>
      <c r="AA26" s="49"/>
    </row>
    <row r="27" spans="1:27" x14ac:dyDescent="0.25">
      <c r="A27" s="169"/>
      <c r="B27" s="346">
        <v>19</v>
      </c>
      <c r="C27" s="518" t="s">
        <v>956</v>
      </c>
      <c r="D27" s="221" t="s">
        <v>304</v>
      </c>
      <c r="E27" s="346" t="s">
        <v>447</v>
      </c>
      <c r="F27" s="748">
        <v>0</v>
      </c>
      <c r="G27" s="630" t="s">
        <v>214</v>
      </c>
      <c r="H27" s="417">
        <v>1</v>
      </c>
      <c r="I27" s="630"/>
      <c r="J27" s="748" t="s">
        <v>932</v>
      </c>
      <c r="K27" s="301">
        <v>1</v>
      </c>
      <c r="L27" s="630" t="s">
        <v>1012</v>
      </c>
      <c r="M27" s="748">
        <v>0</v>
      </c>
      <c r="N27" s="748">
        <f t="shared" si="0"/>
        <v>0</v>
      </c>
      <c r="O27" s="652">
        <v>0</v>
      </c>
      <c r="P27" s="527">
        <f>Y6*F27*H27*K27*M27*O27</f>
        <v>0</v>
      </c>
      <c r="Q27" s="527">
        <f>P27/(1+Y5)</f>
        <v>0</v>
      </c>
      <c r="R27" s="346">
        <v>0</v>
      </c>
      <c r="S27" s="527">
        <v>0</v>
      </c>
      <c r="T27" s="748">
        <f>(Y4*R27+S27)*F27</f>
        <v>0</v>
      </c>
      <c r="U27" s="630">
        <v>0</v>
      </c>
      <c r="V27" s="221">
        <v>0</v>
      </c>
      <c r="W27" s="630">
        <v>0</v>
      </c>
      <c r="X27" s="229">
        <v>0</v>
      </c>
      <c r="Y27" s="229">
        <f t="shared" si="1"/>
        <v>0</v>
      </c>
      <c r="Z27" s="49"/>
      <c r="AA27" s="49"/>
    </row>
    <row r="28" spans="1:27" x14ac:dyDescent="0.25">
      <c r="A28" s="169"/>
      <c r="B28" s="346">
        <v>20</v>
      </c>
      <c r="C28" s="518" t="s">
        <v>615</v>
      </c>
      <c r="D28" s="221" t="s">
        <v>304</v>
      </c>
      <c r="E28" s="346" t="s">
        <v>950</v>
      </c>
      <c r="F28" s="748">
        <v>0</v>
      </c>
      <c r="G28" s="630" t="s">
        <v>214</v>
      </c>
      <c r="H28" s="417">
        <v>1</v>
      </c>
      <c r="I28" s="630"/>
      <c r="J28" s="748" t="s">
        <v>932</v>
      </c>
      <c r="K28" s="301">
        <v>1</v>
      </c>
      <c r="L28" s="630" t="s">
        <v>1012</v>
      </c>
      <c r="M28" s="748">
        <v>0</v>
      </c>
      <c r="N28" s="748">
        <f t="shared" si="0"/>
        <v>0</v>
      </c>
      <c r="O28" s="652">
        <v>0</v>
      </c>
      <c r="P28" s="527">
        <f>Y6*F28*H28*K28*M28*O28</f>
        <v>0</v>
      </c>
      <c r="Q28" s="527">
        <f>P28/(1+Y5)</f>
        <v>0</v>
      </c>
      <c r="R28" s="346">
        <v>0</v>
      </c>
      <c r="S28" s="527">
        <v>0</v>
      </c>
      <c r="T28" s="748">
        <f>(Y4*R28+S28)*F28</f>
        <v>0</v>
      </c>
      <c r="U28" s="630">
        <v>0</v>
      </c>
      <c r="V28" s="221">
        <v>0</v>
      </c>
      <c r="W28" s="630">
        <v>0</v>
      </c>
      <c r="X28" s="229">
        <v>0</v>
      </c>
      <c r="Y28" s="229">
        <f t="shared" si="1"/>
        <v>0</v>
      </c>
      <c r="Z28" s="49"/>
      <c r="AA28" s="49"/>
    </row>
    <row r="29" spans="1:27" x14ac:dyDescent="0.25">
      <c r="A29" s="169"/>
      <c r="B29" s="346">
        <v>21</v>
      </c>
      <c r="C29" s="518" t="s">
        <v>919</v>
      </c>
      <c r="D29" s="221" t="s">
        <v>336</v>
      </c>
      <c r="E29" s="346" t="s">
        <v>838</v>
      </c>
      <c r="F29" s="748">
        <v>1E-3</v>
      </c>
      <c r="G29" s="630" t="s">
        <v>214</v>
      </c>
      <c r="H29" s="417">
        <v>1</v>
      </c>
      <c r="I29" s="630"/>
      <c r="J29" s="748" t="s">
        <v>932</v>
      </c>
      <c r="K29" s="301">
        <v>1</v>
      </c>
      <c r="L29" s="630" t="s">
        <v>1012</v>
      </c>
      <c r="M29" s="748">
        <v>0</v>
      </c>
      <c r="N29" s="748">
        <f t="shared" si="0"/>
        <v>0</v>
      </c>
      <c r="O29" s="652">
        <v>0</v>
      </c>
      <c r="P29" s="527">
        <f>Y6*F29*H29*K29*M29*O29</f>
        <v>0</v>
      </c>
      <c r="Q29" s="527">
        <f>P29/(1+Y5)</f>
        <v>0</v>
      </c>
      <c r="R29" s="346">
        <v>0</v>
      </c>
      <c r="S29" s="527">
        <v>0</v>
      </c>
      <c r="T29" s="748">
        <f>(Y4*R29+S29)*F29</f>
        <v>0</v>
      </c>
      <c r="U29" s="630">
        <v>0</v>
      </c>
      <c r="V29" s="221">
        <v>0</v>
      </c>
      <c r="W29" s="630">
        <v>0</v>
      </c>
      <c r="X29" s="229">
        <v>0</v>
      </c>
      <c r="Y29" s="229">
        <f t="shared" si="1"/>
        <v>0</v>
      </c>
      <c r="Z29" s="49"/>
      <c r="AA29" s="49"/>
    </row>
    <row r="30" spans="1:27" x14ac:dyDescent="0.25">
      <c r="A30" s="169"/>
      <c r="B30" s="346">
        <v>22</v>
      </c>
      <c r="C30" s="518" t="s">
        <v>1210</v>
      </c>
      <c r="D30" s="221" t="s">
        <v>269</v>
      </c>
      <c r="E30" s="346" t="s">
        <v>838</v>
      </c>
      <c r="F30" s="748">
        <v>1E-3</v>
      </c>
      <c r="G30" s="630" t="s">
        <v>62</v>
      </c>
      <c r="H30" s="417">
        <v>1</v>
      </c>
      <c r="I30" s="630"/>
      <c r="J30" s="748" t="s">
        <v>932</v>
      </c>
      <c r="K30" s="301">
        <v>1</v>
      </c>
      <c r="L30" s="630" t="s">
        <v>1012</v>
      </c>
      <c r="M30" s="748">
        <v>0</v>
      </c>
      <c r="N30" s="748">
        <f t="shared" si="0"/>
        <v>0</v>
      </c>
      <c r="O30" s="652">
        <v>0</v>
      </c>
      <c r="P30" s="527">
        <f>Y6*F30*H30*K30*M30*O30</f>
        <v>0</v>
      </c>
      <c r="Q30" s="527">
        <f>P30/(1+Y5)</f>
        <v>0</v>
      </c>
      <c r="R30" s="346">
        <v>0</v>
      </c>
      <c r="S30" s="527">
        <v>0</v>
      </c>
      <c r="T30" s="748">
        <f>(Y4*R30+S30)*F30</f>
        <v>0</v>
      </c>
      <c r="U30" s="630">
        <v>0</v>
      </c>
      <c r="V30" s="221">
        <v>0</v>
      </c>
      <c r="W30" s="630">
        <v>0</v>
      </c>
      <c r="X30" s="229">
        <v>0</v>
      </c>
      <c r="Y30" s="229">
        <f t="shared" si="1"/>
        <v>0</v>
      </c>
      <c r="Z30" s="49"/>
      <c r="AA30" s="49"/>
    </row>
    <row r="31" spans="1:27" x14ac:dyDescent="0.25">
      <c r="A31" s="169"/>
      <c r="B31" s="346">
        <v>23</v>
      </c>
      <c r="C31" s="518" t="s">
        <v>340</v>
      </c>
      <c r="D31" s="221" t="s">
        <v>619</v>
      </c>
      <c r="E31" s="346" t="s">
        <v>838</v>
      </c>
      <c r="F31" s="748">
        <v>1E-3</v>
      </c>
      <c r="G31" s="630" t="s">
        <v>62</v>
      </c>
      <c r="H31" s="417">
        <v>1</v>
      </c>
      <c r="I31" s="630"/>
      <c r="J31" s="748" t="s">
        <v>932</v>
      </c>
      <c r="K31" s="301">
        <v>1</v>
      </c>
      <c r="L31" s="630" t="s">
        <v>1012</v>
      </c>
      <c r="M31" s="748">
        <v>0</v>
      </c>
      <c r="N31" s="748">
        <f t="shared" si="0"/>
        <v>0</v>
      </c>
      <c r="O31" s="652">
        <v>0</v>
      </c>
      <c r="P31" s="527">
        <f>Y6*F31*H31*K31*M31*O31</f>
        <v>0</v>
      </c>
      <c r="Q31" s="527">
        <f>P31/(1+Y5)</f>
        <v>0</v>
      </c>
      <c r="R31" s="346">
        <v>0</v>
      </c>
      <c r="S31" s="527">
        <v>0</v>
      </c>
      <c r="T31" s="748">
        <f>(Y4*R31+S31)*F31</f>
        <v>0</v>
      </c>
      <c r="U31" s="630">
        <v>0</v>
      </c>
      <c r="V31" s="221">
        <v>0</v>
      </c>
      <c r="W31" s="630">
        <v>0</v>
      </c>
      <c r="X31" s="229">
        <v>0</v>
      </c>
      <c r="Y31" s="229">
        <f t="shared" si="1"/>
        <v>0</v>
      </c>
      <c r="Z31" s="49"/>
      <c r="AA31" s="49"/>
    </row>
    <row r="32" spans="1:27" x14ac:dyDescent="0.25">
      <c r="A32" s="169"/>
      <c r="B32" s="346">
        <v>24</v>
      </c>
      <c r="C32" s="518" t="s">
        <v>849</v>
      </c>
      <c r="D32" s="221" t="s">
        <v>158</v>
      </c>
      <c r="E32" s="346" t="s">
        <v>838</v>
      </c>
      <c r="F32" s="748">
        <v>1E-3</v>
      </c>
      <c r="G32" s="630" t="s">
        <v>62</v>
      </c>
      <c r="H32" s="417">
        <v>1</v>
      </c>
      <c r="I32" s="630"/>
      <c r="J32" s="748" t="s">
        <v>932</v>
      </c>
      <c r="K32" s="301">
        <v>1</v>
      </c>
      <c r="L32" s="630" t="s">
        <v>1012</v>
      </c>
      <c r="M32" s="748">
        <v>0</v>
      </c>
      <c r="N32" s="748">
        <f t="shared" si="0"/>
        <v>0</v>
      </c>
      <c r="O32" s="652">
        <v>0</v>
      </c>
      <c r="P32" s="527">
        <f>Y6*F32*H32*K32*M32*O32</f>
        <v>0</v>
      </c>
      <c r="Q32" s="527">
        <f>P32/(1+Y5)</f>
        <v>0</v>
      </c>
      <c r="R32" s="346">
        <v>0</v>
      </c>
      <c r="S32" s="527">
        <v>0</v>
      </c>
      <c r="T32" s="748">
        <f>(Y4*R32+S32)*F32</f>
        <v>0</v>
      </c>
      <c r="U32" s="630">
        <v>0</v>
      </c>
      <c r="V32" s="221">
        <v>0</v>
      </c>
      <c r="W32" s="630">
        <v>0</v>
      </c>
      <c r="X32" s="229">
        <v>0</v>
      </c>
      <c r="Y32" s="229">
        <f t="shared" si="1"/>
        <v>0</v>
      </c>
      <c r="Z32" s="49"/>
      <c r="AA32" s="49"/>
    </row>
    <row r="33" spans="1:27" x14ac:dyDescent="0.25">
      <c r="A33" s="169"/>
      <c r="B33" s="346">
        <v>25</v>
      </c>
      <c r="C33" s="518" t="s">
        <v>1141</v>
      </c>
      <c r="D33" s="221" t="s">
        <v>685</v>
      </c>
      <c r="E33" s="346" t="s">
        <v>838</v>
      </c>
      <c r="F33" s="748">
        <v>1E-3</v>
      </c>
      <c r="G33" s="630" t="s">
        <v>214</v>
      </c>
      <c r="H33" s="417">
        <v>1</v>
      </c>
      <c r="I33" s="630"/>
      <c r="J33" s="748" t="s">
        <v>932</v>
      </c>
      <c r="K33" s="301">
        <v>1</v>
      </c>
      <c r="L33" s="630" t="s">
        <v>1012</v>
      </c>
      <c r="M33" s="748">
        <v>0</v>
      </c>
      <c r="N33" s="748">
        <f t="shared" si="0"/>
        <v>0</v>
      </c>
      <c r="O33" s="652">
        <v>0</v>
      </c>
      <c r="P33" s="527">
        <f>Y6*F33*H33*K33*M33*O33</f>
        <v>0</v>
      </c>
      <c r="Q33" s="527">
        <f>P33/(1+Y5)</f>
        <v>0</v>
      </c>
      <c r="R33" s="346">
        <v>0</v>
      </c>
      <c r="S33" s="527">
        <v>0</v>
      </c>
      <c r="T33" s="748">
        <f>(Y4*R33+S33)*F33</f>
        <v>0</v>
      </c>
      <c r="U33" s="630">
        <v>0</v>
      </c>
      <c r="V33" s="221">
        <v>0</v>
      </c>
      <c r="W33" s="630">
        <v>0</v>
      </c>
      <c r="X33" s="229">
        <v>0</v>
      </c>
      <c r="Y33" s="229">
        <f t="shared" si="1"/>
        <v>0</v>
      </c>
      <c r="Z33" s="49"/>
      <c r="AA33" s="49"/>
    </row>
    <row r="34" spans="1:27" x14ac:dyDescent="0.25">
      <c r="A34" s="169"/>
      <c r="B34" s="346">
        <v>26</v>
      </c>
      <c r="C34" s="518" t="s">
        <v>649</v>
      </c>
      <c r="D34" s="221" t="s">
        <v>705</v>
      </c>
      <c r="E34" s="346" t="s">
        <v>838</v>
      </c>
      <c r="F34" s="748">
        <v>1E-3</v>
      </c>
      <c r="G34" s="630" t="s">
        <v>62</v>
      </c>
      <c r="H34" s="417">
        <v>1</v>
      </c>
      <c r="I34" s="630"/>
      <c r="J34" s="748" t="s">
        <v>932</v>
      </c>
      <c r="K34" s="301">
        <v>1</v>
      </c>
      <c r="L34" s="630" t="s">
        <v>1012</v>
      </c>
      <c r="M34" s="748">
        <v>0</v>
      </c>
      <c r="N34" s="748">
        <f t="shared" si="0"/>
        <v>0</v>
      </c>
      <c r="O34" s="652">
        <v>0</v>
      </c>
      <c r="P34" s="527">
        <f>Y6*F34*H34*K34*M34*O34</f>
        <v>0</v>
      </c>
      <c r="Q34" s="527">
        <f>P34/(1+Y5)</f>
        <v>0</v>
      </c>
      <c r="R34" s="346">
        <v>0</v>
      </c>
      <c r="S34" s="527">
        <v>0</v>
      </c>
      <c r="T34" s="748">
        <f>(Y4*R34+S34)*F34</f>
        <v>0</v>
      </c>
      <c r="U34" s="630">
        <v>0</v>
      </c>
      <c r="V34" s="221">
        <v>0</v>
      </c>
      <c r="W34" s="630">
        <v>0</v>
      </c>
      <c r="X34" s="229">
        <v>0</v>
      </c>
      <c r="Y34" s="229">
        <f t="shared" si="1"/>
        <v>0</v>
      </c>
      <c r="Z34" s="49"/>
      <c r="AA34" s="49"/>
    </row>
    <row r="35" spans="1:27" x14ac:dyDescent="0.25">
      <c r="A35" s="169"/>
      <c r="B35" s="346">
        <v>27</v>
      </c>
      <c r="C35" s="518" t="s">
        <v>713</v>
      </c>
      <c r="D35" s="221" t="s">
        <v>13</v>
      </c>
      <c r="E35" s="346" t="s">
        <v>838</v>
      </c>
      <c r="F35" s="748">
        <v>1E-3</v>
      </c>
      <c r="G35" s="630" t="s">
        <v>62</v>
      </c>
      <c r="H35" s="417">
        <v>1</v>
      </c>
      <c r="I35" s="630"/>
      <c r="J35" s="748" t="s">
        <v>932</v>
      </c>
      <c r="K35" s="301">
        <v>1</v>
      </c>
      <c r="L35" s="630" t="s">
        <v>1012</v>
      </c>
      <c r="M35" s="748">
        <v>0</v>
      </c>
      <c r="N35" s="748">
        <f t="shared" si="0"/>
        <v>0</v>
      </c>
      <c r="O35" s="652">
        <v>0</v>
      </c>
      <c r="P35" s="527">
        <f>Y6*F35*H35*K35*M35*O35</f>
        <v>0</v>
      </c>
      <c r="Q35" s="527">
        <f>P35/(1+Y5)</f>
        <v>0</v>
      </c>
      <c r="R35" s="346">
        <v>0</v>
      </c>
      <c r="S35" s="527">
        <v>0</v>
      </c>
      <c r="T35" s="748">
        <f>(Y4*R35+S35)*F35</f>
        <v>0</v>
      </c>
      <c r="U35" s="630">
        <v>0</v>
      </c>
      <c r="V35" s="221">
        <v>0</v>
      </c>
      <c r="W35" s="630">
        <v>0</v>
      </c>
      <c r="X35" s="229">
        <v>0</v>
      </c>
      <c r="Y35" s="229">
        <f t="shared" si="1"/>
        <v>0</v>
      </c>
      <c r="Z35" s="49"/>
      <c r="AA35" s="49"/>
    </row>
    <row r="36" spans="1:27" x14ac:dyDescent="0.25">
      <c r="A36" s="169"/>
      <c r="B36" s="346">
        <v>28</v>
      </c>
      <c r="C36" s="518" t="s">
        <v>132</v>
      </c>
      <c r="D36" s="221" t="s">
        <v>969</v>
      </c>
      <c r="E36" s="346" t="s">
        <v>838</v>
      </c>
      <c r="F36" s="748">
        <v>1E-3</v>
      </c>
      <c r="G36" s="630" t="s">
        <v>214</v>
      </c>
      <c r="H36" s="417">
        <v>1</v>
      </c>
      <c r="I36" s="630"/>
      <c r="J36" s="748" t="s">
        <v>932</v>
      </c>
      <c r="K36" s="301">
        <v>1</v>
      </c>
      <c r="L36" s="630" t="s">
        <v>1012</v>
      </c>
      <c r="M36" s="748">
        <v>0</v>
      </c>
      <c r="N36" s="748">
        <f t="shared" si="0"/>
        <v>0</v>
      </c>
      <c r="O36" s="652">
        <v>0</v>
      </c>
      <c r="P36" s="527">
        <f>Y6*F36*H36*K36*M36*O36</f>
        <v>0</v>
      </c>
      <c r="Q36" s="527">
        <f>P36/(1+Y5)</f>
        <v>0</v>
      </c>
      <c r="R36" s="346">
        <v>0</v>
      </c>
      <c r="S36" s="527">
        <v>0</v>
      </c>
      <c r="T36" s="748">
        <f>(Y4*R36+S36)*F36</f>
        <v>0</v>
      </c>
      <c r="U36" s="630">
        <v>0</v>
      </c>
      <c r="V36" s="221">
        <v>0</v>
      </c>
      <c r="W36" s="630">
        <v>0</v>
      </c>
      <c r="X36" s="229">
        <v>0</v>
      </c>
      <c r="Y36" s="229">
        <f t="shared" si="1"/>
        <v>0</v>
      </c>
      <c r="Z36" s="49"/>
      <c r="AA36" s="49"/>
    </row>
    <row r="37" spans="1:27" x14ac:dyDescent="0.25">
      <c r="A37" s="169"/>
      <c r="B37" s="346">
        <v>29</v>
      </c>
      <c r="C37" s="518" t="s">
        <v>149</v>
      </c>
      <c r="D37" s="221" t="s">
        <v>89</v>
      </c>
      <c r="E37" s="346" t="s">
        <v>838</v>
      </c>
      <c r="F37" s="748">
        <v>1E-3</v>
      </c>
      <c r="G37" s="630" t="s">
        <v>214</v>
      </c>
      <c r="H37" s="417">
        <v>1</v>
      </c>
      <c r="I37" s="630"/>
      <c r="J37" s="748" t="s">
        <v>932</v>
      </c>
      <c r="K37" s="301">
        <v>1</v>
      </c>
      <c r="L37" s="630" t="s">
        <v>1012</v>
      </c>
      <c r="M37" s="748">
        <v>0</v>
      </c>
      <c r="N37" s="748">
        <f t="shared" si="0"/>
        <v>0</v>
      </c>
      <c r="O37" s="652">
        <v>0</v>
      </c>
      <c r="P37" s="527">
        <f>Y6*F37*H37*K37*M37*O37</f>
        <v>0</v>
      </c>
      <c r="Q37" s="527">
        <f>P37/(1+Y5)</f>
        <v>0</v>
      </c>
      <c r="R37" s="346">
        <v>0</v>
      </c>
      <c r="S37" s="527">
        <v>0</v>
      </c>
      <c r="T37" s="748">
        <f>(Y4*R37+S37)*F37</f>
        <v>0</v>
      </c>
      <c r="U37" s="630">
        <v>0</v>
      </c>
      <c r="V37" s="221">
        <v>0</v>
      </c>
      <c r="W37" s="630">
        <v>0</v>
      </c>
      <c r="X37" s="229">
        <v>0</v>
      </c>
      <c r="Y37" s="229">
        <f t="shared" si="1"/>
        <v>0</v>
      </c>
      <c r="Z37" s="49"/>
      <c r="AA37" s="49"/>
    </row>
    <row r="38" spans="1:27" x14ac:dyDescent="0.25">
      <c r="A38" s="85"/>
      <c r="B38" s="283">
        <v>30</v>
      </c>
      <c r="C38" s="447" t="s">
        <v>235</v>
      </c>
      <c r="D38" s="134" t="s">
        <v>662</v>
      </c>
      <c r="E38" s="283" t="s">
        <v>838</v>
      </c>
      <c r="F38" s="685">
        <v>1E-3</v>
      </c>
      <c r="G38" s="565" t="s">
        <v>416</v>
      </c>
      <c r="H38" s="353">
        <v>1</v>
      </c>
      <c r="I38" s="565"/>
      <c r="J38" s="685" t="s">
        <v>932</v>
      </c>
      <c r="K38" s="239">
        <v>1</v>
      </c>
      <c r="L38" s="565" t="s">
        <v>1012</v>
      </c>
      <c r="M38" s="685">
        <v>0</v>
      </c>
      <c r="N38" s="685">
        <f t="shared" si="0"/>
        <v>0</v>
      </c>
      <c r="O38" s="601">
        <v>0</v>
      </c>
      <c r="P38" s="487">
        <f>Y6*F38*H38*K38*M38*O38</f>
        <v>0</v>
      </c>
      <c r="Q38" s="487">
        <f>P38/(1+Y5)</f>
        <v>0</v>
      </c>
      <c r="R38" s="283">
        <v>0</v>
      </c>
      <c r="S38" s="487">
        <v>0</v>
      </c>
      <c r="T38" s="685">
        <f>(Y4*R38+S38)*F38</f>
        <v>0</v>
      </c>
      <c r="U38" s="565">
        <v>0</v>
      </c>
      <c r="V38" s="134">
        <v>0</v>
      </c>
      <c r="W38" s="565">
        <v>0</v>
      </c>
      <c r="X38" s="141">
        <v>0</v>
      </c>
      <c r="Y38" s="141">
        <f t="shared" si="1"/>
        <v>0</v>
      </c>
      <c r="Z38" s="49"/>
      <c r="AA38" s="49"/>
    </row>
    <row r="39" spans="1:27"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row>
    <row r="40" spans="1:27"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row>
    <row r="41" spans="1:27"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row>
  </sheetData>
  <mergeCells count="20">
    <mergeCell ref="O7:Q7"/>
    <mergeCell ref="R7:T7"/>
    <mergeCell ref="U7:U8"/>
    <mergeCell ref="V7:W7"/>
    <mergeCell ref="X7:X8"/>
    <mergeCell ref="Y7:Y8"/>
    <mergeCell ref="A1:V1"/>
    <mergeCell ref="A2:V2"/>
    <mergeCell ref="A3:V3"/>
    <mergeCell ref="A7:A8"/>
    <mergeCell ref="B7:B8"/>
    <mergeCell ref="C7:C8"/>
    <mergeCell ref="D7:D8"/>
    <mergeCell ref="E7:E8"/>
    <mergeCell ref="F7:F8"/>
    <mergeCell ref="G7:G8"/>
    <mergeCell ref="H7:H8"/>
    <mergeCell ref="I7:I8"/>
    <mergeCell ref="J7:K7"/>
    <mergeCell ref="L7:N7"/>
  </mergeCells>
  <conditionalFormatting sqref="K9:K38">
    <cfRule type="cellIs" dxfId="10" priority="1" stopIfTrue="1" operator="equal">
      <formula>0</formula>
    </cfRule>
  </conditionalFormatting>
  <conditionalFormatting sqref="M9:M38">
    <cfRule type="cellIs" dxfId="9" priority="2" stopIfTrue="1" operator="equal">
      <formula>0</formula>
    </cfRule>
  </conditionalFormatting>
  <pageMargins left="0.75" right="0.75" top="0.79" bottom="0.79" header="0.3" footer="0.3"/>
  <pageSetup paperSize="9" scale="80" orientation="landscape" useFirstPageNumber="1" horizontalDpi="65532"/>
  <headerFooter>
    <oddFooter>&amp;CTrang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8"/>
  <sheetViews>
    <sheetView showZeros="0" workbookViewId="0">
      <pane xSplit="1" ySplit="1" topLeftCell="B2" activePane="bottomRight" state="frozen"/>
      <selection sqref="A1:AE1"/>
      <selection pane="topRight" sqref="A1:AE1"/>
      <selection pane="bottomLeft" sqref="A1:AE1"/>
      <selection pane="bottomRight" activeCell="AQ21" sqref="AQ21"/>
    </sheetView>
  </sheetViews>
  <sheetFormatPr defaultRowHeight="15" x14ac:dyDescent="0.25"/>
  <cols>
    <col min="1" max="1" width="4.85546875" customWidth="1"/>
    <col min="2" max="2" width="8.7109375" customWidth="1"/>
    <col min="3" max="3" width="21" customWidth="1"/>
    <col min="4" max="4" width="5" customWidth="1"/>
    <col min="5" max="5" width="8.85546875" hidden="1" customWidth="1"/>
    <col min="6" max="6" width="8" hidden="1" customWidth="1"/>
    <col min="7" max="7" width="7.140625" hidden="1" customWidth="1"/>
    <col min="8" max="8" width="14.7109375" hidden="1" customWidth="1"/>
    <col min="9" max="9" width="8.85546875" hidden="1" customWidth="1"/>
    <col min="10" max="10" width="13.28515625" customWidth="1"/>
    <col min="11" max="12" width="7.28515625" customWidth="1"/>
    <col min="13" max="15" width="8.28515625" hidden="1" customWidth="1"/>
    <col min="16" max="16" width="8.7109375" hidden="1" customWidth="1"/>
    <col min="17" max="17" width="7.7109375" customWidth="1"/>
    <col min="18" max="18" width="6.28515625" customWidth="1"/>
    <col min="19" max="23" width="8.85546875" hidden="1" customWidth="1"/>
    <col min="24" max="27" width="8" hidden="1" customWidth="1"/>
    <col min="28" max="30" width="10.28515625" hidden="1" customWidth="1"/>
    <col min="31" max="32" width="10" hidden="1" customWidth="1"/>
    <col min="33" max="35" width="10.28515625" hidden="1" customWidth="1"/>
    <col min="36" max="36" width="10" hidden="1" customWidth="1"/>
    <col min="37" max="37" width="8" hidden="1" customWidth="1"/>
    <col min="38" max="38" width="9" hidden="1" customWidth="1"/>
    <col min="39" max="39" width="5.7109375" hidden="1" customWidth="1"/>
    <col min="40" max="40" width="9" hidden="1" customWidth="1"/>
    <col min="41" max="43" width="9" customWidth="1"/>
  </cols>
  <sheetData>
    <row r="1" spans="1:43" ht="17.649999999999999" customHeight="1" x14ac:dyDescent="0.3">
      <c r="A1" s="986" t="s">
        <v>521</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1"/>
      <c r="AG1" s="425"/>
      <c r="AH1" s="425"/>
      <c r="AI1" s="425"/>
      <c r="AJ1" s="425"/>
      <c r="AK1" s="425"/>
      <c r="AL1" s="425"/>
      <c r="AM1" s="425"/>
      <c r="AN1" s="425"/>
      <c r="AO1" s="425"/>
      <c r="AP1" s="110"/>
      <c r="AQ1" s="110"/>
    </row>
    <row r="2" spans="1:43" ht="17.649999999999999" customHeight="1" x14ac:dyDescent="0.3">
      <c r="A2" s="986" t="s">
        <v>315</v>
      </c>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1"/>
      <c r="AG2" s="425"/>
      <c r="AH2" s="425"/>
      <c r="AI2" s="425"/>
      <c r="AJ2" s="425"/>
      <c r="AK2" s="425"/>
      <c r="AL2" s="425"/>
      <c r="AM2" s="425"/>
      <c r="AN2" s="425"/>
      <c r="AO2" s="425"/>
      <c r="AP2" s="110"/>
      <c r="AQ2" s="110"/>
    </row>
    <row r="3" spans="1:43" ht="17.649999999999999" customHeight="1" x14ac:dyDescent="0.3">
      <c r="A3" s="987" t="s">
        <v>284</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337"/>
      <c r="AG3" s="988" t="s">
        <v>1154</v>
      </c>
      <c r="AH3" s="988"/>
      <c r="AI3" s="988"/>
      <c r="AJ3" s="374">
        <v>218559</v>
      </c>
      <c r="AK3" s="425"/>
      <c r="AL3" s="425"/>
      <c r="AM3" s="425"/>
      <c r="AN3" s="425"/>
      <c r="AO3" s="425"/>
      <c r="AP3" s="110"/>
      <c r="AQ3" s="110"/>
    </row>
    <row r="4" spans="1:43" ht="25.15" customHeight="1" x14ac:dyDescent="0.25">
      <c r="A4" s="989" t="s">
        <v>386</v>
      </c>
      <c r="B4" s="991" t="s">
        <v>802</v>
      </c>
      <c r="C4" s="989" t="s">
        <v>151</v>
      </c>
      <c r="D4" s="989" t="s">
        <v>1136</v>
      </c>
      <c r="E4" s="989" t="s">
        <v>1177</v>
      </c>
      <c r="F4" s="998" t="s">
        <v>155</v>
      </c>
      <c r="G4" s="989" t="s">
        <v>163</v>
      </c>
      <c r="H4" s="991" t="s">
        <v>801</v>
      </c>
      <c r="I4" s="991" t="s">
        <v>153</v>
      </c>
      <c r="J4" s="989" t="s">
        <v>245</v>
      </c>
      <c r="K4" s="989" t="s">
        <v>225</v>
      </c>
      <c r="L4" s="993" t="s">
        <v>500</v>
      </c>
      <c r="M4" s="994"/>
      <c r="N4" s="994"/>
      <c r="O4" s="994"/>
      <c r="P4" s="994"/>
      <c r="Q4" s="994"/>
      <c r="R4" s="994"/>
      <c r="S4" s="189"/>
      <c r="T4" s="989" t="s">
        <v>592</v>
      </c>
      <c r="U4" s="989" t="s">
        <v>1167</v>
      </c>
      <c r="V4" s="991" t="s">
        <v>631</v>
      </c>
      <c r="W4" s="991" t="s">
        <v>27</v>
      </c>
      <c r="X4" s="993" t="s">
        <v>1195</v>
      </c>
      <c r="Y4" s="994"/>
      <c r="Z4" s="994"/>
      <c r="AA4" s="997"/>
      <c r="AB4" s="998" t="s">
        <v>257</v>
      </c>
      <c r="AC4" s="993" t="s">
        <v>645</v>
      </c>
      <c r="AD4" s="994"/>
      <c r="AE4" s="994"/>
      <c r="AF4" s="997"/>
      <c r="AG4" s="993" t="s">
        <v>869</v>
      </c>
      <c r="AH4" s="994"/>
      <c r="AI4" s="994"/>
      <c r="AJ4" s="997"/>
      <c r="AK4" s="991" t="s">
        <v>23</v>
      </c>
      <c r="AL4" s="995" t="s">
        <v>120</v>
      </c>
      <c r="AM4" s="991" t="s">
        <v>858</v>
      </c>
      <c r="AN4" s="995" t="s">
        <v>58</v>
      </c>
      <c r="AO4" s="995" t="s">
        <v>73</v>
      </c>
      <c r="AP4" s="60"/>
      <c r="AQ4" s="60"/>
    </row>
    <row r="5" spans="1:43" ht="55.15" customHeight="1" x14ac:dyDescent="0.25">
      <c r="A5" s="990"/>
      <c r="B5" s="992"/>
      <c r="C5" s="990"/>
      <c r="D5" s="990"/>
      <c r="E5" s="990"/>
      <c r="F5" s="999"/>
      <c r="G5" s="990"/>
      <c r="H5" s="992"/>
      <c r="I5" s="992"/>
      <c r="J5" s="990"/>
      <c r="K5" s="990"/>
      <c r="L5" s="328" t="s">
        <v>478</v>
      </c>
      <c r="M5" s="328" t="s">
        <v>546</v>
      </c>
      <c r="N5" s="328" t="s">
        <v>959</v>
      </c>
      <c r="O5" s="328" t="s">
        <v>409</v>
      </c>
      <c r="P5" s="328" t="s">
        <v>903</v>
      </c>
      <c r="Q5" s="328" t="s">
        <v>574</v>
      </c>
      <c r="R5" s="328" t="s">
        <v>693</v>
      </c>
      <c r="S5" s="328" t="s">
        <v>879</v>
      </c>
      <c r="T5" s="990"/>
      <c r="U5" s="990"/>
      <c r="V5" s="992"/>
      <c r="W5" s="992"/>
      <c r="X5" s="552" t="s">
        <v>744</v>
      </c>
      <c r="Y5" s="552" t="s">
        <v>856</v>
      </c>
      <c r="Z5" s="552" t="s">
        <v>317</v>
      </c>
      <c r="AA5" s="552" t="s">
        <v>246</v>
      </c>
      <c r="AB5" s="999"/>
      <c r="AC5" s="552" t="s">
        <v>546</v>
      </c>
      <c r="AD5" s="552" t="s">
        <v>959</v>
      </c>
      <c r="AE5" s="552" t="s">
        <v>409</v>
      </c>
      <c r="AF5" s="552" t="s">
        <v>903</v>
      </c>
      <c r="AG5" s="552" t="s">
        <v>182</v>
      </c>
      <c r="AH5" s="552" t="s">
        <v>944</v>
      </c>
      <c r="AI5" s="552" t="s">
        <v>878</v>
      </c>
      <c r="AJ5" s="552" t="s">
        <v>32</v>
      </c>
      <c r="AK5" s="992"/>
      <c r="AL5" s="996"/>
      <c r="AM5" s="992"/>
      <c r="AN5" s="996"/>
      <c r="AO5" s="996"/>
      <c r="AP5" s="60"/>
      <c r="AQ5" s="60"/>
    </row>
    <row r="6" spans="1:43" ht="14.1" hidden="1" customHeight="1" x14ac:dyDescent="0.25">
      <c r="A6" s="263">
        <v>1</v>
      </c>
      <c r="B6" s="263" t="s">
        <v>1256</v>
      </c>
      <c r="C6" s="642" t="s">
        <v>688</v>
      </c>
      <c r="D6" s="263" t="s">
        <v>165</v>
      </c>
      <c r="E6" s="362">
        <v>1</v>
      </c>
      <c r="F6" s="505">
        <v>10</v>
      </c>
      <c r="G6" s="362"/>
      <c r="H6" s="707"/>
      <c r="I6" s="489"/>
      <c r="J6" s="54" t="s">
        <v>195</v>
      </c>
      <c r="K6" s="263">
        <f>L6</f>
        <v>0</v>
      </c>
      <c r="L6" s="54">
        <v>0</v>
      </c>
      <c r="M6" s="263">
        <f t="shared" ref="M6:M7" si="0">MIN(L6,1)</f>
        <v>0</v>
      </c>
      <c r="N6" s="263">
        <f t="shared" ref="N6:N7" si="1">IF(L6&lt;10,L6-M6,9)</f>
        <v>0</v>
      </c>
      <c r="O6" s="263">
        <f t="shared" ref="O6:O7" si="2">IF(L6&lt;60,L6-M6-N6,50)</f>
        <v>0</v>
      </c>
      <c r="P6" s="263">
        <f t="shared" ref="P6:P73" si="3">L6-M6-N6-O6</f>
        <v>0</v>
      </c>
      <c r="Q6" s="707" t="s">
        <v>1012</v>
      </c>
      <c r="R6" s="263">
        <v>0.56999999999999995</v>
      </c>
      <c r="S6" s="642"/>
      <c r="T6" s="263"/>
      <c r="U6" s="263"/>
      <c r="V6" s="263"/>
      <c r="W6" s="263"/>
      <c r="X6" s="348">
        <v>0</v>
      </c>
      <c r="Y6" s="674">
        <v>0</v>
      </c>
      <c r="Z6" s="674">
        <v>0</v>
      </c>
      <c r="AA6" s="4">
        <v>0</v>
      </c>
      <c r="AB6" s="505">
        <v>2534740.9928571433</v>
      </c>
      <c r="AC6" s="505">
        <f t="shared" ref="AC6:AC7" si="4">R6*X6*AB6</f>
        <v>0</v>
      </c>
      <c r="AD6" s="505">
        <f t="shared" ref="AD6:AD7" si="5">R6*Y6*AB6</f>
        <v>0</v>
      </c>
      <c r="AE6" s="505">
        <f t="shared" ref="AE6:AE7" si="6">R6*Z6*AB6</f>
        <v>0</v>
      </c>
      <c r="AF6" s="505">
        <f t="shared" ref="AF6:AF7" si="7">R6*AA6*AB6</f>
        <v>0</v>
      </c>
      <c r="AG6" s="54">
        <v>0</v>
      </c>
      <c r="AH6" s="505">
        <f>ROUND(AG6*AJ3,0)</f>
        <v>0</v>
      </c>
      <c r="AI6" s="54">
        <v>0</v>
      </c>
      <c r="AJ6" s="505">
        <f>ROUND(AI6*AJ3,0)</f>
        <v>0</v>
      </c>
      <c r="AK6" s="125">
        <v>0</v>
      </c>
      <c r="AL6" s="505">
        <f>(M6*AC6)+(N6*AD6)+(O6*AE6)+(P6*AF6)+AK6</f>
        <v>0</v>
      </c>
      <c r="AM6" s="613">
        <v>1</v>
      </c>
      <c r="AN6" s="478">
        <f t="shared" ref="AN6:AN7" si="8">AL6*AM6</f>
        <v>0</v>
      </c>
      <c r="AO6" s="478">
        <f t="shared" ref="AO6:AO7" si="9">(AN6/F6)+AH6+AJ6</f>
        <v>0</v>
      </c>
      <c r="AP6" s="194"/>
      <c r="AQ6" s="194"/>
    </row>
    <row r="7" spans="1:43" ht="14.1" customHeight="1" x14ac:dyDescent="0.25">
      <c r="A7" s="493">
        <v>2</v>
      </c>
      <c r="B7" s="493" t="s">
        <v>603</v>
      </c>
      <c r="C7" s="370" t="s">
        <v>1364</v>
      </c>
      <c r="D7" s="493" t="s">
        <v>950</v>
      </c>
      <c r="E7" s="64">
        <v>0</v>
      </c>
      <c r="F7" s="240">
        <v>10</v>
      </c>
      <c r="G7" s="64"/>
      <c r="H7" s="434" t="s">
        <v>520</v>
      </c>
      <c r="I7" s="217"/>
      <c r="J7" s="266" t="s">
        <v>1378</v>
      </c>
      <c r="K7" s="493">
        <f>L9+L8+L7</f>
        <v>12</v>
      </c>
      <c r="L7" s="266">
        <v>1</v>
      </c>
      <c r="M7" s="493">
        <f t="shared" si="0"/>
        <v>1</v>
      </c>
      <c r="N7" s="493">
        <f t="shared" si="1"/>
        <v>0</v>
      </c>
      <c r="O7" s="493">
        <f t="shared" si="2"/>
        <v>0</v>
      </c>
      <c r="P7" s="493">
        <f t="shared" si="3"/>
        <v>0</v>
      </c>
      <c r="Q7" s="434" t="s">
        <v>661</v>
      </c>
      <c r="R7" s="493">
        <v>1.5</v>
      </c>
      <c r="S7" s="370"/>
      <c r="T7" s="493"/>
      <c r="U7" s="493"/>
      <c r="V7" s="493"/>
      <c r="W7" s="493"/>
      <c r="X7" s="516">
        <v>2.7E-2</v>
      </c>
      <c r="Y7" s="72">
        <v>1.9E-2</v>
      </c>
      <c r="Z7" s="72">
        <v>1.4E-2</v>
      </c>
      <c r="AA7" s="181">
        <v>1.2999999999999999E-2</v>
      </c>
      <c r="AB7" s="240">
        <v>1904231</v>
      </c>
      <c r="AC7" s="240">
        <f t="shared" si="4"/>
        <v>77121.355500000005</v>
      </c>
      <c r="AD7" s="240">
        <f t="shared" si="5"/>
        <v>54270.583499999993</v>
      </c>
      <c r="AE7" s="240">
        <f t="shared" si="6"/>
        <v>39988.851000000002</v>
      </c>
      <c r="AF7" s="240">
        <f t="shared" si="7"/>
        <v>37132.504500000003</v>
      </c>
      <c r="AG7" s="266">
        <v>0</v>
      </c>
      <c r="AH7" s="240">
        <f>ROUND(AG7*AJ3,0)</f>
        <v>0</v>
      </c>
      <c r="AI7" s="266">
        <v>0</v>
      </c>
      <c r="AJ7" s="240">
        <f>ROUND(AI7*AJ3,0)</f>
        <v>0</v>
      </c>
      <c r="AK7" s="619">
        <v>0</v>
      </c>
      <c r="AL7" s="240">
        <f>(M7*AC7)+(N7*AD7)+(O7*AE7)+(P7*AF7)+AK7+AL8+AL9</f>
        <v>334801.89441999997</v>
      </c>
      <c r="AM7" s="370">
        <v>1</v>
      </c>
      <c r="AN7" s="240">
        <f t="shared" si="8"/>
        <v>334801.89441999997</v>
      </c>
      <c r="AO7" s="240">
        <f t="shared" si="9"/>
        <v>33480.189441999995</v>
      </c>
      <c r="AP7" s="194"/>
      <c r="AQ7" s="194"/>
    </row>
    <row r="8" spans="1:43" ht="14.1" customHeight="1" x14ac:dyDescent="0.25">
      <c r="A8" s="493"/>
      <c r="B8" s="493"/>
      <c r="C8" s="370"/>
      <c r="D8" s="493"/>
      <c r="E8" s="64">
        <v>0</v>
      </c>
      <c r="F8" s="240">
        <v>10</v>
      </c>
      <c r="G8" s="64"/>
      <c r="H8" s="434" t="s">
        <v>520</v>
      </c>
      <c r="I8" s="217"/>
      <c r="J8" s="266" t="s">
        <v>1378</v>
      </c>
      <c r="K8" s="493"/>
      <c r="L8" s="266">
        <v>9</v>
      </c>
      <c r="M8" s="493">
        <f>IF(SUM(L7:L8)&lt;=1,L8,1-SUM(M7:M7))</f>
        <v>0</v>
      </c>
      <c r="N8" s="493">
        <f>IF(SUM(L7:L8)&lt;=10,L8-M8,9-SUM(N7:N7))</f>
        <v>9</v>
      </c>
      <c r="O8" s="493">
        <f>IF(SUM(L7:L8)&lt;=60,L8-M8-N8,50-SUM(O7:O7))</f>
        <v>0</v>
      </c>
      <c r="P8" s="493">
        <f t="shared" si="3"/>
        <v>0</v>
      </c>
      <c r="Q8" s="434" t="s">
        <v>841</v>
      </c>
      <c r="R8" s="493">
        <v>0.68</v>
      </c>
      <c r="S8" s="370"/>
      <c r="T8" s="493"/>
      <c r="U8" s="493"/>
      <c r="V8" s="493"/>
      <c r="W8" s="493"/>
      <c r="X8" s="516"/>
      <c r="Y8" s="72"/>
      <c r="Z8" s="72"/>
      <c r="AA8" s="181"/>
      <c r="AB8" s="240">
        <v>1904231</v>
      </c>
      <c r="AC8" s="240">
        <f>R8*X7*AB8</f>
        <v>34961.68116</v>
      </c>
      <c r="AD8" s="240">
        <f>R8*Y7*AB8</f>
        <v>24602.664520000002</v>
      </c>
      <c r="AE8" s="240">
        <f>R8*Z7*AB8</f>
        <v>18128.279120000003</v>
      </c>
      <c r="AF8" s="240">
        <f>R8*AA7*AB8</f>
        <v>16833.402040000001</v>
      </c>
      <c r="AG8" s="266"/>
      <c r="AH8" s="240"/>
      <c r="AI8" s="266"/>
      <c r="AJ8" s="240"/>
      <c r="AK8" s="619">
        <v>0</v>
      </c>
      <c r="AL8" s="240">
        <f t="shared" ref="AL8:AL9" si="10">(M8*AC8)+(N8*AD8)+(O8*AE8)+(P8*AF8)+AK8</f>
        <v>221423.98068000001</v>
      </c>
      <c r="AM8" s="370">
        <v>0</v>
      </c>
      <c r="AN8" s="240"/>
      <c r="AO8" s="240"/>
      <c r="AP8" s="194"/>
      <c r="AQ8" s="194"/>
    </row>
    <row r="9" spans="1:43" ht="14.1" customHeight="1" x14ac:dyDescent="0.25">
      <c r="A9" s="493"/>
      <c r="B9" s="493"/>
      <c r="C9" s="370"/>
      <c r="D9" s="493"/>
      <c r="E9" s="64">
        <v>0</v>
      </c>
      <c r="F9" s="240">
        <v>10</v>
      </c>
      <c r="G9" s="64"/>
      <c r="H9" s="434" t="s">
        <v>520</v>
      </c>
      <c r="I9" s="217"/>
      <c r="J9" s="266" t="s">
        <v>1378</v>
      </c>
      <c r="K9" s="493"/>
      <c r="L9" s="266">
        <v>2</v>
      </c>
      <c r="M9" s="493">
        <f>IF(SUM(L7:L9)&lt;=1,L9,1-SUM(M7:M8))</f>
        <v>0</v>
      </c>
      <c r="N9" s="493">
        <f>IF(SUM(L7:L9)&lt;=10,L9-M9,9-SUM(N7:N8))</f>
        <v>0</v>
      </c>
      <c r="O9" s="493">
        <f>IF(SUM(L7:L9)&lt;=60,L9-M9-N9,50-SUM(O7:O8))</f>
        <v>2</v>
      </c>
      <c r="P9" s="493">
        <f t="shared" si="3"/>
        <v>0</v>
      </c>
      <c r="Q9" s="434" t="s">
        <v>841</v>
      </c>
      <c r="R9" s="493">
        <v>0.68</v>
      </c>
      <c r="S9" s="370"/>
      <c r="T9" s="493"/>
      <c r="U9" s="493"/>
      <c r="V9" s="493"/>
      <c r="W9" s="493"/>
      <c r="X9" s="516"/>
      <c r="Y9" s="72"/>
      <c r="Z9" s="72"/>
      <c r="AA9" s="181"/>
      <c r="AB9" s="240">
        <v>1904231</v>
      </c>
      <c r="AC9" s="240">
        <f>R9*X7*AB9</f>
        <v>34961.68116</v>
      </c>
      <c r="AD9" s="240">
        <f>R9*Y7*AB9</f>
        <v>24602.664520000002</v>
      </c>
      <c r="AE9" s="240">
        <f>R9*Z7*AB9</f>
        <v>18128.279120000003</v>
      </c>
      <c r="AF9" s="240">
        <f>R9*AA7*AB9</f>
        <v>16833.402040000001</v>
      </c>
      <c r="AG9" s="266"/>
      <c r="AH9" s="240"/>
      <c r="AI9" s="266"/>
      <c r="AJ9" s="240"/>
      <c r="AK9" s="619">
        <v>0</v>
      </c>
      <c r="AL9" s="240">
        <f t="shared" si="10"/>
        <v>36256.558240000006</v>
      </c>
      <c r="AM9" s="370">
        <v>0</v>
      </c>
      <c r="AN9" s="240"/>
      <c r="AO9" s="240"/>
      <c r="AP9" s="194"/>
      <c r="AQ9" s="194"/>
    </row>
    <row r="10" spans="1:43" ht="14.1" hidden="1" customHeight="1" x14ac:dyDescent="0.25">
      <c r="A10" s="493">
        <v>3</v>
      </c>
      <c r="B10" s="493" t="s">
        <v>99</v>
      </c>
      <c r="C10" s="370" t="s">
        <v>1199</v>
      </c>
      <c r="D10" s="493" t="s">
        <v>950</v>
      </c>
      <c r="E10" s="64">
        <v>0</v>
      </c>
      <c r="F10" s="240">
        <v>10</v>
      </c>
      <c r="G10" s="64"/>
      <c r="H10" s="434" t="s">
        <v>520</v>
      </c>
      <c r="I10" s="217"/>
      <c r="J10" s="266" t="s">
        <v>1378</v>
      </c>
      <c r="K10" s="493">
        <f>L12+L11+L10</f>
        <v>10</v>
      </c>
      <c r="L10" s="266">
        <v>1</v>
      </c>
      <c r="M10" s="493">
        <f>MIN(L10,1)</f>
        <v>1</v>
      </c>
      <c r="N10" s="493">
        <f>IF(L10&lt;10,L10-M10,9)</f>
        <v>0</v>
      </c>
      <c r="O10" s="493">
        <f>IF(L10&lt;60,L10-M10-N10,50)</f>
        <v>0</v>
      </c>
      <c r="P10" s="493">
        <f t="shared" si="3"/>
        <v>0</v>
      </c>
      <c r="Q10" s="434" t="s">
        <v>1012</v>
      </c>
      <c r="R10" s="493">
        <v>0.56999999999999995</v>
      </c>
      <c r="S10" s="370"/>
      <c r="T10" s="493"/>
      <c r="U10" s="493"/>
      <c r="V10" s="493"/>
      <c r="W10" s="493"/>
      <c r="X10" s="516">
        <v>1.6E-2</v>
      </c>
      <c r="Y10" s="72">
        <v>1.2E-2</v>
      </c>
      <c r="Z10" s="72">
        <v>8.0000000000000002E-3</v>
      </c>
      <c r="AA10" s="181">
        <v>7.6E-3</v>
      </c>
      <c r="AB10" s="240">
        <v>1904231</v>
      </c>
      <c r="AC10" s="240">
        <f>R10*X10*AB10</f>
        <v>17366.586719999999</v>
      </c>
      <c r="AD10" s="240">
        <f>R10*Y10*AB10</f>
        <v>13024.940039999999</v>
      </c>
      <c r="AE10" s="240">
        <f>R10*Z10*AB10</f>
        <v>8683.2933599999997</v>
      </c>
      <c r="AF10" s="240">
        <f>R10*AA10*AB10</f>
        <v>8249.1286920000002</v>
      </c>
      <c r="AG10" s="266">
        <v>0</v>
      </c>
      <c r="AH10" s="240">
        <f>ROUND(AG10*AJ3,0)</f>
        <v>0</v>
      </c>
      <c r="AI10" s="266">
        <v>0</v>
      </c>
      <c r="AJ10" s="240">
        <f>ROUND(AI10*AJ3,0)</f>
        <v>0</v>
      </c>
      <c r="AK10" s="619">
        <v>0</v>
      </c>
      <c r="AL10" s="240">
        <f>(M10*AC10)+(N10*AD10)+(O10*AE10)+(P10*AF10)+AK10+AL11+AL12</f>
        <v>170238.25140000001</v>
      </c>
      <c r="AM10" s="370">
        <v>1</v>
      </c>
      <c r="AN10" s="240">
        <f>AL10*AM10</f>
        <v>170238.25140000001</v>
      </c>
      <c r="AO10" s="240">
        <f>(AN10/F10)+AH10+AJ10</f>
        <v>17023.825140000001</v>
      </c>
      <c r="AP10" s="194"/>
      <c r="AQ10" s="194"/>
    </row>
    <row r="11" spans="1:43" ht="14.1" hidden="1" customHeight="1" x14ac:dyDescent="0.25">
      <c r="A11" s="493"/>
      <c r="B11" s="493"/>
      <c r="C11" s="370"/>
      <c r="D11" s="493"/>
      <c r="E11" s="64">
        <v>0</v>
      </c>
      <c r="F11" s="240">
        <v>10</v>
      </c>
      <c r="G11" s="64"/>
      <c r="H11" s="434" t="s">
        <v>520</v>
      </c>
      <c r="I11" s="217"/>
      <c r="J11" s="266" t="s">
        <v>1378</v>
      </c>
      <c r="K11" s="493"/>
      <c r="L11" s="266">
        <v>7</v>
      </c>
      <c r="M11" s="493">
        <f>IF(SUM(L10:L11)&lt;=1,L11,1-SUM(M10:M10))</f>
        <v>0</v>
      </c>
      <c r="N11" s="493">
        <f>IF(SUM(L10:L11)&lt;=10,L11-M11,9-SUM(N10:N10))</f>
        <v>7</v>
      </c>
      <c r="O11" s="493">
        <f>IF(SUM(L10:L11)&lt;=60,L11-M11-N11,50-SUM(O10:O10))</f>
        <v>0</v>
      </c>
      <c r="P11" s="493">
        <f t="shared" si="3"/>
        <v>0</v>
      </c>
      <c r="Q11" s="434" t="s">
        <v>1012</v>
      </c>
      <c r="R11" s="493">
        <v>0.56999999999999995</v>
      </c>
      <c r="S11" s="370"/>
      <c r="T11" s="493"/>
      <c r="U11" s="493"/>
      <c r="V11" s="493"/>
      <c r="W11" s="493"/>
      <c r="X11" s="516"/>
      <c r="Y11" s="72"/>
      <c r="Z11" s="72"/>
      <c r="AA11" s="181"/>
      <c r="AB11" s="240">
        <v>1904231</v>
      </c>
      <c r="AC11" s="240">
        <f>R11*X10*AB11</f>
        <v>17366.586719999999</v>
      </c>
      <c r="AD11" s="240">
        <f>R11*Y10*AB11</f>
        <v>13024.940039999999</v>
      </c>
      <c r="AE11" s="240">
        <f>R11*Z10*AB11</f>
        <v>8683.2933599999997</v>
      </c>
      <c r="AF11" s="240">
        <f>R11*AA10*AB11</f>
        <v>8249.1286920000002</v>
      </c>
      <c r="AG11" s="266"/>
      <c r="AH11" s="240"/>
      <c r="AI11" s="266"/>
      <c r="AJ11" s="240"/>
      <c r="AK11" s="619">
        <v>0</v>
      </c>
      <c r="AL11" s="240">
        <f t="shared" ref="AL11:AL12" si="11">(M11*AC11)+(N11*AD11)+(O11*AE11)+(P11*AF11)+AK11</f>
        <v>91174.580279999995</v>
      </c>
      <c r="AM11" s="370">
        <v>0</v>
      </c>
      <c r="AN11" s="240"/>
      <c r="AO11" s="240"/>
      <c r="AP11" s="194"/>
      <c r="AQ11" s="194"/>
    </row>
    <row r="12" spans="1:43" ht="14.1" hidden="1" customHeight="1" x14ac:dyDescent="0.25">
      <c r="A12" s="493"/>
      <c r="B12" s="493"/>
      <c r="C12" s="370"/>
      <c r="D12" s="493"/>
      <c r="E12" s="64">
        <v>0</v>
      </c>
      <c r="F12" s="240">
        <v>10</v>
      </c>
      <c r="G12" s="64"/>
      <c r="H12" s="434" t="s">
        <v>520</v>
      </c>
      <c r="I12" s="217"/>
      <c r="J12" s="266" t="s">
        <v>1378</v>
      </c>
      <c r="K12" s="493"/>
      <c r="L12" s="266">
        <v>2</v>
      </c>
      <c r="M12" s="493">
        <f>IF(SUM(L10:L12)&lt;=1,L12,1-SUM(M10:M11))</f>
        <v>0</v>
      </c>
      <c r="N12" s="493">
        <f>IF(SUM(L10:L12)&lt;=10,L12-M12,9-SUM(N10:N11))</f>
        <v>2</v>
      </c>
      <c r="O12" s="493">
        <f>IF(SUM(L10:L12)&lt;=60,L12-M12-N12,50-SUM(O10:O11))</f>
        <v>0</v>
      </c>
      <c r="P12" s="493">
        <f t="shared" si="3"/>
        <v>0</v>
      </c>
      <c r="Q12" s="434" t="s">
        <v>289</v>
      </c>
      <c r="R12" s="493">
        <v>1.35</v>
      </c>
      <c r="S12" s="370"/>
      <c r="T12" s="493"/>
      <c r="U12" s="493"/>
      <c r="V12" s="493"/>
      <c r="W12" s="493"/>
      <c r="X12" s="516"/>
      <c r="Y12" s="72"/>
      <c r="Z12" s="72"/>
      <c r="AA12" s="181"/>
      <c r="AB12" s="240">
        <v>1904231</v>
      </c>
      <c r="AC12" s="240">
        <f>R12*X10*AB12</f>
        <v>41131.389600000002</v>
      </c>
      <c r="AD12" s="240">
        <f>R12*Y10*AB12</f>
        <v>30848.542200000004</v>
      </c>
      <c r="AE12" s="240">
        <f>R12*Z10*AB12</f>
        <v>20565.694800000001</v>
      </c>
      <c r="AF12" s="240">
        <f>R12*AA10*AB12</f>
        <v>19537.410059999998</v>
      </c>
      <c r="AG12" s="266"/>
      <c r="AH12" s="240"/>
      <c r="AI12" s="266"/>
      <c r="AJ12" s="240"/>
      <c r="AK12" s="619">
        <v>0</v>
      </c>
      <c r="AL12" s="240">
        <f t="shared" si="11"/>
        <v>61697.084400000007</v>
      </c>
      <c r="AM12" s="370">
        <v>0</v>
      </c>
      <c r="AN12" s="240"/>
      <c r="AO12" s="240"/>
      <c r="AP12" s="194"/>
      <c r="AQ12" s="194"/>
    </row>
    <row r="13" spans="1:43" ht="14.1" customHeight="1" x14ac:dyDescent="0.25">
      <c r="A13" s="493">
        <v>4</v>
      </c>
      <c r="B13" s="493" t="s">
        <v>523</v>
      </c>
      <c r="C13" s="370" t="s">
        <v>721</v>
      </c>
      <c r="D13" s="493" t="s">
        <v>950</v>
      </c>
      <c r="E13" s="64">
        <v>0</v>
      </c>
      <c r="F13" s="240">
        <v>10</v>
      </c>
      <c r="G13" s="64"/>
      <c r="H13" s="434" t="s">
        <v>520</v>
      </c>
      <c r="I13" s="217"/>
      <c r="J13" s="266" t="s">
        <v>1378</v>
      </c>
      <c r="K13" s="493">
        <f>L15+L14+L13</f>
        <v>10</v>
      </c>
      <c r="L13" s="266">
        <v>1</v>
      </c>
      <c r="M13" s="493">
        <f>MIN(L13,1)</f>
        <v>1</v>
      </c>
      <c r="N13" s="493">
        <f>IF(L13&lt;10,L13-M13,9)</f>
        <v>0</v>
      </c>
      <c r="O13" s="493">
        <f>IF(L13&lt;60,L13-M13-N13,50)</f>
        <v>0</v>
      </c>
      <c r="P13" s="493">
        <f t="shared" si="3"/>
        <v>0</v>
      </c>
      <c r="Q13" s="434" t="s">
        <v>1012</v>
      </c>
      <c r="R13" s="493">
        <v>0.56999999999999995</v>
      </c>
      <c r="S13" s="370"/>
      <c r="T13" s="493"/>
      <c r="U13" s="493"/>
      <c r="V13" s="493"/>
      <c r="W13" s="493"/>
      <c r="X13" s="516">
        <v>2.7E-2</v>
      </c>
      <c r="Y13" s="72">
        <v>1.9E-2</v>
      </c>
      <c r="Z13" s="72">
        <v>1.4E-2</v>
      </c>
      <c r="AA13" s="181">
        <v>1.2999999999999999E-2</v>
      </c>
      <c r="AB13" s="240">
        <v>1904231</v>
      </c>
      <c r="AC13" s="240">
        <f>R13*X13*AB13</f>
        <v>29306.115089999999</v>
      </c>
      <c r="AD13" s="240">
        <f>R13*Y13*AB13</f>
        <v>20622.82173</v>
      </c>
      <c r="AE13" s="240">
        <f>R13*Z13*AB13</f>
        <v>15195.763379999999</v>
      </c>
      <c r="AF13" s="240">
        <f>R13*AA13*AB13</f>
        <v>14110.351709999999</v>
      </c>
      <c r="AG13" s="266">
        <v>0</v>
      </c>
      <c r="AH13" s="240">
        <f>ROUND(AG13*AJ3,0)</f>
        <v>0</v>
      </c>
      <c r="AI13" s="266">
        <v>0</v>
      </c>
      <c r="AJ13" s="240">
        <f>ROUND(AI13*AJ3,0)</f>
        <v>0</v>
      </c>
      <c r="AK13" s="619">
        <v>0</v>
      </c>
      <c r="AL13" s="240">
        <f>(M13*AC13)+(N13*AD13)+(O13*AE13)+(P13*AF13)+AK13+AL14+AL15</f>
        <v>271352.91750000004</v>
      </c>
      <c r="AM13" s="370">
        <v>1</v>
      </c>
      <c r="AN13" s="240">
        <f>AL13*AM13</f>
        <v>271352.91750000004</v>
      </c>
      <c r="AO13" s="240">
        <f>(AN13/F13)+AH13+AJ13</f>
        <v>27135.291750000004</v>
      </c>
      <c r="AP13" s="194"/>
      <c r="AQ13" s="194"/>
    </row>
    <row r="14" spans="1:43" ht="14.1" customHeight="1" x14ac:dyDescent="0.25">
      <c r="A14" s="493"/>
      <c r="B14" s="493"/>
      <c r="C14" s="370"/>
      <c r="D14" s="493"/>
      <c r="E14" s="64">
        <v>0</v>
      </c>
      <c r="F14" s="240">
        <v>10</v>
      </c>
      <c r="G14" s="64"/>
      <c r="H14" s="434" t="s">
        <v>520</v>
      </c>
      <c r="I14" s="217"/>
      <c r="J14" s="266" t="s">
        <v>1378</v>
      </c>
      <c r="K14" s="493"/>
      <c r="L14" s="266">
        <v>7</v>
      </c>
      <c r="M14" s="493">
        <f>IF(SUM(L13:L14)&lt;=1,L14,1-SUM(M13:M13))</f>
        <v>0</v>
      </c>
      <c r="N14" s="493">
        <f>IF(SUM(L13:L14)&lt;=10,L14-M14,9-SUM(N13:N13))</f>
        <v>7</v>
      </c>
      <c r="O14" s="493">
        <f>IF(SUM(L13:L14)&lt;=60,L14-M14-N14,50-SUM(O13:O13))</f>
        <v>0</v>
      </c>
      <c r="P14" s="493">
        <f t="shared" si="3"/>
        <v>0</v>
      </c>
      <c r="Q14" s="434" t="s">
        <v>1012</v>
      </c>
      <c r="R14" s="493">
        <v>0.56999999999999995</v>
      </c>
      <c r="S14" s="370"/>
      <c r="T14" s="493"/>
      <c r="U14" s="493"/>
      <c r="V14" s="493"/>
      <c r="W14" s="493"/>
      <c r="X14" s="516"/>
      <c r="Y14" s="72"/>
      <c r="Z14" s="72"/>
      <c r="AA14" s="181"/>
      <c r="AB14" s="240">
        <v>1904231</v>
      </c>
      <c r="AC14" s="240">
        <f>R14*X13*AB14</f>
        <v>29306.115089999999</v>
      </c>
      <c r="AD14" s="240">
        <f>R14*Y13*AB14</f>
        <v>20622.82173</v>
      </c>
      <c r="AE14" s="240">
        <f>R14*Z13*AB14</f>
        <v>15195.763379999999</v>
      </c>
      <c r="AF14" s="240">
        <f>R14*AA13*AB14</f>
        <v>14110.351709999999</v>
      </c>
      <c r="AG14" s="266"/>
      <c r="AH14" s="240"/>
      <c r="AI14" s="266"/>
      <c r="AJ14" s="240"/>
      <c r="AK14" s="619">
        <v>0</v>
      </c>
      <c r="AL14" s="240">
        <f t="shared" ref="AL14:AL15" si="12">(M14*AC14)+(N14*AD14)+(O14*AE14)+(P14*AF14)+AK14</f>
        <v>144359.75211</v>
      </c>
      <c r="AM14" s="370">
        <v>0</v>
      </c>
      <c r="AN14" s="240"/>
      <c r="AO14" s="240"/>
      <c r="AP14" s="194"/>
      <c r="AQ14" s="194"/>
    </row>
    <row r="15" spans="1:43" ht="14.1" customHeight="1" x14ac:dyDescent="0.25">
      <c r="A15" s="493"/>
      <c r="B15" s="493"/>
      <c r="C15" s="370"/>
      <c r="D15" s="493"/>
      <c r="E15" s="64">
        <v>0</v>
      </c>
      <c r="F15" s="240">
        <v>10</v>
      </c>
      <c r="G15" s="64"/>
      <c r="H15" s="434" t="s">
        <v>520</v>
      </c>
      <c r="I15" s="217"/>
      <c r="J15" s="266" t="s">
        <v>1378</v>
      </c>
      <c r="K15" s="493"/>
      <c r="L15" s="266">
        <v>2</v>
      </c>
      <c r="M15" s="493">
        <f>IF(SUM(L13:L15)&lt;=1,L15,1-SUM(M13:M14))</f>
        <v>0</v>
      </c>
      <c r="N15" s="493">
        <f>IF(SUM(L13:L15)&lt;=10,L15-M15,9-SUM(N13:N14))</f>
        <v>2</v>
      </c>
      <c r="O15" s="493">
        <f>IF(SUM(L13:L15)&lt;=60,L15-M15-N15,50-SUM(O13:O14))</f>
        <v>0</v>
      </c>
      <c r="P15" s="493">
        <f t="shared" si="3"/>
        <v>0</v>
      </c>
      <c r="Q15" s="434" t="s">
        <v>289</v>
      </c>
      <c r="R15" s="493">
        <v>1.35</v>
      </c>
      <c r="S15" s="370"/>
      <c r="T15" s="493"/>
      <c r="U15" s="493"/>
      <c r="V15" s="493"/>
      <c r="W15" s="493"/>
      <c r="X15" s="516"/>
      <c r="Y15" s="72"/>
      <c r="Z15" s="72"/>
      <c r="AA15" s="181"/>
      <c r="AB15" s="240">
        <v>1904231</v>
      </c>
      <c r="AC15" s="240">
        <f>R15*X13*AB15</f>
        <v>69409.219950000013</v>
      </c>
      <c r="AD15" s="240">
        <f>R15*Y13*AB15</f>
        <v>48843.525150000009</v>
      </c>
      <c r="AE15" s="240">
        <f>R15*Z13*AB15</f>
        <v>35989.965900000003</v>
      </c>
      <c r="AF15" s="240">
        <f>R15*AA13*AB15</f>
        <v>33419.254049999996</v>
      </c>
      <c r="AG15" s="266"/>
      <c r="AH15" s="240"/>
      <c r="AI15" s="266"/>
      <c r="AJ15" s="240"/>
      <c r="AK15" s="619">
        <v>0</v>
      </c>
      <c r="AL15" s="240">
        <f t="shared" si="12"/>
        <v>97687.050300000017</v>
      </c>
      <c r="AM15" s="370">
        <v>0</v>
      </c>
      <c r="AN15" s="240"/>
      <c r="AO15" s="240"/>
      <c r="AP15" s="194"/>
      <c r="AQ15" s="194"/>
    </row>
    <row r="16" spans="1:43" ht="14.1" hidden="1" customHeight="1" x14ac:dyDescent="0.25">
      <c r="A16" s="493">
        <v>5</v>
      </c>
      <c r="B16" s="493" t="s">
        <v>984</v>
      </c>
      <c r="C16" s="370" t="s">
        <v>401</v>
      </c>
      <c r="D16" s="493" t="s">
        <v>838</v>
      </c>
      <c r="E16" s="64">
        <v>1E-3</v>
      </c>
      <c r="F16" s="240">
        <v>10000</v>
      </c>
      <c r="G16" s="64"/>
      <c r="H16" s="434"/>
      <c r="I16" s="217"/>
      <c r="J16" s="266" t="s">
        <v>1378</v>
      </c>
      <c r="K16" s="493">
        <f>L18+L17+L16</f>
        <v>6</v>
      </c>
      <c r="L16" s="266">
        <v>1</v>
      </c>
      <c r="M16" s="493">
        <f>MIN(L16,1)</f>
        <v>1</v>
      </c>
      <c r="N16" s="493">
        <f>IF(L16&lt;10,L16-M16,9)</f>
        <v>0</v>
      </c>
      <c r="O16" s="493">
        <f>IF(L16&lt;60,L16-M16-N16,50)</f>
        <v>0</v>
      </c>
      <c r="P16" s="493">
        <f t="shared" si="3"/>
        <v>0</v>
      </c>
      <c r="Q16" s="434" t="s">
        <v>1012</v>
      </c>
      <c r="R16" s="493">
        <v>0.56999999999999995</v>
      </c>
      <c r="S16" s="370"/>
      <c r="T16" s="493"/>
      <c r="U16" s="493"/>
      <c r="V16" s="493"/>
      <c r="W16" s="493"/>
      <c r="X16" s="516">
        <v>0</v>
      </c>
      <c r="Y16" s="72">
        <v>0</v>
      </c>
      <c r="Z16" s="72">
        <v>0</v>
      </c>
      <c r="AA16" s="181">
        <v>0</v>
      </c>
      <c r="AB16" s="240">
        <v>1904231</v>
      </c>
      <c r="AC16" s="240">
        <f>R16*X16*AB16</f>
        <v>0</v>
      </c>
      <c r="AD16" s="240">
        <f>R16*Y16*AB16</f>
        <v>0</v>
      </c>
      <c r="AE16" s="240">
        <f>R16*Z16*AB16</f>
        <v>0</v>
      </c>
      <c r="AF16" s="240">
        <f>R16*AA16*AB16</f>
        <v>0</v>
      </c>
      <c r="AG16" s="266">
        <v>0</v>
      </c>
      <c r="AH16" s="240">
        <f>ROUND(AG16*AJ3,0)</f>
        <v>0</v>
      </c>
      <c r="AI16" s="266">
        <v>0</v>
      </c>
      <c r="AJ16" s="240">
        <f>ROUND(AI16*AJ3,0)</f>
        <v>0</v>
      </c>
      <c r="AK16" s="619">
        <v>0</v>
      </c>
      <c r="AL16" s="240">
        <f>(M16*AC16)+(N16*AD16)+(O16*AE16)+(P16*AF16)+AK16+AL17+AL18</f>
        <v>0</v>
      </c>
      <c r="AM16" s="370">
        <v>1</v>
      </c>
      <c r="AN16" s="240">
        <f>AL16*AM16</f>
        <v>0</v>
      </c>
      <c r="AO16" s="240">
        <f>(AN16/F16)+AH16+AJ16</f>
        <v>0</v>
      </c>
      <c r="AP16" s="194"/>
      <c r="AQ16" s="194"/>
    </row>
    <row r="17" spans="1:43" ht="14.1" hidden="1" customHeight="1" x14ac:dyDescent="0.25">
      <c r="A17" s="493"/>
      <c r="B17" s="493"/>
      <c r="C17" s="370"/>
      <c r="D17" s="493"/>
      <c r="E17" s="64">
        <v>1E-3</v>
      </c>
      <c r="F17" s="240">
        <v>10000</v>
      </c>
      <c r="G17" s="64"/>
      <c r="H17" s="434"/>
      <c r="I17" s="217"/>
      <c r="J17" s="266" t="s">
        <v>1378</v>
      </c>
      <c r="K17" s="493"/>
      <c r="L17" s="266">
        <v>3</v>
      </c>
      <c r="M17" s="493">
        <f>IF(SUM(L16:L17)&lt;=1,L17,1-SUM(M16:M16))</f>
        <v>0</v>
      </c>
      <c r="N17" s="493">
        <f>IF(SUM(L16:L17)&lt;=10,L17-M17,9-SUM(N16:N16))</f>
        <v>3</v>
      </c>
      <c r="O17" s="493">
        <f>IF(SUM(L16:L17)&lt;=60,L17-M17-N17,50-SUM(O16:O16))</f>
        <v>0</v>
      </c>
      <c r="P17" s="493">
        <f t="shared" si="3"/>
        <v>0</v>
      </c>
      <c r="Q17" s="434" t="s">
        <v>1012</v>
      </c>
      <c r="R17" s="493">
        <v>0.56999999999999995</v>
      </c>
      <c r="S17" s="370"/>
      <c r="T17" s="493"/>
      <c r="U17" s="493"/>
      <c r="V17" s="493"/>
      <c r="W17" s="493"/>
      <c r="X17" s="516"/>
      <c r="Y17" s="72"/>
      <c r="Z17" s="72"/>
      <c r="AA17" s="181"/>
      <c r="AB17" s="240">
        <v>1904231</v>
      </c>
      <c r="AC17" s="240">
        <f>R17*X16*AB17</f>
        <v>0</v>
      </c>
      <c r="AD17" s="240">
        <f>R17*Y16*AB17</f>
        <v>0</v>
      </c>
      <c r="AE17" s="240">
        <f>R17*Z16*AB17</f>
        <v>0</v>
      </c>
      <c r="AF17" s="240">
        <f>R17*AA16*AB17</f>
        <v>0</v>
      </c>
      <c r="AG17" s="266"/>
      <c r="AH17" s="240"/>
      <c r="AI17" s="266"/>
      <c r="AJ17" s="240"/>
      <c r="AK17" s="619">
        <v>0</v>
      </c>
      <c r="AL17" s="240">
        <f t="shared" ref="AL17:AL18" si="13">(M17*AC17)+(N17*AD17)+(O17*AE17)+(P17*AF17)+AK17</f>
        <v>0</v>
      </c>
      <c r="AM17" s="370">
        <v>0</v>
      </c>
      <c r="AN17" s="240"/>
      <c r="AO17" s="240"/>
      <c r="AP17" s="194"/>
      <c r="AQ17" s="194"/>
    </row>
    <row r="18" spans="1:43" ht="14.1" hidden="1" customHeight="1" x14ac:dyDescent="0.25">
      <c r="A18" s="493"/>
      <c r="B18" s="493"/>
      <c r="C18" s="370"/>
      <c r="D18" s="493"/>
      <c r="E18" s="64">
        <v>1E-3</v>
      </c>
      <c r="F18" s="240">
        <v>10000</v>
      </c>
      <c r="G18" s="64"/>
      <c r="H18" s="434"/>
      <c r="I18" s="217"/>
      <c r="J18" s="266" t="s">
        <v>1378</v>
      </c>
      <c r="K18" s="493"/>
      <c r="L18" s="266">
        <v>2</v>
      </c>
      <c r="M18" s="493">
        <f>IF(SUM(L16:L18)&lt;=1,L18,1-SUM(M16:M17))</f>
        <v>0</v>
      </c>
      <c r="N18" s="493">
        <f>IF(SUM(L16:L18)&lt;=10,L18-M18,9-SUM(N16:N17))</f>
        <v>2</v>
      </c>
      <c r="O18" s="493">
        <f>IF(SUM(L16:L18)&lt;=60,L18-M18-N18,50-SUM(O16:O17))</f>
        <v>0</v>
      </c>
      <c r="P18" s="493">
        <f t="shared" si="3"/>
        <v>0</v>
      </c>
      <c r="Q18" s="434" t="s">
        <v>289</v>
      </c>
      <c r="R18" s="493">
        <v>1.35</v>
      </c>
      <c r="S18" s="370"/>
      <c r="T18" s="493"/>
      <c r="U18" s="493"/>
      <c r="V18" s="493"/>
      <c r="W18" s="493"/>
      <c r="X18" s="516"/>
      <c r="Y18" s="72"/>
      <c r="Z18" s="72"/>
      <c r="AA18" s="181"/>
      <c r="AB18" s="240">
        <v>1904231</v>
      </c>
      <c r="AC18" s="240">
        <f>R18*X16*AB18</f>
        <v>0</v>
      </c>
      <c r="AD18" s="240">
        <f>R18*Y16*AB18</f>
        <v>0</v>
      </c>
      <c r="AE18" s="240">
        <f>R18*Z16*AB18</f>
        <v>0</v>
      </c>
      <c r="AF18" s="240">
        <f>R18*AA16*AB18</f>
        <v>0</v>
      </c>
      <c r="AG18" s="266"/>
      <c r="AH18" s="240"/>
      <c r="AI18" s="266"/>
      <c r="AJ18" s="240"/>
      <c r="AK18" s="619">
        <v>0</v>
      </c>
      <c r="AL18" s="240">
        <f t="shared" si="13"/>
        <v>0</v>
      </c>
      <c r="AM18" s="370">
        <v>0</v>
      </c>
      <c r="AN18" s="240"/>
      <c r="AO18" s="240"/>
      <c r="AP18" s="194"/>
      <c r="AQ18" s="194"/>
    </row>
    <row r="19" spans="1:43" ht="14.1" customHeight="1" x14ac:dyDescent="0.25">
      <c r="A19" s="493">
        <v>6</v>
      </c>
      <c r="B19" s="493" t="s">
        <v>123</v>
      </c>
      <c r="C19" s="370" t="s">
        <v>495</v>
      </c>
      <c r="D19" s="493" t="s">
        <v>950</v>
      </c>
      <c r="E19" s="64">
        <v>0</v>
      </c>
      <c r="F19" s="240">
        <v>10</v>
      </c>
      <c r="G19" s="64"/>
      <c r="H19" s="434" t="s">
        <v>955</v>
      </c>
      <c r="I19" s="217"/>
      <c r="J19" s="266" t="s">
        <v>1378</v>
      </c>
      <c r="K19" s="493">
        <f>L21+L20+L19</f>
        <v>6</v>
      </c>
      <c r="L19" s="266">
        <v>1</v>
      </c>
      <c r="M19" s="493">
        <f>MIN(L19,1)</f>
        <v>1</v>
      </c>
      <c r="N19" s="493">
        <f>IF(L19&lt;10,L19-M19,9)</f>
        <v>0</v>
      </c>
      <c r="O19" s="493">
        <f>IF(L19&lt;60,L19-M19-N19,50)</f>
        <v>0</v>
      </c>
      <c r="P19" s="493">
        <f t="shared" si="3"/>
        <v>0</v>
      </c>
      <c r="Q19" s="434" t="s">
        <v>289</v>
      </c>
      <c r="R19" s="493">
        <v>1.35</v>
      </c>
      <c r="S19" s="370"/>
      <c r="T19" s="493"/>
      <c r="U19" s="493"/>
      <c r="V19" s="493"/>
      <c r="W19" s="493"/>
      <c r="X19" s="516">
        <v>3.4000000000000002E-2</v>
      </c>
      <c r="Y19" s="72">
        <v>2.5000000000000001E-2</v>
      </c>
      <c r="Z19" s="72">
        <v>1.7999999999999999E-2</v>
      </c>
      <c r="AA19" s="181">
        <v>1.7000000000000001E-2</v>
      </c>
      <c r="AB19" s="240">
        <v>1904231</v>
      </c>
      <c r="AC19" s="240">
        <f>R19*X19*AB19</f>
        <v>87404.202900000004</v>
      </c>
      <c r="AD19" s="240">
        <f>R19*Y19*AB19</f>
        <v>64267.796250000007</v>
      </c>
      <c r="AE19" s="240">
        <f>R19*Z19*AB19</f>
        <v>46272.813299999994</v>
      </c>
      <c r="AF19" s="240">
        <f>R19*AA19*AB19</f>
        <v>43702.101450000002</v>
      </c>
      <c r="AG19" s="266">
        <v>0</v>
      </c>
      <c r="AH19" s="240">
        <f>ROUND(AG19*AJ3,0)</f>
        <v>0</v>
      </c>
      <c r="AI19" s="266">
        <v>0</v>
      </c>
      <c r="AJ19" s="240">
        <f>ROUND(AI19*AJ3,0)</f>
        <v>0</v>
      </c>
      <c r="AK19" s="619">
        <v>0</v>
      </c>
      <c r="AL19" s="240">
        <f>(M19*AC19)+(N19*AD19)+(O19*AE19)+(P19*AF19)+AK19+AL20+AL21</f>
        <v>344951.44565000001</v>
      </c>
      <c r="AM19" s="370">
        <v>1</v>
      </c>
      <c r="AN19" s="240">
        <f>AL19*AM19</f>
        <v>344951.44565000001</v>
      </c>
      <c r="AO19" s="240">
        <f>(AN19/F19)+AH19+AJ19</f>
        <v>34495.144565000002</v>
      </c>
      <c r="AP19" s="194"/>
      <c r="AQ19" s="194"/>
    </row>
    <row r="20" spans="1:43" ht="14.1" customHeight="1" x14ac:dyDescent="0.25">
      <c r="A20" s="493"/>
      <c r="B20" s="493"/>
      <c r="C20" s="370"/>
      <c r="D20" s="493"/>
      <c r="E20" s="64">
        <v>0</v>
      </c>
      <c r="F20" s="240">
        <v>10</v>
      </c>
      <c r="G20" s="64"/>
      <c r="H20" s="434" t="s">
        <v>955</v>
      </c>
      <c r="I20" s="217"/>
      <c r="J20" s="266" t="s">
        <v>1378</v>
      </c>
      <c r="K20" s="493"/>
      <c r="L20" s="266">
        <v>3</v>
      </c>
      <c r="M20" s="493">
        <f>IF(SUM(L19:L20)&lt;=1,L20,1-SUM(M19:M19))</f>
        <v>0</v>
      </c>
      <c r="N20" s="493">
        <f>IF(SUM(L19:L20)&lt;=10,L20-M20,9-SUM(N19:N19))</f>
        <v>3</v>
      </c>
      <c r="O20" s="493">
        <f>IF(SUM(L19:L20)&lt;=60,L20-M20-N20,50-SUM(O19:O19))</f>
        <v>0</v>
      </c>
      <c r="P20" s="493">
        <f t="shared" si="3"/>
        <v>0</v>
      </c>
      <c r="Q20" s="434" t="s">
        <v>289</v>
      </c>
      <c r="R20" s="493">
        <v>1.35</v>
      </c>
      <c r="S20" s="370"/>
      <c r="T20" s="493"/>
      <c r="U20" s="493"/>
      <c r="V20" s="493"/>
      <c r="W20" s="493"/>
      <c r="X20" s="516"/>
      <c r="Y20" s="72"/>
      <c r="Z20" s="72"/>
      <c r="AA20" s="181"/>
      <c r="AB20" s="240">
        <v>1904231</v>
      </c>
      <c r="AC20" s="240">
        <f>R20*X19*AB20</f>
        <v>87404.202900000004</v>
      </c>
      <c r="AD20" s="240">
        <f>R20*Y19*AB20</f>
        <v>64267.796250000007</v>
      </c>
      <c r="AE20" s="240">
        <f>R20*Z19*AB20</f>
        <v>46272.813299999994</v>
      </c>
      <c r="AF20" s="240">
        <f>R20*AA19*AB20</f>
        <v>43702.101450000002</v>
      </c>
      <c r="AG20" s="266"/>
      <c r="AH20" s="240"/>
      <c r="AI20" s="266"/>
      <c r="AJ20" s="240"/>
      <c r="AK20" s="619">
        <v>0</v>
      </c>
      <c r="AL20" s="240">
        <f t="shared" ref="AL20:AL21" si="14">(M20*AC20)+(N20*AD20)+(O20*AE20)+(P20*AF20)+AK20</f>
        <v>192803.38875000001</v>
      </c>
      <c r="AM20" s="370">
        <v>0</v>
      </c>
      <c r="AN20" s="240"/>
      <c r="AO20" s="240"/>
      <c r="AP20" s="194"/>
      <c r="AQ20" s="194"/>
    </row>
    <row r="21" spans="1:43" ht="14.1" customHeight="1" x14ac:dyDescent="0.25">
      <c r="A21" s="493"/>
      <c r="B21" s="493"/>
      <c r="C21" s="370"/>
      <c r="D21" s="493"/>
      <c r="E21" s="64">
        <v>0</v>
      </c>
      <c r="F21" s="240">
        <v>10</v>
      </c>
      <c r="G21" s="64"/>
      <c r="H21" s="434" t="s">
        <v>955</v>
      </c>
      <c r="I21" s="217"/>
      <c r="J21" s="266" t="s">
        <v>1378</v>
      </c>
      <c r="K21" s="493"/>
      <c r="L21" s="266">
        <v>2</v>
      </c>
      <c r="M21" s="493">
        <f>IF(SUM(L19:L21)&lt;=1,L21,1-SUM(M19:M20))</f>
        <v>0</v>
      </c>
      <c r="N21" s="493">
        <f>IF(SUM(L19:L21)&lt;=10,L21-M21,9-SUM(N19:N20))</f>
        <v>2</v>
      </c>
      <c r="O21" s="493">
        <f>IF(SUM(L19:L21)&lt;=60,L21-M21-N21,50-SUM(O19:O20))</f>
        <v>0</v>
      </c>
      <c r="P21" s="493">
        <f t="shared" si="3"/>
        <v>0</v>
      </c>
      <c r="Q21" s="434" t="s">
        <v>841</v>
      </c>
      <c r="R21" s="493">
        <v>0.68</v>
      </c>
      <c r="S21" s="370"/>
      <c r="T21" s="493"/>
      <c r="U21" s="493"/>
      <c r="V21" s="493"/>
      <c r="W21" s="493"/>
      <c r="X21" s="516"/>
      <c r="Y21" s="72"/>
      <c r="Z21" s="72"/>
      <c r="AA21" s="181"/>
      <c r="AB21" s="240">
        <v>1904231</v>
      </c>
      <c r="AC21" s="240">
        <f>R21*X19*AB21</f>
        <v>44025.820720000003</v>
      </c>
      <c r="AD21" s="240">
        <f>R21*Y19*AB21</f>
        <v>32371.927000000003</v>
      </c>
      <c r="AE21" s="240">
        <f>R21*Z19*AB21</f>
        <v>23307.78744</v>
      </c>
      <c r="AF21" s="240">
        <f>R21*AA19*AB21</f>
        <v>22012.910360000002</v>
      </c>
      <c r="AG21" s="266"/>
      <c r="AH21" s="240"/>
      <c r="AI21" s="266"/>
      <c r="AJ21" s="240"/>
      <c r="AK21" s="619">
        <v>0</v>
      </c>
      <c r="AL21" s="240">
        <f t="shared" si="14"/>
        <v>64743.854000000007</v>
      </c>
      <c r="AM21" s="370">
        <v>0</v>
      </c>
      <c r="AN21" s="240"/>
      <c r="AO21" s="240"/>
      <c r="AP21" s="194"/>
      <c r="AQ21" s="194"/>
    </row>
    <row r="22" spans="1:43" ht="14.1" customHeight="1" x14ac:dyDescent="0.25">
      <c r="A22" s="493">
        <v>7</v>
      </c>
      <c r="B22" s="493" t="s">
        <v>485</v>
      </c>
      <c r="C22" s="370" t="s">
        <v>1011</v>
      </c>
      <c r="D22" s="493" t="s">
        <v>950</v>
      </c>
      <c r="E22" s="64">
        <v>0</v>
      </c>
      <c r="F22" s="240">
        <v>10</v>
      </c>
      <c r="G22" s="64"/>
      <c r="H22" s="434" t="s">
        <v>955</v>
      </c>
      <c r="I22" s="217"/>
      <c r="J22" s="266" t="s">
        <v>1378</v>
      </c>
      <c r="K22" s="493">
        <f>L24+L23+L22</f>
        <v>6</v>
      </c>
      <c r="L22" s="266">
        <v>1</v>
      </c>
      <c r="M22" s="493">
        <f>MIN(L22,1)</f>
        <v>1</v>
      </c>
      <c r="N22" s="493">
        <f>IF(L22&lt;10,L22-M22,9)</f>
        <v>0</v>
      </c>
      <c r="O22" s="493">
        <f>IF(L22&lt;60,L22-M22-N22,50)</f>
        <v>0</v>
      </c>
      <c r="P22" s="493">
        <f t="shared" si="3"/>
        <v>0</v>
      </c>
      <c r="Q22" s="434" t="s">
        <v>289</v>
      </c>
      <c r="R22" s="493">
        <v>1.35</v>
      </c>
      <c r="S22" s="370"/>
      <c r="T22" s="493"/>
      <c r="U22" s="493"/>
      <c r="V22" s="493"/>
      <c r="W22" s="493"/>
      <c r="X22" s="516">
        <v>3.4000000000000002E-2</v>
      </c>
      <c r="Y22" s="72">
        <v>2.5000000000000001E-2</v>
      </c>
      <c r="Z22" s="72">
        <v>1.7999999999999999E-2</v>
      </c>
      <c r="AA22" s="181">
        <v>1.7000000000000001E-2</v>
      </c>
      <c r="AB22" s="240">
        <v>1904231</v>
      </c>
      <c r="AC22" s="240">
        <f>R22*X22*AB22</f>
        <v>87404.202900000004</v>
      </c>
      <c r="AD22" s="240">
        <f>R22*Y22*AB22</f>
        <v>64267.796250000007</v>
      </c>
      <c r="AE22" s="240">
        <f>R22*Z22*AB22</f>
        <v>46272.813299999994</v>
      </c>
      <c r="AF22" s="240">
        <f>R22*AA22*AB22</f>
        <v>43702.101450000002</v>
      </c>
      <c r="AG22" s="266">
        <v>0</v>
      </c>
      <c r="AH22" s="240">
        <f>ROUND(AG22*AJ3,0)</f>
        <v>0</v>
      </c>
      <c r="AI22" s="266">
        <v>0</v>
      </c>
      <c r="AJ22" s="240">
        <f>ROUND(AI22*AJ3,0)</f>
        <v>0</v>
      </c>
      <c r="AK22" s="619">
        <v>0</v>
      </c>
      <c r="AL22" s="240">
        <f>(M22*AC22)+(N22*AD22)+(O22*AE22)+(P22*AF22)+AK22+AL23+AL24</f>
        <v>344951.44565000001</v>
      </c>
      <c r="AM22" s="370">
        <v>1</v>
      </c>
      <c r="AN22" s="240">
        <f>AL22*AM22</f>
        <v>344951.44565000001</v>
      </c>
      <c r="AO22" s="240">
        <f>(AN22/F22)+AH22+AJ22</f>
        <v>34495.144565000002</v>
      </c>
      <c r="AP22" s="194"/>
      <c r="AQ22" s="194"/>
    </row>
    <row r="23" spans="1:43" ht="14.1" customHeight="1" x14ac:dyDescent="0.25">
      <c r="A23" s="493"/>
      <c r="B23" s="493"/>
      <c r="C23" s="370"/>
      <c r="D23" s="493"/>
      <c r="E23" s="64">
        <v>0</v>
      </c>
      <c r="F23" s="240">
        <v>10</v>
      </c>
      <c r="G23" s="64"/>
      <c r="H23" s="434" t="s">
        <v>955</v>
      </c>
      <c r="I23" s="217"/>
      <c r="J23" s="266" t="s">
        <v>1378</v>
      </c>
      <c r="K23" s="493"/>
      <c r="L23" s="266">
        <v>3</v>
      </c>
      <c r="M23" s="493">
        <f>IF(SUM(L22:L23)&lt;=1,L23,1-SUM(M22:M22))</f>
        <v>0</v>
      </c>
      <c r="N23" s="493">
        <f>IF(SUM(L22:L23)&lt;=10,L23-M23,9-SUM(N22:N22))</f>
        <v>3</v>
      </c>
      <c r="O23" s="493">
        <f>IF(SUM(L22:L23)&lt;=60,L23-M23-N23,50-SUM(O22:O22))</f>
        <v>0</v>
      </c>
      <c r="P23" s="493">
        <f t="shared" si="3"/>
        <v>0</v>
      </c>
      <c r="Q23" s="434" t="s">
        <v>289</v>
      </c>
      <c r="R23" s="493">
        <v>1.35</v>
      </c>
      <c r="S23" s="370"/>
      <c r="T23" s="493"/>
      <c r="U23" s="493"/>
      <c r="V23" s="493"/>
      <c r="W23" s="493"/>
      <c r="X23" s="516"/>
      <c r="Y23" s="72"/>
      <c r="Z23" s="72"/>
      <c r="AA23" s="181"/>
      <c r="AB23" s="240">
        <v>1904231</v>
      </c>
      <c r="AC23" s="240">
        <f>R23*X22*AB23</f>
        <v>87404.202900000004</v>
      </c>
      <c r="AD23" s="240">
        <f>R23*Y22*AB23</f>
        <v>64267.796250000007</v>
      </c>
      <c r="AE23" s="240">
        <f>R23*Z22*AB23</f>
        <v>46272.813299999994</v>
      </c>
      <c r="AF23" s="240">
        <f>R23*AA22*AB23</f>
        <v>43702.101450000002</v>
      </c>
      <c r="AG23" s="266"/>
      <c r="AH23" s="240"/>
      <c r="AI23" s="266"/>
      <c r="AJ23" s="240"/>
      <c r="AK23" s="619">
        <v>0</v>
      </c>
      <c r="AL23" s="240">
        <f t="shared" ref="AL23:AL25" si="15">(M23*AC23)+(N23*AD23)+(O23*AE23)+(P23*AF23)+AK23</f>
        <v>192803.38875000001</v>
      </c>
      <c r="AM23" s="370">
        <v>0</v>
      </c>
      <c r="AN23" s="240"/>
      <c r="AO23" s="240"/>
      <c r="AP23" s="194"/>
      <c r="AQ23" s="194"/>
    </row>
    <row r="24" spans="1:43" ht="14.1" customHeight="1" x14ac:dyDescent="0.25">
      <c r="A24" s="493"/>
      <c r="B24" s="493"/>
      <c r="C24" s="370"/>
      <c r="D24" s="493"/>
      <c r="E24" s="64">
        <v>0</v>
      </c>
      <c r="F24" s="240">
        <v>10</v>
      </c>
      <c r="G24" s="64"/>
      <c r="H24" s="434" t="s">
        <v>955</v>
      </c>
      <c r="I24" s="217"/>
      <c r="J24" s="266" t="s">
        <v>1378</v>
      </c>
      <c r="K24" s="493"/>
      <c r="L24" s="266">
        <v>2</v>
      </c>
      <c r="M24" s="493">
        <f>IF(SUM(L22:L24)&lt;=1,L24,1-SUM(M22:M23))</f>
        <v>0</v>
      </c>
      <c r="N24" s="493">
        <f>IF(SUM(L22:L24)&lt;=10,L24-M24,9-SUM(N22:N23))</f>
        <v>2</v>
      </c>
      <c r="O24" s="493">
        <f>IF(SUM(L22:L24)&lt;=60,L24-M24-N24,50-SUM(O22:O23))</f>
        <v>0</v>
      </c>
      <c r="P24" s="493">
        <f t="shared" si="3"/>
        <v>0</v>
      </c>
      <c r="Q24" s="434" t="s">
        <v>841</v>
      </c>
      <c r="R24" s="493">
        <v>0.68</v>
      </c>
      <c r="S24" s="370"/>
      <c r="T24" s="493"/>
      <c r="U24" s="493"/>
      <c r="V24" s="493"/>
      <c r="W24" s="493"/>
      <c r="X24" s="516"/>
      <c r="Y24" s="72"/>
      <c r="Z24" s="72"/>
      <c r="AA24" s="181"/>
      <c r="AB24" s="240">
        <v>1904231</v>
      </c>
      <c r="AC24" s="240">
        <f>R24*X22*AB24</f>
        <v>44025.820720000003</v>
      </c>
      <c r="AD24" s="240">
        <f>R24*Y22*AB24</f>
        <v>32371.927000000003</v>
      </c>
      <c r="AE24" s="240">
        <f>R24*Z22*AB24</f>
        <v>23307.78744</v>
      </c>
      <c r="AF24" s="240">
        <f>R24*AA22*AB24</f>
        <v>22012.910360000002</v>
      </c>
      <c r="AG24" s="266"/>
      <c r="AH24" s="240"/>
      <c r="AI24" s="266"/>
      <c r="AJ24" s="240"/>
      <c r="AK24" s="619">
        <v>0</v>
      </c>
      <c r="AL24" s="240">
        <f t="shared" si="15"/>
        <v>64743.854000000007</v>
      </c>
      <c r="AM24" s="370">
        <v>0</v>
      </c>
      <c r="AN24" s="240"/>
      <c r="AO24" s="240"/>
      <c r="AP24" s="194"/>
      <c r="AQ24" s="194"/>
    </row>
    <row r="25" spans="1:43" ht="14.1" hidden="1" customHeight="1" x14ac:dyDescent="0.25">
      <c r="A25" s="493">
        <v>8</v>
      </c>
      <c r="B25" s="493" t="s">
        <v>552</v>
      </c>
      <c r="C25" s="370" t="s">
        <v>1044</v>
      </c>
      <c r="D25" s="493" t="s">
        <v>950</v>
      </c>
      <c r="E25" s="64">
        <v>0</v>
      </c>
      <c r="F25" s="240">
        <v>10</v>
      </c>
      <c r="G25" s="64"/>
      <c r="H25" s="434" t="s">
        <v>955</v>
      </c>
      <c r="I25" s="217"/>
      <c r="J25" s="266" t="s">
        <v>195</v>
      </c>
      <c r="K25" s="493">
        <f>L25</f>
        <v>0</v>
      </c>
      <c r="L25" s="266">
        <v>0</v>
      </c>
      <c r="M25" s="493">
        <f t="shared" ref="M25:M26" si="16">MIN(L25,1)</f>
        <v>0</v>
      </c>
      <c r="N25" s="493">
        <f t="shared" ref="N25:N26" si="17">IF(L25&lt;10,L25-M25,9)</f>
        <v>0</v>
      </c>
      <c r="O25" s="493">
        <f t="shared" ref="O25:O26" si="18">IF(L25&lt;60,L25-M25-N25,50)</f>
        <v>0</v>
      </c>
      <c r="P25" s="493">
        <f t="shared" si="3"/>
        <v>0</v>
      </c>
      <c r="Q25" s="434" t="s">
        <v>1012</v>
      </c>
      <c r="R25" s="493">
        <v>0.56999999999999995</v>
      </c>
      <c r="S25" s="370"/>
      <c r="T25" s="493"/>
      <c r="U25" s="493"/>
      <c r="V25" s="493"/>
      <c r="W25" s="493"/>
      <c r="X25" s="516">
        <v>2.1000000000000001E-2</v>
      </c>
      <c r="Y25" s="72">
        <v>1.6E-2</v>
      </c>
      <c r="Z25" s="72">
        <v>0.01</v>
      </c>
      <c r="AA25" s="181">
        <v>9.4999999999999998E-3</v>
      </c>
      <c r="AB25" s="240">
        <v>2534740.9928571433</v>
      </c>
      <c r="AC25" s="240">
        <f t="shared" ref="AC25:AC26" si="19">R25*X25*AB25</f>
        <v>30340.849684500005</v>
      </c>
      <c r="AD25" s="240">
        <f t="shared" ref="AD25:AD26" si="20">R25*Y25*AB25</f>
        <v>23116.837854857145</v>
      </c>
      <c r="AE25" s="240">
        <f t="shared" ref="AE25:AE26" si="21">R25*Z25*AB25</f>
        <v>14448.023659285715</v>
      </c>
      <c r="AF25" s="240">
        <f t="shared" ref="AF25:AF26" si="22">R25*AA25*AB25</f>
        <v>13725.62247632143</v>
      </c>
      <c r="AG25" s="266">
        <v>0</v>
      </c>
      <c r="AH25" s="240">
        <f>ROUND(AG25*AJ3,0)</f>
        <v>0</v>
      </c>
      <c r="AI25" s="266">
        <v>0</v>
      </c>
      <c r="AJ25" s="240">
        <f>ROUND(AI25*AJ3,0)</f>
        <v>0</v>
      </c>
      <c r="AK25" s="619">
        <v>0</v>
      </c>
      <c r="AL25" s="240">
        <f t="shared" si="15"/>
        <v>0</v>
      </c>
      <c r="AM25" s="370">
        <v>1</v>
      </c>
      <c r="AN25" s="240">
        <f t="shared" ref="AN25:AN26" si="23">AL25*AM25</f>
        <v>0</v>
      </c>
      <c r="AO25" s="240">
        <f t="shared" ref="AO25:AO26" si="24">(AN25/F25)+AH25+AJ25</f>
        <v>0</v>
      </c>
      <c r="AP25" s="194"/>
      <c r="AQ25" s="194"/>
    </row>
    <row r="26" spans="1:43" ht="14.1" hidden="1" customHeight="1" x14ac:dyDescent="0.25">
      <c r="A26" s="493">
        <v>9</v>
      </c>
      <c r="B26" s="493" t="s">
        <v>901</v>
      </c>
      <c r="C26" s="370" t="s">
        <v>454</v>
      </c>
      <c r="D26" s="493" t="s">
        <v>838</v>
      </c>
      <c r="E26" s="64">
        <v>1E-3</v>
      </c>
      <c r="F26" s="240">
        <v>10000</v>
      </c>
      <c r="G26" s="64"/>
      <c r="H26" s="434"/>
      <c r="I26" s="217"/>
      <c r="J26" s="266" t="s">
        <v>195</v>
      </c>
      <c r="K26" s="493">
        <f>L28+L27+L26</f>
        <v>6</v>
      </c>
      <c r="L26" s="266">
        <v>1</v>
      </c>
      <c r="M26" s="493">
        <f t="shared" si="16"/>
        <v>1</v>
      </c>
      <c r="N26" s="493">
        <f t="shared" si="17"/>
        <v>0</v>
      </c>
      <c r="O26" s="493">
        <f t="shared" si="18"/>
        <v>0</v>
      </c>
      <c r="P26" s="493">
        <f t="shared" si="3"/>
        <v>0</v>
      </c>
      <c r="Q26" s="434" t="s">
        <v>1012</v>
      </c>
      <c r="R26" s="493">
        <v>0.56999999999999995</v>
      </c>
      <c r="S26" s="370"/>
      <c r="T26" s="493"/>
      <c r="U26" s="493"/>
      <c r="V26" s="493"/>
      <c r="W26" s="493"/>
      <c r="X26" s="516">
        <v>0</v>
      </c>
      <c r="Y26" s="72">
        <v>0</v>
      </c>
      <c r="Z26" s="72">
        <v>0</v>
      </c>
      <c r="AA26" s="181">
        <v>0</v>
      </c>
      <c r="AB26" s="240">
        <v>2534740.9928571433</v>
      </c>
      <c r="AC26" s="240">
        <f t="shared" si="19"/>
        <v>0</v>
      </c>
      <c r="AD26" s="240">
        <f t="shared" si="20"/>
        <v>0</v>
      </c>
      <c r="AE26" s="240">
        <f t="shared" si="21"/>
        <v>0</v>
      </c>
      <c r="AF26" s="240">
        <f t="shared" si="22"/>
        <v>0</v>
      </c>
      <c r="AG26" s="266">
        <v>0</v>
      </c>
      <c r="AH26" s="240">
        <f>ROUND(AG26*AJ3,0)</f>
        <v>0</v>
      </c>
      <c r="AI26" s="266">
        <v>0</v>
      </c>
      <c r="AJ26" s="240">
        <f>ROUND(AI26*AJ3,0)</f>
        <v>0</v>
      </c>
      <c r="AK26" s="619">
        <v>0</v>
      </c>
      <c r="AL26" s="240">
        <f>(M26*AC26)+(N26*AD26)+(O26*AE26)+(P26*AF26)+AK26+AL27+AL28</f>
        <v>0</v>
      </c>
      <c r="AM26" s="370">
        <v>1</v>
      </c>
      <c r="AN26" s="240">
        <f t="shared" si="23"/>
        <v>0</v>
      </c>
      <c r="AO26" s="240">
        <f t="shared" si="24"/>
        <v>0</v>
      </c>
      <c r="AP26" s="194"/>
      <c r="AQ26" s="194"/>
    </row>
    <row r="27" spans="1:43" ht="14.1" hidden="1" customHeight="1" x14ac:dyDescent="0.25">
      <c r="A27" s="493"/>
      <c r="B27" s="493"/>
      <c r="C27" s="370"/>
      <c r="D27" s="493"/>
      <c r="E27" s="64">
        <v>1E-3</v>
      </c>
      <c r="F27" s="240">
        <v>10000</v>
      </c>
      <c r="G27" s="64"/>
      <c r="H27" s="434"/>
      <c r="I27" s="217"/>
      <c r="J27" s="266" t="s">
        <v>195</v>
      </c>
      <c r="K27" s="493"/>
      <c r="L27" s="266">
        <v>3</v>
      </c>
      <c r="M27" s="493">
        <f>IF(SUM(L26:L27)&lt;=1,L27,1-SUM(M26:M26))</f>
        <v>0</v>
      </c>
      <c r="N27" s="493">
        <f>IF(SUM(L26:L27)&lt;=10,L27-M27,9-SUM(N26:N26))</f>
        <v>3</v>
      </c>
      <c r="O27" s="493">
        <f>IF(SUM(L26:L27)&lt;=60,L27-M27-N27,50-SUM(O26:O26))</f>
        <v>0</v>
      </c>
      <c r="P27" s="493">
        <f t="shared" si="3"/>
        <v>0</v>
      </c>
      <c r="Q27" s="434" t="s">
        <v>1012</v>
      </c>
      <c r="R27" s="493">
        <v>0.56999999999999995</v>
      </c>
      <c r="S27" s="370"/>
      <c r="T27" s="493"/>
      <c r="U27" s="493"/>
      <c r="V27" s="493"/>
      <c r="W27" s="493"/>
      <c r="X27" s="516"/>
      <c r="Y27" s="72"/>
      <c r="Z27" s="72"/>
      <c r="AA27" s="181"/>
      <c r="AB27" s="240">
        <v>2534740.9928571433</v>
      </c>
      <c r="AC27" s="240">
        <f>R27*X26*AB27</f>
        <v>0</v>
      </c>
      <c r="AD27" s="240">
        <f>R27*Y26*AB27</f>
        <v>0</v>
      </c>
      <c r="AE27" s="240">
        <f>R27*Z26*AB27</f>
        <v>0</v>
      </c>
      <c r="AF27" s="240">
        <f>R27*AA26*AB27</f>
        <v>0</v>
      </c>
      <c r="AG27" s="266"/>
      <c r="AH27" s="240"/>
      <c r="AI27" s="266"/>
      <c r="AJ27" s="240"/>
      <c r="AK27" s="619">
        <v>0</v>
      </c>
      <c r="AL27" s="240">
        <f t="shared" ref="AL27:AL30" si="25">(M27*AC27)+(N27*AD27)+(O27*AE27)+(P27*AF27)+AK27</f>
        <v>0</v>
      </c>
      <c r="AM27" s="370">
        <v>0</v>
      </c>
      <c r="AN27" s="240"/>
      <c r="AO27" s="240"/>
      <c r="AP27" s="194"/>
      <c r="AQ27" s="194"/>
    </row>
    <row r="28" spans="1:43" ht="14.1" hidden="1" customHeight="1" x14ac:dyDescent="0.25">
      <c r="A28" s="493"/>
      <c r="B28" s="493"/>
      <c r="C28" s="370"/>
      <c r="D28" s="493"/>
      <c r="E28" s="64">
        <v>1E-3</v>
      </c>
      <c r="F28" s="240">
        <v>10000</v>
      </c>
      <c r="G28" s="64"/>
      <c r="H28" s="434"/>
      <c r="I28" s="217"/>
      <c r="J28" s="266" t="s">
        <v>195</v>
      </c>
      <c r="K28" s="493"/>
      <c r="L28" s="266">
        <v>2</v>
      </c>
      <c r="M28" s="493">
        <f>IF(SUM(L26:L28)&lt;=1,L28,1-SUM(M26:M27))</f>
        <v>0</v>
      </c>
      <c r="N28" s="493">
        <f>IF(SUM(L26:L28)&lt;=10,L28-M28,9-SUM(N26:N27))</f>
        <v>2</v>
      </c>
      <c r="O28" s="493">
        <f>IF(SUM(L26:L28)&lt;=60,L28-M28-N28,50-SUM(O26:O27))</f>
        <v>0</v>
      </c>
      <c r="P28" s="493">
        <f t="shared" si="3"/>
        <v>0</v>
      </c>
      <c r="Q28" s="434" t="s">
        <v>289</v>
      </c>
      <c r="R28" s="493">
        <v>1.35</v>
      </c>
      <c r="S28" s="370"/>
      <c r="T28" s="493"/>
      <c r="U28" s="493"/>
      <c r="V28" s="493"/>
      <c r="W28" s="493"/>
      <c r="X28" s="516"/>
      <c r="Y28" s="72"/>
      <c r="Z28" s="72"/>
      <c r="AA28" s="181"/>
      <c r="AB28" s="240">
        <v>2534740.9928571433</v>
      </c>
      <c r="AC28" s="240">
        <f>R28*X26*AB28</f>
        <v>0</v>
      </c>
      <c r="AD28" s="240">
        <f>R28*Y26*AB28</f>
        <v>0</v>
      </c>
      <c r="AE28" s="240">
        <f>R28*Z26*AB28</f>
        <v>0</v>
      </c>
      <c r="AF28" s="240">
        <f>R28*AA26*AB28</f>
        <v>0</v>
      </c>
      <c r="AG28" s="266"/>
      <c r="AH28" s="240"/>
      <c r="AI28" s="266"/>
      <c r="AJ28" s="240"/>
      <c r="AK28" s="619">
        <v>0</v>
      </c>
      <c r="AL28" s="240">
        <f t="shared" si="25"/>
        <v>0</v>
      </c>
      <c r="AM28" s="370">
        <v>0</v>
      </c>
      <c r="AN28" s="240"/>
      <c r="AO28" s="240"/>
      <c r="AP28" s="194"/>
      <c r="AQ28" s="194"/>
    </row>
    <row r="29" spans="1:43" ht="14.1" hidden="1" customHeight="1" x14ac:dyDescent="0.25">
      <c r="A29" s="493">
        <v>10</v>
      </c>
      <c r="B29" s="493" t="s">
        <v>894</v>
      </c>
      <c r="C29" s="370" t="s">
        <v>1147</v>
      </c>
      <c r="D29" s="493" t="s">
        <v>838</v>
      </c>
      <c r="E29" s="64">
        <v>1E-3</v>
      </c>
      <c r="F29" s="240">
        <v>10000</v>
      </c>
      <c r="G29" s="64"/>
      <c r="H29" s="434"/>
      <c r="I29" s="217"/>
      <c r="J29" s="266" t="s">
        <v>195</v>
      </c>
      <c r="K29" s="493">
        <f t="shared" ref="K29:K30" si="26">L29</f>
        <v>0</v>
      </c>
      <c r="L29" s="266">
        <v>0</v>
      </c>
      <c r="M29" s="493">
        <f t="shared" ref="M29:M31" si="27">MIN(L29,1)</f>
        <v>0</v>
      </c>
      <c r="N29" s="493">
        <f t="shared" ref="N29:N31" si="28">IF(L29&lt;10,L29-M29,9)</f>
        <v>0</v>
      </c>
      <c r="O29" s="493">
        <f t="shared" ref="O29:O31" si="29">IF(L29&lt;60,L29-M29-N29,50)</f>
        <v>0</v>
      </c>
      <c r="P29" s="493">
        <f t="shared" si="3"/>
        <v>0</v>
      </c>
      <c r="Q29" s="434" t="s">
        <v>1012</v>
      </c>
      <c r="R29" s="493">
        <v>0.56999999999999995</v>
      </c>
      <c r="S29" s="370"/>
      <c r="T29" s="493"/>
      <c r="U29" s="493"/>
      <c r="V29" s="493"/>
      <c r="W29" s="493"/>
      <c r="X29" s="516">
        <v>0</v>
      </c>
      <c r="Y29" s="72">
        <v>0</v>
      </c>
      <c r="Z29" s="72">
        <v>0</v>
      </c>
      <c r="AA29" s="181">
        <v>0</v>
      </c>
      <c r="AB29" s="240">
        <v>2534740.9928571433</v>
      </c>
      <c r="AC29" s="240">
        <f t="shared" ref="AC29:AC31" si="30">R29*X29*AB29</f>
        <v>0</v>
      </c>
      <c r="AD29" s="240">
        <f t="shared" ref="AD29:AD31" si="31">R29*Y29*AB29</f>
        <v>0</v>
      </c>
      <c r="AE29" s="240">
        <f t="shared" ref="AE29:AE31" si="32">R29*Z29*AB29</f>
        <v>0</v>
      </c>
      <c r="AF29" s="240">
        <f t="shared" ref="AF29:AF31" si="33">R29*AA29*AB29</f>
        <v>0</v>
      </c>
      <c r="AG29" s="266">
        <v>0</v>
      </c>
      <c r="AH29" s="240">
        <f>ROUND(AG29*AJ3,0)</f>
        <v>0</v>
      </c>
      <c r="AI29" s="266">
        <v>0</v>
      </c>
      <c r="AJ29" s="240">
        <f>ROUND(AI29*AJ3,0)</f>
        <v>0</v>
      </c>
      <c r="AK29" s="619">
        <v>0</v>
      </c>
      <c r="AL29" s="240">
        <f t="shared" si="25"/>
        <v>0</v>
      </c>
      <c r="AM29" s="370">
        <v>1</v>
      </c>
      <c r="AN29" s="240">
        <f t="shared" ref="AN29:AN31" si="34">AL29*AM29</f>
        <v>0</v>
      </c>
      <c r="AO29" s="240">
        <f t="shared" ref="AO29:AO31" si="35">(AN29/F29)+AH29+AJ29</f>
        <v>0</v>
      </c>
      <c r="AP29" s="194"/>
      <c r="AQ29" s="194"/>
    </row>
    <row r="30" spans="1:43" ht="14.1" hidden="1" customHeight="1" x14ac:dyDescent="0.25">
      <c r="A30" s="493">
        <v>11</v>
      </c>
      <c r="B30" s="493" t="s">
        <v>580</v>
      </c>
      <c r="C30" s="370" t="s">
        <v>1223</v>
      </c>
      <c r="D30" s="493" t="s">
        <v>594</v>
      </c>
      <c r="E30" s="64">
        <v>0</v>
      </c>
      <c r="F30" s="240">
        <v>1</v>
      </c>
      <c r="G30" s="64"/>
      <c r="H30" s="434"/>
      <c r="I30" s="217"/>
      <c r="J30" s="266" t="s">
        <v>195</v>
      </c>
      <c r="K30" s="493">
        <f t="shared" si="26"/>
        <v>0</v>
      </c>
      <c r="L30" s="266">
        <v>0</v>
      </c>
      <c r="M30" s="493">
        <f t="shared" si="27"/>
        <v>0</v>
      </c>
      <c r="N30" s="493">
        <f t="shared" si="28"/>
        <v>0</v>
      </c>
      <c r="O30" s="493">
        <f t="shared" si="29"/>
        <v>0</v>
      </c>
      <c r="P30" s="493">
        <f t="shared" si="3"/>
        <v>0</v>
      </c>
      <c r="Q30" s="434" t="s">
        <v>1012</v>
      </c>
      <c r="R30" s="493">
        <v>0.56999999999999995</v>
      </c>
      <c r="S30" s="370"/>
      <c r="T30" s="493"/>
      <c r="U30" s="493"/>
      <c r="V30" s="493"/>
      <c r="W30" s="493"/>
      <c r="X30" s="516">
        <v>0</v>
      </c>
      <c r="Y30" s="72">
        <v>0</v>
      </c>
      <c r="Z30" s="72">
        <v>0</v>
      </c>
      <c r="AA30" s="181">
        <v>0</v>
      </c>
      <c r="AB30" s="240">
        <v>2534740.9928571433</v>
      </c>
      <c r="AC30" s="240">
        <f t="shared" si="30"/>
        <v>0</v>
      </c>
      <c r="AD30" s="240">
        <f t="shared" si="31"/>
        <v>0</v>
      </c>
      <c r="AE30" s="240">
        <f t="shared" si="32"/>
        <v>0</v>
      </c>
      <c r="AF30" s="240">
        <f t="shared" si="33"/>
        <v>0</v>
      </c>
      <c r="AG30" s="266">
        <v>0</v>
      </c>
      <c r="AH30" s="240">
        <f>ROUND(AG30*AJ3,0)</f>
        <v>0</v>
      </c>
      <c r="AI30" s="266">
        <v>0</v>
      </c>
      <c r="AJ30" s="240">
        <f>ROUND(AI30*AJ3,0)</f>
        <v>0</v>
      </c>
      <c r="AK30" s="619">
        <v>0</v>
      </c>
      <c r="AL30" s="240">
        <f t="shared" si="25"/>
        <v>0</v>
      </c>
      <c r="AM30" s="370">
        <v>1</v>
      </c>
      <c r="AN30" s="240">
        <f t="shared" si="34"/>
        <v>0</v>
      </c>
      <c r="AO30" s="240">
        <f t="shared" si="35"/>
        <v>0</v>
      </c>
      <c r="AP30" s="194"/>
      <c r="AQ30" s="194"/>
    </row>
    <row r="31" spans="1:43" ht="14.1" customHeight="1" x14ac:dyDescent="0.25">
      <c r="A31" s="493">
        <v>12</v>
      </c>
      <c r="B31" s="493" t="s">
        <v>103</v>
      </c>
      <c r="C31" s="370" t="s">
        <v>422</v>
      </c>
      <c r="D31" s="493" t="s">
        <v>950</v>
      </c>
      <c r="E31" s="64">
        <v>0</v>
      </c>
      <c r="F31" s="240">
        <v>10</v>
      </c>
      <c r="G31" s="64"/>
      <c r="H31" s="434" t="s">
        <v>898</v>
      </c>
      <c r="I31" s="217"/>
      <c r="J31" s="266" t="s">
        <v>1379</v>
      </c>
      <c r="K31" s="493">
        <f>L34+L33+L32+L31</f>
        <v>6</v>
      </c>
      <c r="L31" s="266">
        <v>1</v>
      </c>
      <c r="M31" s="493">
        <f t="shared" si="27"/>
        <v>1</v>
      </c>
      <c r="N31" s="493">
        <f t="shared" si="28"/>
        <v>0</v>
      </c>
      <c r="O31" s="493">
        <f t="shared" si="29"/>
        <v>0</v>
      </c>
      <c r="P31" s="493">
        <f t="shared" si="3"/>
        <v>0</v>
      </c>
      <c r="Q31" s="434" t="s">
        <v>1012</v>
      </c>
      <c r="R31" s="493">
        <v>0.56999999999999995</v>
      </c>
      <c r="S31" s="370"/>
      <c r="T31" s="493"/>
      <c r="U31" s="493"/>
      <c r="V31" s="493"/>
      <c r="W31" s="493"/>
      <c r="X31" s="516">
        <v>2.4E-2</v>
      </c>
      <c r="Y31" s="72">
        <v>1.7999999999999999E-2</v>
      </c>
      <c r="Z31" s="72">
        <v>1.0999999999999999E-2</v>
      </c>
      <c r="AA31" s="181">
        <v>0.01</v>
      </c>
      <c r="AB31" s="240">
        <v>1383369</v>
      </c>
      <c r="AC31" s="240">
        <f t="shared" si="30"/>
        <v>18924.48792</v>
      </c>
      <c r="AD31" s="240">
        <f t="shared" si="31"/>
        <v>14193.365939999998</v>
      </c>
      <c r="AE31" s="240">
        <f t="shared" si="32"/>
        <v>8673.7236299999986</v>
      </c>
      <c r="AF31" s="240">
        <f t="shared" si="33"/>
        <v>7885.2032999999992</v>
      </c>
      <c r="AG31" s="266">
        <v>0</v>
      </c>
      <c r="AH31" s="240">
        <f>ROUND(AG31*AJ3,0)</f>
        <v>0</v>
      </c>
      <c r="AI31" s="266">
        <v>0.09</v>
      </c>
      <c r="AJ31" s="240">
        <f>ROUND(AI31*AJ3,0)</f>
        <v>19670</v>
      </c>
      <c r="AK31" s="619">
        <v>0</v>
      </c>
      <c r="AL31" s="240">
        <f>(M31*AC31)+(N31*AD31)+(O31*AE31)+(P31*AF31)+AK31+AL32+AL33+AL34</f>
        <v>128736.31913999999</v>
      </c>
      <c r="AM31" s="370">
        <v>1</v>
      </c>
      <c r="AN31" s="240">
        <f t="shared" si="34"/>
        <v>128736.31913999999</v>
      </c>
      <c r="AO31" s="240">
        <f t="shared" si="35"/>
        <v>32543.631913999998</v>
      </c>
      <c r="AP31" s="194"/>
      <c r="AQ31" s="194"/>
    </row>
    <row r="32" spans="1:43" ht="14.1" customHeight="1" x14ac:dyDescent="0.25">
      <c r="A32" s="493"/>
      <c r="B32" s="493"/>
      <c r="C32" s="370"/>
      <c r="D32" s="493"/>
      <c r="E32" s="64">
        <v>0</v>
      </c>
      <c r="F32" s="240">
        <v>10</v>
      </c>
      <c r="G32" s="64"/>
      <c r="H32" s="434" t="s">
        <v>898</v>
      </c>
      <c r="I32" s="217"/>
      <c r="J32" s="266" t="s">
        <v>1379</v>
      </c>
      <c r="K32" s="493"/>
      <c r="L32" s="266">
        <v>3</v>
      </c>
      <c r="M32" s="493">
        <f>IF(SUM(L31:L32)&lt;=1,L32,1-SUM(M31:M31))</f>
        <v>0</v>
      </c>
      <c r="N32" s="493">
        <f>IF(SUM(L31:L32)&lt;=10,L32-M32,9-SUM(N31:N31))</f>
        <v>3</v>
      </c>
      <c r="O32" s="493">
        <f>IF(SUM(L31:L32)&lt;=60,L32-M32-N32,50-SUM(O31:O31))</f>
        <v>0</v>
      </c>
      <c r="P32" s="493">
        <f t="shared" si="3"/>
        <v>0</v>
      </c>
      <c r="Q32" s="434" t="s">
        <v>1012</v>
      </c>
      <c r="R32" s="493">
        <v>0.56999999999999995</v>
      </c>
      <c r="S32" s="370"/>
      <c r="T32" s="493"/>
      <c r="U32" s="493"/>
      <c r="V32" s="493"/>
      <c r="W32" s="493"/>
      <c r="X32" s="516"/>
      <c r="Y32" s="72"/>
      <c r="Z32" s="72"/>
      <c r="AA32" s="181"/>
      <c r="AB32" s="240">
        <v>1383369</v>
      </c>
      <c r="AC32" s="240">
        <f>R32*X31*AB32</f>
        <v>18924.48792</v>
      </c>
      <c r="AD32" s="240">
        <f>R32*Y31*AB32</f>
        <v>14193.365939999998</v>
      </c>
      <c r="AE32" s="240">
        <f>R32*Z31*AB32</f>
        <v>8673.7236299999986</v>
      </c>
      <c r="AF32" s="240">
        <f>R32*AA31*AB32</f>
        <v>7885.2032999999992</v>
      </c>
      <c r="AG32" s="266"/>
      <c r="AH32" s="240"/>
      <c r="AI32" s="266"/>
      <c r="AJ32" s="240"/>
      <c r="AK32" s="619">
        <v>0</v>
      </c>
      <c r="AL32" s="240">
        <f t="shared" ref="AL32:AL36" si="36">(M32*AC32)+(N32*AD32)+(O32*AE32)+(P32*AF32)+AK32</f>
        <v>42580.097819999995</v>
      </c>
      <c r="AM32" s="370">
        <v>0</v>
      </c>
      <c r="AN32" s="240"/>
      <c r="AO32" s="240"/>
      <c r="AP32" s="194"/>
      <c r="AQ32" s="194"/>
    </row>
    <row r="33" spans="1:43" ht="14.1" customHeight="1" x14ac:dyDescent="0.25">
      <c r="A33" s="493"/>
      <c r="B33" s="493"/>
      <c r="C33" s="370"/>
      <c r="D33" s="493"/>
      <c r="E33" s="64">
        <v>0</v>
      </c>
      <c r="F33" s="240">
        <v>10</v>
      </c>
      <c r="G33" s="64"/>
      <c r="H33" s="434" t="s">
        <v>898</v>
      </c>
      <c r="I33" s="217"/>
      <c r="J33" s="266" t="s">
        <v>1379</v>
      </c>
      <c r="K33" s="493"/>
      <c r="L33" s="266">
        <v>2</v>
      </c>
      <c r="M33" s="493">
        <f>IF(SUM(L31:L33)&lt;=1,L33,1-SUM(M31:M32))</f>
        <v>0</v>
      </c>
      <c r="N33" s="493">
        <f>IF(SUM(L31:L33)&lt;=10,L33-M33,9-SUM(N31:N32))</f>
        <v>2</v>
      </c>
      <c r="O33" s="493">
        <f>IF(SUM(L31:L33)&lt;=60,L33-M33-N33,50-SUM(O31:O32))</f>
        <v>0</v>
      </c>
      <c r="P33" s="493">
        <f t="shared" si="3"/>
        <v>0</v>
      </c>
      <c r="Q33" s="434" t="s">
        <v>289</v>
      </c>
      <c r="R33" s="493">
        <v>1.35</v>
      </c>
      <c r="S33" s="370"/>
      <c r="T33" s="493"/>
      <c r="U33" s="493"/>
      <c r="V33" s="493"/>
      <c r="W33" s="493"/>
      <c r="X33" s="516"/>
      <c r="Y33" s="72"/>
      <c r="Z33" s="72"/>
      <c r="AA33" s="181"/>
      <c r="AB33" s="240">
        <v>1383369</v>
      </c>
      <c r="AC33" s="240">
        <f>R33*X31*AB33</f>
        <v>44821.155600000006</v>
      </c>
      <c r="AD33" s="240">
        <f>R33*Y31*AB33</f>
        <v>33615.866699999999</v>
      </c>
      <c r="AE33" s="240">
        <f>R33*Z31*AB33</f>
        <v>20543.02965</v>
      </c>
      <c r="AF33" s="240">
        <f>R33*AA31*AB33</f>
        <v>18675.481500000002</v>
      </c>
      <c r="AG33" s="266"/>
      <c r="AH33" s="240"/>
      <c r="AI33" s="266"/>
      <c r="AJ33" s="240"/>
      <c r="AK33" s="619">
        <v>0</v>
      </c>
      <c r="AL33" s="240">
        <f t="shared" si="36"/>
        <v>67231.733399999997</v>
      </c>
      <c r="AM33" s="370">
        <v>0</v>
      </c>
      <c r="AN33" s="240"/>
      <c r="AO33" s="240"/>
      <c r="AP33" s="194"/>
      <c r="AQ33" s="194"/>
    </row>
    <row r="34" spans="1:43" ht="14.1" hidden="1" customHeight="1" x14ac:dyDescent="0.25">
      <c r="A34" s="493"/>
      <c r="B34" s="493"/>
      <c r="C34" s="370"/>
      <c r="D34" s="493"/>
      <c r="E34" s="64">
        <v>0</v>
      </c>
      <c r="F34" s="240">
        <v>10</v>
      </c>
      <c r="G34" s="64"/>
      <c r="H34" s="434" t="s">
        <v>898</v>
      </c>
      <c r="I34" s="217"/>
      <c r="J34" s="266" t="s">
        <v>1379</v>
      </c>
      <c r="K34" s="493"/>
      <c r="L34" s="266">
        <v>0</v>
      </c>
      <c r="M34" s="493">
        <f>IF(SUM(L31:L34)&lt;=1,L34,1-SUM(M31:M33))</f>
        <v>0</v>
      </c>
      <c r="N34" s="493">
        <f>IF(SUM(L31:L34)&lt;=10,L34-M34,9-SUM(N31:N33))</f>
        <v>0</v>
      </c>
      <c r="O34" s="493">
        <f>IF(SUM(L31:L34)&lt;=60,L34-M34-N34,50-SUM(O31:O33))</f>
        <v>0</v>
      </c>
      <c r="P34" s="493">
        <f t="shared" si="3"/>
        <v>0</v>
      </c>
      <c r="Q34" s="434" t="s">
        <v>1012</v>
      </c>
      <c r="R34" s="493">
        <v>0.56999999999999995</v>
      </c>
      <c r="S34" s="370"/>
      <c r="T34" s="493"/>
      <c r="U34" s="493"/>
      <c r="V34" s="493"/>
      <c r="W34" s="493"/>
      <c r="X34" s="516"/>
      <c r="Y34" s="72"/>
      <c r="Z34" s="72"/>
      <c r="AA34" s="181"/>
      <c r="AB34" s="240">
        <v>1383369</v>
      </c>
      <c r="AC34" s="240">
        <f>R34*X31*AB34</f>
        <v>18924.48792</v>
      </c>
      <c r="AD34" s="240">
        <f>R34*Y31*AB34</f>
        <v>14193.365939999998</v>
      </c>
      <c r="AE34" s="240">
        <f>R34*Z31*AB34</f>
        <v>8673.7236299999986</v>
      </c>
      <c r="AF34" s="240">
        <f>R34*AA31*AB34</f>
        <v>7885.2032999999992</v>
      </c>
      <c r="AG34" s="266"/>
      <c r="AH34" s="240"/>
      <c r="AI34" s="266"/>
      <c r="AJ34" s="240"/>
      <c r="AK34" s="619">
        <v>0</v>
      </c>
      <c r="AL34" s="240">
        <f t="shared" si="36"/>
        <v>0</v>
      </c>
      <c r="AM34" s="370">
        <v>0</v>
      </c>
      <c r="AN34" s="240"/>
      <c r="AO34" s="240"/>
      <c r="AP34" s="194"/>
      <c r="AQ34" s="194"/>
    </row>
    <row r="35" spans="1:43" ht="14.1" hidden="1" customHeight="1" x14ac:dyDescent="0.25">
      <c r="A35" s="493">
        <v>13</v>
      </c>
      <c r="B35" s="493" t="s">
        <v>855</v>
      </c>
      <c r="C35" s="370" t="s">
        <v>268</v>
      </c>
      <c r="D35" s="493" t="s">
        <v>630</v>
      </c>
      <c r="E35" s="64">
        <v>0</v>
      </c>
      <c r="F35" s="240">
        <v>1</v>
      </c>
      <c r="G35" s="64"/>
      <c r="H35" s="434"/>
      <c r="I35" s="217"/>
      <c r="J35" s="266" t="s">
        <v>1379</v>
      </c>
      <c r="K35" s="493">
        <f t="shared" ref="K35:K36" si="37">L35</f>
        <v>0</v>
      </c>
      <c r="L35" s="266">
        <v>0</v>
      </c>
      <c r="M35" s="493">
        <f t="shared" ref="M35:M37" si="38">MIN(L35,1)</f>
        <v>0</v>
      </c>
      <c r="N35" s="493">
        <f t="shared" ref="N35:N37" si="39">IF(L35&lt;10,L35-M35,9)</f>
        <v>0</v>
      </c>
      <c r="O35" s="493">
        <f t="shared" ref="O35:O37" si="40">IF(L35&lt;60,L35-M35-N35,50)</f>
        <v>0</v>
      </c>
      <c r="P35" s="493">
        <f t="shared" si="3"/>
        <v>0</v>
      </c>
      <c r="Q35" s="434" t="s">
        <v>1012</v>
      </c>
      <c r="R35" s="493">
        <v>0.56999999999999995</v>
      </c>
      <c r="S35" s="370"/>
      <c r="T35" s="493"/>
      <c r="U35" s="493"/>
      <c r="V35" s="493"/>
      <c r="W35" s="493"/>
      <c r="X35" s="516">
        <v>0</v>
      </c>
      <c r="Y35" s="72">
        <v>0</v>
      </c>
      <c r="Z35" s="72">
        <v>0</v>
      </c>
      <c r="AA35" s="181">
        <v>0</v>
      </c>
      <c r="AB35" s="240">
        <v>1383369</v>
      </c>
      <c r="AC35" s="240">
        <f t="shared" ref="AC35:AC37" si="41">R35*X35*AB35</f>
        <v>0</v>
      </c>
      <c r="AD35" s="240">
        <f t="shared" ref="AD35:AD37" si="42">R35*Y35*AB35</f>
        <v>0</v>
      </c>
      <c r="AE35" s="240">
        <f t="shared" ref="AE35:AE37" si="43">R35*Z35*AB35</f>
        <v>0</v>
      </c>
      <c r="AF35" s="240">
        <f t="shared" ref="AF35:AF37" si="44">R35*AA35*AB35</f>
        <v>0</v>
      </c>
      <c r="AG35" s="266">
        <v>0</v>
      </c>
      <c r="AH35" s="240">
        <f>ROUND(AG35*AJ3,0)</f>
        <v>0</v>
      </c>
      <c r="AI35" s="266">
        <v>0</v>
      </c>
      <c r="AJ35" s="240">
        <f>ROUND(AI35*AJ3,0)</f>
        <v>0</v>
      </c>
      <c r="AK35" s="619">
        <v>0</v>
      </c>
      <c r="AL35" s="240">
        <f t="shared" si="36"/>
        <v>0</v>
      </c>
      <c r="AM35" s="370">
        <v>1</v>
      </c>
      <c r="AN35" s="240">
        <f t="shared" ref="AN35:AN37" si="45">AL35*AM35</f>
        <v>0</v>
      </c>
      <c r="AO35" s="240">
        <f t="shared" ref="AO35:AO37" si="46">(AN35/F35)+AH35+AJ35</f>
        <v>0</v>
      </c>
      <c r="AP35" s="194"/>
      <c r="AQ35" s="194"/>
    </row>
    <row r="36" spans="1:43" ht="14.1" hidden="1" customHeight="1" x14ac:dyDescent="0.25">
      <c r="A36" s="493">
        <v>14</v>
      </c>
      <c r="B36" s="493" t="s">
        <v>1077</v>
      </c>
      <c r="C36" s="370" t="s">
        <v>1274</v>
      </c>
      <c r="D36" s="493" t="s">
        <v>630</v>
      </c>
      <c r="E36" s="64">
        <v>0</v>
      </c>
      <c r="F36" s="240">
        <v>1</v>
      </c>
      <c r="G36" s="64"/>
      <c r="H36" s="434"/>
      <c r="I36" s="217"/>
      <c r="J36" s="266" t="s">
        <v>1379</v>
      </c>
      <c r="K36" s="493">
        <f t="shared" si="37"/>
        <v>0</v>
      </c>
      <c r="L36" s="266">
        <v>0</v>
      </c>
      <c r="M36" s="493">
        <f t="shared" si="38"/>
        <v>0</v>
      </c>
      <c r="N36" s="493">
        <f t="shared" si="39"/>
        <v>0</v>
      </c>
      <c r="O36" s="493">
        <f t="shared" si="40"/>
        <v>0</v>
      </c>
      <c r="P36" s="493">
        <f t="shared" si="3"/>
        <v>0</v>
      </c>
      <c r="Q36" s="434" t="s">
        <v>1012</v>
      </c>
      <c r="R36" s="493">
        <v>0.56999999999999995</v>
      </c>
      <c r="S36" s="370"/>
      <c r="T36" s="493"/>
      <c r="U36" s="493"/>
      <c r="V36" s="493"/>
      <c r="W36" s="493"/>
      <c r="X36" s="516">
        <v>0</v>
      </c>
      <c r="Y36" s="72">
        <v>0</v>
      </c>
      <c r="Z36" s="72">
        <v>0</v>
      </c>
      <c r="AA36" s="181">
        <v>0</v>
      </c>
      <c r="AB36" s="240">
        <v>1383369</v>
      </c>
      <c r="AC36" s="240">
        <f t="shared" si="41"/>
        <v>0</v>
      </c>
      <c r="AD36" s="240">
        <f t="shared" si="42"/>
        <v>0</v>
      </c>
      <c r="AE36" s="240">
        <f t="shared" si="43"/>
        <v>0</v>
      </c>
      <c r="AF36" s="240">
        <f t="shared" si="44"/>
        <v>0</v>
      </c>
      <c r="AG36" s="266">
        <v>0</v>
      </c>
      <c r="AH36" s="240">
        <f>ROUND(AG36*AJ3,0)</f>
        <v>0</v>
      </c>
      <c r="AI36" s="266">
        <v>0</v>
      </c>
      <c r="AJ36" s="240">
        <f>ROUND(AI36*AJ3,0)</f>
        <v>0</v>
      </c>
      <c r="AK36" s="619">
        <v>0</v>
      </c>
      <c r="AL36" s="240">
        <f t="shared" si="36"/>
        <v>0</v>
      </c>
      <c r="AM36" s="370">
        <v>1</v>
      </c>
      <c r="AN36" s="240">
        <f t="shared" si="45"/>
        <v>0</v>
      </c>
      <c r="AO36" s="240">
        <f t="shared" si="46"/>
        <v>0</v>
      </c>
      <c r="AP36" s="194"/>
      <c r="AQ36" s="194"/>
    </row>
    <row r="37" spans="1:43" ht="14.1" hidden="1" customHeight="1" x14ac:dyDescent="0.25">
      <c r="A37" s="493">
        <v>15</v>
      </c>
      <c r="B37" s="493" t="s">
        <v>461</v>
      </c>
      <c r="C37" s="370" t="s">
        <v>784</v>
      </c>
      <c r="D37" s="493" t="s">
        <v>838</v>
      </c>
      <c r="E37" s="64">
        <v>1E-3</v>
      </c>
      <c r="F37" s="240">
        <v>10000</v>
      </c>
      <c r="G37" s="64"/>
      <c r="H37" s="434"/>
      <c r="I37" s="217"/>
      <c r="J37" s="266" t="s">
        <v>1379</v>
      </c>
      <c r="K37" s="493">
        <f>L39+L38+L37</f>
        <v>6</v>
      </c>
      <c r="L37" s="266">
        <v>1</v>
      </c>
      <c r="M37" s="493">
        <f t="shared" si="38"/>
        <v>1</v>
      </c>
      <c r="N37" s="493">
        <f t="shared" si="39"/>
        <v>0</v>
      </c>
      <c r="O37" s="493">
        <f t="shared" si="40"/>
        <v>0</v>
      </c>
      <c r="P37" s="493">
        <f t="shared" si="3"/>
        <v>0</v>
      </c>
      <c r="Q37" s="434" t="s">
        <v>1012</v>
      </c>
      <c r="R37" s="493">
        <v>0.56999999999999995</v>
      </c>
      <c r="S37" s="370"/>
      <c r="T37" s="493"/>
      <c r="U37" s="493"/>
      <c r="V37" s="493"/>
      <c r="W37" s="493"/>
      <c r="X37" s="516">
        <v>0</v>
      </c>
      <c r="Y37" s="72">
        <v>0</v>
      </c>
      <c r="Z37" s="72">
        <v>0</v>
      </c>
      <c r="AA37" s="181">
        <v>0</v>
      </c>
      <c r="AB37" s="240">
        <v>1383369</v>
      </c>
      <c r="AC37" s="240">
        <f t="shared" si="41"/>
        <v>0</v>
      </c>
      <c r="AD37" s="240">
        <f t="shared" si="42"/>
        <v>0</v>
      </c>
      <c r="AE37" s="240">
        <f t="shared" si="43"/>
        <v>0</v>
      </c>
      <c r="AF37" s="240">
        <f t="shared" si="44"/>
        <v>0</v>
      </c>
      <c r="AG37" s="266">
        <v>0</v>
      </c>
      <c r="AH37" s="240">
        <f>ROUND(AG37*AJ3,0)</f>
        <v>0</v>
      </c>
      <c r="AI37" s="266">
        <v>0</v>
      </c>
      <c r="AJ37" s="240">
        <f>ROUND(AI37*AJ3,0)</f>
        <v>0</v>
      </c>
      <c r="AK37" s="619">
        <v>0</v>
      </c>
      <c r="AL37" s="240">
        <f>(M37*AC37)+(N37*AD37)+(O37*AE37)+(P37*AF37)+AK37+AL38+AL39</f>
        <v>0</v>
      </c>
      <c r="AM37" s="370">
        <v>1</v>
      </c>
      <c r="AN37" s="240">
        <f t="shared" si="45"/>
        <v>0</v>
      </c>
      <c r="AO37" s="240">
        <f t="shared" si="46"/>
        <v>0</v>
      </c>
      <c r="AP37" s="194"/>
      <c r="AQ37" s="194"/>
    </row>
    <row r="38" spans="1:43" ht="14.1" hidden="1" customHeight="1" x14ac:dyDescent="0.25">
      <c r="A38" s="493"/>
      <c r="B38" s="493"/>
      <c r="C38" s="370"/>
      <c r="D38" s="493"/>
      <c r="E38" s="64">
        <v>1E-3</v>
      </c>
      <c r="F38" s="240">
        <v>10000</v>
      </c>
      <c r="G38" s="64"/>
      <c r="H38" s="434"/>
      <c r="I38" s="217"/>
      <c r="J38" s="266" t="s">
        <v>1379</v>
      </c>
      <c r="K38" s="493"/>
      <c r="L38" s="266">
        <v>3</v>
      </c>
      <c r="M38" s="493">
        <f>IF(SUM(L37:L38)&lt;=1,L38,1-SUM(M37:M37))</f>
        <v>0</v>
      </c>
      <c r="N38" s="493">
        <f>IF(SUM(L37:L38)&lt;=10,L38-M38,9-SUM(N37:N37))</f>
        <v>3</v>
      </c>
      <c r="O38" s="493">
        <f>IF(SUM(L37:L38)&lt;=60,L38-M38-N38,50-SUM(O37:O37))</f>
        <v>0</v>
      </c>
      <c r="P38" s="493">
        <f t="shared" si="3"/>
        <v>0</v>
      </c>
      <c r="Q38" s="434" t="s">
        <v>1012</v>
      </c>
      <c r="R38" s="493">
        <v>0.56999999999999995</v>
      </c>
      <c r="S38" s="370"/>
      <c r="T38" s="493"/>
      <c r="U38" s="493"/>
      <c r="V38" s="493"/>
      <c r="W38" s="493"/>
      <c r="X38" s="516"/>
      <c r="Y38" s="72"/>
      <c r="Z38" s="72"/>
      <c r="AA38" s="181"/>
      <c r="AB38" s="240">
        <v>1383369</v>
      </c>
      <c r="AC38" s="240">
        <f>R38*X37*AB38</f>
        <v>0</v>
      </c>
      <c r="AD38" s="240">
        <f>R38*Y37*AB38</f>
        <v>0</v>
      </c>
      <c r="AE38" s="240">
        <f>R38*Z37*AB38</f>
        <v>0</v>
      </c>
      <c r="AF38" s="240">
        <f>R38*AA37*AB38</f>
        <v>0</v>
      </c>
      <c r="AG38" s="266"/>
      <c r="AH38" s="240"/>
      <c r="AI38" s="266"/>
      <c r="AJ38" s="240"/>
      <c r="AK38" s="619">
        <v>0</v>
      </c>
      <c r="AL38" s="240">
        <f t="shared" ref="AL38:AL40" si="47">(M38*AC38)+(N38*AD38)+(O38*AE38)+(P38*AF38)+AK38</f>
        <v>0</v>
      </c>
      <c r="AM38" s="370">
        <v>0</v>
      </c>
      <c r="AN38" s="240"/>
      <c r="AO38" s="240"/>
      <c r="AP38" s="194"/>
      <c r="AQ38" s="194"/>
    </row>
    <row r="39" spans="1:43" ht="14.1" hidden="1" customHeight="1" x14ac:dyDescent="0.25">
      <c r="A39" s="493"/>
      <c r="B39" s="493"/>
      <c r="C39" s="370"/>
      <c r="D39" s="493"/>
      <c r="E39" s="64">
        <v>1E-3</v>
      </c>
      <c r="F39" s="240">
        <v>10000</v>
      </c>
      <c r="G39" s="64"/>
      <c r="H39" s="434"/>
      <c r="I39" s="217"/>
      <c r="J39" s="266" t="s">
        <v>1379</v>
      </c>
      <c r="K39" s="493"/>
      <c r="L39" s="266">
        <v>2</v>
      </c>
      <c r="M39" s="493">
        <f>IF(SUM(L37:L39)&lt;=1,L39,1-SUM(M37:M38))</f>
        <v>0</v>
      </c>
      <c r="N39" s="493">
        <f>IF(SUM(L37:L39)&lt;=10,L39-M39,9-SUM(N37:N38))</f>
        <v>2</v>
      </c>
      <c r="O39" s="493">
        <f>IF(SUM(L37:L39)&lt;=60,L39-M39-N39,50-SUM(O37:O38))</f>
        <v>0</v>
      </c>
      <c r="P39" s="493">
        <f t="shared" si="3"/>
        <v>0</v>
      </c>
      <c r="Q39" s="434" t="s">
        <v>289</v>
      </c>
      <c r="R39" s="493">
        <v>1.35</v>
      </c>
      <c r="S39" s="370"/>
      <c r="T39" s="493"/>
      <c r="U39" s="493"/>
      <c r="V39" s="493"/>
      <c r="W39" s="493"/>
      <c r="X39" s="516"/>
      <c r="Y39" s="72"/>
      <c r="Z39" s="72"/>
      <c r="AA39" s="181"/>
      <c r="AB39" s="240">
        <v>1383369</v>
      </c>
      <c r="AC39" s="240">
        <f>R39*X37*AB39</f>
        <v>0</v>
      </c>
      <c r="AD39" s="240">
        <f>R39*Y37*AB39</f>
        <v>0</v>
      </c>
      <c r="AE39" s="240">
        <f>R39*Z37*AB39</f>
        <v>0</v>
      </c>
      <c r="AF39" s="240">
        <f>R39*AA37*AB39</f>
        <v>0</v>
      </c>
      <c r="AG39" s="266"/>
      <c r="AH39" s="240"/>
      <c r="AI39" s="266"/>
      <c r="AJ39" s="240"/>
      <c r="AK39" s="619">
        <v>0</v>
      </c>
      <c r="AL39" s="240">
        <f t="shared" si="47"/>
        <v>0</v>
      </c>
      <c r="AM39" s="370">
        <v>0</v>
      </c>
      <c r="AN39" s="240"/>
      <c r="AO39" s="240"/>
      <c r="AP39" s="194"/>
      <c r="AQ39" s="194"/>
    </row>
    <row r="40" spans="1:43" ht="14.1" hidden="1" customHeight="1" x14ac:dyDescent="0.25">
      <c r="A40" s="493">
        <v>16</v>
      </c>
      <c r="B40" s="493" t="s">
        <v>35</v>
      </c>
      <c r="C40" s="370" t="s">
        <v>946</v>
      </c>
      <c r="D40" s="493" t="s">
        <v>594</v>
      </c>
      <c r="E40" s="64">
        <v>0</v>
      </c>
      <c r="F40" s="240">
        <v>1</v>
      </c>
      <c r="G40" s="64"/>
      <c r="H40" s="434"/>
      <c r="I40" s="217"/>
      <c r="J40" s="266" t="s">
        <v>1379</v>
      </c>
      <c r="K40" s="493">
        <f>L40</f>
        <v>0</v>
      </c>
      <c r="L40" s="266">
        <v>0</v>
      </c>
      <c r="M40" s="493">
        <f t="shared" ref="M40:M41" si="48">MIN(L40,1)</f>
        <v>0</v>
      </c>
      <c r="N40" s="493">
        <f t="shared" ref="N40:N41" si="49">IF(L40&lt;10,L40-M40,9)</f>
        <v>0</v>
      </c>
      <c r="O40" s="493">
        <f t="shared" ref="O40:O41" si="50">IF(L40&lt;60,L40-M40-N40,50)</f>
        <v>0</v>
      </c>
      <c r="P40" s="493">
        <f t="shared" si="3"/>
        <v>0</v>
      </c>
      <c r="Q40" s="434" t="s">
        <v>1012</v>
      </c>
      <c r="R40" s="493">
        <v>0.56999999999999995</v>
      </c>
      <c r="S40" s="370"/>
      <c r="T40" s="493"/>
      <c r="U40" s="493"/>
      <c r="V40" s="493"/>
      <c r="W40" s="493"/>
      <c r="X40" s="516">
        <v>0</v>
      </c>
      <c r="Y40" s="72">
        <v>0</v>
      </c>
      <c r="Z40" s="72">
        <v>0</v>
      </c>
      <c r="AA40" s="181">
        <v>0</v>
      </c>
      <c r="AB40" s="240">
        <v>1383369</v>
      </c>
      <c r="AC40" s="240">
        <f t="shared" ref="AC40:AC41" si="51">R40*X40*AB40</f>
        <v>0</v>
      </c>
      <c r="AD40" s="240">
        <f t="shared" ref="AD40:AD41" si="52">R40*Y40*AB40</f>
        <v>0</v>
      </c>
      <c r="AE40" s="240">
        <f t="shared" ref="AE40:AE41" si="53">R40*Z40*AB40</f>
        <v>0</v>
      </c>
      <c r="AF40" s="240">
        <f t="shared" ref="AF40:AF41" si="54">R40*AA40*AB40</f>
        <v>0</v>
      </c>
      <c r="AG40" s="266">
        <v>0</v>
      </c>
      <c r="AH40" s="240">
        <f>ROUND(AG40*AJ3,0)</f>
        <v>0</v>
      </c>
      <c r="AI40" s="266">
        <v>0</v>
      </c>
      <c r="AJ40" s="240">
        <f>ROUND(AI40*AJ3,0)</f>
        <v>0</v>
      </c>
      <c r="AK40" s="619">
        <v>0</v>
      </c>
      <c r="AL40" s="240">
        <f t="shared" si="47"/>
        <v>0</v>
      </c>
      <c r="AM40" s="370">
        <v>1</v>
      </c>
      <c r="AN40" s="240">
        <f t="shared" ref="AN40:AN41" si="55">AL40*AM40</f>
        <v>0</v>
      </c>
      <c r="AO40" s="240">
        <f t="shared" ref="AO40:AO41" si="56">(AN40/F40)+AH40+AJ40</f>
        <v>0</v>
      </c>
      <c r="AP40" s="194"/>
      <c r="AQ40" s="194"/>
    </row>
    <row r="41" spans="1:43" ht="14.1" hidden="1" customHeight="1" x14ac:dyDescent="0.25">
      <c r="A41" s="493">
        <v>17</v>
      </c>
      <c r="B41" s="493" t="s">
        <v>104</v>
      </c>
      <c r="C41" s="370" t="s">
        <v>283</v>
      </c>
      <c r="D41" s="493" t="s">
        <v>838</v>
      </c>
      <c r="E41" s="64">
        <v>1E-3</v>
      </c>
      <c r="F41" s="240">
        <v>10000</v>
      </c>
      <c r="G41" s="64"/>
      <c r="H41" s="434" t="s">
        <v>920</v>
      </c>
      <c r="I41" s="217"/>
      <c r="J41" s="266" t="s">
        <v>1379</v>
      </c>
      <c r="K41" s="493">
        <f>L43+L42+L41</f>
        <v>6</v>
      </c>
      <c r="L41" s="266">
        <v>1</v>
      </c>
      <c r="M41" s="493">
        <f t="shared" si="48"/>
        <v>1</v>
      </c>
      <c r="N41" s="493">
        <f t="shared" si="49"/>
        <v>0</v>
      </c>
      <c r="O41" s="493">
        <f t="shared" si="50"/>
        <v>0</v>
      </c>
      <c r="P41" s="493">
        <f t="shared" si="3"/>
        <v>0</v>
      </c>
      <c r="Q41" s="434" t="s">
        <v>1012</v>
      </c>
      <c r="R41" s="493">
        <v>0.56999999999999995</v>
      </c>
      <c r="S41" s="370"/>
      <c r="T41" s="493"/>
      <c r="U41" s="493"/>
      <c r="V41" s="493"/>
      <c r="W41" s="493"/>
      <c r="X41" s="516">
        <v>1.9E-2</v>
      </c>
      <c r="Y41" s="72">
        <v>1.4E-2</v>
      </c>
      <c r="Z41" s="72">
        <v>1.2E-2</v>
      </c>
      <c r="AA41" s="181">
        <v>1.14E-2</v>
      </c>
      <c r="AB41" s="240">
        <v>1383369</v>
      </c>
      <c r="AC41" s="240">
        <f t="shared" si="51"/>
        <v>14981.886269999999</v>
      </c>
      <c r="AD41" s="240">
        <f t="shared" si="52"/>
        <v>11039.284619999999</v>
      </c>
      <c r="AE41" s="240">
        <f t="shared" si="53"/>
        <v>9462.2439599999998</v>
      </c>
      <c r="AF41" s="240">
        <f t="shared" si="54"/>
        <v>8989.1317619999991</v>
      </c>
      <c r="AG41" s="266">
        <v>0</v>
      </c>
      <c r="AH41" s="240">
        <f>ROUND(AG41*AJ3,0)</f>
        <v>0</v>
      </c>
      <c r="AI41" s="266">
        <v>0</v>
      </c>
      <c r="AJ41" s="240">
        <f>ROUND(AI41*AJ3,0)</f>
        <v>0</v>
      </c>
      <c r="AK41" s="619">
        <v>0</v>
      </c>
      <c r="AL41" s="240">
        <f>(M41*AC41)+(N41*AD41)+(O41*AE41)+(P41*AF41)+AK41+AL42+AL43</f>
        <v>100391.08833</v>
      </c>
      <c r="AM41" s="370">
        <v>1</v>
      </c>
      <c r="AN41" s="240">
        <f t="shared" si="55"/>
        <v>100391.08833</v>
      </c>
      <c r="AO41" s="240">
        <f t="shared" si="56"/>
        <v>10.039108833</v>
      </c>
      <c r="AP41" s="194"/>
      <c r="AQ41" s="194"/>
    </row>
    <row r="42" spans="1:43" ht="14.1" hidden="1" customHeight="1" x14ac:dyDescent="0.25">
      <c r="A42" s="493"/>
      <c r="B42" s="493"/>
      <c r="C42" s="370"/>
      <c r="D42" s="493"/>
      <c r="E42" s="64">
        <v>1E-3</v>
      </c>
      <c r="F42" s="240">
        <v>10000</v>
      </c>
      <c r="G42" s="64"/>
      <c r="H42" s="434" t="s">
        <v>920</v>
      </c>
      <c r="I42" s="217"/>
      <c r="J42" s="266" t="s">
        <v>1379</v>
      </c>
      <c r="K42" s="493"/>
      <c r="L42" s="266">
        <v>3</v>
      </c>
      <c r="M42" s="493">
        <f>IF(SUM(L41:L42)&lt;=1,L42,1-SUM(M41:M41))</f>
        <v>0</v>
      </c>
      <c r="N42" s="493">
        <f>IF(SUM(L41:L42)&lt;=10,L42-M42,9-SUM(N41:N41))</f>
        <v>3</v>
      </c>
      <c r="O42" s="493">
        <f>IF(SUM(L41:L42)&lt;=60,L42-M42-N42,50-SUM(O41:O41))</f>
        <v>0</v>
      </c>
      <c r="P42" s="493">
        <f t="shared" si="3"/>
        <v>0</v>
      </c>
      <c r="Q42" s="434" t="s">
        <v>1012</v>
      </c>
      <c r="R42" s="493">
        <v>0.56999999999999995</v>
      </c>
      <c r="S42" s="370"/>
      <c r="T42" s="493"/>
      <c r="U42" s="493"/>
      <c r="V42" s="493"/>
      <c r="W42" s="493"/>
      <c r="X42" s="516"/>
      <c r="Y42" s="72"/>
      <c r="Z42" s="72"/>
      <c r="AA42" s="181"/>
      <c r="AB42" s="240">
        <v>1383369</v>
      </c>
      <c r="AC42" s="240">
        <f>R42*X41*AB42</f>
        <v>14981.886269999999</v>
      </c>
      <c r="AD42" s="240">
        <f>R42*Y41*AB42</f>
        <v>11039.284619999999</v>
      </c>
      <c r="AE42" s="240">
        <f>R42*Z41*AB42</f>
        <v>9462.2439599999998</v>
      </c>
      <c r="AF42" s="240">
        <f>R42*AA41*AB42</f>
        <v>8989.1317619999991</v>
      </c>
      <c r="AG42" s="266"/>
      <c r="AH42" s="240"/>
      <c r="AI42" s="266"/>
      <c r="AJ42" s="240"/>
      <c r="AK42" s="619">
        <v>0</v>
      </c>
      <c r="AL42" s="240">
        <f t="shared" ref="AL42:AL43" si="57">(M42*AC42)+(N42*AD42)+(O42*AE42)+(P42*AF42)+AK42</f>
        <v>33117.853859999996</v>
      </c>
      <c r="AM42" s="370">
        <v>0</v>
      </c>
      <c r="AN42" s="240"/>
      <c r="AO42" s="240"/>
      <c r="AP42" s="194"/>
      <c r="AQ42" s="194"/>
    </row>
    <row r="43" spans="1:43" ht="14.1" hidden="1" customHeight="1" x14ac:dyDescent="0.25">
      <c r="A43" s="493"/>
      <c r="B43" s="493"/>
      <c r="C43" s="370"/>
      <c r="D43" s="493"/>
      <c r="E43" s="64">
        <v>1E-3</v>
      </c>
      <c r="F43" s="240">
        <v>10000</v>
      </c>
      <c r="G43" s="64"/>
      <c r="H43" s="434" t="s">
        <v>920</v>
      </c>
      <c r="I43" s="217"/>
      <c r="J43" s="266" t="s">
        <v>1379</v>
      </c>
      <c r="K43" s="493"/>
      <c r="L43" s="266">
        <v>2</v>
      </c>
      <c r="M43" s="493">
        <f>IF(SUM(L41:L43)&lt;=1,L43,1-SUM(M41:M42))</f>
        <v>0</v>
      </c>
      <c r="N43" s="493">
        <f>IF(SUM(L41:L43)&lt;=10,L43-M43,9-SUM(N41:N42))</f>
        <v>2</v>
      </c>
      <c r="O43" s="493">
        <f>IF(SUM(L41:L43)&lt;=60,L43-M43-N43,50-SUM(O41:O42))</f>
        <v>0</v>
      </c>
      <c r="P43" s="493">
        <f t="shared" si="3"/>
        <v>0</v>
      </c>
      <c r="Q43" s="434" t="s">
        <v>289</v>
      </c>
      <c r="R43" s="493">
        <v>1.35</v>
      </c>
      <c r="S43" s="370"/>
      <c r="T43" s="493"/>
      <c r="U43" s="493"/>
      <c r="V43" s="493"/>
      <c r="W43" s="493"/>
      <c r="X43" s="516"/>
      <c r="Y43" s="72"/>
      <c r="Z43" s="72"/>
      <c r="AA43" s="181"/>
      <c r="AB43" s="240">
        <v>1383369</v>
      </c>
      <c r="AC43" s="240">
        <f>R43*X41*AB43</f>
        <v>35483.414850000001</v>
      </c>
      <c r="AD43" s="240">
        <f>R43*Y41*AB43</f>
        <v>26145.6741</v>
      </c>
      <c r="AE43" s="240">
        <f>R43*Z41*AB43</f>
        <v>22410.577800000003</v>
      </c>
      <c r="AF43" s="240">
        <f>R43*AA41*AB43</f>
        <v>21290.048910000001</v>
      </c>
      <c r="AG43" s="266"/>
      <c r="AH43" s="240"/>
      <c r="AI43" s="266"/>
      <c r="AJ43" s="240"/>
      <c r="AK43" s="619">
        <v>0</v>
      </c>
      <c r="AL43" s="240">
        <f t="shared" si="57"/>
        <v>52291.3482</v>
      </c>
      <c r="AM43" s="370">
        <v>0</v>
      </c>
      <c r="AN43" s="240"/>
      <c r="AO43" s="240"/>
      <c r="AP43" s="194"/>
      <c r="AQ43" s="194"/>
    </row>
    <row r="44" spans="1:43" ht="14.1" hidden="1" customHeight="1" x14ac:dyDescent="0.25">
      <c r="A44" s="493">
        <v>18</v>
      </c>
      <c r="B44" s="493" t="s">
        <v>316</v>
      </c>
      <c r="C44" s="370" t="s">
        <v>1216</v>
      </c>
      <c r="D44" s="493" t="s">
        <v>838</v>
      </c>
      <c r="E44" s="64">
        <v>1E-3</v>
      </c>
      <c r="F44" s="240">
        <v>10000</v>
      </c>
      <c r="G44" s="64"/>
      <c r="H44" s="434" t="s">
        <v>920</v>
      </c>
      <c r="I44" s="217"/>
      <c r="J44" s="266" t="s">
        <v>1379</v>
      </c>
      <c r="K44" s="493">
        <f>L51+L50+L49+L48+L47+L46+L45+L44</f>
        <v>143</v>
      </c>
      <c r="L44" s="266">
        <v>1</v>
      </c>
      <c r="M44" s="493">
        <f>MIN(L44,1)</f>
        <v>1</v>
      </c>
      <c r="N44" s="493">
        <f>IF(L44&lt;10,L44-M44,9)</f>
        <v>0</v>
      </c>
      <c r="O44" s="493">
        <f>IF(L44&lt;60,L44-M44-N44,50)</f>
        <v>0</v>
      </c>
      <c r="P44" s="493">
        <f t="shared" si="3"/>
        <v>0</v>
      </c>
      <c r="Q44" s="434" t="s">
        <v>841</v>
      </c>
      <c r="R44" s="493">
        <v>0.68</v>
      </c>
      <c r="S44" s="370"/>
      <c r="T44" s="493"/>
      <c r="U44" s="493"/>
      <c r="V44" s="493"/>
      <c r="W44" s="493"/>
      <c r="X44" s="516">
        <v>1.9E-2</v>
      </c>
      <c r="Y44" s="72">
        <v>1.4E-2</v>
      </c>
      <c r="Z44" s="72">
        <v>1.2E-2</v>
      </c>
      <c r="AA44" s="181">
        <v>1.14E-2</v>
      </c>
      <c r="AB44" s="240">
        <v>1383369</v>
      </c>
      <c r="AC44" s="240">
        <f>R44*X44*AB44</f>
        <v>17873.127480000003</v>
      </c>
      <c r="AD44" s="240">
        <f>R44*Y44*AB44</f>
        <v>13169.67288</v>
      </c>
      <c r="AE44" s="240">
        <f>R44*Z44*AB44</f>
        <v>11288.29104</v>
      </c>
      <c r="AF44" s="240">
        <f>R44*AA44*AB44</f>
        <v>10723.876488000002</v>
      </c>
      <c r="AG44" s="266">
        <v>0</v>
      </c>
      <c r="AH44" s="240">
        <f>ROUND(AG44*AJ3,0)</f>
        <v>0</v>
      </c>
      <c r="AI44" s="266">
        <v>0</v>
      </c>
      <c r="AJ44" s="240">
        <f>ROUND(AI44*AJ3,0)</f>
        <v>0</v>
      </c>
      <c r="AK44" s="619">
        <v>0</v>
      </c>
      <c r="AL44" s="240">
        <f>(M44*AC44)+(N44*AD44)+(O44*AE44)+(P44*AF44)+AK44+AL45+AL46+AL47+AL48+AL49+AL50+AL51</f>
        <v>1732689.0396660001</v>
      </c>
      <c r="AM44" s="370">
        <v>1</v>
      </c>
      <c r="AN44" s="240">
        <f>AL44*AM44</f>
        <v>1732689.0396660001</v>
      </c>
      <c r="AO44" s="240">
        <f>(AN44/F44)+AH44+AJ44</f>
        <v>173.26890396659999</v>
      </c>
      <c r="AP44" s="194"/>
      <c r="AQ44" s="194"/>
    </row>
    <row r="45" spans="1:43" ht="14.1" hidden="1" customHeight="1" x14ac:dyDescent="0.25">
      <c r="A45" s="493"/>
      <c r="B45" s="493"/>
      <c r="C45" s="370"/>
      <c r="D45" s="493"/>
      <c r="E45" s="64">
        <v>1E-3</v>
      </c>
      <c r="F45" s="240">
        <v>10000</v>
      </c>
      <c r="G45" s="64"/>
      <c r="H45" s="434" t="s">
        <v>920</v>
      </c>
      <c r="I45" s="217"/>
      <c r="J45" s="266" t="s">
        <v>1379</v>
      </c>
      <c r="K45" s="493"/>
      <c r="L45" s="266">
        <v>9</v>
      </c>
      <c r="M45" s="493">
        <f>IF(SUM(L44:L45)&lt;=1,L45,1-SUM(M44:M44))</f>
        <v>0</v>
      </c>
      <c r="N45" s="493">
        <f>IF(SUM(L44:L45)&lt;=10,L45-M45,9-SUM(N44:N44))</f>
        <v>9</v>
      </c>
      <c r="O45" s="493">
        <f>IF(SUM(L44:L45)&lt;=60,L45-M45-N45,50-SUM(O44:O44))</f>
        <v>0</v>
      </c>
      <c r="P45" s="493">
        <f t="shared" si="3"/>
        <v>0</v>
      </c>
      <c r="Q45" s="434" t="s">
        <v>841</v>
      </c>
      <c r="R45" s="493">
        <v>0.68</v>
      </c>
      <c r="S45" s="370"/>
      <c r="T45" s="493"/>
      <c r="U45" s="493"/>
      <c r="V45" s="493"/>
      <c r="W45" s="493"/>
      <c r="X45" s="516"/>
      <c r="Y45" s="72"/>
      <c r="Z45" s="72"/>
      <c r="AA45" s="181"/>
      <c r="AB45" s="240">
        <v>1383369</v>
      </c>
      <c r="AC45" s="240">
        <f>R45*X44*AB45</f>
        <v>17873.127480000003</v>
      </c>
      <c r="AD45" s="240">
        <f>R45*Y44*AB45</f>
        <v>13169.67288</v>
      </c>
      <c r="AE45" s="240">
        <f>R45*Z44*AB45</f>
        <v>11288.29104</v>
      </c>
      <c r="AF45" s="240">
        <f>R45*AA44*AB45</f>
        <v>10723.876488000002</v>
      </c>
      <c r="AG45" s="266"/>
      <c r="AH45" s="240"/>
      <c r="AI45" s="266"/>
      <c r="AJ45" s="240"/>
      <c r="AK45" s="619">
        <v>0</v>
      </c>
      <c r="AL45" s="240">
        <f t="shared" ref="AL45:AL57" si="58">(M45*AC45)+(N45*AD45)+(O45*AE45)+(P45*AF45)+AK45</f>
        <v>118527.05592</v>
      </c>
      <c r="AM45" s="370">
        <v>0</v>
      </c>
      <c r="AN45" s="240"/>
      <c r="AO45" s="240"/>
      <c r="AP45" s="194"/>
      <c r="AQ45" s="194"/>
    </row>
    <row r="46" spans="1:43" ht="14.1" hidden="1" customHeight="1" x14ac:dyDescent="0.25">
      <c r="A46" s="493"/>
      <c r="B46" s="493"/>
      <c r="C46" s="370"/>
      <c r="D46" s="493"/>
      <c r="E46" s="64">
        <v>1E-3</v>
      </c>
      <c r="F46" s="240">
        <v>10000</v>
      </c>
      <c r="G46" s="64"/>
      <c r="H46" s="434" t="s">
        <v>920</v>
      </c>
      <c r="I46" s="217"/>
      <c r="J46" s="266" t="s">
        <v>1379</v>
      </c>
      <c r="K46" s="493"/>
      <c r="L46" s="266">
        <v>23</v>
      </c>
      <c r="M46" s="493">
        <f>IF(SUM(L44:L46)&lt;=1,L46,1-SUM(M44:M45))</f>
        <v>0</v>
      </c>
      <c r="N46" s="493">
        <f>IF(SUM(L44:L46)&lt;=10,L46-M46,9-SUM(N44:N45))</f>
        <v>0</v>
      </c>
      <c r="O46" s="493">
        <f>IF(SUM(L44:L46)&lt;=60,L46-M46-N46,50-SUM(O44:O45))</f>
        <v>23</v>
      </c>
      <c r="P46" s="493">
        <f t="shared" si="3"/>
        <v>0</v>
      </c>
      <c r="Q46" s="434" t="s">
        <v>841</v>
      </c>
      <c r="R46" s="493">
        <v>0.68</v>
      </c>
      <c r="S46" s="370"/>
      <c r="T46" s="493"/>
      <c r="U46" s="493"/>
      <c r="V46" s="493"/>
      <c r="W46" s="493"/>
      <c r="X46" s="516"/>
      <c r="Y46" s="72"/>
      <c r="Z46" s="72"/>
      <c r="AA46" s="181"/>
      <c r="AB46" s="240">
        <v>1383369</v>
      </c>
      <c r="AC46" s="240">
        <f>R46*X44*AB46</f>
        <v>17873.127480000003</v>
      </c>
      <c r="AD46" s="240">
        <f>R46*Y44*AB46</f>
        <v>13169.67288</v>
      </c>
      <c r="AE46" s="240">
        <f>R46*Z44*AB46</f>
        <v>11288.29104</v>
      </c>
      <c r="AF46" s="240">
        <f>R46*AA44*AB46</f>
        <v>10723.876488000002</v>
      </c>
      <c r="AG46" s="266"/>
      <c r="AH46" s="240"/>
      <c r="AI46" s="266"/>
      <c r="AJ46" s="240"/>
      <c r="AK46" s="619">
        <v>0</v>
      </c>
      <c r="AL46" s="240">
        <f t="shared" si="58"/>
        <v>259630.69391999999</v>
      </c>
      <c r="AM46" s="370">
        <v>0</v>
      </c>
      <c r="AN46" s="240"/>
      <c r="AO46" s="240"/>
      <c r="AP46" s="194"/>
      <c r="AQ46" s="194"/>
    </row>
    <row r="47" spans="1:43" ht="14.1" hidden="1" customHeight="1" x14ac:dyDescent="0.25">
      <c r="A47" s="493"/>
      <c r="B47" s="493"/>
      <c r="C47" s="370"/>
      <c r="D47" s="493"/>
      <c r="E47" s="64">
        <v>1E-3</v>
      </c>
      <c r="F47" s="240">
        <v>10000</v>
      </c>
      <c r="G47" s="64"/>
      <c r="H47" s="434" t="s">
        <v>920</v>
      </c>
      <c r="I47" s="217"/>
      <c r="J47" s="266" t="s">
        <v>1379</v>
      </c>
      <c r="K47" s="493"/>
      <c r="L47" s="266">
        <v>11</v>
      </c>
      <c r="M47" s="493">
        <f>IF(SUM(L44:L47)&lt;=1,L47,1-SUM(M44:M46))</f>
        <v>0</v>
      </c>
      <c r="N47" s="493">
        <f>IF(SUM(L44:L47)&lt;=10,L47-M47,9-SUM(N44:N46))</f>
        <v>0</v>
      </c>
      <c r="O47" s="493">
        <f>IF(SUM(L44:L47)&lt;=60,L47-M47-N47,50-SUM(O44:O46))</f>
        <v>11</v>
      </c>
      <c r="P47" s="493">
        <f t="shared" si="3"/>
        <v>0</v>
      </c>
      <c r="Q47" s="434" t="s">
        <v>661</v>
      </c>
      <c r="R47" s="493">
        <v>1.5</v>
      </c>
      <c r="S47" s="370"/>
      <c r="T47" s="493"/>
      <c r="U47" s="493"/>
      <c r="V47" s="493"/>
      <c r="W47" s="493"/>
      <c r="X47" s="516"/>
      <c r="Y47" s="72"/>
      <c r="Z47" s="72"/>
      <c r="AA47" s="181"/>
      <c r="AB47" s="240">
        <v>1383369</v>
      </c>
      <c r="AC47" s="240">
        <f>R47*X44*AB47</f>
        <v>39426.016499999998</v>
      </c>
      <c r="AD47" s="240">
        <f>R47*Y44*AB47</f>
        <v>29050.749000000003</v>
      </c>
      <c r="AE47" s="240">
        <f>R47*Z44*AB47</f>
        <v>24900.642000000003</v>
      </c>
      <c r="AF47" s="240">
        <f>R47*AA44*AB47</f>
        <v>23655.609899999999</v>
      </c>
      <c r="AG47" s="266"/>
      <c r="AH47" s="240"/>
      <c r="AI47" s="266"/>
      <c r="AJ47" s="240"/>
      <c r="AK47" s="619">
        <v>0</v>
      </c>
      <c r="AL47" s="240">
        <f t="shared" si="58"/>
        <v>273907.06200000003</v>
      </c>
      <c r="AM47" s="370">
        <v>0</v>
      </c>
      <c r="AN47" s="240"/>
      <c r="AO47" s="240"/>
      <c r="AP47" s="194"/>
      <c r="AQ47" s="194"/>
    </row>
    <row r="48" spans="1:43" ht="14.1" hidden="1" customHeight="1" x14ac:dyDescent="0.25">
      <c r="A48" s="493"/>
      <c r="B48" s="493"/>
      <c r="C48" s="370"/>
      <c r="D48" s="493"/>
      <c r="E48" s="64">
        <v>1E-3</v>
      </c>
      <c r="F48" s="240">
        <v>10000</v>
      </c>
      <c r="G48" s="64"/>
      <c r="H48" s="434" t="s">
        <v>920</v>
      </c>
      <c r="I48" s="217"/>
      <c r="J48" s="266" t="s">
        <v>1379</v>
      </c>
      <c r="K48" s="493"/>
      <c r="L48" s="266">
        <v>11</v>
      </c>
      <c r="M48" s="493">
        <f>IF(SUM(L44:L48)&lt;=1,L48,1-SUM(M44:M47))</f>
        <v>0</v>
      </c>
      <c r="N48" s="493">
        <f>IF(SUM(L44:L48)&lt;=10,L48-M48,9-SUM(N44:N47))</f>
        <v>0</v>
      </c>
      <c r="O48" s="493">
        <f>IF(SUM(L44:L48)&lt;=60,L48-M48-N48,50-SUM(O44:O47))</f>
        <v>11</v>
      </c>
      <c r="P48" s="493">
        <f t="shared" si="3"/>
        <v>0</v>
      </c>
      <c r="Q48" s="434" t="s">
        <v>1224</v>
      </c>
      <c r="R48" s="493">
        <v>1</v>
      </c>
      <c r="S48" s="370"/>
      <c r="T48" s="493"/>
      <c r="U48" s="493"/>
      <c r="V48" s="493"/>
      <c r="W48" s="493"/>
      <c r="X48" s="516"/>
      <c r="Y48" s="72"/>
      <c r="Z48" s="72"/>
      <c r="AA48" s="181"/>
      <c r="AB48" s="240">
        <v>1383369</v>
      </c>
      <c r="AC48" s="240">
        <f>R48*X44*AB48</f>
        <v>26284.010999999999</v>
      </c>
      <c r="AD48" s="240">
        <f>R48*Y44*AB48</f>
        <v>19367.166000000001</v>
      </c>
      <c r="AE48" s="240">
        <f>R48*Z44*AB48</f>
        <v>16600.428</v>
      </c>
      <c r="AF48" s="240">
        <f>R48*AA44*AB48</f>
        <v>15770.4066</v>
      </c>
      <c r="AG48" s="266"/>
      <c r="AH48" s="240"/>
      <c r="AI48" s="266"/>
      <c r="AJ48" s="240"/>
      <c r="AK48" s="619">
        <v>0</v>
      </c>
      <c r="AL48" s="240">
        <f t="shared" si="58"/>
        <v>182604.70799999998</v>
      </c>
      <c r="AM48" s="370">
        <v>0</v>
      </c>
      <c r="AN48" s="240"/>
      <c r="AO48" s="240"/>
      <c r="AP48" s="194"/>
      <c r="AQ48" s="194"/>
    </row>
    <row r="49" spans="1:43" ht="14.1" hidden="1" customHeight="1" x14ac:dyDescent="0.25">
      <c r="A49" s="493"/>
      <c r="B49" s="493"/>
      <c r="C49" s="370"/>
      <c r="D49" s="493"/>
      <c r="E49" s="64">
        <v>1E-3</v>
      </c>
      <c r="F49" s="240">
        <v>10000</v>
      </c>
      <c r="G49" s="64"/>
      <c r="H49" s="434" t="s">
        <v>920</v>
      </c>
      <c r="I49" s="217"/>
      <c r="J49" s="266" t="s">
        <v>1379</v>
      </c>
      <c r="K49" s="493"/>
      <c r="L49" s="266">
        <v>5</v>
      </c>
      <c r="M49" s="493">
        <f>IF(SUM(L44:L49)&lt;=1,L49,1-SUM(M44:M48))</f>
        <v>0</v>
      </c>
      <c r="N49" s="493">
        <f>IF(SUM(L44:L49)&lt;=10,L49-M49,9-SUM(N44:N48))</f>
        <v>0</v>
      </c>
      <c r="O49" s="493">
        <f>IF(SUM(L44:L49)&lt;=60,L49-M49-N49,50-SUM(O44:O48))</f>
        <v>5</v>
      </c>
      <c r="P49" s="493">
        <f t="shared" si="3"/>
        <v>0</v>
      </c>
      <c r="Q49" s="434" t="s">
        <v>1012</v>
      </c>
      <c r="R49" s="493">
        <v>0.56999999999999995</v>
      </c>
      <c r="S49" s="370"/>
      <c r="T49" s="493"/>
      <c r="U49" s="493"/>
      <c r="V49" s="493"/>
      <c r="W49" s="493"/>
      <c r="X49" s="516"/>
      <c r="Y49" s="72"/>
      <c r="Z49" s="72"/>
      <c r="AA49" s="181"/>
      <c r="AB49" s="240">
        <v>1383369</v>
      </c>
      <c r="AC49" s="240">
        <f>R49*X44*AB49</f>
        <v>14981.886269999999</v>
      </c>
      <c r="AD49" s="240">
        <f>R49*Y44*AB49</f>
        <v>11039.284619999999</v>
      </c>
      <c r="AE49" s="240">
        <f>R49*Z44*AB49</f>
        <v>9462.2439599999998</v>
      </c>
      <c r="AF49" s="240">
        <f>R49*AA44*AB49</f>
        <v>8989.1317619999991</v>
      </c>
      <c r="AG49" s="266"/>
      <c r="AH49" s="240"/>
      <c r="AI49" s="266"/>
      <c r="AJ49" s="240"/>
      <c r="AK49" s="619">
        <v>0</v>
      </c>
      <c r="AL49" s="240">
        <f t="shared" si="58"/>
        <v>47311.219799999999</v>
      </c>
      <c r="AM49" s="370">
        <v>0</v>
      </c>
      <c r="AN49" s="240"/>
      <c r="AO49" s="240"/>
      <c r="AP49" s="194"/>
      <c r="AQ49" s="194"/>
    </row>
    <row r="50" spans="1:43" ht="14.1" hidden="1" customHeight="1" x14ac:dyDescent="0.25">
      <c r="A50" s="493"/>
      <c r="B50" s="493"/>
      <c r="C50" s="370"/>
      <c r="D50" s="493"/>
      <c r="E50" s="64">
        <v>1E-3</v>
      </c>
      <c r="F50" s="240">
        <v>10000</v>
      </c>
      <c r="G50" s="64"/>
      <c r="H50" s="434" t="s">
        <v>920</v>
      </c>
      <c r="I50" s="217"/>
      <c r="J50" s="266" t="s">
        <v>1379</v>
      </c>
      <c r="K50" s="493"/>
      <c r="L50" s="266">
        <v>33</v>
      </c>
      <c r="M50" s="493">
        <f>IF(SUM(L44:L50)&lt;=1,L50,1-SUM(M44:M49))</f>
        <v>0</v>
      </c>
      <c r="N50" s="493">
        <f>IF(SUM(L44:L50)&lt;=10,L50-M50,9-SUM(N44:N49))</f>
        <v>0</v>
      </c>
      <c r="O50" s="493">
        <f>IF(SUM(L44:L50)&lt;=60,L50-M50-N50,50-SUM(O44:O49))</f>
        <v>0</v>
      </c>
      <c r="P50" s="493">
        <f t="shared" si="3"/>
        <v>33</v>
      </c>
      <c r="Q50" s="434" t="s">
        <v>1012</v>
      </c>
      <c r="R50" s="493">
        <v>0.56999999999999995</v>
      </c>
      <c r="S50" s="370"/>
      <c r="T50" s="493"/>
      <c r="U50" s="493"/>
      <c r="V50" s="493"/>
      <c r="W50" s="493"/>
      <c r="X50" s="516"/>
      <c r="Y50" s="72"/>
      <c r="Z50" s="72"/>
      <c r="AA50" s="181"/>
      <c r="AB50" s="240">
        <v>1383369</v>
      </c>
      <c r="AC50" s="240">
        <f>R50*X44*AB50</f>
        <v>14981.886269999999</v>
      </c>
      <c r="AD50" s="240">
        <f>R50*Y44*AB50</f>
        <v>11039.284619999999</v>
      </c>
      <c r="AE50" s="240">
        <f>R50*Z44*AB50</f>
        <v>9462.2439599999998</v>
      </c>
      <c r="AF50" s="240">
        <f>R50*AA44*AB50</f>
        <v>8989.1317619999991</v>
      </c>
      <c r="AG50" s="266"/>
      <c r="AH50" s="240"/>
      <c r="AI50" s="266"/>
      <c r="AJ50" s="240"/>
      <c r="AK50" s="619">
        <v>0</v>
      </c>
      <c r="AL50" s="240">
        <f t="shared" si="58"/>
        <v>296641.34814599995</v>
      </c>
      <c r="AM50" s="370">
        <v>0</v>
      </c>
      <c r="AN50" s="240"/>
      <c r="AO50" s="240"/>
      <c r="AP50" s="194"/>
      <c r="AQ50" s="194"/>
    </row>
    <row r="51" spans="1:43" ht="14.1" hidden="1" customHeight="1" x14ac:dyDescent="0.25">
      <c r="A51" s="493"/>
      <c r="B51" s="493"/>
      <c r="C51" s="370"/>
      <c r="D51" s="493"/>
      <c r="E51" s="64">
        <v>1E-3</v>
      </c>
      <c r="F51" s="240">
        <v>10000</v>
      </c>
      <c r="G51" s="64"/>
      <c r="H51" s="434" t="s">
        <v>920</v>
      </c>
      <c r="I51" s="217"/>
      <c r="J51" s="266" t="s">
        <v>1379</v>
      </c>
      <c r="K51" s="493"/>
      <c r="L51" s="266">
        <v>50</v>
      </c>
      <c r="M51" s="493">
        <f>IF(SUM(L44:L51)&lt;=1,L51,1-SUM(M44:M50))</f>
        <v>0</v>
      </c>
      <c r="N51" s="493">
        <f>IF(SUM(L44:L51)&lt;=10,L51-M51,9-SUM(N44:N50))</f>
        <v>0</v>
      </c>
      <c r="O51" s="493">
        <f>IF(SUM(L44:L51)&lt;=60,L51-M51-N51,50-SUM(O44:O50))</f>
        <v>0</v>
      </c>
      <c r="P51" s="493">
        <f t="shared" si="3"/>
        <v>50</v>
      </c>
      <c r="Q51" s="434" t="s">
        <v>841</v>
      </c>
      <c r="R51" s="493">
        <v>0.68</v>
      </c>
      <c r="S51" s="370"/>
      <c r="T51" s="493"/>
      <c r="U51" s="493"/>
      <c r="V51" s="493"/>
      <c r="W51" s="493"/>
      <c r="X51" s="516"/>
      <c r="Y51" s="72"/>
      <c r="Z51" s="72"/>
      <c r="AA51" s="181"/>
      <c r="AB51" s="240">
        <v>1383369</v>
      </c>
      <c r="AC51" s="240">
        <f>R51*X44*AB51</f>
        <v>17873.127480000003</v>
      </c>
      <c r="AD51" s="240">
        <f>R51*Y44*AB51</f>
        <v>13169.67288</v>
      </c>
      <c r="AE51" s="240">
        <f>R51*Z44*AB51</f>
        <v>11288.29104</v>
      </c>
      <c r="AF51" s="240">
        <f>R51*AA44*AB51</f>
        <v>10723.876488000002</v>
      </c>
      <c r="AG51" s="266"/>
      <c r="AH51" s="240"/>
      <c r="AI51" s="266"/>
      <c r="AJ51" s="240"/>
      <c r="AK51" s="619">
        <v>0</v>
      </c>
      <c r="AL51" s="240">
        <f t="shared" si="58"/>
        <v>536193.82440000004</v>
      </c>
      <c r="AM51" s="370">
        <v>0</v>
      </c>
      <c r="AN51" s="240"/>
      <c r="AO51" s="240"/>
      <c r="AP51" s="194"/>
      <c r="AQ51" s="194"/>
    </row>
    <row r="52" spans="1:43" ht="14.1" hidden="1" customHeight="1" x14ac:dyDescent="0.25">
      <c r="A52" s="493">
        <v>19</v>
      </c>
      <c r="B52" s="493" t="s">
        <v>956</v>
      </c>
      <c r="C52" s="370" t="s">
        <v>304</v>
      </c>
      <c r="D52" s="493" t="s">
        <v>447</v>
      </c>
      <c r="E52" s="64">
        <v>0</v>
      </c>
      <c r="F52" s="240">
        <v>1</v>
      </c>
      <c r="G52" s="64"/>
      <c r="H52" s="434"/>
      <c r="I52" s="217"/>
      <c r="J52" s="266" t="s">
        <v>1379</v>
      </c>
      <c r="K52" s="493">
        <f t="shared" ref="K52:K57" si="59">L52</f>
        <v>0</v>
      </c>
      <c r="L52" s="266">
        <v>0</v>
      </c>
      <c r="M52" s="493">
        <f t="shared" ref="M52:M58" si="60">MIN(L52,1)</f>
        <v>0</v>
      </c>
      <c r="N52" s="493">
        <f t="shared" ref="N52:N58" si="61">IF(L52&lt;10,L52-M52,9)</f>
        <v>0</v>
      </c>
      <c r="O52" s="493">
        <f t="shared" ref="O52:O58" si="62">IF(L52&lt;60,L52-M52-N52,50)</f>
        <v>0</v>
      </c>
      <c r="P52" s="493">
        <f t="shared" si="3"/>
        <v>0</v>
      </c>
      <c r="Q52" s="434" t="s">
        <v>1012</v>
      </c>
      <c r="R52" s="493">
        <v>0.56999999999999995</v>
      </c>
      <c r="S52" s="370"/>
      <c r="T52" s="493"/>
      <c r="U52" s="493"/>
      <c r="V52" s="493"/>
      <c r="W52" s="493"/>
      <c r="X52" s="516">
        <v>0</v>
      </c>
      <c r="Y52" s="72">
        <v>0</v>
      </c>
      <c r="Z52" s="72">
        <v>0</v>
      </c>
      <c r="AA52" s="181">
        <v>0</v>
      </c>
      <c r="AB52" s="240">
        <v>1383369</v>
      </c>
      <c r="AC52" s="240">
        <f t="shared" ref="AC52:AC58" si="63">R52*X52*AB52</f>
        <v>0</v>
      </c>
      <c r="AD52" s="240">
        <f t="shared" ref="AD52:AD58" si="64">R52*Y52*AB52</f>
        <v>0</v>
      </c>
      <c r="AE52" s="240">
        <f t="shared" ref="AE52:AE58" si="65">R52*Z52*AB52</f>
        <v>0</v>
      </c>
      <c r="AF52" s="240">
        <f t="shared" ref="AF52:AF58" si="66">R52*AA52*AB52</f>
        <v>0</v>
      </c>
      <c r="AG52" s="266">
        <v>0</v>
      </c>
      <c r="AH52" s="240">
        <f>ROUND(AG52*AJ3,0)</f>
        <v>0</v>
      </c>
      <c r="AI52" s="266">
        <v>0</v>
      </c>
      <c r="AJ52" s="240">
        <f>ROUND(AI52*AJ3,0)</f>
        <v>0</v>
      </c>
      <c r="AK52" s="619">
        <v>0</v>
      </c>
      <c r="AL52" s="240">
        <f t="shared" si="58"/>
        <v>0</v>
      </c>
      <c r="AM52" s="370">
        <v>1</v>
      </c>
      <c r="AN52" s="240">
        <f t="shared" ref="AN52:AN58" si="67">AL52*AM52</f>
        <v>0</v>
      </c>
      <c r="AO52" s="240">
        <f t="shared" ref="AO52:AO58" si="68">(AN52/F52)+AH52+AJ52</f>
        <v>0</v>
      </c>
      <c r="AP52" s="194"/>
      <c r="AQ52" s="194"/>
    </row>
    <row r="53" spans="1:43" ht="14.1" hidden="1" customHeight="1" x14ac:dyDescent="0.25">
      <c r="A53" s="493">
        <v>20</v>
      </c>
      <c r="B53" s="493" t="s">
        <v>615</v>
      </c>
      <c r="C53" s="370" t="s">
        <v>304</v>
      </c>
      <c r="D53" s="493" t="s">
        <v>950</v>
      </c>
      <c r="E53" s="64">
        <v>0</v>
      </c>
      <c r="F53" s="240">
        <v>10</v>
      </c>
      <c r="G53" s="64"/>
      <c r="H53" s="434"/>
      <c r="I53" s="217"/>
      <c r="J53" s="266" t="s">
        <v>1379</v>
      </c>
      <c r="K53" s="493">
        <f t="shared" si="59"/>
        <v>0</v>
      </c>
      <c r="L53" s="266">
        <v>0</v>
      </c>
      <c r="M53" s="493">
        <f t="shared" si="60"/>
        <v>0</v>
      </c>
      <c r="N53" s="493">
        <f t="shared" si="61"/>
        <v>0</v>
      </c>
      <c r="O53" s="493">
        <f t="shared" si="62"/>
        <v>0</v>
      </c>
      <c r="P53" s="493">
        <f t="shared" si="3"/>
        <v>0</v>
      </c>
      <c r="Q53" s="434" t="s">
        <v>1012</v>
      </c>
      <c r="R53" s="493">
        <v>0.56999999999999995</v>
      </c>
      <c r="S53" s="370"/>
      <c r="T53" s="493"/>
      <c r="U53" s="493"/>
      <c r="V53" s="493"/>
      <c r="W53" s="493"/>
      <c r="X53" s="516">
        <v>0</v>
      </c>
      <c r="Y53" s="72">
        <v>0</v>
      </c>
      <c r="Z53" s="72">
        <v>0</v>
      </c>
      <c r="AA53" s="181">
        <v>0</v>
      </c>
      <c r="AB53" s="240">
        <v>1383369</v>
      </c>
      <c r="AC53" s="240">
        <f t="shared" si="63"/>
        <v>0</v>
      </c>
      <c r="AD53" s="240">
        <f t="shared" si="64"/>
        <v>0</v>
      </c>
      <c r="AE53" s="240">
        <f t="shared" si="65"/>
        <v>0</v>
      </c>
      <c r="AF53" s="240">
        <f t="shared" si="66"/>
        <v>0</v>
      </c>
      <c r="AG53" s="266">
        <v>0</v>
      </c>
      <c r="AH53" s="240">
        <f>ROUND(AG53*AJ3,0)</f>
        <v>0</v>
      </c>
      <c r="AI53" s="266">
        <v>0</v>
      </c>
      <c r="AJ53" s="240">
        <f>ROUND(AI53*AJ3,0)</f>
        <v>0</v>
      </c>
      <c r="AK53" s="619">
        <v>0</v>
      </c>
      <c r="AL53" s="240">
        <f t="shared" si="58"/>
        <v>0</v>
      </c>
      <c r="AM53" s="370">
        <v>1</v>
      </c>
      <c r="AN53" s="240">
        <f t="shared" si="67"/>
        <v>0</v>
      </c>
      <c r="AO53" s="240">
        <f t="shared" si="68"/>
        <v>0</v>
      </c>
      <c r="AP53" s="194"/>
      <c r="AQ53" s="194"/>
    </row>
    <row r="54" spans="1:43" ht="14.1" hidden="1" customHeight="1" x14ac:dyDescent="0.25">
      <c r="A54" s="493">
        <v>21</v>
      </c>
      <c r="B54" s="493" t="s">
        <v>919</v>
      </c>
      <c r="C54" s="370" t="s">
        <v>336</v>
      </c>
      <c r="D54" s="493" t="s">
        <v>838</v>
      </c>
      <c r="E54" s="64">
        <v>1E-3</v>
      </c>
      <c r="F54" s="240">
        <v>10000</v>
      </c>
      <c r="G54" s="64"/>
      <c r="H54" s="434"/>
      <c r="I54" s="217"/>
      <c r="J54" s="266" t="s">
        <v>1379</v>
      </c>
      <c r="K54" s="493">
        <f t="shared" si="59"/>
        <v>0</v>
      </c>
      <c r="L54" s="266">
        <v>0</v>
      </c>
      <c r="M54" s="493">
        <f t="shared" si="60"/>
        <v>0</v>
      </c>
      <c r="N54" s="493">
        <f t="shared" si="61"/>
        <v>0</v>
      </c>
      <c r="O54" s="493">
        <f t="shared" si="62"/>
        <v>0</v>
      </c>
      <c r="P54" s="493">
        <f t="shared" si="3"/>
        <v>0</v>
      </c>
      <c r="Q54" s="434" t="s">
        <v>1012</v>
      </c>
      <c r="R54" s="493">
        <v>0.56999999999999995</v>
      </c>
      <c r="S54" s="370"/>
      <c r="T54" s="493"/>
      <c r="U54" s="493"/>
      <c r="V54" s="493"/>
      <c r="W54" s="493"/>
      <c r="X54" s="516">
        <v>0</v>
      </c>
      <c r="Y54" s="72">
        <v>0</v>
      </c>
      <c r="Z54" s="72">
        <v>0</v>
      </c>
      <c r="AA54" s="181">
        <v>0</v>
      </c>
      <c r="AB54" s="240">
        <v>1383369</v>
      </c>
      <c r="AC54" s="240">
        <f t="shared" si="63"/>
        <v>0</v>
      </c>
      <c r="AD54" s="240">
        <f t="shared" si="64"/>
        <v>0</v>
      </c>
      <c r="AE54" s="240">
        <f t="shared" si="65"/>
        <v>0</v>
      </c>
      <c r="AF54" s="240">
        <f t="shared" si="66"/>
        <v>0</v>
      </c>
      <c r="AG54" s="266">
        <v>0</v>
      </c>
      <c r="AH54" s="240">
        <f>ROUND(AG54*AJ3,0)</f>
        <v>0</v>
      </c>
      <c r="AI54" s="266">
        <v>0</v>
      </c>
      <c r="AJ54" s="240">
        <f>ROUND(AI54*AJ3,0)</f>
        <v>0</v>
      </c>
      <c r="AK54" s="619">
        <v>0</v>
      </c>
      <c r="AL54" s="240">
        <f t="shared" si="58"/>
        <v>0</v>
      </c>
      <c r="AM54" s="370">
        <v>1</v>
      </c>
      <c r="AN54" s="240">
        <f t="shared" si="67"/>
        <v>0</v>
      </c>
      <c r="AO54" s="240">
        <f t="shared" si="68"/>
        <v>0</v>
      </c>
      <c r="AP54" s="194"/>
      <c r="AQ54" s="194"/>
    </row>
    <row r="55" spans="1:43" ht="14.1" hidden="1" customHeight="1" x14ac:dyDescent="0.25">
      <c r="A55" s="493">
        <v>22</v>
      </c>
      <c r="B55" s="493" t="s">
        <v>1210</v>
      </c>
      <c r="C55" s="370" t="s">
        <v>269</v>
      </c>
      <c r="D55" s="493" t="s">
        <v>838</v>
      </c>
      <c r="E55" s="64">
        <v>1E-3</v>
      </c>
      <c r="F55" s="240">
        <v>10000</v>
      </c>
      <c r="G55" s="64"/>
      <c r="H55" s="434"/>
      <c r="I55" s="217"/>
      <c r="J55" s="266" t="s">
        <v>1379</v>
      </c>
      <c r="K55" s="493">
        <f t="shared" si="59"/>
        <v>0</v>
      </c>
      <c r="L55" s="266">
        <v>0</v>
      </c>
      <c r="M55" s="493">
        <f t="shared" si="60"/>
        <v>0</v>
      </c>
      <c r="N55" s="493">
        <f t="shared" si="61"/>
        <v>0</v>
      </c>
      <c r="O55" s="493">
        <f t="shared" si="62"/>
        <v>0</v>
      </c>
      <c r="P55" s="493">
        <f t="shared" si="3"/>
        <v>0</v>
      </c>
      <c r="Q55" s="434" t="s">
        <v>1012</v>
      </c>
      <c r="R55" s="493">
        <v>0.56999999999999995</v>
      </c>
      <c r="S55" s="370"/>
      <c r="T55" s="493"/>
      <c r="U55" s="493"/>
      <c r="V55" s="493"/>
      <c r="W55" s="493"/>
      <c r="X55" s="516">
        <v>0</v>
      </c>
      <c r="Y55" s="72">
        <v>0</v>
      </c>
      <c r="Z55" s="72">
        <v>0</v>
      </c>
      <c r="AA55" s="181">
        <v>0</v>
      </c>
      <c r="AB55" s="240">
        <v>1383369</v>
      </c>
      <c r="AC55" s="240">
        <f t="shared" si="63"/>
        <v>0</v>
      </c>
      <c r="AD55" s="240">
        <f t="shared" si="64"/>
        <v>0</v>
      </c>
      <c r="AE55" s="240">
        <f t="shared" si="65"/>
        <v>0</v>
      </c>
      <c r="AF55" s="240">
        <f t="shared" si="66"/>
        <v>0</v>
      </c>
      <c r="AG55" s="266">
        <v>0</v>
      </c>
      <c r="AH55" s="240">
        <f>ROUND(AG55*AJ3,0)</f>
        <v>0</v>
      </c>
      <c r="AI55" s="266">
        <v>0</v>
      </c>
      <c r="AJ55" s="240">
        <f>ROUND(AI55*AJ3,0)</f>
        <v>0</v>
      </c>
      <c r="AK55" s="619">
        <v>0</v>
      </c>
      <c r="AL55" s="240">
        <f t="shared" si="58"/>
        <v>0</v>
      </c>
      <c r="AM55" s="370">
        <v>1</v>
      </c>
      <c r="AN55" s="240">
        <f t="shared" si="67"/>
        <v>0</v>
      </c>
      <c r="AO55" s="240">
        <f t="shared" si="68"/>
        <v>0</v>
      </c>
      <c r="AP55" s="194"/>
      <c r="AQ55" s="194"/>
    </row>
    <row r="56" spans="1:43" ht="14.1" hidden="1" customHeight="1" x14ac:dyDescent="0.25">
      <c r="A56" s="493">
        <v>23</v>
      </c>
      <c r="B56" s="493" t="s">
        <v>340</v>
      </c>
      <c r="C56" s="370" t="s">
        <v>619</v>
      </c>
      <c r="D56" s="493" t="s">
        <v>838</v>
      </c>
      <c r="E56" s="64">
        <v>1E-3</v>
      </c>
      <c r="F56" s="240">
        <v>10000</v>
      </c>
      <c r="G56" s="64"/>
      <c r="H56" s="434"/>
      <c r="I56" s="217"/>
      <c r="J56" s="266" t="s">
        <v>1379</v>
      </c>
      <c r="K56" s="493">
        <f t="shared" si="59"/>
        <v>0</v>
      </c>
      <c r="L56" s="266">
        <v>0</v>
      </c>
      <c r="M56" s="493">
        <f t="shared" si="60"/>
        <v>0</v>
      </c>
      <c r="N56" s="493">
        <f t="shared" si="61"/>
        <v>0</v>
      </c>
      <c r="O56" s="493">
        <f t="shared" si="62"/>
        <v>0</v>
      </c>
      <c r="P56" s="493">
        <f t="shared" si="3"/>
        <v>0</v>
      </c>
      <c r="Q56" s="434" t="s">
        <v>1012</v>
      </c>
      <c r="R56" s="493">
        <v>0.56999999999999995</v>
      </c>
      <c r="S56" s="370"/>
      <c r="T56" s="493"/>
      <c r="U56" s="493"/>
      <c r="V56" s="493"/>
      <c r="W56" s="493"/>
      <c r="X56" s="516">
        <v>0</v>
      </c>
      <c r="Y56" s="72">
        <v>0</v>
      </c>
      <c r="Z56" s="72">
        <v>0</v>
      </c>
      <c r="AA56" s="181">
        <v>0</v>
      </c>
      <c r="AB56" s="240">
        <v>1383369</v>
      </c>
      <c r="AC56" s="240">
        <f t="shared" si="63"/>
        <v>0</v>
      </c>
      <c r="AD56" s="240">
        <f t="shared" si="64"/>
        <v>0</v>
      </c>
      <c r="AE56" s="240">
        <f t="shared" si="65"/>
        <v>0</v>
      </c>
      <c r="AF56" s="240">
        <f t="shared" si="66"/>
        <v>0</v>
      </c>
      <c r="AG56" s="266">
        <v>0</v>
      </c>
      <c r="AH56" s="240">
        <f>ROUND(AG56*AJ3,0)</f>
        <v>0</v>
      </c>
      <c r="AI56" s="266">
        <v>0</v>
      </c>
      <c r="AJ56" s="240">
        <f>ROUND(AI56*AJ3,0)</f>
        <v>0</v>
      </c>
      <c r="AK56" s="619">
        <v>0</v>
      </c>
      <c r="AL56" s="240">
        <f t="shared" si="58"/>
        <v>0</v>
      </c>
      <c r="AM56" s="370">
        <v>1</v>
      </c>
      <c r="AN56" s="240">
        <f t="shared" si="67"/>
        <v>0</v>
      </c>
      <c r="AO56" s="240">
        <f t="shared" si="68"/>
        <v>0</v>
      </c>
      <c r="AP56" s="194"/>
      <c r="AQ56" s="194"/>
    </row>
    <row r="57" spans="1:43" ht="14.1" hidden="1" customHeight="1" x14ac:dyDescent="0.25">
      <c r="A57" s="493">
        <v>24</v>
      </c>
      <c r="B57" s="493" t="s">
        <v>849</v>
      </c>
      <c r="C57" s="370" t="s">
        <v>158</v>
      </c>
      <c r="D57" s="493" t="s">
        <v>838</v>
      </c>
      <c r="E57" s="64">
        <v>1E-3</v>
      </c>
      <c r="F57" s="240">
        <v>10000</v>
      </c>
      <c r="G57" s="64"/>
      <c r="H57" s="434"/>
      <c r="I57" s="217"/>
      <c r="J57" s="266" t="s">
        <v>1379</v>
      </c>
      <c r="K57" s="493">
        <f t="shared" si="59"/>
        <v>0</v>
      </c>
      <c r="L57" s="266">
        <v>0</v>
      </c>
      <c r="M57" s="493">
        <f t="shared" si="60"/>
        <v>0</v>
      </c>
      <c r="N57" s="493">
        <f t="shared" si="61"/>
        <v>0</v>
      </c>
      <c r="O57" s="493">
        <f t="shared" si="62"/>
        <v>0</v>
      </c>
      <c r="P57" s="493">
        <f t="shared" si="3"/>
        <v>0</v>
      </c>
      <c r="Q57" s="434" t="s">
        <v>1012</v>
      </c>
      <c r="R57" s="493">
        <v>0.56999999999999995</v>
      </c>
      <c r="S57" s="370"/>
      <c r="T57" s="493"/>
      <c r="U57" s="493"/>
      <c r="V57" s="493"/>
      <c r="W57" s="493"/>
      <c r="X57" s="516">
        <v>0</v>
      </c>
      <c r="Y57" s="72">
        <v>0</v>
      </c>
      <c r="Z57" s="72">
        <v>0</v>
      </c>
      <c r="AA57" s="181">
        <v>0</v>
      </c>
      <c r="AB57" s="240">
        <v>1383369</v>
      </c>
      <c r="AC57" s="240">
        <f t="shared" si="63"/>
        <v>0</v>
      </c>
      <c r="AD57" s="240">
        <f t="shared" si="64"/>
        <v>0</v>
      </c>
      <c r="AE57" s="240">
        <f t="shared" si="65"/>
        <v>0</v>
      </c>
      <c r="AF57" s="240">
        <f t="shared" si="66"/>
        <v>0</v>
      </c>
      <c r="AG57" s="266">
        <v>0</v>
      </c>
      <c r="AH57" s="240">
        <f>ROUND(AG57*AJ3,0)</f>
        <v>0</v>
      </c>
      <c r="AI57" s="266">
        <v>0</v>
      </c>
      <c r="AJ57" s="240">
        <f>ROUND(AI57*AJ3,0)</f>
        <v>0</v>
      </c>
      <c r="AK57" s="619">
        <v>0</v>
      </c>
      <c r="AL57" s="240">
        <f t="shared" si="58"/>
        <v>0</v>
      </c>
      <c r="AM57" s="370">
        <v>1</v>
      </c>
      <c r="AN57" s="240">
        <f t="shared" si="67"/>
        <v>0</v>
      </c>
      <c r="AO57" s="240">
        <f t="shared" si="68"/>
        <v>0</v>
      </c>
      <c r="AP57" s="194"/>
      <c r="AQ57" s="194"/>
    </row>
    <row r="58" spans="1:43" ht="14.1" customHeight="1" x14ac:dyDescent="0.25">
      <c r="A58" s="493">
        <v>25</v>
      </c>
      <c r="B58" s="493" t="s">
        <v>1141</v>
      </c>
      <c r="C58" s="370" t="s">
        <v>685</v>
      </c>
      <c r="D58" s="493" t="s">
        <v>838</v>
      </c>
      <c r="E58" s="64">
        <v>1E-3</v>
      </c>
      <c r="F58" s="240">
        <v>10000</v>
      </c>
      <c r="G58" s="64"/>
      <c r="H58" s="434" t="s">
        <v>40</v>
      </c>
      <c r="I58" s="217"/>
      <c r="J58" s="266" t="s">
        <v>1379</v>
      </c>
      <c r="K58" s="493">
        <f>L60+L59+L58</f>
        <v>6</v>
      </c>
      <c r="L58" s="266">
        <v>1</v>
      </c>
      <c r="M58" s="493">
        <f t="shared" si="60"/>
        <v>1</v>
      </c>
      <c r="N58" s="493">
        <f t="shared" si="61"/>
        <v>0</v>
      </c>
      <c r="O58" s="493">
        <f t="shared" si="62"/>
        <v>0</v>
      </c>
      <c r="P58" s="493">
        <f t="shared" si="3"/>
        <v>0</v>
      </c>
      <c r="Q58" s="434" t="s">
        <v>1012</v>
      </c>
      <c r="R58" s="493">
        <v>0.56999999999999995</v>
      </c>
      <c r="S58" s="370"/>
      <c r="T58" s="493"/>
      <c r="U58" s="493"/>
      <c r="V58" s="493"/>
      <c r="W58" s="493"/>
      <c r="X58" s="516">
        <v>2.1999999999999999E-2</v>
      </c>
      <c r="Y58" s="72">
        <v>1.6E-2</v>
      </c>
      <c r="Z58" s="72">
        <v>1.0999999999999999E-2</v>
      </c>
      <c r="AA58" s="181">
        <v>0.01</v>
      </c>
      <c r="AB58" s="240">
        <v>1383369</v>
      </c>
      <c r="AC58" s="240">
        <f t="shared" si="63"/>
        <v>17347.447259999997</v>
      </c>
      <c r="AD58" s="240">
        <f t="shared" si="64"/>
        <v>12616.325279999999</v>
      </c>
      <c r="AE58" s="240">
        <f t="shared" si="65"/>
        <v>8673.7236299999986</v>
      </c>
      <c r="AF58" s="240">
        <f t="shared" si="66"/>
        <v>7885.2032999999992</v>
      </c>
      <c r="AG58" s="266">
        <v>0</v>
      </c>
      <c r="AH58" s="240">
        <f>ROUND(AG58*AJ3,0)</f>
        <v>0</v>
      </c>
      <c r="AI58" s="266">
        <v>2.1000000000000001E-4</v>
      </c>
      <c r="AJ58" s="240">
        <f>ROUND(AI58*AJ3,0)</f>
        <v>46</v>
      </c>
      <c r="AK58" s="619">
        <v>0</v>
      </c>
      <c r="AL58" s="240">
        <f>(M58*AC58)+(N58*AD58)+(O58*AE58)+(P58*AF58)+AK58+AL59+AL60</f>
        <v>114957.9639</v>
      </c>
      <c r="AM58" s="370">
        <v>1</v>
      </c>
      <c r="AN58" s="240">
        <f t="shared" si="67"/>
        <v>114957.9639</v>
      </c>
      <c r="AO58" s="240">
        <f t="shared" si="68"/>
        <v>57.495796390000002</v>
      </c>
      <c r="AP58" s="194"/>
      <c r="AQ58" s="194"/>
    </row>
    <row r="59" spans="1:43" ht="14.1" customHeight="1" x14ac:dyDescent="0.25">
      <c r="A59" s="493"/>
      <c r="B59" s="493"/>
      <c r="C59" s="370"/>
      <c r="D59" s="493"/>
      <c r="E59" s="64">
        <v>1E-3</v>
      </c>
      <c r="F59" s="240">
        <v>10000</v>
      </c>
      <c r="G59" s="64"/>
      <c r="H59" s="434" t="s">
        <v>40</v>
      </c>
      <c r="I59" s="217"/>
      <c r="J59" s="266" t="s">
        <v>1379</v>
      </c>
      <c r="K59" s="493"/>
      <c r="L59" s="266">
        <v>3</v>
      </c>
      <c r="M59" s="493">
        <f>IF(SUM(L58:L59)&lt;=1,L59,1-SUM(M58:M58))</f>
        <v>0</v>
      </c>
      <c r="N59" s="493">
        <f>IF(SUM(L58:L59)&lt;=10,L59-M59,9-SUM(N58:N58))</f>
        <v>3</v>
      </c>
      <c r="O59" s="493">
        <f>IF(SUM(L58:L59)&lt;=60,L59-M59-N59,50-SUM(O58:O58))</f>
        <v>0</v>
      </c>
      <c r="P59" s="493">
        <f t="shared" si="3"/>
        <v>0</v>
      </c>
      <c r="Q59" s="434" t="s">
        <v>1012</v>
      </c>
      <c r="R59" s="493">
        <v>0.56999999999999995</v>
      </c>
      <c r="S59" s="370"/>
      <c r="T59" s="493"/>
      <c r="U59" s="493"/>
      <c r="V59" s="493"/>
      <c r="W59" s="493"/>
      <c r="X59" s="516"/>
      <c r="Y59" s="72"/>
      <c r="Z59" s="72"/>
      <c r="AA59" s="181"/>
      <c r="AB59" s="240">
        <v>1383369</v>
      </c>
      <c r="AC59" s="240">
        <f>R59*X58*AB59</f>
        <v>17347.447259999997</v>
      </c>
      <c r="AD59" s="240">
        <f>R59*Y58*AB59</f>
        <v>12616.325279999999</v>
      </c>
      <c r="AE59" s="240">
        <f>R59*Z58*AB59</f>
        <v>8673.7236299999986</v>
      </c>
      <c r="AF59" s="240">
        <f>R59*AA58*AB59</f>
        <v>7885.2032999999992</v>
      </c>
      <c r="AG59" s="266"/>
      <c r="AH59" s="240"/>
      <c r="AI59" s="266"/>
      <c r="AJ59" s="240"/>
      <c r="AK59" s="619">
        <v>0</v>
      </c>
      <c r="AL59" s="240">
        <f t="shared" ref="AL59:AL60" si="69">(M59*AC59)+(N59*AD59)+(O59*AE59)+(P59*AF59)+AK59</f>
        <v>37848.975839999999</v>
      </c>
      <c r="AM59" s="370">
        <v>0</v>
      </c>
      <c r="AN59" s="240"/>
      <c r="AO59" s="240"/>
      <c r="AP59" s="194"/>
      <c r="AQ59" s="194"/>
    </row>
    <row r="60" spans="1:43" ht="14.1" customHeight="1" x14ac:dyDescent="0.25">
      <c r="A60" s="493"/>
      <c r="B60" s="493"/>
      <c r="C60" s="370"/>
      <c r="D60" s="493"/>
      <c r="E60" s="64">
        <v>1E-3</v>
      </c>
      <c r="F60" s="240">
        <v>10000</v>
      </c>
      <c r="G60" s="64"/>
      <c r="H60" s="434" t="s">
        <v>40</v>
      </c>
      <c r="I60" s="217"/>
      <c r="J60" s="266" t="s">
        <v>1379</v>
      </c>
      <c r="K60" s="493"/>
      <c r="L60" s="266">
        <v>2</v>
      </c>
      <c r="M60" s="493">
        <f>IF(SUM(L58:L60)&lt;=1,L60,1-SUM(M58:M59))</f>
        <v>0</v>
      </c>
      <c r="N60" s="493">
        <f>IF(SUM(L58:L60)&lt;=10,L60-M60,9-SUM(N58:N59))</f>
        <v>2</v>
      </c>
      <c r="O60" s="493">
        <f>IF(SUM(L58:L60)&lt;=60,L60-M60-N60,50-SUM(O58:O59))</f>
        <v>0</v>
      </c>
      <c r="P60" s="493">
        <f t="shared" si="3"/>
        <v>0</v>
      </c>
      <c r="Q60" s="434" t="s">
        <v>289</v>
      </c>
      <c r="R60" s="493">
        <v>1.35</v>
      </c>
      <c r="S60" s="370"/>
      <c r="T60" s="493"/>
      <c r="U60" s="493"/>
      <c r="V60" s="493"/>
      <c r="W60" s="493"/>
      <c r="X60" s="516"/>
      <c r="Y60" s="72"/>
      <c r="Z60" s="72"/>
      <c r="AA60" s="181"/>
      <c r="AB60" s="240">
        <v>1383369</v>
      </c>
      <c r="AC60" s="240">
        <f>R60*X58*AB60</f>
        <v>41086.059300000001</v>
      </c>
      <c r="AD60" s="240">
        <f>R60*Y58*AB60</f>
        <v>29880.770400000001</v>
      </c>
      <c r="AE60" s="240">
        <f>R60*Z58*AB60</f>
        <v>20543.02965</v>
      </c>
      <c r="AF60" s="240">
        <f>R60*AA58*AB60</f>
        <v>18675.481500000002</v>
      </c>
      <c r="AG60" s="266"/>
      <c r="AH60" s="240"/>
      <c r="AI60" s="266"/>
      <c r="AJ60" s="240"/>
      <c r="AK60" s="619">
        <v>0</v>
      </c>
      <c r="AL60" s="240">
        <f t="shared" si="69"/>
        <v>59761.540800000002</v>
      </c>
      <c r="AM60" s="370">
        <v>0</v>
      </c>
      <c r="AN60" s="240"/>
      <c r="AO60" s="240"/>
      <c r="AP60" s="194"/>
      <c r="AQ60" s="194"/>
    </row>
    <row r="61" spans="1:43" ht="14.1" customHeight="1" x14ac:dyDescent="0.25">
      <c r="A61" s="493">
        <v>26</v>
      </c>
      <c r="B61" s="493" t="s">
        <v>649</v>
      </c>
      <c r="C61" s="370" t="s">
        <v>705</v>
      </c>
      <c r="D61" s="493" t="s">
        <v>838</v>
      </c>
      <c r="E61" s="64">
        <v>1E-3</v>
      </c>
      <c r="F61" s="240">
        <v>10000</v>
      </c>
      <c r="G61" s="64"/>
      <c r="H61" s="434" t="s">
        <v>40</v>
      </c>
      <c r="I61" s="217"/>
      <c r="J61" s="266" t="s">
        <v>1379</v>
      </c>
      <c r="K61" s="493">
        <f>L63+L62+L61</f>
        <v>6</v>
      </c>
      <c r="L61" s="266">
        <v>1</v>
      </c>
      <c r="M61" s="493">
        <f>MIN(L61,1)</f>
        <v>1</v>
      </c>
      <c r="N61" s="493">
        <f>IF(L61&lt;10,L61-M61,9)</f>
        <v>0</v>
      </c>
      <c r="O61" s="493">
        <f>IF(L61&lt;60,L61-M61-N61,50)</f>
        <v>0</v>
      </c>
      <c r="P61" s="493">
        <f t="shared" si="3"/>
        <v>0</v>
      </c>
      <c r="Q61" s="434" t="s">
        <v>1012</v>
      </c>
      <c r="R61" s="493">
        <v>0.56999999999999995</v>
      </c>
      <c r="S61" s="370"/>
      <c r="T61" s="493"/>
      <c r="U61" s="493"/>
      <c r="V61" s="493"/>
      <c r="W61" s="493"/>
      <c r="X61" s="516">
        <v>2.1999999999999999E-2</v>
      </c>
      <c r="Y61" s="72">
        <v>1.6E-2</v>
      </c>
      <c r="Z61" s="72">
        <v>1.0999999999999999E-2</v>
      </c>
      <c r="AA61" s="181">
        <v>0.01</v>
      </c>
      <c r="AB61" s="240">
        <v>1383369</v>
      </c>
      <c r="AC61" s="240">
        <f>R61*X61*AB61</f>
        <v>17347.447259999997</v>
      </c>
      <c r="AD61" s="240">
        <f>R61*Y61*AB61</f>
        <v>12616.325279999999</v>
      </c>
      <c r="AE61" s="240">
        <f>R61*Z61*AB61</f>
        <v>8673.7236299999986</v>
      </c>
      <c r="AF61" s="240">
        <f>R61*AA61*AB61</f>
        <v>7885.2032999999992</v>
      </c>
      <c r="AG61" s="266">
        <v>0</v>
      </c>
      <c r="AH61" s="240">
        <f>ROUND(AG61*AJ3,0)</f>
        <v>0</v>
      </c>
      <c r="AI61" s="266">
        <v>2.1000000000000001E-4</v>
      </c>
      <c r="AJ61" s="240">
        <f>ROUND(AI61*AJ3,0)</f>
        <v>46</v>
      </c>
      <c r="AK61" s="619">
        <v>0</v>
      </c>
      <c r="AL61" s="240">
        <f>(M61*AC61)+(N61*AD61)+(O61*AE61)+(P61*AF61)+AK61+AL62+AL63</f>
        <v>114957.9639</v>
      </c>
      <c r="AM61" s="370">
        <v>1</v>
      </c>
      <c r="AN61" s="240">
        <f>AL61*AM61</f>
        <v>114957.9639</v>
      </c>
      <c r="AO61" s="240">
        <f>(AN61/F61)+AH61+AJ61</f>
        <v>57.495796390000002</v>
      </c>
      <c r="AP61" s="194"/>
      <c r="AQ61" s="194"/>
    </row>
    <row r="62" spans="1:43" ht="14.1" customHeight="1" x14ac:dyDescent="0.25">
      <c r="A62" s="493"/>
      <c r="B62" s="493"/>
      <c r="C62" s="370"/>
      <c r="D62" s="493"/>
      <c r="E62" s="64">
        <v>1E-3</v>
      </c>
      <c r="F62" s="240">
        <v>10000</v>
      </c>
      <c r="G62" s="64"/>
      <c r="H62" s="434" t="s">
        <v>40</v>
      </c>
      <c r="I62" s="217"/>
      <c r="J62" s="266" t="s">
        <v>1379</v>
      </c>
      <c r="K62" s="493"/>
      <c r="L62" s="266">
        <v>3</v>
      </c>
      <c r="M62" s="493">
        <f>IF(SUM(L61:L62)&lt;=1,L62,1-SUM(M61:M61))</f>
        <v>0</v>
      </c>
      <c r="N62" s="493">
        <f>IF(SUM(L61:L62)&lt;=10,L62-M62,9-SUM(N61:N61))</f>
        <v>3</v>
      </c>
      <c r="O62" s="493">
        <f>IF(SUM(L61:L62)&lt;=60,L62-M62-N62,50-SUM(O61:O61))</f>
        <v>0</v>
      </c>
      <c r="P62" s="493">
        <f t="shared" si="3"/>
        <v>0</v>
      </c>
      <c r="Q62" s="434" t="s">
        <v>1012</v>
      </c>
      <c r="R62" s="493">
        <v>0.56999999999999995</v>
      </c>
      <c r="S62" s="370"/>
      <c r="T62" s="493"/>
      <c r="U62" s="493"/>
      <c r="V62" s="493"/>
      <c r="W62" s="493"/>
      <c r="X62" s="516"/>
      <c r="Y62" s="72"/>
      <c r="Z62" s="72"/>
      <c r="AA62" s="181"/>
      <c r="AB62" s="240">
        <v>1383369</v>
      </c>
      <c r="AC62" s="240">
        <f>R62*X61*AB62</f>
        <v>17347.447259999997</v>
      </c>
      <c r="AD62" s="240">
        <f>R62*Y61*AB62</f>
        <v>12616.325279999999</v>
      </c>
      <c r="AE62" s="240">
        <f>R62*Z61*AB62</f>
        <v>8673.7236299999986</v>
      </c>
      <c r="AF62" s="240">
        <f>R62*AA61*AB62</f>
        <v>7885.2032999999992</v>
      </c>
      <c r="AG62" s="266"/>
      <c r="AH62" s="240"/>
      <c r="AI62" s="266"/>
      <c r="AJ62" s="240"/>
      <c r="AK62" s="619">
        <v>0</v>
      </c>
      <c r="AL62" s="240">
        <f t="shared" ref="AL62:AL63" si="70">(M62*AC62)+(N62*AD62)+(O62*AE62)+(P62*AF62)+AK62</f>
        <v>37848.975839999999</v>
      </c>
      <c r="AM62" s="370">
        <v>0</v>
      </c>
      <c r="AN62" s="240"/>
      <c r="AO62" s="240"/>
      <c r="AP62" s="194"/>
      <c r="AQ62" s="194"/>
    </row>
    <row r="63" spans="1:43" ht="14.1" customHeight="1" x14ac:dyDescent="0.25">
      <c r="A63" s="493"/>
      <c r="B63" s="493"/>
      <c r="C63" s="370"/>
      <c r="D63" s="493"/>
      <c r="E63" s="64">
        <v>1E-3</v>
      </c>
      <c r="F63" s="240">
        <v>10000</v>
      </c>
      <c r="G63" s="64"/>
      <c r="H63" s="434" t="s">
        <v>40</v>
      </c>
      <c r="I63" s="217"/>
      <c r="J63" s="266" t="s">
        <v>1379</v>
      </c>
      <c r="K63" s="493"/>
      <c r="L63" s="266">
        <v>2</v>
      </c>
      <c r="M63" s="493">
        <f>IF(SUM(L61:L63)&lt;=1,L63,1-SUM(M61:M62))</f>
        <v>0</v>
      </c>
      <c r="N63" s="493">
        <f>IF(SUM(L61:L63)&lt;=10,L63-M63,9-SUM(N61:N62))</f>
        <v>2</v>
      </c>
      <c r="O63" s="493">
        <f>IF(SUM(L61:L63)&lt;=60,L63-M63-N63,50-SUM(O61:O62))</f>
        <v>0</v>
      </c>
      <c r="P63" s="493">
        <f t="shared" si="3"/>
        <v>0</v>
      </c>
      <c r="Q63" s="434" t="s">
        <v>289</v>
      </c>
      <c r="R63" s="493">
        <v>1.35</v>
      </c>
      <c r="S63" s="370"/>
      <c r="T63" s="493"/>
      <c r="U63" s="493"/>
      <c r="V63" s="493"/>
      <c r="W63" s="493"/>
      <c r="X63" s="516"/>
      <c r="Y63" s="72"/>
      <c r="Z63" s="72"/>
      <c r="AA63" s="181"/>
      <c r="AB63" s="240">
        <v>1383369</v>
      </c>
      <c r="AC63" s="240">
        <f>R63*X61*AB63</f>
        <v>41086.059300000001</v>
      </c>
      <c r="AD63" s="240">
        <f>R63*Y61*AB63</f>
        <v>29880.770400000001</v>
      </c>
      <c r="AE63" s="240">
        <f>R63*Z61*AB63</f>
        <v>20543.02965</v>
      </c>
      <c r="AF63" s="240">
        <f>R63*AA61*AB63</f>
        <v>18675.481500000002</v>
      </c>
      <c r="AG63" s="266"/>
      <c r="AH63" s="240"/>
      <c r="AI63" s="266"/>
      <c r="AJ63" s="240"/>
      <c r="AK63" s="619">
        <v>0</v>
      </c>
      <c r="AL63" s="240">
        <f t="shared" si="70"/>
        <v>59761.540800000002</v>
      </c>
      <c r="AM63" s="370">
        <v>0</v>
      </c>
      <c r="AN63" s="240"/>
      <c r="AO63" s="240"/>
      <c r="AP63" s="194"/>
      <c r="AQ63" s="194"/>
    </row>
    <row r="64" spans="1:43" ht="14.1" customHeight="1" x14ac:dyDescent="0.25">
      <c r="A64" s="493">
        <v>27</v>
      </c>
      <c r="B64" s="493" t="s">
        <v>713</v>
      </c>
      <c r="C64" s="370" t="s">
        <v>13</v>
      </c>
      <c r="D64" s="493" t="s">
        <v>838</v>
      </c>
      <c r="E64" s="64">
        <v>1E-3</v>
      </c>
      <c r="F64" s="240">
        <v>10000</v>
      </c>
      <c r="G64" s="64"/>
      <c r="H64" s="434" t="s">
        <v>40</v>
      </c>
      <c r="I64" s="217"/>
      <c r="J64" s="266" t="s">
        <v>1379</v>
      </c>
      <c r="K64" s="493">
        <f>L66+L65+L64</f>
        <v>6</v>
      </c>
      <c r="L64" s="266">
        <v>1</v>
      </c>
      <c r="M64" s="493">
        <f>MIN(L64,1)</f>
        <v>1</v>
      </c>
      <c r="N64" s="493">
        <f>IF(L64&lt;10,L64-M64,9)</f>
        <v>0</v>
      </c>
      <c r="O64" s="493">
        <f>IF(L64&lt;60,L64-M64-N64,50)</f>
        <v>0</v>
      </c>
      <c r="P64" s="493">
        <f t="shared" si="3"/>
        <v>0</v>
      </c>
      <c r="Q64" s="434" t="s">
        <v>1012</v>
      </c>
      <c r="R64" s="493">
        <v>0.56999999999999995</v>
      </c>
      <c r="S64" s="370"/>
      <c r="T64" s="493"/>
      <c r="U64" s="493"/>
      <c r="V64" s="493"/>
      <c r="W64" s="493"/>
      <c r="X64" s="516">
        <v>2.1999999999999999E-2</v>
      </c>
      <c r="Y64" s="72">
        <v>1.6E-2</v>
      </c>
      <c r="Z64" s="72">
        <v>1.0999999999999999E-2</v>
      </c>
      <c r="AA64" s="181">
        <v>0.01</v>
      </c>
      <c r="AB64" s="240">
        <v>1383369</v>
      </c>
      <c r="AC64" s="240">
        <f>R64*X64*AB64</f>
        <v>17347.447259999997</v>
      </c>
      <c r="AD64" s="240">
        <f>R64*Y64*AB64</f>
        <v>12616.325279999999</v>
      </c>
      <c r="AE64" s="240">
        <f>R64*Z64*AB64</f>
        <v>8673.7236299999986</v>
      </c>
      <c r="AF64" s="240">
        <f>R64*AA64*AB64</f>
        <v>7885.2032999999992</v>
      </c>
      <c r="AG64" s="266">
        <v>0</v>
      </c>
      <c r="AH64" s="240">
        <f>ROUND(AG64*AJ3,0)</f>
        <v>0</v>
      </c>
      <c r="AI64" s="266">
        <v>2.1000000000000001E-4</v>
      </c>
      <c r="AJ64" s="240">
        <f>ROUND(AI64*AJ3,0)</f>
        <v>46</v>
      </c>
      <c r="AK64" s="619">
        <v>0</v>
      </c>
      <c r="AL64" s="240">
        <f>(M64*AC64)+(N64*AD64)+(O64*AE64)+(P64*AF64)+AK64+AL65+AL66</f>
        <v>114957.9639</v>
      </c>
      <c r="AM64" s="370">
        <v>1</v>
      </c>
      <c r="AN64" s="240">
        <f>AL64*AM64</f>
        <v>114957.9639</v>
      </c>
      <c r="AO64" s="240">
        <f>(AN64/F64)+AH64+AJ64</f>
        <v>57.495796390000002</v>
      </c>
      <c r="AP64" s="194"/>
      <c r="AQ64" s="194"/>
    </row>
    <row r="65" spans="1:43" ht="14.1" customHeight="1" x14ac:dyDescent="0.25">
      <c r="A65" s="493"/>
      <c r="B65" s="493"/>
      <c r="C65" s="370"/>
      <c r="D65" s="493"/>
      <c r="E65" s="64">
        <v>1E-3</v>
      </c>
      <c r="F65" s="240">
        <v>10000</v>
      </c>
      <c r="G65" s="64"/>
      <c r="H65" s="434" t="s">
        <v>40</v>
      </c>
      <c r="I65" s="217"/>
      <c r="J65" s="266" t="s">
        <v>1379</v>
      </c>
      <c r="K65" s="493"/>
      <c r="L65" s="266">
        <v>3</v>
      </c>
      <c r="M65" s="493">
        <f>IF(SUM(L64:L65)&lt;=1,L65,1-SUM(M64:M64))</f>
        <v>0</v>
      </c>
      <c r="N65" s="493">
        <f>IF(SUM(L64:L65)&lt;=10,L65-M65,9-SUM(N64:N64))</f>
        <v>3</v>
      </c>
      <c r="O65" s="493">
        <f>IF(SUM(L64:L65)&lt;=60,L65-M65-N65,50-SUM(O64:O64))</f>
        <v>0</v>
      </c>
      <c r="P65" s="493">
        <f t="shared" si="3"/>
        <v>0</v>
      </c>
      <c r="Q65" s="434" t="s">
        <v>1012</v>
      </c>
      <c r="R65" s="493">
        <v>0.56999999999999995</v>
      </c>
      <c r="S65" s="370"/>
      <c r="T65" s="493"/>
      <c r="U65" s="493"/>
      <c r="V65" s="493"/>
      <c r="W65" s="493"/>
      <c r="X65" s="516"/>
      <c r="Y65" s="72"/>
      <c r="Z65" s="72"/>
      <c r="AA65" s="181"/>
      <c r="AB65" s="240">
        <v>1383369</v>
      </c>
      <c r="AC65" s="240">
        <f>R65*X64*AB65</f>
        <v>17347.447259999997</v>
      </c>
      <c r="AD65" s="240">
        <f>R65*Y64*AB65</f>
        <v>12616.325279999999</v>
      </c>
      <c r="AE65" s="240">
        <f>R65*Z64*AB65</f>
        <v>8673.7236299999986</v>
      </c>
      <c r="AF65" s="240">
        <f>R65*AA64*AB65</f>
        <v>7885.2032999999992</v>
      </c>
      <c r="AG65" s="266"/>
      <c r="AH65" s="240"/>
      <c r="AI65" s="266"/>
      <c r="AJ65" s="240"/>
      <c r="AK65" s="619">
        <v>0</v>
      </c>
      <c r="AL65" s="240">
        <f t="shared" ref="AL65:AL66" si="71">(M65*AC65)+(N65*AD65)+(O65*AE65)+(P65*AF65)+AK65</f>
        <v>37848.975839999999</v>
      </c>
      <c r="AM65" s="370">
        <v>0</v>
      </c>
      <c r="AN65" s="240"/>
      <c r="AO65" s="240"/>
      <c r="AP65" s="194"/>
      <c r="AQ65" s="194"/>
    </row>
    <row r="66" spans="1:43" ht="14.1" customHeight="1" x14ac:dyDescent="0.25">
      <c r="A66" s="493"/>
      <c r="B66" s="493"/>
      <c r="C66" s="370"/>
      <c r="D66" s="493"/>
      <c r="E66" s="64">
        <v>1E-3</v>
      </c>
      <c r="F66" s="240">
        <v>10000</v>
      </c>
      <c r="G66" s="64"/>
      <c r="H66" s="434" t="s">
        <v>40</v>
      </c>
      <c r="I66" s="217"/>
      <c r="J66" s="266" t="s">
        <v>1379</v>
      </c>
      <c r="K66" s="493"/>
      <c r="L66" s="266">
        <v>2</v>
      </c>
      <c r="M66" s="493">
        <f>IF(SUM(L64:L66)&lt;=1,L66,1-SUM(M64:M65))</f>
        <v>0</v>
      </c>
      <c r="N66" s="493">
        <f>IF(SUM(L64:L66)&lt;=10,L66-M66,9-SUM(N64:N65))</f>
        <v>2</v>
      </c>
      <c r="O66" s="493">
        <f>IF(SUM(L64:L66)&lt;=60,L66-M66-N66,50-SUM(O64:O65))</f>
        <v>0</v>
      </c>
      <c r="P66" s="493">
        <f t="shared" si="3"/>
        <v>0</v>
      </c>
      <c r="Q66" s="434" t="s">
        <v>289</v>
      </c>
      <c r="R66" s="493">
        <v>1.35</v>
      </c>
      <c r="S66" s="370"/>
      <c r="T66" s="493"/>
      <c r="U66" s="493"/>
      <c r="V66" s="493"/>
      <c r="W66" s="493"/>
      <c r="X66" s="516"/>
      <c r="Y66" s="72"/>
      <c r="Z66" s="72"/>
      <c r="AA66" s="181"/>
      <c r="AB66" s="240">
        <v>1383369</v>
      </c>
      <c r="AC66" s="240">
        <f>R66*X64*AB66</f>
        <v>41086.059300000001</v>
      </c>
      <c r="AD66" s="240">
        <f>R66*Y64*AB66</f>
        <v>29880.770400000001</v>
      </c>
      <c r="AE66" s="240">
        <f>R66*Z64*AB66</f>
        <v>20543.02965</v>
      </c>
      <c r="AF66" s="240">
        <f>R66*AA64*AB66</f>
        <v>18675.481500000002</v>
      </c>
      <c r="AG66" s="266"/>
      <c r="AH66" s="240"/>
      <c r="AI66" s="266"/>
      <c r="AJ66" s="240"/>
      <c r="AK66" s="619">
        <v>0</v>
      </c>
      <c r="AL66" s="240">
        <f t="shared" si="71"/>
        <v>59761.540800000002</v>
      </c>
      <c r="AM66" s="370">
        <v>0</v>
      </c>
      <c r="AN66" s="240"/>
      <c r="AO66" s="240"/>
      <c r="AP66" s="194"/>
      <c r="AQ66" s="194"/>
    </row>
    <row r="67" spans="1:43" ht="14.1" customHeight="1" x14ac:dyDescent="0.25">
      <c r="A67" s="493">
        <v>28</v>
      </c>
      <c r="B67" s="493" t="s">
        <v>132</v>
      </c>
      <c r="C67" s="370" t="s">
        <v>969</v>
      </c>
      <c r="D67" s="493" t="s">
        <v>838</v>
      </c>
      <c r="E67" s="64">
        <v>1E-3</v>
      </c>
      <c r="F67" s="240">
        <v>10000</v>
      </c>
      <c r="G67" s="64"/>
      <c r="H67" s="434" t="s">
        <v>40</v>
      </c>
      <c r="I67" s="217"/>
      <c r="J67" s="266" t="s">
        <v>1379</v>
      </c>
      <c r="K67" s="493">
        <f>L69+L68+L67</f>
        <v>6</v>
      </c>
      <c r="L67" s="266">
        <v>1</v>
      </c>
      <c r="M67" s="493">
        <f>MIN(L67,1)</f>
        <v>1</v>
      </c>
      <c r="N67" s="493">
        <f>IF(L67&lt;10,L67-M67,9)</f>
        <v>0</v>
      </c>
      <c r="O67" s="493">
        <f>IF(L67&lt;60,L67-M67-N67,50)</f>
        <v>0</v>
      </c>
      <c r="P67" s="493">
        <f t="shared" si="3"/>
        <v>0</v>
      </c>
      <c r="Q67" s="434" t="s">
        <v>1012</v>
      </c>
      <c r="R67" s="493">
        <v>0.56999999999999995</v>
      </c>
      <c r="S67" s="370"/>
      <c r="T67" s="493"/>
      <c r="U67" s="493"/>
      <c r="V67" s="493"/>
      <c r="W67" s="493"/>
      <c r="X67" s="516">
        <v>2.1999999999999999E-2</v>
      </c>
      <c r="Y67" s="72">
        <v>1.6E-2</v>
      </c>
      <c r="Z67" s="72">
        <v>1.0999999999999999E-2</v>
      </c>
      <c r="AA67" s="181">
        <v>0.01</v>
      </c>
      <c r="AB67" s="240">
        <v>1383369</v>
      </c>
      <c r="AC67" s="240">
        <f>R67*X67*AB67</f>
        <v>17347.447259999997</v>
      </c>
      <c r="AD67" s="240">
        <f>R67*Y67*AB67</f>
        <v>12616.325279999999</v>
      </c>
      <c r="AE67" s="240">
        <f>R67*Z67*AB67</f>
        <v>8673.7236299999986</v>
      </c>
      <c r="AF67" s="240">
        <f>R67*AA67*AB67</f>
        <v>7885.2032999999992</v>
      </c>
      <c r="AG67" s="266">
        <v>0</v>
      </c>
      <c r="AH67" s="240">
        <f>ROUND(AG67*AJ3,0)</f>
        <v>0</v>
      </c>
      <c r="AI67" s="266">
        <v>2.1000000000000001E-4</v>
      </c>
      <c r="AJ67" s="240">
        <f>ROUND(AI67*AJ3,0)</f>
        <v>46</v>
      </c>
      <c r="AK67" s="619">
        <v>0</v>
      </c>
      <c r="AL67" s="240">
        <f>(M67*AC67)+(N67*AD67)+(O67*AE67)+(P67*AF67)+AK67+AL68+AL69</f>
        <v>114957.9639</v>
      </c>
      <c r="AM67" s="370">
        <v>1</v>
      </c>
      <c r="AN67" s="240">
        <f>AL67*AM67</f>
        <v>114957.9639</v>
      </c>
      <c r="AO67" s="240">
        <f>(AN67/F67)+AH67+AJ67</f>
        <v>57.495796390000002</v>
      </c>
      <c r="AP67" s="194"/>
      <c r="AQ67" s="194"/>
    </row>
    <row r="68" spans="1:43" ht="14.1" customHeight="1" x14ac:dyDescent="0.25">
      <c r="A68" s="493"/>
      <c r="B68" s="493"/>
      <c r="C68" s="370"/>
      <c r="D68" s="493"/>
      <c r="E68" s="64">
        <v>1E-3</v>
      </c>
      <c r="F68" s="240">
        <v>10000</v>
      </c>
      <c r="G68" s="64"/>
      <c r="H68" s="434" t="s">
        <v>40</v>
      </c>
      <c r="I68" s="217"/>
      <c r="J68" s="266" t="s">
        <v>1379</v>
      </c>
      <c r="K68" s="493"/>
      <c r="L68" s="266">
        <v>3</v>
      </c>
      <c r="M68" s="493">
        <f>IF(SUM(L67:L68)&lt;=1,L68,1-SUM(M67:M67))</f>
        <v>0</v>
      </c>
      <c r="N68" s="493">
        <f>IF(SUM(L67:L68)&lt;=10,L68-M68,9-SUM(N67:N67))</f>
        <v>3</v>
      </c>
      <c r="O68" s="493">
        <f>IF(SUM(L67:L68)&lt;=60,L68-M68-N68,50-SUM(O67:O67))</f>
        <v>0</v>
      </c>
      <c r="P68" s="493">
        <f t="shared" si="3"/>
        <v>0</v>
      </c>
      <c r="Q68" s="434" t="s">
        <v>1012</v>
      </c>
      <c r="R68" s="493">
        <v>0.56999999999999995</v>
      </c>
      <c r="S68" s="370"/>
      <c r="T68" s="493"/>
      <c r="U68" s="493"/>
      <c r="V68" s="493"/>
      <c r="W68" s="493"/>
      <c r="X68" s="516"/>
      <c r="Y68" s="72"/>
      <c r="Z68" s="72"/>
      <c r="AA68" s="181"/>
      <c r="AB68" s="240">
        <v>1383369</v>
      </c>
      <c r="AC68" s="240">
        <f>R68*X67*AB68</f>
        <v>17347.447259999997</v>
      </c>
      <c r="AD68" s="240">
        <f>R68*Y67*AB68</f>
        <v>12616.325279999999</v>
      </c>
      <c r="AE68" s="240">
        <f>R68*Z67*AB68</f>
        <v>8673.7236299999986</v>
      </c>
      <c r="AF68" s="240">
        <f>R68*AA67*AB68</f>
        <v>7885.2032999999992</v>
      </c>
      <c r="AG68" s="266"/>
      <c r="AH68" s="240"/>
      <c r="AI68" s="266"/>
      <c r="AJ68" s="240"/>
      <c r="AK68" s="619">
        <v>0</v>
      </c>
      <c r="AL68" s="240">
        <f t="shared" ref="AL68:AL69" si="72">(M68*AC68)+(N68*AD68)+(O68*AE68)+(P68*AF68)+AK68</f>
        <v>37848.975839999999</v>
      </c>
      <c r="AM68" s="370">
        <v>0</v>
      </c>
      <c r="AN68" s="240"/>
      <c r="AO68" s="240"/>
      <c r="AP68" s="194"/>
      <c r="AQ68" s="194"/>
    </row>
    <row r="69" spans="1:43" ht="14.1" customHeight="1" x14ac:dyDescent="0.25">
      <c r="A69" s="493"/>
      <c r="B69" s="493"/>
      <c r="C69" s="370"/>
      <c r="D69" s="493"/>
      <c r="E69" s="64">
        <v>1E-3</v>
      </c>
      <c r="F69" s="240">
        <v>10000</v>
      </c>
      <c r="G69" s="64"/>
      <c r="H69" s="434" t="s">
        <v>40</v>
      </c>
      <c r="I69" s="217"/>
      <c r="J69" s="266" t="s">
        <v>1379</v>
      </c>
      <c r="K69" s="493"/>
      <c r="L69" s="266">
        <v>2</v>
      </c>
      <c r="M69" s="493">
        <f>IF(SUM(L67:L69)&lt;=1,L69,1-SUM(M67:M68))</f>
        <v>0</v>
      </c>
      <c r="N69" s="493">
        <f>IF(SUM(L67:L69)&lt;=10,L69-M69,9-SUM(N67:N68))</f>
        <v>2</v>
      </c>
      <c r="O69" s="493">
        <f>IF(SUM(L67:L69)&lt;=60,L69-M69-N69,50-SUM(O67:O68))</f>
        <v>0</v>
      </c>
      <c r="P69" s="493">
        <f t="shared" si="3"/>
        <v>0</v>
      </c>
      <c r="Q69" s="434" t="s">
        <v>289</v>
      </c>
      <c r="R69" s="493">
        <v>1.35</v>
      </c>
      <c r="S69" s="370"/>
      <c r="T69" s="493"/>
      <c r="U69" s="493"/>
      <c r="V69" s="493"/>
      <c r="W69" s="493"/>
      <c r="X69" s="516"/>
      <c r="Y69" s="72"/>
      <c r="Z69" s="72"/>
      <c r="AA69" s="181"/>
      <c r="AB69" s="240">
        <v>1383369</v>
      </c>
      <c r="AC69" s="240">
        <f>R69*X67*AB69</f>
        <v>41086.059300000001</v>
      </c>
      <c r="AD69" s="240">
        <f>R69*Y67*AB69</f>
        <v>29880.770400000001</v>
      </c>
      <c r="AE69" s="240">
        <f>R69*Z67*AB69</f>
        <v>20543.02965</v>
      </c>
      <c r="AF69" s="240">
        <f>R69*AA67*AB69</f>
        <v>18675.481500000002</v>
      </c>
      <c r="AG69" s="266"/>
      <c r="AH69" s="240"/>
      <c r="AI69" s="266"/>
      <c r="AJ69" s="240"/>
      <c r="AK69" s="619">
        <v>0</v>
      </c>
      <c r="AL69" s="240">
        <f t="shared" si="72"/>
        <v>59761.540800000002</v>
      </c>
      <c r="AM69" s="370">
        <v>0</v>
      </c>
      <c r="AN69" s="240"/>
      <c r="AO69" s="240"/>
      <c r="AP69" s="194"/>
      <c r="AQ69" s="194"/>
    </row>
    <row r="70" spans="1:43" ht="14.1" customHeight="1" x14ac:dyDescent="0.25">
      <c r="A70" s="493">
        <v>29</v>
      </c>
      <c r="B70" s="493" t="s">
        <v>149</v>
      </c>
      <c r="C70" s="370" t="s">
        <v>89</v>
      </c>
      <c r="D70" s="493" t="s">
        <v>838</v>
      </c>
      <c r="E70" s="64">
        <v>1E-3</v>
      </c>
      <c r="F70" s="240">
        <v>10000</v>
      </c>
      <c r="G70" s="64"/>
      <c r="H70" s="434" t="s">
        <v>40</v>
      </c>
      <c r="I70" s="217"/>
      <c r="J70" s="266" t="s">
        <v>1379</v>
      </c>
      <c r="K70" s="493">
        <f>L72+L71+L70</f>
        <v>6</v>
      </c>
      <c r="L70" s="266">
        <v>1</v>
      </c>
      <c r="M70" s="493">
        <f>MIN(L70,1)</f>
        <v>1</v>
      </c>
      <c r="N70" s="493">
        <f>IF(L70&lt;10,L70-M70,9)</f>
        <v>0</v>
      </c>
      <c r="O70" s="493">
        <f>IF(L70&lt;60,L70-M70-N70,50)</f>
        <v>0</v>
      </c>
      <c r="P70" s="493">
        <f t="shared" si="3"/>
        <v>0</v>
      </c>
      <c r="Q70" s="434" t="s">
        <v>1012</v>
      </c>
      <c r="R70" s="493">
        <v>0.56999999999999995</v>
      </c>
      <c r="S70" s="370"/>
      <c r="T70" s="493"/>
      <c r="U70" s="493"/>
      <c r="V70" s="493"/>
      <c r="W70" s="493"/>
      <c r="X70" s="516">
        <v>2.1999999999999999E-2</v>
      </c>
      <c r="Y70" s="72">
        <v>1.6E-2</v>
      </c>
      <c r="Z70" s="72">
        <v>1.0999999999999999E-2</v>
      </c>
      <c r="AA70" s="181">
        <v>0.01</v>
      </c>
      <c r="AB70" s="240">
        <v>1383369</v>
      </c>
      <c r="AC70" s="240">
        <f>R70*X70*AB70</f>
        <v>17347.447259999997</v>
      </c>
      <c r="AD70" s="240">
        <f>R70*Y70*AB70</f>
        <v>12616.325279999999</v>
      </c>
      <c r="AE70" s="240">
        <f>R70*Z70*AB70</f>
        <v>8673.7236299999986</v>
      </c>
      <c r="AF70" s="240">
        <f>R70*AA70*AB70</f>
        <v>7885.2032999999992</v>
      </c>
      <c r="AG70" s="266">
        <v>0</v>
      </c>
      <c r="AH70" s="240">
        <f>ROUND(AG70*AJ3,0)</f>
        <v>0</v>
      </c>
      <c r="AI70" s="266">
        <v>2.1000000000000001E-4</v>
      </c>
      <c r="AJ70" s="240">
        <f>ROUND(AI70*AJ3,0)</f>
        <v>46</v>
      </c>
      <c r="AK70" s="619">
        <v>0</v>
      </c>
      <c r="AL70" s="240">
        <f>(M70*AC70)+(N70*AD70)+(O70*AE70)+(P70*AF70)+AK70+AL71+AL72</f>
        <v>114957.9639</v>
      </c>
      <c r="AM70" s="370">
        <v>1</v>
      </c>
      <c r="AN70" s="240">
        <f>AL70*AM70</f>
        <v>114957.9639</v>
      </c>
      <c r="AO70" s="240">
        <f>(AN70/F70)+AH70+AJ70</f>
        <v>57.495796390000002</v>
      </c>
      <c r="AP70" s="194"/>
      <c r="AQ70" s="194"/>
    </row>
    <row r="71" spans="1:43" ht="14.1" customHeight="1" x14ac:dyDescent="0.25">
      <c r="A71" s="493"/>
      <c r="B71" s="493"/>
      <c r="C71" s="370"/>
      <c r="D71" s="493"/>
      <c r="E71" s="64">
        <v>1E-3</v>
      </c>
      <c r="F71" s="240">
        <v>10000</v>
      </c>
      <c r="G71" s="64"/>
      <c r="H71" s="434" t="s">
        <v>40</v>
      </c>
      <c r="I71" s="217"/>
      <c r="J71" s="266" t="s">
        <v>1379</v>
      </c>
      <c r="K71" s="493"/>
      <c r="L71" s="266">
        <v>3</v>
      </c>
      <c r="M71" s="493">
        <f>IF(SUM(L70:L71)&lt;=1,L71,1-SUM(M70:M70))</f>
        <v>0</v>
      </c>
      <c r="N71" s="493">
        <f>IF(SUM(L70:L71)&lt;=10,L71-M71,9-SUM(N70:N70))</f>
        <v>3</v>
      </c>
      <c r="O71" s="493">
        <f>IF(SUM(L70:L71)&lt;=60,L71-M71-N71,50-SUM(O70:O70))</f>
        <v>0</v>
      </c>
      <c r="P71" s="493">
        <f t="shared" si="3"/>
        <v>0</v>
      </c>
      <c r="Q71" s="434" t="s">
        <v>1012</v>
      </c>
      <c r="R71" s="493">
        <v>0.56999999999999995</v>
      </c>
      <c r="S71" s="370"/>
      <c r="T71" s="493"/>
      <c r="U71" s="493"/>
      <c r="V71" s="493"/>
      <c r="W71" s="493"/>
      <c r="X71" s="516"/>
      <c r="Y71" s="72"/>
      <c r="Z71" s="72"/>
      <c r="AA71" s="181"/>
      <c r="AB71" s="240">
        <v>1383369</v>
      </c>
      <c r="AC71" s="240">
        <f>R71*X70*AB71</f>
        <v>17347.447259999997</v>
      </c>
      <c r="AD71" s="240">
        <f>R71*Y70*AB71</f>
        <v>12616.325279999999</v>
      </c>
      <c r="AE71" s="240">
        <f>R71*Z70*AB71</f>
        <v>8673.7236299999986</v>
      </c>
      <c r="AF71" s="240">
        <f>R71*AA70*AB71</f>
        <v>7885.2032999999992</v>
      </c>
      <c r="AG71" s="266"/>
      <c r="AH71" s="240"/>
      <c r="AI71" s="266"/>
      <c r="AJ71" s="240"/>
      <c r="AK71" s="619">
        <v>0</v>
      </c>
      <c r="AL71" s="240">
        <f t="shared" ref="AL71:AL72" si="73">(M71*AC71)+(N71*AD71)+(O71*AE71)+(P71*AF71)+AK71</f>
        <v>37848.975839999999</v>
      </c>
      <c r="AM71" s="370">
        <v>0</v>
      </c>
      <c r="AN71" s="240"/>
      <c r="AO71" s="240"/>
      <c r="AP71" s="194"/>
      <c r="AQ71" s="194"/>
    </row>
    <row r="72" spans="1:43" ht="14.1" customHeight="1" x14ac:dyDescent="0.25">
      <c r="A72" s="493"/>
      <c r="B72" s="493"/>
      <c r="C72" s="370"/>
      <c r="D72" s="493"/>
      <c r="E72" s="64">
        <v>1E-3</v>
      </c>
      <c r="F72" s="240">
        <v>10000</v>
      </c>
      <c r="G72" s="64"/>
      <c r="H72" s="434" t="s">
        <v>40</v>
      </c>
      <c r="I72" s="217"/>
      <c r="J72" s="266" t="s">
        <v>1379</v>
      </c>
      <c r="K72" s="493"/>
      <c r="L72" s="266">
        <v>2</v>
      </c>
      <c r="M72" s="493">
        <f>IF(SUM(L70:L72)&lt;=1,L72,1-SUM(M70:M71))</f>
        <v>0</v>
      </c>
      <c r="N72" s="493">
        <f>IF(SUM(L70:L72)&lt;=10,L72-M72,9-SUM(N70:N71))</f>
        <v>2</v>
      </c>
      <c r="O72" s="493">
        <f>IF(SUM(L70:L72)&lt;=60,L72-M72-N72,50-SUM(O70:O71))</f>
        <v>0</v>
      </c>
      <c r="P72" s="493">
        <f t="shared" si="3"/>
        <v>0</v>
      </c>
      <c r="Q72" s="434" t="s">
        <v>289</v>
      </c>
      <c r="R72" s="493">
        <v>1.35</v>
      </c>
      <c r="S72" s="370"/>
      <c r="T72" s="493"/>
      <c r="U72" s="493"/>
      <c r="V72" s="493"/>
      <c r="W72" s="493"/>
      <c r="X72" s="516"/>
      <c r="Y72" s="72"/>
      <c r="Z72" s="72"/>
      <c r="AA72" s="181"/>
      <c r="AB72" s="240">
        <v>1383369</v>
      </c>
      <c r="AC72" s="240">
        <f>R72*X70*AB72</f>
        <v>41086.059300000001</v>
      </c>
      <c r="AD72" s="240">
        <f>R72*Y70*AB72</f>
        <v>29880.770400000001</v>
      </c>
      <c r="AE72" s="240">
        <f>R72*Z70*AB72</f>
        <v>20543.02965</v>
      </c>
      <c r="AF72" s="240">
        <f>R72*AA70*AB72</f>
        <v>18675.481500000002</v>
      </c>
      <c r="AG72" s="266"/>
      <c r="AH72" s="240"/>
      <c r="AI72" s="266"/>
      <c r="AJ72" s="240"/>
      <c r="AK72" s="619">
        <v>0</v>
      </c>
      <c r="AL72" s="240">
        <f t="shared" si="73"/>
        <v>59761.540800000002</v>
      </c>
      <c r="AM72" s="370">
        <v>0</v>
      </c>
      <c r="AN72" s="240"/>
      <c r="AO72" s="240"/>
      <c r="AP72" s="194"/>
      <c r="AQ72" s="194"/>
    </row>
    <row r="73" spans="1:43" ht="14.1" customHeight="1" x14ac:dyDescent="0.25">
      <c r="A73" s="493">
        <v>30</v>
      </c>
      <c r="B73" s="493" t="s">
        <v>235</v>
      </c>
      <c r="C73" s="370" t="s">
        <v>662</v>
      </c>
      <c r="D73" s="493" t="s">
        <v>838</v>
      </c>
      <c r="E73" s="64">
        <v>1E-3</v>
      </c>
      <c r="F73" s="240">
        <v>10000</v>
      </c>
      <c r="G73" s="64"/>
      <c r="H73" s="434" t="s">
        <v>1052</v>
      </c>
      <c r="I73" s="217"/>
      <c r="J73" s="266" t="s">
        <v>1379</v>
      </c>
      <c r="K73" s="493"/>
      <c r="L73" s="266"/>
      <c r="M73" s="493"/>
      <c r="N73" s="493">
        <f>IF(L73&lt;10,L73-M73,9)</f>
        <v>0</v>
      </c>
      <c r="O73" s="493">
        <f>IF(L73&lt;60,L73-M73-N73,50)</f>
        <v>0</v>
      </c>
      <c r="P73" s="493">
        <f t="shared" si="3"/>
        <v>0</v>
      </c>
      <c r="Q73" s="434"/>
      <c r="R73" s="493"/>
      <c r="S73" s="370"/>
      <c r="T73" s="493"/>
      <c r="U73" s="493"/>
      <c r="V73" s="493"/>
      <c r="W73" s="493"/>
      <c r="X73" s="516"/>
      <c r="Y73" s="72"/>
      <c r="Z73" s="72"/>
      <c r="AA73" s="181"/>
      <c r="AB73" s="240"/>
      <c r="AC73" s="240">
        <f>R73*X73*AB73</f>
        <v>0</v>
      </c>
      <c r="AD73" s="240">
        <f>R73*Y73*AB73</f>
        <v>0</v>
      </c>
      <c r="AE73" s="240">
        <f>R73*Z73*AB73</f>
        <v>0</v>
      </c>
      <c r="AF73" s="240">
        <f>R73*AA73*AB73</f>
        <v>0</v>
      </c>
      <c r="AG73" s="266">
        <v>0</v>
      </c>
      <c r="AH73" s="240">
        <f>ROUND(AG73*AJ3,0)</f>
        <v>0</v>
      </c>
      <c r="AI73" s="266">
        <v>1.1E-4</v>
      </c>
      <c r="AJ73" s="240">
        <f>ROUND(AI73*AJ3,0)</f>
        <v>24</v>
      </c>
      <c r="AK73" s="619">
        <v>0</v>
      </c>
      <c r="AL73" s="240"/>
      <c r="AM73" s="370">
        <v>1</v>
      </c>
      <c r="AN73" s="240">
        <f>AL73*AM73</f>
        <v>0</v>
      </c>
      <c r="AO73" s="240">
        <f>(AN73/F73)+AH73+AJ73</f>
        <v>24</v>
      </c>
      <c r="AP73" s="194"/>
      <c r="AQ73" s="194"/>
    </row>
    <row r="74" spans="1:43" ht="14.1" hidden="1" customHeight="1" x14ac:dyDescent="0.25">
      <c r="A74" s="493"/>
      <c r="B74" s="493"/>
      <c r="C74" s="370"/>
      <c r="D74" s="493"/>
      <c r="E74" s="64"/>
      <c r="F74" s="240"/>
      <c r="G74" s="64"/>
      <c r="H74" s="434"/>
      <c r="I74" s="217"/>
      <c r="J74" s="266"/>
      <c r="K74" s="493"/>
      <c r="L74" s="266"/>
      <c r="M74" s="493"/>
      <c r="N74" s="493"/>
      <c r="O74" s="493"/>
      <c r="P74" s="493"/>
      <c r="Q74" s="434"/>
      <c r="R74" s="493"/>
      <c r="S74" s="370"/>
      <c r="T74" s="493"/>
      <c r="U74" s="493"/>
      <c r="V74" s="493"/>
      <c r="W74" s="493"/>
      <c r="X74" s="516"/>
      <c r="Y74" s="72"/>
      <c r="Z74" s="72"/>
      <c r="AA74" s="181"/>
      <c r="AB74" s="240"/>
      <c r="AC74" s="240"/>
      <c r="AD74" s="240"/>
      <c r="AE74" s="240"/>
      <c r="AF74" s="240"/>
      <c r="AG74" s="266"/>
      <c r="AH74" s="240"/>
      <c r="AI74" s="266"/>
      <c r="AJ74" s="240"/>
      <c r="AK74" s="619"/>
      <c r="AL74" s="240"/>
      <c r="AM74" s="370"/>
      <c r="AN74" s="240"/>
      <c r="AO74" s="240"/>
      <c r="AP74" s="194"/>
      <c r="AQ74" s="194"/>
    </row>
    <row r="75" spans="1:43" ht="14.1" customHeight="1" x14ac:dyDescent="0.25">
      <c r="A75" s="144"/>
      <c r="B75" s="144"/>
      <c r="C75" s="546"/>
      <c r="D75" s="144"/>
      <c r="E75" s="280"/>
      <c r="F75" s="407"/>
      <c r="G75" s="280"/>
      <c r="H75" s="606"/>
      <c r="I75" s="386"/>
      <c r="J75" s="430"/>
      <c r="K75" s="144"/>
      <c r="L75" s="430"/>
      <c r="M75" s="144"/>
      <c r="N75" s="144"/>
      <c r="O75" s="144"/>
      <c r="P75" s="144"/>
      <c r="Q75" s="606"/>
      <c r="R75" s="144"/>
      <c r="S75" s="546"/>
      <c r="T75" s="144"/>
      <c r="U75" s="144"/>
      <c r="V75" s="144"/>
      <c r="W75" s="144"/>
      <c r="X75" s="144"/>
      <c r="Y75" s="144"/>
      <c r="Z75" s="144"/>
      <c r="AA75" s="144"/>
      <c r="AB75" s="407"/>
      <c r="AC75" s="407"/>
      <c r="AD75" s="407"/>
      <c r="AE75" s="407"/>
      <c r="AF75" s="407"/>
      <c r="AG75" s="21"/>
      <c r="AH75" s="407"/>
      <c r="AI75" s="21"/>
      <c r="AJ75" s="407"/>
      <c r="AK75" s="21"/>
      <c r="AL75" s="407"/>
      <c r="AM75" s="546"/>
      <c r="AN75" s="407"/>
      <c r="AO75" s="407"/>
      <c r="AP75" s="194"/>
      <c r="AQ75" s="194"/>
    </row>
    <row r="76" spans="1:43" ht="15" customHeight="1" x14ac:dyDescent="0.25">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row>
    <row r="77" spans="1:43" ht="15" customHeight="1" x14ac:dyDescent="0.25">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row>
    <row r="78" spans="1:43" x14ac:dyDescent="0.25">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row>
    <row r="79" spans="1:43" x14ac:dyDescent="0.25">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row>
    <row r="80" spans="1:43" x14ac:dyDescent="0.25">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row>
    <row r="81" spans="1:43" x14ac:dyDescent="0.25">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row>
    <row r="82" spans="1:43" x14ac:dyDescent="0.25">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row>
    <row r="83" spans="1:43" x14ac:dyDescent="0.25">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row>
    <row r="84" spans="1:43" x14ac:dyDescent="0.25">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row>
    <row r="85" spans="1:43" x14ac:dyDescent="0.25">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row>
    <row r="86" spans="1:43" x14ac:dyDescent="0.25">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row>
    <row r="87" spans="1:43" x14ac:dyDescent="0.25">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row>
    <row r="88" spans="1:43" x14ac:dyDescent="0.25">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row>
    <row r="89" spans="1:43" x14ac:dyDescent="0.25">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row>
    <row r="90" spans="1:43" x14ac:dyDescent="0.25">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row>
    <row r="91" spans="1:43" x14ac:dyDescent="0.25">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row>
    <row r="92" spans="1:43" x14ac:dyDescent="0.25">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row>
    <row r="93" spans="1:43" x14ac:dyDescent="0.25">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row>
    <row r="94" spans="1:43" x14ac:dyDescent="0.25">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row>
    <row r="95" spans="1:43" x14ac:dyDescent="0.25">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row>
    <row r="96" spans="1:43" x14ac:dyDescent="0.25">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row>
    <row r="97" spans="1:43" x14ac:dyDescent="0.25">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row>
    <row r="98" spans="1:43" x14ac:dyDescent="0.25">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row>
    <row r="99" spans="1:43" x14ac:dyDescent="0.25">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row>
    <row r="100" spans="1:43" x14ac:dyDescent="0.25">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row>
    <row r="101" spans="1:43" x14ac:dyDescent="0.25">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row>
    <row r="102" spans="1:43" x14ac:dyDescent="0.25">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row>
    <row r="103" spans="1:43" x14ac:dyDescent="0.25">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row>
    <row r="104" spans="1:43" ht="15.75" x14ac:dyDescent="0.25">
      <c r="A104" s="110"/>
      <c r="B104" s="110"/>
      <c r="C104" s="110"/>
      <c r="D104" s="110"/>
      <c r="E104" s="110"/>
      <c r="F104" s="732"/>
      <c r="G104" s="110"/>
      <c r="H104" s="110"/>
      <c r="I104" s="110"/>
      <c r="J104" s="110"/>
      <c r="K104" s="258"/>
      <c r="L104" s="258"/>
      <c r="M104" s="258"/>
      <c r="N104" s="258"/>
      <c r="O104" s="258"/>
      <c r="P104" s="258"/>
      <c r="Q104" s="110"/>
      <c r="R104" s="258"/>
      <c r="S104" s="110"/>
      <c r="T104" s="110"/>
      <c r="U104" s="110"/>
      <c r="V104" s="110"/>
      <c r="W104" s="110"/>
      <c r="X104" s="258"/>
      <c r="Y104" s="258"/>
      <c r="Z104" s="258"/>
      <c r="AA104" s="258"/>
      <c r="AB104" s="732"/>
      <c r="AC104" s="732"/>
      <c r="AD104" s="732"/>
      <c r="AE104" s="110"/>
      <c r="AF104" s="110"/>
      <c r="AG104" s="732"/>
      <c r="AH104" s="732"/>
      <c r="AI104" s="732"/>
      <c r="AJ104" s="110"/>
      <c r="AK104" s="110"/>
      <c r="AL104" s="732"/>
      <c r="AM104" s="110"/>
      <c r="AN104" s="732"/>
      <c r="AO104" s="732"/>
      <c r="AP104" s="110"/>
      <c r="AQ104" s="110"/>
    </row>
    <row r="105" spans="1:43" ht="15.75" x14ac:dyDescent="0.25">
      <c r="A105" s="110"/>
      <c r="B105" s="110"/>
      <c r="C105" s="110"/>
      <c r="D105" s="110"/>
      <c r="E105" s="110"/>
      <c r="F105" s="732"/>
      <c r="G105" s="110"/>
      <c r="H105" s="110"/>
      <c r="I105" s="110"/>
      <c r="J105" s="110"/>
      <c r="K105" s="258"/>
      <c r="L105" s="258"/>
      <c r="M105" s="258"/>
      <c r="N105" s="258"/>
      <c r="O105" s="258"/>
      <c r="P105" s="258"/>
      <c r="Q105" s="110"/>
      <c r="R105" s="258"/>
      <c r="S105" s="110"/>
      <c r="T105" s="110"/>
      <c r="U105" s="110"/>
      <c r="V105" s="110"/>
      <c r="W105" s="110"/>
      <c r="X105" s="258"/>
      <c r="Y105" s="258"/>
      <c r="Z105" s="258"/>
      <c r="AA105" s="258"/>
      <c r="AB105" s="732"/>
      <c r="AC105" s="732"/>
      <c r="AD105" s="732"/>
      <c r="AE105" s="110"/>
      <c r="AF105" s="110"/>
      <c r="AG105" s="732"/>
      <c r="AH105" s="732"/>
      <c r="AI105" s="732"/>
      <c r="AJ105" s="110"/>
      <c r="AK105" s="110"/>
      <c r="AL105" s="732"/>
      <c r="AM105" s="110"/>
      <c r="AN105" s="732"/>
      <c r="AO105" s="732"/>
      <c r="AP105" s="110"/>
      <c r="AQ105" s="110"/>
    </row>
    <row r="106" spans="1:43" ht="15.75" x14ac:dyDescent="0.25">
      <c r="A106" s="110"/>
      <c r="B106" s="110"/>
      <c r="C106" s="110"/>
      <c r="D106" s="110"/>
      <c r="E106" s="110"/>
      <c r="F106" s="732"/>
      <c r="G106" s="110"/>
      <c r="H106" s="110"/>
      <c r="I106" s="110"/>
      <c r="J106" s="110"/>
      <c r="K106" s="258"/>
      <c r="L106" s="258"/>
      <c r="M106" s="258"/>
      <c r="N106" s="258"/>
      <c r="O106" s="258"/>
      <c r="P106" s="258"/>
      <c r="Q106" s="110"/>
      <c r="R106" s="258"/>
      <c r="S106" s="110"/>
      <c r="T106" s="110"/>
      <c r="U106" s="110"/>
      <c r="V106" s="110"/>
      <c r="W106" s="110"/>
      <c r="X106" s="258"/>
      <c r="Y106" s="258"/>
      <c r="Z106" s="258"/>
      <c r="AA106" s="258"/>
      <c r="AB106" s="732"/>
      <c r="AC106" s="732"/>
      <c r="AD106" s="732"/>
      <c r="AE106" s="110"/>
      <c r="AF106" s="110"/>
      <c r="AG106" s="732"/>
      <c r="AH106" s="732"/>
      <c r="AI106" s="732"/>
      <c r="AJ106" s="110"/>
      <c r="AK106" s="110"/>
      <c r="AL106" s="732"/>
      <c r="AM106" s="110"/>
      <c r="AN106" s="732"/>
      <c r="AO106" s="732"/>
      <c r="AP106" s="110"/>
      <c r="AQ106" s="110"/>
    </row>
    <row r="107" spans="1:43" ht="15.75" x14ac:dyDescent="0.25">
      <c r="A107" s="110"/>
      <c r="B107" s="110"/>
      <c r="C107" s="110"/>
      <c r="D107" s="110"/>
      <c r="E107" s="110"/>
      <c r="F107" s="732"/>
      <c r="G107" s="110"/>
      <c r="H107" s="110"/>
      <c r="I107" s="110"/>
      <c r="J107" s="110"/>
      <c r="K107" s="258"/>
      <c r="L107" s="258"/>
      <c r="M107" s="258"/>
      <c r="N107" s="258"/>
      <c r="O107" s="258"/>
      <c r="P107" s="258"/>
      <c r="Q107" s="110"/>
      <c r="R107" s="258"/>
      <c r="S107" s="110"/>
      <c r="T107" s="110"/>
      <c r="U107" s="110"/>
      <c r="V107" s="110"/>
      <c r="W107" s="110"/>
      <c r="X107" s="258"/>
      <c r="Y107" s="258"/>
      <c r="Z107" s="258"/>
      <c r="AA107" s="258"/>
      <c r="AB107" s="732"/>
      <c r="AC107" s="732"/>
      <c r="AD107" s="732"/>
      <c r="AE107" s="110"/>
      <c r="AF107" s="110"/>
      <c r="AG107" s="732"/>
      <c r="AH107" s="732"/>
      <c r="AI107" s="732"/>
      <c r="AJ107" s="110"/>
      <c r="AK107" s="110"/>
      <c r="AL107" s="732"/>
      <c r="AM107" s="110"/>
      <c r="AN107" s="732"/>
      <c r="AO107" s="732"/>
      <c r="AP107" s="110"/>
      <c r="AQ107" s="110"/>
    </row>
    <row r="108" spans="1:43" ht="15.75" x14ac:dyDescent="0.25">
      <c r="A108" s="110"/>
      <c r="B108" s="110"/>
      <c r="C108" s="110"/>
      <c r="D108" s="110"/>
      <c r="E108" s="110"/>
      <c r="F108" s="732"/>
      <c r="G108" s="110"/>
      <c r="H108" s="110"/>
      <c r="I108" s="110"/>
      <c r="J108" s="110"/>
      <c r="K108" s="258"/>
      <c r="L108" s="258"/>
      <c r="M108" s="258"/>
      <c r="N108" s="258"/>
      <c r="O108" s="258"/>
      <c r="P108" s="258"/>
      <c r="Q108" s="110"/>
      <c r="R108" s="258"/>
      <c r="S108" s="110"/>
      <c r="T108" s="110"/>
      <c r="U108" s="110"/>
      <c r="V108" s="110"/>
      <c r="W108" s="110"/>
      <c r="X108" s="258"/>
      <c r="Y108" s="258"/>
      <c r="Z108" s="258"/>
      <c r="AA108" s="258"/>
      <c r="AB108" s="732"/>
      <c r="AC108" s="732"/>
      <c r="AD108" s="732"/>
      <c r="AE108" s="110"/>
      <c r="AF108" s="110"/>
      <c r="AG108" s="732"/>
      <c r="AH108" s="732"/>
      <c r="AI108" s="732"/>
      <c r="AJ108" s="110"/>
      <c r="AK108" s="110"/>
      <c r="AL108" s="732"/>
      <c r="AM108" s="110"/>
      <c r="AN108" s="732"/>
      <c r="AO108" s="732"/>
      <c r="AP108" s="110"/>
      <c r="AQ108" s="110"/>
    </row>
    <row r="109" spans="1:43" ht="15.75" x14ac:dyDescent="0.25">
      <c r="A109" s="110"/>
      <c r="B109" s="110"/>
      <c r="C109" s="110"/>
      <c r="D109" s="110"/>
      <c r="E109" s="110"/>
      <c r="F109" s="732"/>
      <c r="G109" s="110"/>
      <c r="H109" s="110"/>
      <c r="I109" s="110"/>
      <c r="J109" s="110"/>
      <c r="K109" s="258"/>
      <c r="L109" s="258"/>
      <c r="M109" s="258"/>
      <c r="N109" s="258"/>
      <c r="O109" s="258"/>
      <c r="P109" s="258"/>
      <c r="Q109" s="110"/>
      <c r="R109" s="258"/>
      <c r="S109" s="110"/>
      <c r="T109" s="110"/>
      <c r="U109" s="110"/>
      <c r="V109" s="110"/>
      <c r="W109" s="110"/>
      <c r="X109" s="258"/>
      <c r="Y109" s="258"/>
      <c r="Z109" s="258"/>
      <c r="AA109" s="258"/>
      <c r="AB109" s="732"/>
      <c r="AC109" s="732"/>
      <c r="AD109" s="732"/>
      <c r="AE109" s="110"/>
      <c r="AF109" s="110"/>
      <c r="AG109" s="732"/>
      <c r="AH109" s="732"/>
      <c r="AI109" s="732"/>
      <c r="AJ109" s="110"/>
      <c r="AK109" s="110"/>
      <c r="AL109" s="732"/>
      <c r="AM109" s="110"/>
      <c r="AN109" s="732"/>
      <c r="AO109" s="732"/>
      <c r="AP109" s="110"/>
      <c r="AQ109" s="110"/>
    </row>
    <row r="110" spans="1:43" ht="15.75" x14ac:dyDescent="0.25">
      <c r="A110" s="110"/>
      <c r="B110" s="110"/>
      <c r="C110" s="110"/>
      <c r="D110" s="110"/>
      <c r="E110" s="110"/>
      <c r="F110" s="732"/>
      <c r="G110" s="110"/>
      <c r="H110" s="110"/>
      <c r="I110" s="110"/>
      <c r="J110" s="110"/>
      <c r="K110" s="258"/>
      <c r="L110" s="258"/>
      <c r="M110" s="258"/>
      <c r="N110" s="258"/>
      <c r="O110" s="258"/>
      <c r="P110" s="258"/>
      <c r="Q110" s="110"/>
      <c r="R110" s="258"/>
      <c r="S110" s="110"/>
      <c r="T110" s="110"/>
      <c r="U110" s="110"/>
      <c r="V110" s="110"/>
      <c r="W110" s="110"/>
      <c r="X110" s="258"/>
      <c r="Y110" s="258"/>
      <c r="Z110" s="258"/>
      <c r="AA110" s="258"/>
      <c r="AB110" s="732"/>
      <c r="AC110" s="732"/>
      <c r="AD110" s="732"/>
      <c r="AE110" s="110"/>
      <c r="AF110" s="110"/>
      <c r="AG110" s="732"/>
      <c r="AH110" s="732"/>
      <c r="AI110" s="732"/>
      <c r="AJ110" s="110"/>
      <c r="AK110" s="110"/>
      <c r="AL110" s="732"/>
      <c r="AM110" s="110"/>
      <c r="AN110" s="732"/>
      <c r="AO110" s="732"/>
      <c r="AP110" s="110"/>
      <c r="AQ110" s="110"/>
    </row>
    <row r="111" spans="1:43" ht="15.75" x14ac:dyDescent="0.25">
      <c r="A111" s="110"/>
      <c r="B111" s="110"/>
      <c r="C111" s="110"/>
      <c r="D111" s="110"/>
      <c r="E111" s="110"/>
      <c r="F111" s="732"/>
      <c r="G111" s="110"/>
      <c r="H111" s="110"/>
      <c r="I111" s="110"/>
      <c r="J111" s="110"/>
      <c r="K111" s="258"/>
      <c r="L111" s="258"/>
      <c r="M111" s="258"/>
      <c r="N111" s="258"/>
      <c r="O111" s="258"/>
      <c r="P111" s="258"/>
      <c r="Q111" s="110"/>
      <c r="R111" s="258"/>
      <c r="S111" s="110"/>
      <c r="T111" s="110"/>
      <c r="U111" s="110"/>
      <c r="V111" s="110"/>
      <c r="W111" s="110"/>
      <c r="X111" s="258"/>
      <c r="Y111" s="258"/>
      <c r="Z111" s="258"/>
      <c r="AA111" s="258"/>
      <c r="AB111" s="732"/>
      <c r="AC111" s="732"/>
      <c r="AD111" s="732"/>
      <c r="AE111" s="110"/>
      <c r="AF111" s="110"/>
      <c r="AG111" s="732"/>
      <c r="AH111" s="732"/>
      <c r="AI111" s="732"/>
      <c r="AJ111" s="110"/>
      <c r="AK111" s="110"/>
      <c r="AL111" s="732"/>
      <c r="AM111" s="110"/>
      <c r="AN111" s="732"/>
      <c r="AO111" s="732"/>
      <c r="AP111" s="110"/>
      <c r="AQ111" s="110"/>
    </row>
    <row r="112" spans="1:43" ht="15.75" x14ac:dyDescent="0.25">
      <c r="A112" s="110"/>
      <c r="B112" s="110"/>
      <c r="C112" s="110"/>
      <c r="D112" s="110"/>
      <c r="E112" s="110"/>
      <c r="F112" s="732"/>
      <c r="G112" s="110"/>
      <c r="H112" s="110"/>
      <c r="I112" s="110"/>
      <c r="J112" s="110"/>
      <c r="K112" s="258"/>
      <c r="L112" s="258"/>
      <c r="M112" s="258"/>
      <c r="N112" s="258"/>
      <c r="O112" s="258"/>
      <c r="P112" s="258"/>
      <c r="Q112" s="110"/>
      <c r="R112" s="258"/>
      <c r="S112" s="110"/>
      <c r="T112" s="110"/>
      <c r="U112" s="110"/>
      <c r="V112" s="110"/>
      <c r="W112" s="110"/>
      <c r="X112" s="258"/>
      <c r="Y112" s="258"/>
      <c r="Z112" s="258"/>
      <c r="AA112" s="258"/>
      <c r="AB112" s="732"/>
      <c r="AC112" s="732"/>
      <c r="AD112" s="732"/>
      <c r="AE112" s="110"/>
      <c r="AF112" s="110"/>
      <c r="AG112" s="732"/>
      <c r="AH112" s="732"/>
      <c r="AI112" s="732"/>
      <c r="AJ112" s="110"/>
      <c r="AK112" s="110"/>
      <c r="AL112" s="732"/>
      <c r="AM112" s="110"/>
      <c r="AN112" s="732"/>
      <c r="AO112" s="732"/>
      <c r="AP112" s="110"/>
      <c r="AQ112" s="110"/>
    </row>
    <row r="113" spans="1:43" ht="15.75" x14ac:dyDescent="0.25">
      <c r="A113" s="110"/>
      <c r="B113" s="110"/>
      <c r="C113" s="110"/>
      <c r="D113" s="110"/>
      <c r="E113" s="110"/>
      <c r="F113" s="732"/>
      <c r="G113" s="110"/>
      <c r="H113" s="110"/>
      <c r="I113" s="110"/>
      <c r="J113" s="110"/>
      <c r="K113" s="258"/>
      <c r="L113" s="258"/>
      <c r="M113" s="258"/>
      <c r="N113" s="258"/>
      <c r="O113" s="258"/>
      <c r="P113" s="258"/>
      <c r="Q113" s="110"/>
      <c r="R113" s="258"/>
      <c r="S113" s="110"/>
      <c r="T113" s="110"/>
      <c r="U113" s="110"/>
      <c r="V113" s="110"/>
      <c r="W113" s="110"/>
      <c r="X113" s="258"/>
      <c r="Y113" s="258"/>
      <c r="Z113" s="258"/>
      <c r="AA113" s="258"/>
      <c r="AB113" s="732"/>
      <c r="AC113" s="732"/>
      <c r="AD113" s="732"/>
      <c r="AE113" s="110"/>
      <c r="AF113" s="110"/>
      <c r="AG113" s="732"/>
      <c r="AH113" s="732"/>
      <c r="AI113" s="732"/>
      <c r="AJ113" s="110"/>
      <c r="AK113" s="110"/>
      <c r="AL113" s="732"/>
      <c r="AM113" s="110"/>
      <c r="AN113" s="732"/>
      <c r="AO113" s="732"/>
      <c r="AP113" s="110"/>
      <c r="AQ113" s="110"/>
    </row>
    <row r="114" spans="1:43" ht="15.75" x14ac:dyDescent="0.25">
      <c r="A114" s="110"/>
      <c r="B114" s="110"/>
      <c r="C114" s="110"/>
      <c r="D114" s="110"/>
      <c r="E114" s="110"/>
      <c r="F114" s="732"/>
      <c r="G114" s="110"/>
      <c r="H114" s="110"/>
      <c r="I114" s="110"/>
      <c r="J114" s="110"/>
      <c r="K114" s="258"/>
      <c r="L114" s="258"/>
      <c r="M114" s="258"/>
      <c r="N114" s="258"/>
      <c r="O114" s="258"/>
      <c r="P114" s="258"/>
      <c r="Q114" s="110"/>
      <c r="R114" s="258"/>
      <c r="S114" s="110"/>
      <c r="T114" s="110"/>
      <c r="U114" s="110"/>
      <c r="V114" s="110"/>
      <c r="W114" s="110"/>
      <c r="X114" s="258"/>
      <c r="Y114" s="258"/>
      <c r="Z114" s="258"/>
      <c r="AA114" s="258"/>
      <c r="AB114" s="732"/>
      <c r="AC114" s="732"/>
      <c r="AD114" s="732"/>
      <c r="AE114" s="110"/>
      <c r="AF114" s="110"/>
      <c r="AG114" s="732"/>
      <c r="AH114" s="732"/>
      <c r="AI114" s="732"/>
      <c r="AJ114" s="110"/>
      <c r="AK114" s="110"/>
      <c r="AL114" s="732"/>
      <c r="AM114" s="110"/>
      <c r="AN114" s="732"/>
      <c r="AO114" s="732"/>
      <c r="AP114" s="110"/>
      <c r="AQ114" s="110"/>
    </row>
    <row r="115" spans="1:43" ht="15.75" x14ac:dyDescent="0.25">
      <c r="A115" s="110"/>
      <c r="B115" s="110"/>
      <c r="C115" s="110"/>
      <c r="D115" s="110"/>
      <c r="E115" s="110"/>
      <c r="F115" s="732"/>
      <c r="G115" s="110"/>
      <c r="H115" s="110"/>
      <c r="I115" s="110"/>
      <c r="J115" s="110"/>
      <c r="K115" s="258"/>
      <c r="L115" s="258"/>
      <c r="M115" s="258"/>
      <c r="N115" s="258"/>
      <c r="O115" s="258"/>
      <c r="P115" s="258"/>
      <c r="Q115" s="110"/>
      <c r="R115" s="258"/>
      <c r="S115" s="110"/>
      <c r="T115" s="110"/>
      <c r="U115" s="110"/>
      <c r="V115" s="110"/>
      <c r="W115" s="110"/>
      <c r="X115" s="258"/>
      <c r="Y115" s="258"/>
      <c r="Z115" s="258"/>
      <c r="AA115" s="258"/>
      <c r="AB115" s="732"/>
      <c r="AC115" s="732"/>
      <c r="AD115" s="732"/>
      <c r="AE115" s="110"/>
      <c r="AF115" s="110"/>
      <c r="AG115" s="732"/>
      <c r="AH115" s="732"/>
      <c r="AI115" s="732"/>
      <c r="AJ115" s="110"/>
      <c r="AK115" s="110"/>
      <c r="AL115" s="732"/>
      <c r="AM115" s="110"/>
      <c r="AN115" s="732"/>
      <c r="AO115" s="732"/>
      <c r="AP115" s="110"/>
      <c r="AQ115" s="110"/>
    </row>
    <row r="116" spans="1:43" ht="15.75" x14ac:dyDescent="0.25">
      <c r="A116" s="110"/>
      <c r="B116" s="110"/>
      <c r="C116" s="110"/>
      <c r="D116" s="110"/>
      <c r="E116" s="110"/>
      <c r="F116" s="732"/>
      <c r="G116" s="110"/>
      <c r="H116" s="110"/>
      <c r="I116" s="110"/>
      <c r="J116" s="110"/>
      <c r="K116" s="258"/>
      <c r="L116" s="258"/>
      <c r="M116" s="258"/>
      <c r="N116" s="258"/>
      <c r="O116" s="258"/>
      <c r="P116" s="258"/>
      <c r="Q116" s="110"/>
      <c r="R116" s="258"/>
      <c r="S116" s="110"/>
      <c r="T116" s="110"/>
      <c r="U116" s="110"/>
      <c r="V116" s="110"/>
      <c r="W116" s="110"/>
      <c r="X116" s="258"/>
      <c r="Y116" s="258"/>
      <c r="Z116" s="258"/>
      <c r="AA116" s="258"/>
      <c r="AB116" s="732"/>
      <c r="AC116" s="732"/>
      <c r="AD116" s="732"/>
      <c r="AE116" s="110"/>
      <c r="AF116" s="110"/>
      <c r="AG116" s="732"/>
      <c r="AH116" s="732"/>
      <c r="AI116" s="732"/>
      <c r="AJ116" s="110"/>
      <c r="AK116" s="110"/>
      <c r="AL116" s="732"/>
      <c r="AM116" s="110"/>
      <c r="AN116" s="732"/>
      <c r="AO116" s="732"/>
      <c r="AP116" s="110"/>
      <c r="AQ116" s="110"/>
    </row>
    <row r="117" spans="1:43" ht="15.75" x14ac:dyDescent="0.25">
      <c r="A117" s="110"/>
      <c r="B117" s="110"/>
      <c r="C117" s="110"/>
      <c r="D117" s="110"/>
      <c r="E117" s="110"/>
      <c r="F117" s="732"/>
      <c r="G117" s="110"/>
      <c r="H117" s="110"/>
      <c r="I117" s="110"/>
      <c r="J117" s="110"/>
      <c r="K117" s="258"/>
      <c r="L117" s="258"/>
      <c r="M117" s="258"/>
      <c r="N117" s="258"/>
      <c r="O117" s="258"/>
      <c r="P117" s="258"/>
      <c r="Q117" s="110"/>
      <c r="R117" s="258"/>
      <c r="S117" s="110"/>
      <c r="T117" s="110"/>
      <c r="U117" s="110"/>
      <c r="V117" s="110"/>
      <c r="W117" s="110"/>
      <c r="X117" s="258"/>
      <c r="Y117" s="258"/>
      <c r="Z117" s="258"/>
      <c r="AA117" s="258"/>
      <c r="AB117" s="732"/>
      <c r="AC117" s="732"/>
      <c r="AD117" s="732"/>
      <c r="AE117" s="110"/>
      <c r="AF117" s="110"/>
      <c r="AG117" s="732"/>
      <c r="AH117" s="732"/>
      <c r="AI117" s="732"/>
      <c r="AJ117" s="110"/>
      <c r="AK117" s="110"/>
      <c r="AL117" s="732"/>
      <c r="AM117" s="110"/>
      <c r="AN117" s="732"/>
      <c r="AO117" s="732"/>
      <c r="AP117" s="110"/>
      <c r="AQ117" s="110"/>
    </row>
    <row r="118" spans="1:43" ht="15.75" x14ac:dyDescent="0.25">
      <c r="A118" s="110"/>
      <c r="B118" s="110"/>
      <c r="C118" s="110"/>
      <c r="D118" s="110"/>
      <c r="E118" s="110"/>
      <c r="F118" s="732"/>
      <c r="G118" s="110"/>
      <c r="H118" s="110"/>
      <c r="I118" s="110"/>
      <c r="J118" s="110"/>
      <c r="K118" s="258"/>
      <c r="L118" s="258"/>
      <c r="M118" s="258"/>
      <c r="N118" s="258"/>
      <c r="O118" s="258"/>
      <c r="P118" s="258"/>
      <c r="Q118" s="110"/>
      <c r="R118" s="258"/>
      <c r="S118" s="110"/>
      <c r="T118" s="110"/>
      <c r="U118" s="110"/>
      <c r="V118" s="110"/>
      <c r="W118" s="110"/>
      <c r="X118" s="258"/>
      <c r="Y118" s="258"/>
      <c r="Z118" s="258"/>
      <c r="AA118" s="258"/>
      <c r="AB118" s="732"/>
      <c r="AC118" s="732"/>
      <c r="AD118" s="732"/>
      <c r="AE118" s="110"/>
      <c r="AF118" s="110"/>
      <c r="AG118" s="732"/>
      <c r="AH118" s="732"/>
      <c r="AI118" s="732"/>
      <c r="AJ118" s="110"/>
      <c r="AK118" s="110"/>
      <c r="AL118" s="732"/>
      <c r="AM118" s="110"/>
      <c r="AN118" s="732"/>
      <c r="AO118" s="732"/>
      <c r="AP118" s="110"/>
      <c r="AQ118" s="110"/>
    </row>
    <row r="119" spans="1:43" ht="15.75" x14ac:dyDescent="0.25">
      <c r="A119" s="110"/>
      <c r="B119" s="110"/>
      <c r="C119" s="110"/>
      <c r="D119" s="110"/>
      <c r="E119" s="110"/>
      <c r="F119" s="732"/>
      <c r="G119" s="110"/>
      <c r="H119" s="110"/>
      <c r="I119" s="110"/>
      <c r="J119" s="110"/>
      <c r="K119" s="258"/>
      <c r="L119" s="258"/>
      <c r="M119" s="258"/>
      <c r="N119" s="258"/>
      <c r="O119" s="258"/>
      <c r="P119" s="258"/>
      <c r="Q119" s="110"/>
      <c r="R119" s="258"/>
      <c r="S119" s="110"/>
      <c r="T119" s="110"/>
      <c r="U119" s="110"/>
      <c r="V119" s="110"/>
      <c r="W119" s="110"/>
      <c r="X119" s="258"/>
      <c r="Y119" s="258"/>
      <c r="Z119" s="258"/>
      <c r="AA119" s="258"/>
      <c r="AB119" s="732"/>
      <c r="AC119" s="732"/>
      <c r="AD119" s="732"/>
      <c r="AE119" s="110"/>
      <c r="AF119" s="110"/>
      <c r="AG119" s="732"/>
      <c r="AH119" s="732"/>
      <c r="AI119" s="732"/>
      <c r="AJ119" s="110"/>
      <c r="AK119" s="110"/>
      <c r="AL119" s="732"/>
      <c r="AM119" s="110"/>
      <c r="AN119" s="732"/>
      <c r="AO119" s="732"/>
      <c r="AP119" s="110"/>
      <c r="AQ119" s="110"/>
    </row>
    <row r="120" spans="1:43" ht="15.75" x14ac:dyDescent="0.25">
      <c r="A120" s="110"/>
      <c r="B120" s="110"/>
      <c r="C120" s="110"/>
      <c r="D120" s="110"/>
      <c r="E120" s="110"/>
      <c r="F120" s="732"/>
      <c r="G120" s="110"/>
      <c r="H120" s="110"/>
      <c r="I120" s="110"/>
      <c r="J120" s="110"/>
      <c r="K120" s="258"/>
      <c r="L120" s="258"/>
      <c r="M120" s="258"/>
      <c r="N120" s="258"/>
      <c r="O120" s="258"/>
      <c r="P120" s="258"/>
      <c r="Q120" s="110"/>
      <c r="R120" s="258"/>
      <c r="S120" s="110"/>
      <c r="T120" s="110"/>
      <c r="U120" s="110"/>
      <c r="V120" s="110"/>
      <c r="W120" s="110"/>
      <c r="X120" s="258"/>
      <c r="Y120" s="258"/>
      <c r="Z120" s="258"/>
      <c r="AA120" s="258"/>
      <c r="AB120" s="732"/>
      <c r="AC120" s="732"/>
      <c r="AD120" s="732"/>
      <c r="AE120" s="110"/>
      <c r="AF120" s="110"/>
      <c r="AG120" s="732"/>
      <c r="AH120" s="732"/>
      <c r="AI120" s="732"/>
      <c r="AJ120" s="110"/>
      <c r="AK120" s="110"/>
      <c r="AL120" s="732"/>
      <c r="AM120" s="110"/>
      <c r="AN120" s="732"/>
      <c r="AO120" s="732"/>
      <c r="AP120" s="110"/>
      <c r="AQ120" s="110"/>
    </row>
    <row r="121" spans="1:43" ht="15.75" x14ac:dyDescent="0.25">
      <c r="A121" s="110"/>
      <c r="B121" s="110"/>
      <c r="C121" s="110"/>
      <c r="D121" s="110"/>
      <c r="E121" s="110"/>
      <c r="F121" s="732"/>
      <c r="G121" s="110"/>
      <c r="H121" s="110"/>
      <c r="I121" s="110"/>
      <c r="J121" s="110"/>
      <c r="K121" s="258"/>
      <c r="L121" s="258"/>
      <c r="M121" s="258"/>
      <c r="N121" s="258"/>
      <c r="O121" s="258"/>
      <c r="P121" s="258"/>
      <c r="Q121" s="110"/>
      <c r="R121" s="258"/>
      <c r="S121" s="110"/>
      <c r="T121" s="110"/>
      <c r="U121" s="110"/>
      <c r="V121" s="110"/>
      <c r="W121" s="110"/>
      <c r="X121" s="258"/>
      <c r="Y121" s="258"/>
      <c r="Z121" s="258"/>
      <c r="AA121" s="258"/>
      <c r="AB121" s="732"/>
      <c r="AC121" s="732"/>
      <c r="AD121" s="732"/>
      <c r="AE121" s="110"/>
      <c r="AF121" s="110"/>
      <c r="AG121" s="732"/>
      <c r="AH121" s="732"/>
      <c r="AI121" s="732"/>
      <c r="AJ121" s="110"/>
      <c r="AK121" s="110"/>
      <c r="AL121" s="732"/>
      <c r="AM121" s="110"/>
      <c r="AN121" s="732"/>
      <c r="AO121" s="732"/>
      <c r="AP121" s="110"/>
      <c r="AQ121" s="110"/>
    </row>
    <row r="122" spans="1:43" ht="15.75" x14ac:dyDescent="0.25">
      <c r="A122" s="110"/>
      <c r="B122" s="110"/>
      <c r="C122" s="110"/>
      <c r="D122" s="110"/>
      <c r="E122" s="110"/>
      <c r="F122" s="732"/>
      <c r="G122" s="110"/>
      <c r="H122" s="110"/>
      <c r="I122" s="110"/>
      <c r="J122" s="110"/>
      <c r="K122" s="258"/>
      <c r="L122" s="258"/>
      <c r="M122" s="258"/>
      <c r="N122" s="258"/>
      <c r="O122" s="258"/>
      <c r="P122" s="258"/>
      <c r="Q122" s="110"/>
      <c r="R122" s="258"/>
      <c r="S122" s="110"/>
      <c r="T122" s="110"/>
      <c r="U122" s="110"/>
      <c r="V122" s="110"/>
      <c r="W122" s="110"/>
      <c r="X122" s="258"/>
      <c r="Y122" s="258"/>
      <c r="Z122" s="258"/>
      <c r="AA122" s="258"/>
      <c r="AB122" s="732"/>
      <c r="AC122" s="732"/>
      <c r="AD122" s="732"/>
      <c r="AE122" s="110"/>
      <c r="AF122" s="110"/>
      <c r="AG122" s="732"/>
      <c r="AH122" s="732"/>
      <c r="AI122" s="732"/>
      <c r="AJ122" s="110"/>
      <c r="AK122" s="110"/>
      <c r="AL122" s="732"/>
      <c r="AM122" s="110"/>
      <c r="AN122" s="732"/>
      <c r="AO122" s="732"/>
      <c r="AP122" s="110"/>
      <c r="AQ122" s="110"/>
    </row>
    <row r="123" spans="1:43" ht="15.75" x14ac:dyDescent="0.25">
      <c r="A123" s="110"/>
      <c r="B123" s="110"/>
      <c r="C123" s="110"/>
      <c r="D123" s="110"/>
      <c r="E123" s="110"/>
      <c r="F123" s="732"/>
      <c r="G123" s="110"/>
      <c r="H123" s="110"/>
      <c r="I123" s="110"/>
      <c r="J123" s="110"/>
      <c r="K123" s="258"/>
      <c r="L123" s="258"/>
      <c r="M123" s="258"/>
      <c r="N123" s="258"/>
      <c r="O123" s="258"/>
      <c r="P123" s="258"/>
      <c r="Q123" s="110"/>
      <c r="R123" s="258"/>
      <c r="S123" s="110"/>
      <c r="T123" s="110"/>
      <c r="U123" s="110"/>
      <c r="V123" s="110"/>
      <c r="W123" s="110"/>
      <c r="X123" s="258"/>
      <c r="Y123" s="258"/>
      <c r="Z123" s="258"/>
      <c r="AA123" s="258"/>
      <c r="AB123" s="732"/>
      <c r="AC123" s="732"/>
      <c r="AD123" s="732"/>
      <c r="AE123" s="110"/>
      <c r="AF123" s="110"/>
      <c r="AG123" s="732"/>
      <c r="AH123" s="732"/>
      <c r="AI123" s="732"/>
      <c r="AJ123" s="110"/>
      <c r="AK123" s="110"/>
      <c r="AL123" s="732"/>
      <c r="AM123" s="110"/>
      <c r="AN123" s="732"/>
      <c r="AO123" s="732"/>
      <c r="AP123" s="110"/>
      <c r="AQ123" s="110"/>
    </row>
    <row r="124" spans="1:43" ht="15.75" x14ac:dyDescent="0.25">
      <c r="A124" s="110"/>
      <c r="B124" s="110"/>
      <c r="C124" s="110"/>
      <c r="D124" s="110"/>
      <c r="E124" s="110"/>
      <c r="F124" s="732"/>
      <c r="G124" s="110"/>
      <c r="H124" s="110"/>
      <c r="I124" s="110"/>
      <c r="J124" s="110"/>
      <c r="K124" s="258"/>
      <c r="L124" s="258"/>
      <c r="M124" s="258"/>
      <c r="N124" s="258"/>
      <c r="O124" s="258"/>
      <c r="P124" s="258"/>
      <c r="Q124" s="110"/>
      <c r="R124" s="258"/>
      <c r="S124" s="110"/>
      <c r="T124" s="110"/>
      <c r="U124" s="110"/>
      <c r="V124" s="110"/>
      <c r="W124" s="110"/>
      <c r="X124" s="258"/>
      <c r="Y124" s="258"/>
      <c r="Z124" s="258"/>
      <c r="AA124" s="258"/>
      <c r="AB124" s="732"/>
      <c r="AC124" s="732"/>
      <c r="AD124" s="732"/>
      <c r="AE124" s="110"/>
      <c r="AF124" s="110"/>
      <c r="AG124" s="732"/>
      <c r="AH124" s="732"/>
      <c r="AI124" s="732"/>
      <c r="AJ124" s="110"/>
      <c r="AK124" s="110"/>
      <c r="AL124" s="732"/>
      <c r="AM124" s="110"/>
      <c r="AN124" s="732"/>
      <c r="AO124" s="732"/>
      <c r="AP124" s="110"/>
      <c r="AQ124" s="110"/>
    </row>
    <row r="125" spans="1:43" ht="15.75" x14ac:dyDescent="0.25">
      <c r="A125" s="110"/>
      <c r="B125" s="110"/>
      <c r="C125" s="110"/>
      <c r="D125" s="110"/>
      <c r="E125" s="110"/>
      <c r="F125" s="732"/>
      <c r="G125" s="110"/>
      <c r="H125" s="110"/>
      <c r="I125" s="110"/>
      <c r="J125" s="110"/>
      <c r="K125" s="258"/>
      <c r="L125" s="258"/>
      <c r="M125" s="258"/>
      <c r="N125" s="258"/>
      <c r="O125" s="258"/>
      <c r="P125" s="258"/>
      <c r="Q125" s="110"/>
      <c r="R125" s="258"/>
      <c r="S125" s="110"/>
      <c r="T125" s="110"/>
      <c r="U125" s="110"/>
      <c r="V125" s="110"/>
      <c r="W125" s="110"/>
      <c r="X125" s="258"/>
      <c r="Y125" s="258"/>
      <c r="Z125" s="258"/>
      <c r="AA125" s="258"/>
      <c r="AB125" s="732"/>
      <c r="AC125" s="732"/>
      <c r="AD125" s="732"/>
      <c r="AE125" s="110"/>
      <c r="AF125" s="110"/>
      <c r="AG125" s="732"/>
      <c r="AH125" s="732"/>
      <c r="AI125" s="732"/>
      <c r="AJ125" s="110"/>
      <c r="AK125" s="110"/>
      <c r="AL125" s="732"/>
      <c r="AM125" s="110"/>
      <c r="AN125" s="732"/>
      <c r="AO125" s="732"/>
      <c r="AP125" s="110"/>
      <c r="AQ125" s="110"/>
    </row>
    <row r="126" spans="1:43" ht="15.75" x14ac:dyDescent="0.25">
      <c r="A126" s="110"/>
      <c r="B126" s="110"/>
      <c r="C126" s="110"/>
      <c r="D126" s="110"/>
      <c r="E126" s="110"/>
      <c r="F126" s="732"/>
      <c r="G126" s="110"/>
      <c r="H126" s="110"/>
      <c r="I126" s="110"/>
      <c r="J126" s="110"/>
      <c r="K126" s="258"/>
      <c r="L126" s="258"/>
      <c r="M126" s="258"/>
      <c r="N126" s="258"/>
      <c r="O126" s="258"/>
      <c r="P126" s="258"/>
      <c r="Q126" s="110"/>
      <c r="R126" s="258"/>
      <c r="S126" s="110"/>
      <c r="T126" s="110"/>
      <c r="U126" s="110"/>
      <c r="V126" s="110"/>
      <c r="W126" s="110"/>
      <c r="X126" s="258"/>
      <c r="Y126" s="258"/>
      <c r="Z126" s="258"/>
      <c r="AA126" s="258"/>
      <c r="AB126" s="732"/>
      <c r="AC126" s="732"/>
      <c r="AD126" s="732"/>
      <c r="AE126" s="110"/>
      <c r="AF126" s="110"/>
      <c r="AG126" s="732"/>
      <c r="AH126" s="732"/>
      <c r="AI126" s="732"/>
      <c r="AJ126" s="110"/>
      <c r="AK126" s="110"/>
      <c r="AL126" s="732"/>
      <c r="AM126" s="110"/>
      <c r="AN126" s="732"/>
      <c r="AO126" s="732"/>
      <c r="AP126" s="110"/>
      <c r="AQ126" s="110"/>
    </row>
    <row r="127" spans="1:43" ht="15.75" x14ac:dyDescent="0.25">
      <c r="A127" s="110"/>
      <c r="B127" s="110"/>
      <c r="C127" s="110"/>
      <c r="D127" s="110"/>
      <c r="E127" s="110"/>
      <c r="F127" s="732"/>
      <c r="G127" s="110"/>
      <c r="H127" s="110"/>
      <c r="I127" s="110"/>
      <c r="J127" s="110"/>
      <c r="K127" s="258"/>
      <c r="L127" s="258"/>
      <c r="M127" s="258"/>
      <c r="N127" s="258"/>
      <c r="O127" s="258"/>
      <c r="P127" s="258"/>
      <c r="Q127" s="110"/>
      <c r="R127" s="258"/>
      <c r="S127" s="110"/>
      <c r="T127" s="110"/>
      <c r="U127" s="110"/>
      <c r="V127" s="110"/>
      <c r="W127" s="110"/>
      <c r="X127" s="258"/>
      <c r="Y127" s="258"/>
      <c r="Z127" s="258"/>
      <c r="AA127" s="258"/>
      <c r="AB127" s="732"/>
      <c r="AC127" s="732"/>
      <c r="AD127" s="732"/>
      <c r="AE127" s="110"/>
      <c r="AF127" s="110"/>
      <c r="AG127" s="732"/>
      <c r="AH127" s="732"/>
      <c r="AI127" s="732"/>
      <c r="AJ127" s="110"/>
      <c r="AK127" s="110"/>
      <c r="AL127" s="732"/>
      <c r="AM127" s="110"/>
      <c r="AN127" s="732"/>
      <c r="AO127" s="732"/>
      <c r="AP127" s="110"/>
      <c r="AQ127" s="110"/>
    </row>
    <row r="128" spans="1:43" ht="15.75" x14ac:dyDescent="0.25">
      <c r="A128" s="110"/>
      <c r="B128" s="110"/>
      <c r="C128" s="110"/>
      <c r="D128" s="110"/>
      <c r="E128" s="110"/>
      <c r="F128" s="732"/>
      <c r="G128" s="110"/>
      <c r="H128" s="110"/>
      <c r="I128" s="110"/>
      <c r="J128" s="110"/>
      <c r="K128" s="258"/>
      <c r="L128" s="258"/>
      <c r="M128" s="258"/>
      <c r="N128" s="258"/>
      <c r="O128" s="258"/>
      <c r="P128" s="258"/>
      <c r="Q128" s="110"/>
      <c r="R128" s="258"/>
      <c r="S128" s="110"/>
      <c r="T128" s="110"/>
      <c r="U128" s="110"/>
      <c r="V128" s="110"/>
      <c r="W128" s="110"/>
      <c r="X128" s="258"/>
      <c r="Y128" s="258"/>
      <c r="Z128" s="258"/>
      <c r="AA128" s="258"/>
      <c r="AB128" s="732"/>
      <c r="AC128" s="732"/>
      <c r="AD128" s="732"/>
      <c r="AE128" s="110"/>
      <c r="AF128" s="110"/>
      <c r="AG128" s="732"/>
      <c r="AH128" s="732"/>
      <c r="AI128" s="732"/>
      <c r="AJ128" s="110"/>
      <c r="AK128" s="110"/>
      <c r="AL128" s="732"/>
      <c r="AM128" s="110"/>
      <c r="AN128" s="732"/>
      <c r="AO128" s="732"/>
      <c r="AP128" s="110"/>
      <c r="AQ128" s="110"/>
    </row>
    <row r="129" spans="1:43" ht="15.75" x14ac:dyDescent="0.25">
      <c r="A129" s="110"/>
      <c r="B129" s="110"/>
      <c r="C129" s="110"/>
      <c r="D129" s="110"/>
      <c r="E129" s="110"/>
      <c r="F129" s="732"/>
      <c r="G129" s="110"/>
      <c r="H129" s="110"/>
      <c r="I129" s="110"/>
      <c r="J129" s="110"/>
      <c r="K129" s="258"/>
      <c r="L129" s="258"/>
      <c r="M129" s="258"/>
      <c r="N129" s="258"/>
      <c r="O129" s="258"/>
      <c r="P129" s="258"/>
      <c r="Q129" s="110"/>
      <c r="R129" s="258"/>
      <c r="S129" s="110"/>
      <c r="T129" s="110"/>
      <c r="U129" s="110"/>
      <c r="V129" s="110"/>
      <c r="W129" s="110"/>
      <c r="X129" s="258"/>
      <c r="Y129" s="258"/>
      <c r="Z129" s="258"/>
      <c r="AA129" s="258"/>
      <c r="AB129" s="732"/>
      <c r="AC129" s="732"/>
      <c r="AD129" s="732"/>
      <c r="AE129" s="110"/>
      <c r="AF129" s="110"/>
      <c r="AG129" s="732"/>
      <c r="AH129" s="732"/>
      <c r="AI129" s="732"/>
      <c r="AJ129" s="110"/>
      <c r="AK129" s="110"/>
      <c r="AL129" s="732"/>
      <c r="AM129" s="110"/>
      <c r="AN129" s="732"/>
      <c r="AO129" s="732"/>
      <c r="AP129" s="110"/>
      <c r="AQ129" s="110"/>
    </row>
    <row r="130" spans="1:43" ht="15.75" x14ac:dyDescent="0.25">
      <c r="A130" s="110"/>
      <c r="B130" s="110"/>
      <c r="C130" s="110"/>
      <c r="D130" s="110"/>
      <c r="E130" s="110"/>
      <c r="F130" s="732"/>
      <c r="G130" s="110"/>
      <c r="H130" s="110"/>
      <c r="I130" s="110"/>
      <c r="J130" s="110"/>
      <c r="K130" s="258"/>
      <c r="L130" s="258"/>
      <c r="M130" s="258"/>
      <c r="N130" s="258"/>
      <c r="O130" s="258"/>
      <c r="P130" s="258"/>
      <c r="Q130" s="110"/>
      <c r="R130" s="258"/>
      <c r="S130" s="110"/>
      <c r="T130" s="110"/>
      <c r="U130" s="110"/>
      <c r="V130" s="110"/>
      <c r="W130" s="110"/>
      <c r="X130" s="258"/>
      <c r="Y130" s="258"/>
      <c r="Z130" s="258"/>
      <c r="AA130" s="258"/>
      <c r="AB130" s="732"/>
      <c r="AC130" s="732"/>
      <c r="AD130" s="732"/>
      <c r="AE130" s="110"/>
      <c r="AF130" s="110"/>
      <c r="AG130" s="732"/>
      <c r="AH130" s="732"/>
      <c r="AI130" s="732"/>
      <c r="AJ130" s="110"/>
      <c r="AK130" s="110"/>
      <c r="AL130" s="732"/>
      <c r="AM130" s="110"/>
      <c r="AN130" s="732"/>
      <c r="AO130" s="732"/>
      <c r="AP130" s="110"/>
      <c r="AQ130" s="110"/>
    </row>
    <row r="131" spans="1:43" ht="15.75" x14ac:dyDescent="0.25">
      <c r="A131" s="110"/>
      <c r="B131" s="110"/>
      <c r="C131" s="110"/>
      <c r="D131" s="110"/>
      <c r="E131" s="110"/>
      <c r="F131" s="732"/>
      <c r="G131" s="110"/>
      <c r="H131" s="110"/>
      <c r="I131" s="110"/>
      <c r="J131" s="110"/>
      <c r="K131" s="258"/>
      <c r="L131" s="258"/>
      <c r="M131" s="258"/>
      <c r="N131" s="258"/>
      <c r="O131" s="258"/>
      <c r="P131" s="258"/>
      <c r="Q131" s="110"/>
      <c r="R131" s="258"/>
      <c r="S131" s="110"/>
      <c r="T131" s="110"/>
      <c r="U131" s="110"/>
      <c r="V131" s="110"/>
      <c r="W131" s="110"/>
      <c r="X131" s="258"/>
      <c r="Y131" s="258"/>
      <c r="Z131" s="258"/>
      <c r="AA131" s="258"/>
      <c r="AB131" s="732"/>
      <c r="AC131" s="732"/>
      <c r="AD131" s="732"/>
      <c r="AE131" s="110"/>
      <c r="AF131" s="110"/>
      <c r="AG131" s="732"/>
      <c r="AH131" s="732"/>
      <c r="AI131" s="732"/>
      <c r="AJ131" s="110"/>
      <c r="AK131" s="110"/>
      <c r="AL131" s="732"/>
      <c r="AM131" s="110"/>
      <c r="AN131" s="732"/>
      <c r="AO131" s="732"/>
      <c r="AP131" s="110"/>
      <c r="AQ131" s="110"/>
    </row>
    <row r="132" spans="1:43" ht="15.75" x14ac:dyDescent="0.25">
      <c r="A132" s="110"/>
      <c r="B132" s="110"/>
      <c r="C132" s="110"/>
      <c r="D132" s="110"/>
      <c r="E132" s="110"/>
      <c r="F132" s="732"/>
      <c r="G132" s="110"/>
      <c r="H132" s="110"/>
      <c r="I132" s="110"/>
      <c r="J132" s="110"/>
      <c r="K132" s="258"/>
      <c r="L132" s="258"/>
      <c r="M132" s="258"/>
      <c r="N132" s="258"/>
      <c r="O132" s="258"/>
      <c r="P132" s="258"/>
      <c r="Q132" s="110"/>
      <c r="R132" s="258"/>
      <c r="S132" s="110"/>
      <c r="T132" s="110"/>
      <c r="U132" s="110"/>
      <c r="V132" s="110"/>
      <c r="W132" s="110"/>
      <c r="X132" s="258"/>
      <c r="Y132" s="258"/>
      <c r="Z132" s="258"/>
      <c r="AA132" s="258"/>
      <c r="AB132" s="732"/>
      <c r="AC132" s="732"/>
      <c r="AD132" s="732"/>
      <c r="AE132" s="110"/>
      <c r="AF132" s="110"/>
      <c r="AG132" s="732"/>
      <c r="AH132" s="732"/>
      <c r="AI132" s="732"/>
      <c r="AJ132" s="110"/>
      <c r="AK132" s="110"/>
      <c r="AL132" s="732"/>
      <c r="AM132" s="110"/>
      <c r="AN132" s="732"/>
      <c r="AO132" s="732"/>
      <c r="AP132" s="110"/>
      <c r="AQ132" s="110"/>
    </row>
    <row r="133" spans="1:43" ht="15.75" x14ac:dyDescent="0.25">
      <c r="A133" s="110"/>
      <c r="B133" s="110"/>
      <c r="C133" s="110"/>
      <c r="D133" s="110"/>
      <c r="E133" s="110"/>
      <c r="F133" s="732"/>
      <c r="G133" s="110"/>
      <c r="H133" s="110"/>
      <c r="I133" s="110"/>
      <c r="J133" s="110"/>
      <c r="K133" s="258"/>
      <c r="L133" s="258"/>
      <c r="M133" s="258"/>
      <c r="N133" s="258"/>
      <c r="O133" s="258"/>
      <c r="P133" s="258"/>
      <c r="Q133" s="110"/>
      <c r="R133" s="258"/>
      <c r="S133" s="110"/>
      <c r="T133" s="110"/>
      <c r="U133" s="110"/>
      <c r="V133" s="110"/>
      <c r="W133" s="110"/>
      <c r="X133" s="258"/>
      <c r="Y133" s="258"/>
      <c r="Z133" s="258"/>
      <c r="AA133" s="258"/>
      <c r="AB133" s="732"/>
      <c r="AC133" s="732"/>
      <c r="AD133" s="732"/>
      <c r="AE133" s="110"/>
      <c r="AF133" s="110"/>
      <c r="AG133" s="732"/>
      <c r="AH133" s="732"/>
      <c r="AI133" s="732"/>
      <c r="AJ133" s="110"/>
      <c r="AK133" s="110"/>
      <c r="AL133" s="732"/>
      <c r="AM133" s="110"/>
      <c r="AN133" s="732"/>
      <c r="AO133" s="732"/>
      <c r="AP133" s="110"/>
      <c r="AQ133" s="110"/>
    </row>
    <row r="134" spans="1:43" ht="15.75" x14ac:dyDescent="0.25">
      <c r="A134" s="110"/>
      <c r="B134" s="110"/>
      <c r="C134" s="110"/>
      <c r="D134" s="110"/>
      <c r="E134" s="110"/>
      <c r="F134" s="732"/>
      <c r="G134" s="110"/>
      <c r="H134" s="110"/>
      <c r="I134" s="110"/>
      <c r="J134" s="110"/>
      <c r="K134" s="258"/>
      <c r="L134" s="258"/>
      <c r="M134" s="258"/>
      <c r="N134" s="258"/>
      <c r="O134" s="258"/>
      <c r="P134" s="258"/>
      <c r="Q134" s="110"/>
      <c r="R134" s="258"/>
      <c r="S134" s="110"/>
      <c r="T134" s="110"/>
      <c r="U134" s="110"/>
      <c r="V134" s="110"/>
      <c r="W134" s="110"/>
      <c r="X134" s="258"/>
      <c r="Y134" s="258"/>
      <c r="Z134" s="258"/>
      <c r="AA134" s="258"/>
      <c r="AB134" s="732"/>
      <c r="AC134" s="732"/>
      <c r="AD134" s="732"/>
      <c r="AE134" s="110"/>
      <c r="AF134" s="110"/>
      <c r="AG134" s="732"/>
      <c r="AH134" s="732"/>
      <c r="AI134" s="732"/>
      <c r="AJ134" s="110"/>
      <c r="AK134" s="110"/>
      <c r="AL134" s="732"/>
      <c r="AM134" s="110"/>
      <c r="AN134" s="732"/>
      <c r="AO134" s="732"/>
      <c r="AP134" s="110"/>
      <c r="AQ134" s="110"/>
    </row>
    <row r="135" spans="1:43" ht="15.75" x14ac:dyDescent="0.25">
      <c r="A135" s="110"/>
      <c r="B135" s="110"/>
      <c r="C135" s="110"/>
      <c r="D135" s="110"/>
      <c r="E135" s="110"/>
      <c r="F135" s="732"/>
      <c r="G135" s="110"/>
      <c r="H135" s="110"/>
      <c r="I135" s="110"/>
      <c r="J135" s="110"/>
      <c r="K135" s="258"/>
      <c r="L135" s="258"/>
      <c r="M135" s="258"/>
      <c r="N135" s="258"/>
      <c r="O135" s="258"/>
      <c r="P135" s="258"/>
      <c r="Q135" s="110"/>
      <c r="R135" s="258"/>
      <c r="S135" s="110"/>
      <c r="T135" s="110"/>
      <c r="U135" s="110"/>
      <c r="V135" s="110"/>
      <c r="W135" s="110"/>
      <c r="X135" s="258"/>
      <c r="Y135" s="258"/>
      <c r="Z135" s="258"/>
      <c r="AA135" s="258"/>
      <c r="AB135" s="732"/>
      <c r="AC135" s="732"/>
      <c r="AD135" s="732"/>
      <c r="AE135" s="110"/>
      <c r="AF135" s="110"/>
      <c r="AG135" s="732"/>
      <c r="AH135" s="732"/>
      <c r="AI135" s="732"/>
      <c r="AJ135" s="110"/>
      <c r="AK135" s="110"/>
      <c r="AL135" s="732"/>
      <c r="AM135" s="110"/>
      <c r="AN135" s="732"/>
      <c r="AO135" s="732"/>
      <c r="AP135" s="110"/>
      <c r="AQ135" s="110"/>
    </row>
    <row r="136" spans="1:43" ht="15.75" x14ac:dyDescent="0.25">
      <c r="A136" s="110"/>
      <c r="B136" s="110"/>
      <c r="C136" s="110"/>
      <c r="D136" s="110"/>
      <c r="E136" s="110"/>
      <c r="F136" s="732"/>
      <c r="G136" s="110"/>
      <c r="H136" s="110"/>
      <c r="I136" s="110"/>
      <c r="J136" s="110"/>
      <c r="K136" s="258"/>
      <c r="L136" s="258"/>
      <c r="M136" s="258"/>
      <c r="N136" s="258"/>
      <c r="O136" s="258"/>
      <c r="P136" s="258"/>
      <c r="Q136" s="110"/>
      <c r="R136" s="258"/>
      <c r="S136" s="110"/>
      <c r="T136" s="110"/>
      <c r="U136" s="110"/>
      <c r="V136" s="110"/>
      <c r="W136" s="110"/>
      <c r="X136" s="258"/>
      <c r="Y136" s="258"/>
      <c r="Z136" s="258"/>
      <c r="AA136" s="258"/>
      <c r="AB136" s="732"/>
      <c r="AC136" s="732"/>
      <c r="AD136" s="732"/>
      <c r="AE136" s="110"/>
      <c r="AF136" s="110"/>
      <c r="AG136" s="732"/>
      <c r="AH136" s="732"/>
      <c r="AI136" s="732"/>
      <c r="AJ136" s="110"/>
      <c r="AK136" s="110"/>
      <c r="AL136" s="732"/>
      <c r="AM136" s="110"/>
      <c r="AN136" s="732"/>
      <c r="AO136" s="732"/>
      <c r="AP136" s="110"/>
      <c r="AQ136" s="110"/>
    </row>
    <row r="137" spans="1:43" ht="15.75" x14ac:dyDescent="0.25">
      <c r="A137" s="110"/>
      <c r="B137" s="110"/>
      <c r="C137" s="110"/>
      <c r="D137" s="110"/>
      <c r="E137" s="110"/>
      <c r="F137" s="732"/>
      <c r="G137" s="110"/>
      <c r="H137" s="110"/>
      <c r="I137" s="110"/>
      <c r="J137" s="110"/>
      <c r="K137" s="258"/>
      <c r="L137" s="258"/>
      <c r="M137" s="258"/>
      <c r="N137" s="258"/>
      <c r="O137" s="258"/>
      <c r="P137" s="258"/>
      <c r="Q137" s="110"/>
      <c r="R137" s="258"/>
      <c r="S137" s="110"/>
      <c r="T137" s="110"/>
      <c r="U137" s="110"/>
      <c r="V137" s="110"/>
      <c r="W137" s="110"/>
      <c r="X137" s="258"/>
      <c r="Y137" s="258"/>
      <c r="Z137" s="258"/>
      <c r="AA137" s="258"/>
      <c r="AB137" s="732"/>
      <c r="AC137" s="732"/>
      <c r="AD137" s="732"/>
      <c r="AE137" s="110"/>
      <c r="AF137" s="110"/>
      <c r="AG137" s="732"/>
      <c r="AH137" s="732"/>
      <c r="AI137" s="732"/>
      <c r="AJ137" s="110"/>
      <c r="AK137" s="110"/>
      <c r="AL137" s="732"/>
      <c r="AM137" s="110"/>
      <c r="AN137" s="732"/>
      <c r="AO137" s="732"/>
      <c r="AP137" s="110"/>
      <c r="AQ137" s="110"/>
    </row>
    <row r="138" spans="1:43" ht="15.75" x14ac:dyDescent="0.25">
      <c r="A138" s="110"/>
      <c r="B138" s="110"/>
      <c r="C138" s="110"/>
      <c r="D138" s="110"/>
      <c r="E138" s="110"/>
      <c r="F138" s="732"/>
      <c r="G138" s="110"/>
      <c r="H138" s="110"/>
      <c r="I138" s="110"/>
      <c r="J138" s="110"/>
      <c r="K138" s="258"/>
      <c r="L138" s="258"/>
      <c r="M138" s="258"/>
      <c r="N138" s="258"/>
      <c r="O138" s="258"/>
      <c r="P138" s="258"/>
      <c r="Q138" s="110"/>
      <c r="R138" s="258"/>
      <c r="S138" s="110"/>
      <c r="T138" s="110"/>
      <c r="U138" s="110"/>
      <c r="V138" s="110"/>
      <c r="W138" s="110"/>
      <c r="X138" s="258"/>
      <c r="Y138" s="258"/>
      <c r="Z138" s="258"/>
      <c r="AA138" s="258"/>
      <c r="AB138" s="732"/>
      <c r="AC138" s="732"/>
      <c r="AD138" s="732"/>
      <c r="AE138" s="110"/>
      <c r="AF138" s="110"/>
      <c r="AG138" s="732"/>
      <c r="AH138" s="732"/>
      <c r="AI138" s="732"/>
      <c r="AJ138" s="110"/>
      <c r="AK138" s="110"/>
      <c r="AL138" s="732"/>
      <c r="AM138" s="110"/>
      <c r="AN138" s="732"/>
      <c r="AO138" s="732"/>
      <c r="AP138" s="110"/>
      <c r="AQ138" s="110"/>
    </row>
    <row r="139" spans="1:43" ht="15.75" x14ac:dyDescent="0.25">
      <c r="A139" s="110"/>
      <c r="B139" s="110"/>
      <c r="C139" s="110"/>
      <c r="D139" s="110"/>
      <c r="E139" s="110"/>
      <c r="F139" s="732"/>
      <c r="G139" s="110"/>
      <c r="H139" s="110"/>
      <c r="I139" s="110"/>
      <c r="J139" s="110"/>
      <c r="K139" s="258"/>
      <c r="L139" s="258"/>
      <c r="M139" s="258"/>
      <c r="N139" s="258"/>
      <c r="O139" s="258"/>
      <c r="P139" s="258"/>
      <c r="Q139" s="110"/>
      <c r="R139" s="258"/>
      <c r="S139" s="110"/>
      <c r="T139" s="110"/>
      <c r="U139" s="110"/>
      <c r="V139" s="110"/>
      <c r="W139" s="110"/>
      <c r="X139" s="258"/>
      <c r="Y139" s="258"/>
      <c r="Z139" s="258"/>
      <c r="AA139" s="258"/>
      <c r="AB139" s="732"/>
      <c r="AC139" s="732"/>
      <c r="AD139" s="732"/>
      <c r="AE139" s="110"/>
      <c r="AF139" s="110"/>
      <c r="AG139" s="732"/>
      <c r="AH139" s="732"/>
      <c r="AI139" s="732"/>
      <c r="AJ139" s="110"/>
      <c r="AK139" s="110"/>
      <c r="AL139" s="732"/>
      <c r="AM139" s="110"/>
      <c r="AN139" s="732"/>
      <c r="AO139" s="732"/>
      <c r="AP139" s="110"/>
      <c r="AQ139" s="110"/>
    </row>
    <row r="140" spans="1:43" ht="15.75" x14ac:dyDescent="0.25">
      <c r="A140" s="110"/>
      <c r="B140" s="110"/>
      <c r="C140" s="110"/>
      <c r="D140" s="110"/>
      <c r="E140" s="110"/>
      <c r="F140" s="732"/>
      <c r="G140" s="110"/>
      <c r="H140" s="110"/>
      <c r="I140" s="110"/>
      <c r="J140" s="110"/>
      <c r="K140" s="258"/>
      <c r="L140" s="258"/>
      <c r="M140" s="258"/>
      <c r="N140" s="258"/>
      <c r="O140" s="258"/>
      <c r="P140" s="258"/>
      <c r="Q140" s="110"/>
      <c r="R140" s="258"/>
      <c r="S140" s="110"/>
      <c r="T140" s="110"/>
      <c r="U140" s="110"/>
      <c r="V140" s="110"/>
      <c r="W140" s="110"/>
      <c r="X140" s="258"/>
      <c r="Y140" s="258"/>
      <c r="Z140" s="258"/>
      <c r="AA140" s="258"/>
      <c r="AB140" s="732"/>
      <c r="AC140" s="732"/>
      <c r="AD140" s="732"/>
      <c r="AE140" s="110"/>
      <c r="AF140" s="110"/>
      <c r="AG140" s="732"/>
      <c r="AH140" s="732"/>
      <c r="AI140" s="732"/>
      <c r="AJ140" s="110"/>
      <c r="AK140" s="110"/>
      <c r="AL140" s="732"/>
      <c r="AM140" s="110"/>
      <c r="AN140" s="732"/>
      <c r="AO140" s="732"/>
      <c r="AP140" s="110"/>
      <c r="AQ140" s="110"/>
    </row>
    <row r="141" spans="1:43" ht="15.75" x14ac:dyDescent="0.25">
      <c r="A141" s="110"/>
      <c r="B141" s="110"/>
      <c r="C141" s="110"/>
      <c r="D141" s="110"/>
      <c r="E141" s="110"/>
      <c r="F141" s="732"/>
      <c r="G141" s="110"/>
      <c r="H141" s="110"/>
      <c r="I141" s="110"/>
      <c r="J141" s="110"/>
      <c r="K141" s="258"/>
      <c r="L141" s="258"/>
      <c r="M141" s="258"/>
      <c r="N141" s="258"/>
      <c r="O141" s="258"/>
      <c r="P141" s="258"/>
      <c r="Q141" s="110"/>
      <c r="R141" s="258"/>
      <c r="S141" s="110"/>
      <c r="T141" s="110"/>
      <c r="U141" s="110"/>
      <c r="V141" s="110"/>
      <c r="W141" s="110"/>
      <c r="X141" s="258"/>
      <c r="Y141" s="258"/>
      <c r="Z141" s="258"/>
      <c r="AA141" s="258"/>
      <c r="AB141" s="732"/>
      <c r="AC141" s="732"/>
      <c r="AD141" s="732"/>
      <c r="AE141" s="110"/>
      <c r="AF141" s="110"/>
      <c r="AG141" s="732"/>
      <c r="AH141" s="732"/>
      <c r="AI141" s="732"/>
      <c r="AJ141" s="110"/>
      <c r="AK141" s="110"/>
      <c r="AL141" s="732"/>
      <c r="AM141" s="110"/>
      <c r="AN141" s="732"/>
      <c r="AO141" s="732"/>
      <c r="AP141" s="110"/>
      <c r="AQ141" s="110"/>
    </row>
    <row r="142" spans="1:43" ht="15.75" x14ac:dyDescent="0.25">
      <c r="A142" s="110"/>
      <c r="B142" s="110"/>
      <c r="C142" s="110"/>
      <c r="D142" s="110"/>
      <c r="E142" s="110"/>
      <c r="F142" s="732"/>
      <c r="G142" s="110"/>
      <c r="H142" s="110"/>
      <c r="I142" s="110"/>
      <c r="J142" s="110"/>
      <c r="K142" s="258"/>
      <c r="L142" s="258"/>
      <c r="M142" s="258"/>
      <c r="N142" s="258"/>
      <c r="O142" s="258"/>
      <c r="P142" s="258"/>
      <c r="Q142" s="110"/>
      <c r="R142" s="258"/>
      <c r="S142" s="110"/>
      <c r="T142" s="110"/>
      <c r="U142" s="110"/>
      <c r="V142" s="110"/>
      <c r="W142" s="110"/>
      <c r="X142" s="258"/>
      <c r="Y142" s="258"/>
      <c r="Z142" s="258"/>
      <c r="AA142" s="258"/>
      <c r="AB142" s="732"/>
      <c r="AC142" s="732"/>
      <c r="AD142" s="732"/>
      <c r="AE142" s="110"/>
      <c r="AF142" s="110"/>
      <c r="AG142" s="732"/>
      <c r="AH142" s="732"/>
      <c r="AI142" s="732"/>
      <c r="AJ142" s="110"/>
      <c r="AK142" s="110"/>
      <c r="AL142" s="732"/>
      <c r="AM142" s="110"/>
      <c r="AN142" s="732"/>
      <c r="AO142" s="732"/>
      <c r="AP142" s="110"/>
      <c r="AQ142" s="110"/>
    </row>
    <row r="143" spans="1:43" ht="15.75" x14ac:dyDescent="0.25">
      <c r="A143" s="110"/>
      <c r="B143" s="110"/>
      <c r="C143" s="110"/>
      <c r="D143" s="110"/>
      <c r="E143" s="110"/>
      <c r="F143" s="732"/>
      <c r="G143" s="110"/>
      <c r="H143" s="110"/>
      <c r="I143" s="110"/>
      <c r="J143" s="110"/>
      <c r="K143" s="258"/>
      <c r="L143" s="258"/>
      <c r="M143" s="258"/>
      <c r="N143" s="258"/>
      <c r="O143" s="258"/>
      <c r="P143" s="258"/>
      <c r="Q143" s="110"/>
      <c r="R143" s="258"/>
      <c r="S143" s="110"/>
      <c r="T143" s="110"/>
      <c r="U143" s="110"/>
      <c r="V143" s="110"/>
      <c r="W143" s="110"/>
      <c r="X143" s="258"/>
      <c r="Y143" s="258"/>
      <c r="Z143" s="258"/>
      <c r="AA143" s="258"/>
      <c r="AB143" s="732"/>
      <c r="AC143" s="732"/>
      <c r="AD143" s="732"/>
      <c r="AE143" s="110"/>
      <c r="AF143" s="110"/>
      <c r="AG143" s="732"/>
      <c r="AH143" s="732"/>
      <c r="AI143" s="732"/>
      <c r="AJ143" s="110"/>
      <c r="AK143" s="110"/>
      <c r="AL143" s="732"/>
      <c r="AM143" s="110"/>
      <c r="AN143" s="732"/>
      <c r="AO143" s="732"/>
      <c r="AP143" s="110"/>
      <c r="AQ143" s="110"/>
    </row>
    <row r="144" spans="1:43" ht="15.75" x14ac:dyDescent="0.25">
      <c r="A144" s="110"/>
      <c r="B144" s="110"/>
      <c r="C144" s="110"/>
      <c r="D144" s="110"/>
      <c r="E144" s="110"/>
      <c r="F144" s="732"/>
      <c r="G144" s="110"/>
      <c r="H144" s="110"/>
      <c r="I144" s="110"/>
      <c r="J144" s="110"/>
      <c r="K144" s="258"/>
      <c r="L144" s="258"/>
      <c r="M144" s="258"/>
      <c r="N144" s="258"/>
      <c r="O144" s="258"/>
      <c r="P144" s="258"/>
      <c r="Q144" s="110"/>
      <c r="R144" s="258"/>
      <c r="S144" s="110"/>
      <c r="T144" s="110"/>
      <c r="U144" s="110"/>
      <c r="V144" s="110"/>
      <c r="W144" s="110"/>
      <c r="X144" s="258"/>
      <c r="Y144" s="258"/>
      <c r="Z144" s="258"/>
      <c r="AA144" s="258"/>
      <c r="AB144" s="732"/>
      <c r="AC144" s="732"/>
      <c r="AD144" s="732"/>
      <c r="AE144" s="110"/>
      <c r="AF144" s="110"/>
      <c r="AG144" s="732"/>
      <c r="AH144" s="732"/>
      <c r="AI144" s="732"/>
      <c r="AJ144" s="110"/>
      <c r="AK144" s="110"/>
      <c r="AL144" s="732"/>
      <c r="AM144" s="110"/>
      <c r="AN144" s="732"/>
      <c r="AO144" s="732"/>
      <c r="AP144" s="110"/>
      <c r="AQ144" s="110"/>
    </row>
    <row r="145" spans="1:43" ht="15.75" x14ac:dyDescent="0.25">
      <c r="A145" s="110"/>
      <c r="B145" s="110"/>
      <c r="C145" s="110"/>
      <c r="D145" s="110"/>
      <c r="E145" s="110"/>
      <c r="F145" s="732"/>
      <c r="G145" s="110"/>
      <c r="H145" s="110"/>
      <c r="I145" s="110"/>
      <c r="J145" s="110"/>
      <c r="K145" s="258"/>
      <c r="L145" s="258"/>
      <c r="M145" s="258"/>
      <c r="N145" s="258"/>
      <c r="O145" s="258"/>
      <c r="P145" s="258"/>
      <c r="Q145" s="110"/>
      <c r="R145" s="258"/>
      <c r="S145" s="110"/>
      <c r="T145" s="110"/>
      <c r="U145" s="110"/>
      <c r="V145" s="110"/>
      <c r="W145" s="110"/>
      <c r="X145" s="258"/>
      <c r="Y145" s="258"/>
      <c r="Z145" s="258"/>
      <c r="AA145" s="258"/>
      <c r="AB145" s="732"/>
      <c r="AC145" s="732"/>
      <c r="AD145" s="732"/>
      <c r="AE145" s="110"/>
      <c r="AF145" s="110"/>
      <c r="AG145" s="732"/>
      <c r="AH145" s="732"/>
      <c r="AI145" s="732"/>
      <c r="AJ145" s="110"/>
      <c r="AK145" s="110"/>
      <c r="AL145" s="732"/>
      <c r="AM145" s="110"/>
      <c r="AN145" s="732"/>
      <c r="AO145" s="732"/>
      <c r="AP145" s="110"/>
      <c r="AQ145" s="110"/>
    </row>
    <row r="146" spans="1:43" ht="15.75" x14ac:dyDescent="0.25">
      <c r="A146" s="110"/>
      <c r="B146" s="110"/>
      <c r="C146" s="110"/>
      <c r="D146" s="110"/>
      <c r="E146" s="110"/>
      <c r="F146" s="732"/>
      <c r="G146" s="110"/>
      <c r="H146" s="110"/>
      <c r="I146" s="110"/>
      <c r="J146" s="110"/>
      <c r="K146" s="258"/>
      <c r="L146" s="258"/>
      <c r="M146" s="258"/>
      <c r="N146" s="258"/>
      <c r="O146" s="258"/>
      <c r="P146" s="258"/>
      <c r="Q146" s="110"/>
      <c r="R146" s="258"/>
      <c r="S146" s="110"/>
      <c r="T146" s="110"/>
      <c r="U146" s="110"/>
      <c r="V146" s="110"/>
      <c r="W146" s="110"/>
      <c r="X146" s="258"/>
      <c r="Y146" s="258"/>
      <c r="Z146" s="258"/>
      <c r="AA146" s="258"/>
      <c r="AB146" s="732"/>
      <c r="AC146" s="732"/>
      <c r="AD146" s="732"/>
      <c r="AE146" s="110"/>
      <c r="AF146" s="110"/>
      <c r="AG146" s="732"/>
      <c r="AH146" s="732"/>
      <c r="AI146" s="732"/>
      <c r="AJ146" s="110"/>
      <c r="AK146" s="110"/>
      <c r="AL146" s="732"/>
      <c r="AM146" s="110"/>
      <c r="AN146" s="732"/>
      <c r="AO146" s="732"/>
      <c r="AP146" s="110"/>
      <c r="AQ146" s="110"/>
    </row>
    <row r="147" spans="1:43" ht="15.75" x14ac:dyDescent="0.25">
      <c r="A147" s="110"/>
      <c r="B147" s="110"/>
      <c r="C147" s="110"/>
      <c r="D147" s="110"/>
      <c r="E147" s="110"/>
      <c r="F147" s="732"/>
      <c r="G147" s="110"/>
      <c r="H147" s="110"/>
      <c r="I147" s="110"/>
      <c r="J147" s="110"/>
      <c r="K147" s="258"/>
      <c r="L147" s="258"/>
      <c r="M147" s="258"/>
      <c r="N147" s="258"/>
      <c r="O147" s="258"/>
      <c r="P147" s="258"/>
      <c r="Q147" s="110"/>
      <c r="R147" s="258"/>
      <c r="S147" s="110"/>
      <c r="T147" s="110"/>
      <c r="U147" s="110"/>
      <c r="V147" s="110"/>
      <c r="W147" s="110"/>
      <c r="X147" s="258"/>
      <c r="Y147" s="258"/>
      <c r="Z147" s="258"/>
      <c r="AA147" s="258"/>
      <c r="AB147" s="732"/>
      <c r="AC147" s="732"/>
      <c r="AD147" s="732"/>
      <c r="AE147" s="110"/>
      <c r="AF147" s="110"/>
      <c r="AG147" s="732"/>
      <c r="AH147" s="732"/>
      <c r="AI147" s="732"/>
      <c r="AJ147" s="110"/>
      <c r="AK147" s="110"/>
      <c r="AL147" s="732"/>
      <c r="AM147" s="110"/>
      <c r="AN147" s="732"/>
      <c r="AO147" s="732"/>
      <c r="AP147" s="110"/>
      <c r="AQ147" s="110"/>
    </row>
    <row r="148" spans="1:43" ht="15.75" x14ac:dyDescent="0.25">
      <c r="A148" s="110"/>
      <c r="B148" s="110"/>
      <c r="C148" s="110"/>
      <c r="D148" s="110"/>
      <c r="E148" s="110"/>
      <c r="F148" s="732"/>
      <c r="G148" s="110"/>
      <c r="H148" s="110"/>
      <c r="I148" s="110"/>
      <c r="J148" s="110"/>
      <c r="K148" s="258"/>
      <c r="L148" s="258"/>
      <c r="M148" s="258"/>
      <c r="N148" s="258"/>
      <c r="O148" s="258"/>
      <c r="P148" s="258"/>
      <c r="Q148" s="110"/>
      <c r="R148" s="258"/>
      <c r="S148" s="110"/>
      <c r="T148" s="110"/>
      <c r="U148" s="110"/>
      <c r="V148" s="110"/>
      <c r="W148" s="110"/>
      <c r="X148" s="258"/>
      <c r="Y148" s="258"/>
      <c r="Z148" s="258"/>
      <c r="AA148" s="258"/>
      <c r="AB148" s="732"/>
      <c r="AC148" s="732"/>
      <c r="AD148" s="732"/>
      <c r="AE148" s="110"/>
      <c r="AF148" s="110"/>
      <c r="AG148" s="732"/>
      <c r="AH148" s="732"/>
      <c r="AI148" s="732"/>
      <c r="AJ148" s="110"/>
      <c r="AK148" s="110"/>
      <c r="AL148" s="732"/>
      <c r="AM148" s="110"/>
      <c r="AN148" s="732"/>
      <c r="AO148" s="732"/>
      <c r="AP148" s="110"/>
      <c r="AQ148" s="110"/>
    </row>
    <row r="149" spans="1:43" ht="15.75" x14ac:dyDescent="0.25">
      <c r="A149" s="110"/>
      <c r="B149" s="110"/>
      <c r="C149" s="110"/>
      <c r="D149" s="110"/>
      <c r="E149" s="110"/>
      <c r="F149" s="732"/>
      <c r="G149" s="110"/>
      <c r="H149" s="110"/>
      <c r="I149" s="110"/>
      <c r="J149" s="110"/>
      <c r="K149" s="258"/>
      <c r="L149" s="258"/>
      <c r="M149" s="258"/>
      <c r="N149" s="258"/>
      <c r="O149" s="258"/>
      <c r="P149" s="258"/>
      <c r="Q149" s="110"/>
      <c r="R149" s="258"/>
      <c r="S149" s="110"/>
      <c r="T149" s="110"/>
      <c r="U149" s="110"/>
      <c r="V149" s="110"/>
      <c r="W149" s="110"/>
      <c r="X149" s="258"/>
      <c r="Y149" s="258"/>
      <c r="Z149" s="258"/>
      <c r="AA149" s="258"/>
      <c r="AB149" s="732"/>
      <c r="AC149" s="732"/>
      <c r="AD149" s="732"/>
      <c r="AE149" s="110"/>
      <c r="AF149" s="110"/>
      <c r="AG149" s="732"/>
      <c r="AH149" s="732"/>
      <c r="AI149" s="732"/>
      <c r="AJ149" s="110"/>
      <c r="AK149" s="110"/>
      <c r="AL149" s="732"/>
      <c r="AM149" s="110"/>
      <c r="AN149" s="732"/>
      <c r="AO149" s="732"/>
      <c r="AP149" s="110"/>
      <c r="AQ149" s="110"/>
    </row>
    <row r="150" spans="1:43" ht="15.75" x14ac:dyDescent="0.25">
      <c r="A150" s="110"/>
      <c r="B150" s="110"/>
      <c r="C150" s="110"/>
      <c r="D150" s="110"/>
      <c r="E150" s="110"/>
      <c r="F150" s="732"/>
      <c r="G150" s="110"/>
      <c r="H150" s="110"/>
      <c r="I150" s="110"/>
      <c r="J150" s="110"/>
      <c r="K150" s="258"/>
      <c r="L150" s="258"/>
      <c r="M150" s="258"/>
      <c r="N150" s="258"/>
      <c r="O150" s="258"/>
      <c r="P150" s="258"/>
      <c r="Q150" s="110"/>
      <c r="R150" s="258"/>
      <c r="S150" s="110"/>
      <c r="T150" s="110"/>
      <c r="U150" s="110"/>
      <c r="V150" s="110"/>
      <c r="W150" s="110"/>
      <c r="X150" s="258"/>
      <c r="Y150" s="258"/>
      <c r="Z150" s="258"/>
      <c r="AA150" s="258"/>
      <c r="AB150" s="732"/>
      <c r="AC150" s="732"/>
      <c r="AD150" s="732"/>
      <c r="AE150" s="110"/>
      <c r="AF150" s="110"/>
      <c r="AG150" s="732"/>
      <c r="AH150" s="732"/>
      <c r="AI150" s="732"/>
      <c r="AJ150" s="110"/>
      <c r="AK150" s="110"/>
      <c r="AL150" s="732"/>
      <c r="AM150" s="110"/>
      <c r="AN150" s="732"/>
      <c r="AO150" s="732"/>
      <c r="AP150" s="110"/>
      <c r="AQ150" s="110"/>
    </row>
    <row r="151" spans="1:43" ht="15.75" x14ac:dyDescent="0.25">
      <c r="A151" s="110"/>
      <c r="B151" s="110"/>
      <c r="C151" s="110"/>
      <c r="D151" s="110"/>
      <c r="E151" s="110"/>
      <c r="F151" s="732"/>
      <c r="G151" s="110"/>
      <c r="H151" s="110"/>
      <c r="I151" s="110"/>
      <c r="J151" s="110"/>
      <c r="K151" s="258"/>
      <c r="L151" s="258"/>
      <c r="M151" s="258"/>
      <c r="N151" s="258"/>
      <c r="O151" s="258"/>
      <c r="P151" s="258"/>
      <c r="Q151" s="110"/>
      <c r="R151" s="258"/>
      <c r="S151" s="110"/>
      <c r="T151" s="110"/>
      <c r="U151" s="110"/>
      <c r="V151" s="110"/>
      <c r="W151" s="110"/>
      <c r="X151" s="258"/>
      <c r="Y151" s="258"/>
      <c r="Z151" s="258"/>
      <c r="AA151" s="258"/>
      <c r="AB151" s="732"/>
      <c r="AC151" s="732"/>
      <c r="AD151" s="732"/>
      <c r="AE151" s="110"/>
      <c r="AF151" s="110"/>
      <c r="AG151" s="732"/>
      <c r="AH151" s="732"/>
      <c r="AI151" s="732"/>
      <c r="AJ151" s="110"/>
      <c r="AK151" s="110"/>
      <c r="AL151" s="732"/>
      <c r="AM151" s="110"/>
      <c r="AN151" s="732"/>
      <c r="AO151" s="732"/>
      <c r="AP151" s="110"/>
      <c r="AQ151" s="110"/>
    </row>
    <row r="152" spans="1:43" ht="15.75" x14ac:dyDescent="0.25">
      <c r="A152" s="110"/>
      <c r="B152" s="110"/>
      <c r="C152" s="110"/>
      <c r="D152" s="110"/>
      <c r="E152" s="110"/>
      <c r="F152" s="732"/>
      <c r="G152" s="110"/>
      <c r="H152" s="110"/>
      <c r="I152" s="110"/>
      <c r="J152" s="110"/>
      <c r="K152" s="258"/>
      <c r="L152" s="258"/>
      <c r="M152" s="258"/>
      <c r="N152" s="258"/>
      <c r="O152" s="258"/>
      <c r="P152" s="258"/>
      <c r="Q152" s="110"/>
      <c r="R152" s="258"/>
      <c r="S152" s="110"/>
      <c r="T152" s="110"/>
      <c r="U152" s="110"/>
      <c r="V152" s="110"/>
      <c r="W152" s="110"/>
      <c r="X152" s="258"/>
      <c r="Y152" s="258"/>
      <c r="Z152" s="258"/>
      <c r="AA152" s="258"/>
      <c r="AB152" s="732"/>
      <c r="AC152" s="732"/>
      <c r="AD152" s="732"/>
      <c r="AE152" s="110"/>
      <c r="AF152" s="110"/>
      <c r="AG152" s="732"/>
      <c r="AH152" s="732"/>
      <c r="AI152" s="732"/>
      <c r="AJ152" s="110"/>
      <c r="AK152" s="110"/>
      <c r="AL152" s="732"/>
      <c r="AM152" s="110"/>
      <c r="AN152" s="732"/>
      <c r="AO152" s="732"/>
      <c r="AP152" s="110"/>
      <c r="AQ152" s="110"/>
    </row>
    <row r="153" spans="1:43" ht="15.75" x14ac:dyDescent="0.25">
      <c r="A153" s="110"/>
      <c r="B153" s="110"/>
      <c r="C153" s="110"/>
      <c r="D153" s="110"/>
      <c r="E153" s="110"/>
      <c r="F153" s="732"/>
      <c r="G153" s="110"/>
      <c r="H153" s="110"/>
      <c r="I153" s="110"/>
      <c r="J153" s="110"/>
      <c r="K153" s="258"/>
      <c r="L153" s="258"/>
      <c r="M153" s="258"/>
      <c r="N153" s="258"/>
      <c r="O153" s="258"/>
      <c r="P153" s="258"/>
      <c r="Q153" s="110"/>
      <c r="R153" s="258"/>
      <c r="S153" s="110"/>
      <c r="T153" s="110"/>
      <c r="U153" s="110"/>
      <c r="V153" s="110"/>
      <c r="W153" s="110"/>
      <c r="X153" s="258"/>
      <c r="Y153" s="258"/>
      <c r="Z153" s="258"/>
      <c r="AA153" s="258"/>
      <c r="AB153" s="732"/>
      <c r="AC153" s="732"/>
      <c r="AD153" s="732"/>
      <c r="AE153" s="110"/>
      <c r="AF153" s="110"/>
      <c r="AG153" s="732"/>
      <c r="AH153" s="732"/>
      <c r="AI153" s="732"/>
      <c r="AJ153" s="110"/>
      <c r="AK153" s="110"/>
      <c r="AL153" s="732"/>
      <c r="AM153" s="110"/>
      <c r="AN153" s="732"/>
      <c r="AO153" s="732"/>
      <c r="AP153" s="110"/>
      <c r="AQ153" s="110"/>
    </row>
    <row r="154" spans="1:43" ht="15.75" x14ac:dyDescent="0.25">
      <c r="A154" s="110"/>
      <c r="B154" s="110"/>
      <c r="C154" s="110"/>
      <c r="D154" s="110"/>
      <c r="E154" s="110"/>
      <c r="F154" s="732"/>
      <c r="G154" s="110"/>
      <c r="H154" s="110"/>
      <c r="I154" s="110"/>
      <c r="J154" s="110"/>
      <c r="K154" s="258"/>
      <c r="L154" s="258"/>
      <c r="M154" s="258"/>
      <c r="N154" s="258"/>
      <c r="O154" s="258"/>
      <c r="P154" s="258"/>
      <c r="Q154" s="110"/>
      <c r="R154" s="258"/>
      <c r="S154" s="110"/>
      <c r="T154" s="110"/>
      <c r="U154" s="110"/>
      <c r="V154" s="110"/>
      <c r="W154" s="110"/>
      <c r="X154" s="258"/>
      <c r="Y154" s="258"/>
      <c r="Z154" s="258"/>
      <c r="AA154" s="258"/>
      <c r="AB154" s="732"/>
      <c r="AC154" s="732"/>
      <c r="AD154" s="732"/>
      <c r="AE154" s="110"/>
      <c r="AF154" s="110"/>
      <c r="AG154" s="732"/>
      <c r="AH154" s="732"/>
      <c r="AI154" s="732"/>
      <c r="AJ154" s="110"/>
      <c r="AK154" s="110"/>
      <c r="AL154" s="732"/>
      <c r="AM154" s="110"/>
      <c r="AN154" s="732"/>
      <c r="AO154" s="732"/>
      <c r="AP154" s="110"/>
      <c r="AQ154" s="110"/>
    </row>
    <row r="155" spans="1:43" ht="15.75" x14ac:dyDescent="0.25">
      <c r="A155" s="110"/>
      <c r="B155" s="110"/>
      <c r="C155" s="110"/>
      <c r="D155" s="110"/>
      <c r="E155" s="110"/>
      <c r="F155" s="732"/>
      <c r="G155" s="110"/>
      <c r="H155" s="110"/>
      <c r="I155" s="110"/>
      <c r="J155" s="110"/>
      <c r="K155" s="258"/>
      <c r="L155" s="258"/>
      <c r="M155" s="258"/>
      <c r="N155" s="258"/>
      <c r="O155" s="258"/>
      <c r="P155" s="258"/>
      <c r="Q155" s="110"/>
      <c r="R155" s="258"/>
      <c r="S155" s="110"/>
      <c r="T155" s="110"/>
      <c r="U155" s="110"/>
      <c r="V155" s="110"/>
      <c r="W155" s="110"/>
      <c r="X155" s="258"/>
      <c r="Y155" s="258"/>
      <c r="Z155" s="258"/>
      <c r="AA155" s="258"/>
      <c r="AB155" s="732"/>
      <c r="AC155" s="732"/>
      <c r="AD155" s="732"/>
      <c r="AE155" s="110"/>
      <c r="AF155" s="110"/>
      <c r="AG155" s="732"/>
      <c r="AH155" s="732"/>
      <c r="AI155" s="732"/>
      <c r="AJ155" s="110"/>
      <c r="AK155" s="110"/>
      <c r="AL155" s="732"/>
      <c r="AM155" s="110"/>
      <c r="AN155" s="732"/>
      <c r="AO155" s="732"/>
      <c r="AP155" s="110"/>
      <c r="AQ155" s="110"/>
    </row>
    <row r="156" spans="1:43" ht="15.75" x14ac:dyDescent="0.25">
      <c r="A156" s="110"/>
      <c r="B156" s="110"/>
      <c r="C156" s="110"/>
      <c r="D156" s="110"/>
      <c r="E156" s="110"/>
      <c r="F156" s="732"/>
      <c r="G156" s="110"/>
      <c r="H156" s="110"/>
      <c r="I156" s="110"/>
      <c r="J156" s="110"/>
      <c r="K156" s="258"/>
      <c r="L156" s="258"/>
      <c r="M156" s="258"/>
      <c r="N156" s="258"/>
      <c r="O156" s="258"/>
      <c r="P156" s="258"/>
      <c r="Q156" s="110"/>
      <c r="R156" s="258"/>
      <c r="S156" s="110"/>
      <c r="T156" s="110"/>
      <c r="U156" s="110"/>
      <c r="V156" s="110"/>
      <c r="W156" s="110"/>
      <c r="X156" s="258"/>
      <c r="Y156" s="258"/>
      <c r="Z156" s="258"/>
      <c r="AA156" s="258"/>
      <c r="AB156" s="732"/>
      <c r="AC156" s="732"/>
      <c r="AD156" s="732"/>
      <c r="AE156" s="110"/>
      <c r="AF156" s="110"/>
      <c r="AG156" s="732"/>
      <c r="AH156" s="732"/>
      <c r="AI156" s="732"/>
      <c r="AJ156" s="110"/>
      <c r="AK156" s="110"/>
      <c r="AL156" s="732"/>
      <c r="AM156" s="110"/>
      <c r="AN156" s="732"/>
      <c r="AO156" s="732"/>
      <c r="AP156" s="110"/>
      <c r="AQ156" s="110"/>
    </row>
    <row r="157" spans="1:43" ht="15.75" x14ac:dyDescent="0.25">
      <c r="A157" s="110"/>
      <c r="B157" s="110"/>
      <c r="C157" s="110"/>
      <c r="D157" s="110"/>
      <c r="E157" s="110"/>
      <c r="F157" s="732"/>
      <c r="G157" s="110"/>
      <c r="H157" s="110"/>
      <c r="I157" s="110"/>
      <c r="J157" s="110"/>
      <c r="K157" s="258"/>
      <c r="L157" s="258"/>
      <c r="M157" s="258"/>
      <c r="N157" s="258"/>
      <c r="O157" s="258"/>
      <c r="P157" s="258"/>
      <c r="Q157" s="110"/>
      <c r="R157" s="258"/>
      <c r="S157" s="110"/>
      <c r="T157" s="110"/>
      <c r="U157" s="110"/>
      <c r="V157" s="110"/>
      <c r="W157" s="110"/>
      <c r="X157" s="258"/>
      <c r="Y157" s="258"/>
      <c r="Z157" s="258"/>
      <c r="AA157" s="258"/>
      <c r="AB157" s="732"/>
      <c r="AC157" s="732"/>
      <c r="AD157" s="732"/>
      <c r="AE157" s="110"/>
      <c r="AF157" s="110"/>
      <c r="AG157" s="732"/>
      <c r="AH157" s="732"/>
      <c r="AI157" s="732"/>
      <c r="AJ157" s="110"/>
      <c r="AK157" s="110"/>
      <c r="AL157" s="732"/>
      <c r="AM157" s="110"/>
      <c r="AN157" s="732"/>
      <c r="AO157" s="732"/>
      <c r="AP157" s="110"/>
      <c r="AQ157" s="110"/>
    </row>
    <row r="158" spans="1:43" ht="15.75" x14ac:dyDescent="0.25">
      <c r="A158" s="110"/>
      <c r="B158" s="110"/>
      <c r="C158" s="110"/>
      <c r="D158" s="110"/>
      <c r="E158" s="110"/>
      <c r="F158" s="732"/>
      <c r="G158" s="110"/>
      <c r="H158" s="110"/>
      <c r="I158" s="110"/>
      <c r="J158" s="110"/>
      <c r="K158" s="258"/>
      <c r="L158" s="258"/>
      <c r="M158" s="258"/>
      <c r="N158" s="258"/>
      <c r="O158" s="258"/>
      <c r="P158" s="258"/>
      <c r="Q158" s="110"/>
      <c r="R158" s="258"/>
      <c r="S158" s="110"/>
      <c r="T158" s="110"/>
      <c r="U158" s="110"/>
      <c r="V158" s="110"/>
      <c r="W158" s="110"/>
      <c r="X158" s="258"/>
      <c r="Y158" s="258"/>
      <c r="Z158" s="258"/>
      <c r="AA158" s="258"/>
      <c r="AB158" s="732"/>
      <c r="AC158" s="732"/>
      <c r="AD158" s="732"/>
      <c r="AE158" s="110"/>
      <c r="AF158" s="110"/>
      <c r="AG158" s="732"/>
      <c r="AH158" s="732"/>
      <c r="AI158" s="732"/>
      <c r="AJ158" s="110"/>
      <c r="AK158" s="110"/>
      <c r="AL158" s="732"/>
      <c r="AM158" s="110"/>
      <c r="AN158" s="732"/>
      <c r="AO158" s="732"/>
      <c r="AP158" s="110"/>
      <c r="AQ158" s="110"/>
    </row>
    <row r="159" spans="1:43" ht="15.75" x14ac:dyDescent="0.25">
      <c r="A159" s="110"/>
      <c r="B159" s="110"/>
      <c r="C159" s="110"/>
      <c r="D159" s="110"/>
      <c r="E159" s="110"/>
      <c r="F159" s="732"/>
      <c r="G159" s="110"/>
      <c r="H159" s="110"/>
      <c r="I159" s="110"/>
      <c r="J159" s="110"/>
      <c r="K159" s="258"/>
      <c r="L159" s="258"/>
      <c r="M159" s="258"/>
      <c r="N159" s="258"/>
      <c r="O159" s="258"/>
      <c r="P159" s="258"/>
      <c r="Q159" s="110"/>
      <c r="R159" s="258"/>
      <c r="S159" s="110"/>
      <c r="T159" s="110"/>
      <c r="U159" s="110"/>
      <c r="V159" s="110"/>
      <c r="W159" s="110"/>
      <c r="X159" s="258"/>
      <c r="Y159" s="258"/>
      <c r="Z159" s="258"/>
      <c r="AA159" s="258"/>
      <c r="AB159" s="732"/>
      <c r="AC159" s="732"/>
      <c r="AD159" s="732"/>
      <c r="AE159" s="110"/>
      <c r="AF159" s="110"/>
      <c r="AG159" s="732"/>
      <c r="AH159" s="732"/>
      <c r="AI159" s="732"/>
      <c r="AJ159" s="110"/>
      <c r="AK159" s="110"/>
      <c r="AL159" s="732"/>
      <c r="AM159" s="110"/>
      <c r="AN159" s="732"/>
      <c r="AO159" s="732"/>
      <c r="AP159" s="110"/>
      <c r="AQ159" s="110"/>
    </row>
    <row r="160" spans="1:43" ht="15.75" x14ac:dyDescent="0.25">
      <c r="A160" s="110"/>
      <c r="B160" s="110"/>
      <c r="C160" s="110"/>
      <c r="D160" s="110"/>
      <c r="E160" s="110"/>
      <c r="F160" s="732"/>
      <c r="G160" s="110"/>
      <c r="H160" s="110"/>
      <c r="I160" s="110"/>
      <c r="J160" s="110"/>
      <c r="K160" s="258"/>
      <c r="L160" s="258"/>
      <c r="M160" s="258"/>
      <c r="N160" s="258"/>
      <c r="O160" s="258"/>
      <c r="P160" s="258"/>
      <c r="Q160" s="110"/>
      <c r="R160" s="258"/>
      <c r="S160" s="110"/>
      <c r="T160" s="110"/>
      <c r="U160" s="110"/>
      <c r="V160" s="110"/>
      <c r="W160" s="110"/>
      <c r="X160" s="258"/>
      <c r="Y160" s="258"/>
      <c r="Z160" s="258"/>
      <c r="AA160" s="258"/>
      <c r="AB160" s="732"/>
      <c r="AC160" s="732"/>
      <c r="AD160" s="732"/>
      <c r="AE160" s="110"/>
      <c r="AF160" s="110"/>
      <c r="AG160" s="732"/>
      <c r="AH160" s="732"/>
      <c r="AI160" s="732"/>
      <c r="AJ160" s="110"/>
      <c r="AK160" s="110"/>
      <c r="AL160" s="732"/>
      <c r="AM160" s="110"/>
      <c r="AN160" s="732"/>
      <c r="AO160" s="732"/>
      <c r="AP160" s="110"/>
      <c r="AQ160" s="110"/>
    </row>
    <row r="161" spans="1:43" ht="15.75" x14ac:dyDescent="0.25">
      <c r="A161" s="110"/>
      <c r="B161" s="110"/>
      <c r="C161" s="110"/>
      <c r="D161" s="110"/>
      <c r="E161" s="110"/>
      <c r="F161" s="732"/>
      <c r="G161" s="110"/>
      <c r="H161" s="110"/>
      <c r="I161" s="110"/>
      <c r="J161" s="110"/>
      <c r="K161" s="258"/>
      <c r="L161" s="258"/>
      <c r="M161" s="258"/>
      <c r="N161" s="258"/>
      <c r="O161" s="258"/>
      <c r="P161" s="258"/>
      <c r="Q161" s="110"/>
      <c r="R161" s="258"/>
      <c r="S161" s="110"/>
      <c r="T161" s="110"/>
      <c r="U161" s="110"/>
      <c r="V161" s="110"/>
      <c r="W161" s="110"/>
      <c r="X161" s="258"/>
      <c r="Y161" s="258"/>
      <c r="Z161" s="258"/>
      <c r="AA161" s="258"/>
      <c r="AB161" s="732"/>
      <c r="AC161" s="732"/>
      <c r="AD161" s="732"/>
      <c r="AE161" s="110"/>
      <c r="AF161" s="110"/>
      <c r="AG161" s="732"/>
      <c r="AH161" s="732"/>
      <c r="AI161" s="732"/>
      <c r="AJ161" s="110"/>
      <c r="AK161" s="110"/>
      <c r="AL161" s="732"/>
      <c r="AM161" s="110"/>
      <c r="AN161" s="732"/>
      <c r="AO161" s="732"/>
      <c r="AP161" s="110"/>
      <c r="AQ161" s="110"/>
    </row>
    <row r="162" spans="1:43" ht="15.75" x14ac:dyDescent="0.25">
      <c r="A162" s="110"/>
      <c r="B162" s="110"/>
      <c r="C162" s="110"/>
      <c r="D162" s="110"/>
      <c r="E162" s="110"/>
      <c r="F162" s="732"/>
      <c r="G162" s="110"/>
      <c r="H162" s="110"/>
      <c r="I162" s="110"/>
      <c r="J162" s="110"/>
      <c r="K162" s="258"/>
      <c r="L162" s="258"/>
      <c r="M162" s="258"/>
      <c r="N162" s="258"/>
      <c r="O162" s="258"/>
      <c r="P162" s="258"/>
      <c r="Q162" s="110"/>
      <c r="R162" s="258"/>
      <c r="S162" s="110"/>
      <c r="T162" s="110"/>
      <c r="U162" s="110"/>
      <c r="V162" s="110"/>
      <c r="W162" s="110"/>
      <c r="X162" s="258"/>
      <c r="Y162" s="258"/>
      <c r="Z162" s="258"/>
      <c r="AA162" s="258"/>
      <c r="AB162" s="732"/>
      <c r="AC162" s="732"/>
      <c r="AD162" s="732"/>
      <c r="AE162" s="110"/>
      <c r="AF162" s="110"/>
      <c r="AG162" s="732"/>
      <c r="AH162" s="732"/>
      <c r="AI162" s="732"/>
      <c r="AJ162" s="110"/>
      <c r="AK162" s="110"/>
      <c r="AL162" s="732"/>
      <c r="AM162" s="110"/>
      <c r="AN162" s="732"/>
      <c r="AO162" s="732"/>
      <c r="AP162" s="110"/>
      <c r="AQ162" s="110"/>
    </row>
    <row r="163" spans="1:43" ht="15.75" x14ac:dyDescent="0.25">
      <c r="A163" s="110"/>
      <c r="B163" s="110"/>
      <c r="C163" s="110"/>
      <c r="D163" s="110"/>
      <c r="E163" s="110"/>
      <c r="F163" s="732"/>
      <c r="G163" s="110"/>
      <c r="H163" s="110"/>
      <c r="I163" s="110"/>
      <c r="J163" s="110"/>
      <c r="K163" s="258"/>
      <c r="L163" s="258"/>
      <c r="M163" s="258"/>
      <c r="N163" s="258"/>
      <c r="O163" s="258"/>
      <c r="P163" s="258"/>
      <c r="Q163" s="110"/>
      <c r="R163" s="258"/>
      <c r="S163" s="110"/>
      <c r="T163" s="110"/>
      <c r="U163" s="110"/>
      <c r="V163" s="110"/>
      <c r="W163" s="110"/>
      <c r="X163" s="258"/>
      <c r="Y163" s="258"/>
      <c r="Z163" s="258"/>
      <c r="AA163" s="258"/>
      <c r="AB163" s="732"/>
      <c r="AC163" s="732"/>
      <c r="AD163" s="732"/>
      <c r="AE163" s="110"/>
      <c r="AF163" s="110"/>
      <c r="AG163" s="732"/>
      <c r="AH163" s="732"/>
      <c r="AI163" s="732"/>
      <c r="AJ163" s="110"/>
      <c r="AK163" s="110"/>
      <c r="AL163" s="732"/>
      <c r="AM163" s="110"/>
      <c r="AN163" s="732"/>
      <c r="AO163" s="732"/>
      <c r="AP163" s="110"/>
      <c r="AQ163" s="110"/>
    </row>
    <row r="164" spans="1:43" ht="15.75" x14ac:dyDescent="0.25">
      <c r="A164" s="110"/>
      <c r="B164" s="110"/>
      <c r="C164" s="110"/>
      <c r="D164" s="110"/>
      <c r="E164" s="110"/>
      <c r="F164" s="732"/>
      <c r="G164" s="110"/>
      <c r="H164" s="110"/>
      <c r="I164" s="110"/>
      <c r="J164" s="110"/>
      <c r="K164" s="258"/>
      <c r="L164" s="258"/>
      <c r="M164" s="258"/>
      <c r="N164" s="258"/>
      <c r="O164" s="258"/>
      <c r="P164" s="258"/>
      <c r="Q164" s="110"/>
      <c r="R164" s="258"/>
      <c r="S164" s="110"/>
      <c r="T164" s="110"/>
      <c r="U164" s="110"/>
      <c r="V164" s="110"/>
      <c r="W164" s="110"/>
      <c r="X164" s="258"/>
      <c r="Y164" s="258"/>
      <c r="Z164" s="258"/>
      <c r="AA164" s="258"/>
      <c r="AB164" s="732"/>
      <c r="AC164" s="732"/>
      <c r="AD164" s="732"/>
      <c r="AE164" s="110"/>
      <c r="AF164" s="110"/>
      <c r="AG164" s="732"/>
      <c r="AH164" s="732"/>
      <c r="AI164" s="732"/>
      <c r="AJ164" s="110"/>
      <c r="AK164" s="110"/>
      <c r="AL164" s="732"/>
      <c r="AM164" s="110"/>
      <c r="AN164" s="732"/>
      <c r="AO164" s="732"/>
      <c r="AP164" s="110"/>
      <c r="AQ164" s="110"/>
    </row>
    <row r="165" spans="1:43" ht="15.75" x14ac:dyDescent="0.25">
      <c r="A165" s="110"/>
      <c r="B165" s="110"/>
      <c r="C165" s="110"/>
      <c r="D165" s="110"/>
      <c r="E165" s="110"/>
      <c r="F165" s="732"/>
      <c r="G165" s="110"/>
      <c r="H165" s="110"/>
      <c r="I165" s="110"/>
      <c r="J165" s="110"/>
      <c r="K165" s="258"/>
      <c r="L165" s="258"/>
      <c r="M165" s="258"/>
      <c r="N165" s="258"/>
      <c r="O165" s="258"/>
      <c r="P165" s="258"/>
      <c r="Q165" s="110"/>
      <c r="R165" s="258"/>
      <c r="S165" s="110"/>
      <c r="T165" s="110"/>
      <c r="U165" s="110"/>
      <c r="V165" s="110"/>
      <c r="W165" s="110"/>
      <c r="X165" s="258"/>
      <c r="Y165" s="258"/>
      <c r="Z165" s="258"/>
      <c r="AA165" s="258"/>
      <c r="AB165" s="732"/>
      <c r="AC165" s="732"/>
      <c r="AD165" s="732"/>
      <c r="AE165" s="110"/>
      <c r="AF165" s="110"/>
      <c r="AG165" s="732"/>
      <c r="AH165" s="732"/>
      <c r="AI165" s="732"/>
      <c r="AJ165" s="110"/>
      <c r="AK165" s="110"/>
      <c r="AL165" s="732"/>
      <c r="AM165" s="110"/>
      <c r="AN165" s="732"/>
      <c r="AO165" s="732"/>
      <c r="AP165" s="110"/>
      <c r="AQ165" s="110"/>
    </row>
    <row r="166" spans="1:43" ht="15.75" x14ac:dyDescent="0.25">
      <c r="A166" s="110"/>
      <c r="B166" s="110"/>
      <c r="C166" s="110"/>
      <c r="D166" s="110"/>
      <c r="E166" s="110"/>
      <c r="F166" s="732"/>
      <c r="G166" s="110"/>
      <c r="H166" s="110"/>
      <c r="I166" s="110"/>
      <c r="J166" s="110"/>
      <c r="K166" s="258"/>
      <c r="L166" s="258"/>
      <c r="M166" s="258"/>
      <c r="N166" s="258"/>
      <c r="O166" s="258"/>
      <c r="P166" s="258"/>
      <c r="Q166" s="110"/>
      <c r="R166" s="258"/>
      <c r="S166" s="110"/>
      <c r="T166" s="110"/>
      <c r="U166" s="110"/>
      <c r="V166" s="110"/>
      <c r="W166" s="110"/>
      <c r="X166" s="258"/>
      <c r="Y166" s="258"/>
      <c r="Z166" s="258"/>
      <c r="AA166" s="258"/>
      <c r="AB166" s="732"/>
      <c r="AC166" s="732"/>
      <c r="AD166" s="732"/>
      <c r="AE166" s="110"/>
      <c r="AF166" s="110"/>
      <c r="AG166" s="732"/>
      <c r="AH166" s="732"/>
      <c r="AI166" s="732"/>
      <c r="AJ166" s="110"/>
      <c r="AK166" s="110"/>
      <c r="AL166" s="732"/>
      <c r="AM166" s="110"/>
      <c r="AN166" s="732"/>
      <c r="AO166" s="732"/>
      <c r="AP166" s="110"/>
      <c r="AQ166" s="110"/>
    </row>
    <row r="167" spans="1:43" ht="15.75" x14ac:dyDescent="0.25">
      <c r="A167" s="110"/>
      <c r="B167" s="110"/>
      <c r="C167" s="110"/>
      <c r="D167" s="110"/>
      <c r="E167" s="110"/>
      <c r="F167" s="732"/>
      <c r="G167" s="110"/>
      <c r="H167" s="110"/>
      <c r="I167" s="110"/>
      <c r="J167" s="110"/>
      <c r="K167" s="258"/>
      <c r="L167" s="258"/>
      <c r="M167" s="258"/>
      <c r="N167" s="258"/>
      <c r="O167" s="258"/>
      <c r="P167" s="258"/>
      <c r="Q167" s="110"/>
      <c r="R167" s="258"/>
      <c r="S167" s="110"/>
      <c r="T167" s="110"/>
      <c r="U167" s="110"/>
      <c r="V167" s="110"/>
      <c r="W167" s="110"/>
      <c r="X167" s="258"/>
      <c r="Y167" s="258"/>
      <c r="Z167" s="258"/>
      <c r="AA167" s="258"/>
      <c r="AB167" s="732"/>
      <c r="AC167" s="732"/>
      <c r="AD167" s="732"/>
      <c r="AE167" s="110"/>
      <c r="AF167" s="110"/>
      <c r="AG167" s="732"/>
      <c r="AH167" s="732"/>
      <c r="AI167" s="732"/>
      <c r="AJ167" s="110"/>
      <c r="AK167" s="110"/>
      <c r="AL167" s="732"/>
      <c r="AM167" s="110"/>
      <c r="AN167" s="732"/>
      <c r="AO167" s="732"/>
      <c r="AP167" s="110"/>
      <c r="AQ167" s="110"/>
    </row>
    <row r="168" spans="1:43" ht="15.75" x14ac:dyDescent="0.25">
      <c r="A168" s="110"/>
      <c r="B168" s="110"/>
      <c r="C168" s="110"/>
      <c r="D168" s="110"/>
      <c r="E168" s="110"/>
      <c r="F168" s="732"/>
      <c r="G168" s="110"/>
      <c r="H168" s="110"/>
      <c r="I168" s="110"/>
      <c r="J168" s="110"/>
      <c r="K168" s="258"/>
      <c r="L168" s="258"/>
      <c r="M168" s="258"/>
      <c r="N168" s="258"/>
      <c r="O168" s="258"/>
      <c r="P168" s="258"/>
      <c r="Q168" s="110"/>
      <c r="R168" s="258"/>
      <c r="S168" s="110"/>
      <c r="T168" s="110"/>
      <c r="U168" s="110"/>
      <c r="V168" s="110"/>
      <c r="W168" s="110"/>
      <c r="X168" s="258"/>
      <c r="Y168" s="258"/>
      <c r="Z168" s="258"/>
      <c r="AA168" s="258"/>
      <c r="AB168" s="732"/>
      <c r="AC168" s="732"/>
      <c r="AD168" s="732"/>
      <c r="AE168" s="110"/>
      <c r="AF168" s="110"/>
      <c r="AG168" s="732"/>
      <c r="AH168" s="732"/>
      <c r="AI168" s="732"/>
      <c r="AJ168" s="110"/>
      <c r="AK168" s="110"/>
      <c r="AL168" s="732"/>
      <c r="AM168" s="110"/>
      <c r="AN168" s="732"/>
      <c r="AO168" s="732"/>
      <c r="AP168" s="110"/>
      <c r="AQ168" s="110"/>
    </row>
    <row r="169" spans="1:43" ht="15.75" x14ac:dyDescent="0.25">
      <c r="A169" s="110"/>
      <c r="B169" s="110"/>
      <c r="C169" s="110"/>
      <c r="D169" s="110"/>
      <c r="E169" s="110"/>
      <c r="F169" s="732"/>
      <c r="G169" s="110"/>
      <c r="H169" s="110"/>
      <c r="I169" s="110"/>
      <c r="J169" s="110"/>
      <c r="K169" s="258"/>
      <c r="L169" s="258"/>
      <c r="M169" s="258"/>
      <c r="N169" s="258"/>
      <c r="O169" s="258"/>
      <c r="P169" s="258"/>
      <c r="Q169" s="110"/>
      <c r="R169" s="258"/>
      <c r="S169" s="110"/>
      <c r="T169" s="110"/>
      <c r="U169" s="110"/>
      <c r="V169" s="110"/>
      <c r="W169" s="110"/>
      <c r="X169" s="258"/>
      <c r="Y169" s="258"/>
      <c r="Z169" s="258"/>
      <c r="AA169" s="258"/>
      <c r="AB169" s="732"/>
      <c r="AC169" s="732"/>
      <c r="AD169" s="732"/>
      <c r="AE169" s="110"/>
      <c r="AF169" s="110"/>
      <c r="AG169" s="732"/>
      <c r="AH169" s="732"/>
      <c r="AI169" s="732"/>
      <c r="AJ169" s="110"/>
      <c r="AK169" s="110"/>
      <c r="AL169" s="732"/>
      <c r="AM169" s="110"/>
      <c r="AN169" s="732"/>
      <c r="AO169" s="732"/>
      <c r="AP169" s="110"/>
      <c r="AQ169" s="110"/>
    </row>
    <row r="170" spans="1:43" ht="15.75" x14ac:dyDescent="0.25">
      <c r="A170" s="110"/>
      <c r="B170" s="110"/>
      <c r="C170" s="110"/>
      <c r="D170" s="110"/>
      <c r="E170" s="110"/>
      <c r="F170" s="732"/>
      <c r="G170" s="110"/>
      <c r="H170" s="110"/>
      <c r="I170" s="110"/>
      <c r="J170" s="110"/>
      <c r="K170" s="258"/>
      <c r="L170" s="258"/>
      <c r="M170" s="258"/>
      <c r="N170" s="258"/>
      <c r="O170" s="258"/>
      <c r="P170" s="258"/>
      <c r="Q170" s="110"/>
      <c r="R170" s="258"/>
      <c r="S170" s="110"/>
      <c r="T170" s="110"/>
      <c r="U170" s="110"/>
      <c r="V170" s="110"/>
      <c r="W170" s="110"/>
      <c r="X170" s="258"/>
      <c r="Y170" s="258"/>
      <c r="Z170" s="258"/>
      <c r="AA170" s="258"/>
      <c r="AB170" s="732"/>
      <c r="AC170" s="732"/>
      <c r="AD170" s="732"/>
      <c r="AE170" s="110"/>
      <c r="AF170" s="110"/>
      <c r="AG170" s="732"/>
      <c r="AH170" s="732"/>
      <c r="AI170" s="732"/>
      <c r="AJ170" s="110"/>
      <c r="AK170" s="110"/>
      <c r="AL170" s="732"/>
      <c r="AM170" s="110"/>
      <c r="AN170" s="732"/>
      <c r="AO170" s="732"/>
      <c r="AP170" s="110"/>
      <c r="AQ170" s="110"/>
    </row>
    <row r="171" spans="1:43" ht="15.75" x14ac:dyDescent="0.25">
      <c r="A171" s="110"/>
      <c r="B171" s="110"/>
      <c r="C171" s="110"/>
      <c r="D171" s="110"/>
      <c r="E171" s="110"/>
      <c r="F171" s="732"/>
      <c r="G171" s="110"/>
      <c r="H171" s="110"/>
      <c r="I171" s="110"/>
      <c r="J171" s="110"/>
      <c r="K171" s="258"/>
      <c r="L171" s="258"/>
      <c r="M171" s="258"/>
      <c r="N171" s="258"/>
      <c r="O171" s="258"/>
      <c r="P171" s="258"/>
      <c r="Q171" s="110"/>
      <c r="R171" s="258"/>
      <c r="S171" s="110"/>
      <c r="T171" s="110"/>
      <c r="U171" s="110"/>
      <c r="V171" s="110"/>
      <c r="W171" s="110"/>
      <c r="X171" s="258"/>
      <c r="Y171" s="258"/>
      <c r="Z171" s="258"/>
      <c r="AA171" s="258"/>
      <c r="AB171" s="732"/>
      <c r="AC171" s="732"/>
      <c r="AD171" s="732"/>
      <c r="AE171" s="110"/>
      <c r="AF171" s="110"/>
      <c r="AG171" s="732"/>
      <c r="AH171" s="732"/>
      <c r="AI171" s="732"/>
      <c r="AJ171" s="110"/>
      <c r="AK171" s="110"/>
      <c r="AL171" s="732"/>
      <c r="AM171" s="110"/>
      <c r="AN171" s="732"/>
      <c r="AO171" s="732"/>
      <c r="AP171" s="110"/>
      <c r="AQ171" s="110"/>
    </row>
    <row r="172" spans="1:43" ht="15.75" x14ac:dyDescent="0.25">
      <c r="A172" s="110"/>
      <c r="B172" s="110"/>
      <c r="C172" s="110"/>
      <c r="D172" s="110"/>
      <c r="E172" s="110"/>
      <c r="F172" s="732"/>
      <c r="G172" s="110"/>
      <c r="H172" s="110"/>
      <c r="I172" s="110"/>
      <c r="J172" s="110"/>
      <c r="K172" s="258"/>
      <c r="L172" s="258"/>
      <c r="M172" s="258"/>
      <c r="N172" s="258"/>
      <c r="O172" s="258"/>
      <c r="P172" s="258"/>
      <c r="Q172" s="110"/>
      <c r="R172" s="258"/>
      <c r="S172" s="110"/>
      <c r="T172" s="110"/>
      <c r="U172" s="110"/>
      <c r="V172" s="110"/>
      <c r="W172" s="110"/>
      <c r="X172" s="258"/>
      <c r="Y172" s="258"/>
      <c r="Z172" s="258"/>
      <c r="AA172" s="258"/>
      <c r="AB172" s="732"/>
      <c r="AC172" s="732"/>
      <c r="AD172" s="732"/>
      <c r="AE172" s="110"/>
      <c r="AF172" s="110"/>
      <c r="AG172" s="732"/>
      <c r="AH172" s="732"/>
      <c r="AI172" s="732"/>
      <c r="AJ172" s="110"/>
      <c r="AK172" s="110"/>
      <c r="AL172" s="732"/>
      <c r="AM172" s="110"/>
      <c r="AN172" s="732"/>
      <c r="AO172" s="732"/>
      <c r="AP172" s="110"/>
      <c r="AQ172" s="110"/>
    </row>
    <row r="173" spans="1:43" ht="15.75" x14ac:dyDescent="0.25">
      <c r="A173" s="110"/>
      <c r="B173" s="110"/>
      <c r="C173" s="110"/>
      <c r="D173" s="110"/>
      <c r="E173" s="110"/>
      <c r="F173" s="732"/>
      <c r="G173" s="110"/>
      <c r="H173" s="110"/>
      <c r="I173" s="110"/>
      <c r="J173" s="110"/>
      <c r="K173" s="258"/>
      <c r="L173" s="258"/>
      <c r="M173" s="258"/>
      <c r="N173" s="258"/>
      <c r="O173" s="258"/>
      <c r="P173" s="258"/>
      <c r="Q173" s="110"/>
      <c r="R173" s="258"/>
      <c r="S173" s="110"/>
      <c r="T173" s="110"/>
      <c r="U173" s="110"/>
      <c r="V173" s="110"/>
      <c r="W173" s="110"/>
      <c r="X173" s="258"/>
      <c r="Y173" s="258"/>
      <c r="Z173" s="258"/>
      <c r="AA173" s="258"/>
      <c r="AB173" s="732"/>
      <c r="AC173" s="732"/>
      <c r="AD173" s="732"/>
      <c r="AE173" s="110"/>
      <c r="AF173" s="110"/>
      <c r="AG173" s="732"/>
      <c r="AH173" s="732"/>
      <c r="AI173" s="732"/>
      <c r="AJ173" s="110"/>
      <c r="AK173" s="110"/>
      <c r="AL173" s="732"/>
      <c r="AM173" s="110"/>
      <c r="AN173" s="732"/>
      <c r="AO173" s="732"/>
      <c r="AP173" s="110"/>
      <c r="AQ173" s="110"/>
    </row>
    <row r="174" spans="1:43" ht="15.75" x14ac:dyDescent="0.25">
      <c r="A174" s="110"/>
      <c r="B174" s="110"/>
      <c r="C174" s="110"/>
      <c r="D174" s="110"/>
      <c r="E174" s="110"/>
      <c r="F174" s="732"/>
      <c r="G174" s="110"/>
      <c r="H174" s="110"/>
      <c r="I174" s="110"/>
      <c r="J174" s="110"/>
      <c r="K174" s="258"/>
      <c r="L174" s="258"/>
      <c r="M174" s="258"/>
      <c r="N174" s="258"/>
      <c r="O174" s="258"/>
      <c r="P174" s="258"/>
      <c r="Q174" s="110"/>
      <c r="R174" s="258"/>
      <c r="S174" s="110"/>
      <c r="T174" s="110"/>
      <c r="U174" s="110"/>
      <c r="V174" s="110"/>
      <c r="W174" s="110"/>
      <c r="X174" s="258"/>
      <c r="Y174" s="258"/>
      <c r="Z174" s="258"/>
      <c r="AA174" s="258"/>
      <c r="AB174" s="732"/>
      <c r="AC174" s="732"/>
      <c r="AD174" s="732"/>
      <c r="AE174" s="110"/>
      <c r="AF174" s="110"/>
      <c r="AG174" s="732"/>
      <c r="AH174" s="732"/>
      <c r="AI174" s="732"/>
      <c r="AJ174" s="110"/>
      <c r="AK174" s="110"/>
      <c r="AL174" s="732"/>
      <c r="AM174" s="110"/>
      <c r="AN174" s="732"/>
      <c r="AO174" s="732"/>
      <c r="AP174" s="110"/>
      <c r="AQ174" s="110"/>
    </row>
    <row r="175" spans="1:43" ht="15.75" x14ac:dyDescent="0.25">
      <c r="A175" s="110"/>
      <c r="B175" s="110"/>
      <c r="C175" s="110"/>
      <c r="D175" s="110"/>
      <c r="E175" s="110"/>
      <c r="F175" s="732"/>
      <c r="G175" s="110"/>
      <c r="H175" s="110"/>
      <c r="I175" s="110"/>
      <c r="J175" s="110"/>
      <c r="K175" s="258"/>
      <c r="L175" s="258"/>
      <c r="M175" s="258"/>
      <c r="N175" s="258"/>
      <c r="O175" s="258"/>
      <c r="P175" s="258"/>
      <c r="Q175" s="110"/>
      <c r="R175" s="258"/>
      <c r="S175" s="110"/>
      <c r="T175" s="110"/>
      <c r="U175" s="110"/>
      <c r="V175" s="110"/>
      <c r="W175" s="110"/>
      <c r="X175" s="258"/>
      <c r="Y175" s="258"/>
      <c r="Z175" s="258"/>
      <c r="AA175" s="258"/>
      <c r="AB175" s="732"/>
      <c r="AC175" s="732"/>
      <c r="AD175" s="732"/>
      <c r="AE175" s="110"/>
      <c r="AF175" s="110"/>
      <c r="AG175" s="732"/>
      <c r="AH175" s="732"/>
      <c r="AI175" s="732"/>
      <c r="AJ175" s="110"/>
      <c r="AK175" s="110"/>
      <c r="AL175" s="732"/>
      <c r="AM175" s="110"/>
      <c r="AN175" s="732"/>
      <c r="AO175" s="732"/>
      <c r="AP175" s="110"/>
      <c r="AQ175" s="110"/>
    </row>
    <row r="176" spans="1:43" ht="15.75" x14ac:dyDescent="0.25">
      <c r="A176" s="110"/>
      <c r="B176" s="110"/>
      <c r="C176" s="110"/>
      <c r="D176" s="110"/>
      <c r="E176" s="110"/>
      <c r="F176" s="732"/>
      <c r="G176" s="110"/>
      <c r="H176" s="110"/>
      <c r="I176" s="110"/>
      <c r="J176" s="110"/>
      <c r="K176" s="258"/>
      <c r="L176" s="258"/>
      <c r="M176" s="258"/>
      <c r="N176" s="258"/>
      <c r="O176" s="258"/>
      <c r="P176" s="258"/>
      <c r="Q176" s="110"/>
      <c r="R176" s="258"/>
      <c r="S176" s="110"/>
      <c r="T176" s="110"/>
      <c r="U176" s="110"/>
      <c r="V176" s="110"/>
      <c r="W176" s="110"/>
      <c r="X176" s="258"/>
      <c r="Y176" s="258"/>
      <c r="Z176" s="258"/>
      <c r="AA176" s="258"/>
      <c r="AB176" s="732"/>
      <c r="AC176" s="732"/>
      <c r="AD176" s="732"/>
      <c r="AE176" s="110"/>
      <c r="AF176" s="110"/>
      <c r="AG176" s="732"/>
      <c r="AH176" s="732"/>
      <c r="AI176" s="732"/>
      <c r="AJ176" s="110"/>
      <c r="AK176" s="110"/>
      <c r="AL176" s="732"/>
      <c r="AM176" s="110"/>
      <c r="AN176" s="732"/>
      <c r="AO176" s="732"/>
      <c r="AP176" s="110"/>
      <c r="AQ176" s="110"/>
    </row>
    <row r="177" spans="1:43" ht="15.75" x14ac:dyDescent="0.25">
      <c r="A177" s="110"/>
      <c r="B177" s="110"/>
      <c r="C177" s="110"/>
      <c r="D177" s="110"/>
      <c r="E177" s="110"/>
      <c r="F177" s="732"/>
      <c r="G177" s="110"/>
      <c r="H177" s="110"/>
      <c r="I177" s="110"/>
      <c r="J177" s="110"/>
      <c r="K177" s="258"/>
      <c r="L177" s="258"/>
      <c r="M177" s="258"/>
      <c r="N177" s="258"/>
      <c r="O177" s="258"/>
      <c r="P177" s="258"/>
      <c r="Q177" s="110"/>
      <c r="R177" s="258"/>
      <c r="S177" s="110"/>
      <c r="T177" s="110"/>
      <c r="U177" s="110"/>
      <c r="V177" s="110"/>
      <c r="W177" s="110"/>
      <c r="X177" s="258"/>
      <c r="Y177" s="258"/>
      <c r="Z177" s="258"/>
      <c r="AA177" s="258"/>
      <c r="AB177" s="732"/>
      <c r="AC177" s="732"/>
      <c r="AD177" s="732"/>
      <c r="AE177" s="110"/>
      <c r="AF177" s="110"/>
      <c r="AG177" s="732"/>
      <c r="AH177" s="732"/>
      <c r="AI177" s="732"/>
      <c r="AJ177" s="110"/>
      <c r="AK177" s="110"/>
      <c r="AL177" s="732"/>
      <c r="AM177" s="110"/>
      <c r="AN177" s="732"/>
      <c r="AO177" s="732"/>
      <c r="AP177" s="110"/>
      <c r="AQ177" s="110"/>
    </row>
    <row r="178" spans="1:43" ht="15.75" x14ac:dyDescent="0.25">
      <c r="A178" s="110"/>
      <c r="B178" s="110"/>
      <c r="C178" s="110"/>
      <c r="D178" s="110"/>
      <c r="E178" s="110"/>
      <c r="F178" s="732"/>
      <c r="G178" s="110"/>
      <c r="H178" s="110"/>
      <c r="I178" s="110"/>
      <c r="J178" s="110"/>
      <c r="K178" s="258"/>
      <c r="L178" s="258"/>
      <c r="M178" s="258"/>
      <c r="N178" s="258"/>
      <c r="O178" s="258"/>
      <c r="P178" s="258"/>
      <c r="Q178" s="110"/>
      <c r="R178" s="258"/>
      <c r="S178" s="110"/>
      <c r="T178" s="110"/>
      <c r="U178" s="110"/>
      <c r="V178" s="110"/>
      <c r="W178" s="110"/>
      <c r="X178" s="258"/>
      <c r="Y178" s="258"/>
      <c r="Z178" s="258"/>
      <c r="AA178" s="258"/>
      <c r="AB178" s="732"/>
      <c r="AC178" s="732"/>
      <c r="AD178" s="732"/>
      <c r="AE178" s="110"/>
      <c r="AF178" s="110"/>
      <c r="AG178" s="732"/>
      <c r="AH178" s="732"/>
      <c r="AI178" s="732"/>
      <c r="AJ178" s="110"/>
      <c r="AK178" s="110"/>
      <c r="AL178" s="732"/>
      <c r="AM178" s="110"/>
      <c r="AN178" s="732"/>
      <c r="AO178" s="732"/>
      <c r="AP178" s="110"/>
      <c r="AQ178" s="110"/>
    </row>
    <row r="179" spans="1:43" ht="15.75" x14ac:dyDescent="0.25">
      <c r="A179" s="110"/>
      <c r="B179" s="110"/>
      <c r="C179" s="110"/>
      <c r="D179" s="110"/>
      <c r="E179" s="110"/>
      <c r="F179" s="732"/>
      <c r="G179" s="110"/>
      <c r="H179" s="110"/>
      <c r="I179" s="110"/>
      <c r="J179" s="110"/>
      <c r="K179" s="258"/>
      <c r="L179" s="258"/>
      <c r="M179" s="258"/>
      <c r="N179" s="258"/>
      <c r="O179" s="258"/>
      <c r="P179" s="258"/>
      <c r="Q179" s="110"/>
      <c r="R179" s="258"/>
      <c r="S179" s="110"/>
      <c r="T179" s="110"/>
      <c r="U179" s="110"/>
      <c r="V179" s="110"/>
      <c r="W179" s="110"/>
      <c r="X179" s="258"/>
      <c r="Y179" s="258"/>
      <c r="Z179" s="258"/>
      <c r="AA179" s="258"/>
      <c r="AB179" s="732"/>
      <c r="AC179" s="732"/>
      <c r="AD179" s="732"/>
      <c r="AE179" s="110"/>
      <c r="AF179" s="110"/>
      <c r="AG179" s="732"/>
      <c r="AH179" s="732"/>
      <c r="AI179" s="732"/>
      <c r="AJ179" s="110"/>
      <c r="AK179" s="110"/>
      <c r="AL179" s="732"/>
      <c r="AM179" s="110"/>
      <c r="AN179" s="732"/>
      <c r="AO179" s="732"/>
      <c r="AP179" s="110"/>
      <c r="AQ179" s="110"/>
    </row>
    <row r="180" spans="1:43" ht="15.75" x14ac:dyDescent="0.25">
      <c r="A180" s="110"/>
      <c r="B180" s="110"/>
      <c r="C180" s="110"/>
      <c r="D180" s="110"/>
      <c r="E180" s="110"/>
      <c r="F180" s="732"/>
      <c r="G180" s="110"/>
      <c r="H180" s="110"/>
      <c r="I180" s="110"/>
      <c r="J180" s="110"/>
      <c r="K180" s="258"/>
      <c r="L180" s="258"/>
      <c r="M180" s="258"/>
      <c r="N180" s="258"/>
      <c r="O180" s="258"/>
      <c r="P180" s="258"/>
      <c r="Q180" s="110"/>
      <c r="R180" s="258"/>
      <c r="S180" s="110"/>
      <c r="T180" s="110"/>
      <c r="U180" s="110"/>
      <c r="V180" s="110"/>
      <c r="W180" s="110"/>
      <c r="X180" s="258"/>
      <c r="Y180" s="258"/>
      <c r="Z180" s="258"/>
      <c r="AA180" s="258"/>
      <c r="AB180" s="732"/>
      <c r="AC180" s="732"/>
      <c r="AD180" s="732"/>
      <c r="AE180" s="110"/>
      <c r="AF180" s="110"/>
      <c r="AG180" s="732"/>
      <c r="AH180" s="732"/>
      <c r="AI180" s="732"/>
      <c r="AJ180" s="110"/>
      <c r="AK180" s="110"/>
      <c r="AL180" s="732"/>
      <c r="AM180" s="110"/>
      <c r="AN180" s="732"/>
      <c r="AO180" s="732"/>
      <c r="AP180" s="110"/>
      <c r="AQ180" s="110"/>
    </row>
    <row r="181" spans="1:43" ht="15.75" x14ac:dyDescent="0.25">
      <c r="A181" s="110"/>
      <c r="B181" s="110"/>
      <c r="C181" s="110"/>
      <c r="D181" s="110"/>
      <c r="E181" s="110"/>
      <c r="F181" s="732"/>
      <c r="G181" s="110"/>
      <c r="H181" s="110"/>
      <c r="I181" s="110"/>
      <c r="J181" s="110"/>
      <c r="K181" s="258"/>
      <c r="L181" s="258"/>
      <c r="M181" s="258"/>
      <c r="N181" s="258"/>
      <c r="O181" s="258"/>
      <c r="P181" s="258"/>
      <c r="Q181" s="110"/>
      <c r="R181" s="258"/>
      <c r="S181" s="110"/>
      <c r="T181" s="110"/>
      <c r="U181" s="110"/>
      <c r="V181" s="110"/>
      <c r="W181" s="110"/>
      <c r="X181" s="258"/>
      <c r="Y181" s="258"/>
      <c r="Z181" s="258"/>
      <c r="AA181" s="258"/>
      <c r="AB181" s="732"/>
      <c r="AC181" s="732"/>
      <c r="AD181" s="732"/>
      <c r="AE181" s="110"/>
      <c r="AF181" s="110"/>
      <c r="AG181" s="732"/>
      <c r="AH181" s="732"/>
      <c r="AI181" s="732"/>
      <c r="AJ181" s="110"/>
      <c r="AK181" s="110"/>
      <c r="AL181" s="732"/>
      <c r="AM181" s="110"/>
      <c r="AN181" s="732"/>
      <c r="AO181" s="732"/>
      <c r="AP181" s="110"/>
      <c r="AQ181" s="110"/>
    </row>
    <row r="182" spans="1:43" ht="15.75" x14ac:dyDescent="0.25">
      <c r="A182" s="110"/>
      <c r="B182" s="110"/>
      <c r="C182" s="110"/>
      <c r="D182" s="110"/>
      <c r="E182" s="110"/>
      <c r="F182" s="732"/>
      <c r="G182" s="110"/>
      <c r="H182" s="110"/>
      <c r="I182" s="110"/>
      <c r="J182" s="110"/>
      <c r="K182" s="258"/>
      <c r="L182" s="258"/>
      <c r="M182" s="258"/>
      <c r="N182" s="258"/>
      <c r="O182" s="258"/>
      <c r="P182" s="258"/>
      <c r="Q182" s="110"/>
      <c r="R182" s="258"/>
      <c r="S182" s="110"/>
      <c r="T182" s="110"/>
      <c r="U182" s="110"/>
      <c r="V182" s="110"/>
      <c r="W182" s="110"/>
      <c r="X182" s="258"/>
      <c r="Y182" s="258"/>
      <c r="Z182" s="258"/>
      <c r="AA182" s="258"/>
      <c r="AB182" s="732"/>
      <c r="AC182" s="732"/>
      <c r="AD182" s="732"/>
      <c r="AE182" s="110"/>
      <c r="AF182" s="110"/>
      <c r="AG182" s="732"/>
      <c r="AH182" s="732"/>
      <c r="AI182" s="732"/>
      <c r="AJ182" s="110"/>
      <c r="AK182" s="110"/>
      <c r="AL182" s="732"/>
      <c r="AM182" s="110"/>
      <c r="AN182" s="732"/>
      <c r="AO182" s="732"/>
      <c r="AP182" s="110"/>
      <c r="AQ182" s="110"/>
    </row>
    <row r="183" spans="1:43" ht="15.75" x14ac:dyDescent="0.25">
      <c r="A183" s="110"/>
      <c r="B183" s="110"/>
      <c r="C183" s="110"/>
      <c r="D183" s="110"/>
      <c r="E183" s="110"/>
      <c r="F183" s="732"/>
      <c r="G183" s="110"/>
      <c r="H183" s="110"/>
      <c r="I183" s="110"/>
      <c r="J183" s="110"/>
      <c r="K183" s="258"/>
      <c r="L183" s="258"/>
      <c r="M183" s="258"/>
      <c r="N183" s="258"/>
      <c r="O183" s="258"/>
      <c r="P183" s="258"/>
      <c r="Q183" s="110"/>
      <c r="R183" s="258"/>
      <c r="S183" s="110"/>
      <c r="T183" s="110"/>
      <c r="U183" s="110"/>
      <c r="V183" s="110"/>
      <c r="W183" s="110"/>
      <c r="X183" s="258"/>
      <c r="Y183" s="258"/>
      <c r="Z183" s="258"/>
      <c r="AA183" s="258"/>
      <c r="AB183" s="732"/>
      <c r="AC183" s="732"/>
      <c r="AD183" s="732"/>
      <c r="AE183" s="110"/>
      <c r="AF183" s="110"/>
      <c r="AG183" s="732"/>
      <c r="AH183" s="732"/>
      <c r="AI183" s="732"/>
      <c r="AJ183" s="110"/>
      <c r="AK183" s="110"/>
      <c r="AL183" s="732"/>
      <c r="AM183" s="110"/>
      <c r="AN183" s="732"/>
      <c r="AO183" s="732"/>
      <c r="AP183" s="110"/>
      <c r="AQ183" s="110"/>
    </row>
    <row r="184" spans="1:43" ht="15.75" x14ac:dyDescent="0.25">
      <c r="A184" s="110"/>
      <c r="B184" s="110"/>
      <c r="C184" s="110"/>
      <c r="D184" s="110"/>
      <c r="E184" s="110"/>
      <c r="F184" s="732"/>
      <c r="G184" s="110"/>
      <c r="H184" s="110"/>
      <c r="I184" s="110"/>
      <c r="J184" s="110"/>
      <c r="K184" s="258"/>
      <c r="L184" s="258"/>
      <c r="M184" s="258"/>
      <c r="N184" s="258"/>
      <c r="O184" s="258"/>
      <c r="P184" s="258"/>
      <c r="Q184" s="110"/>
      <c r="R184" s="258"/>
      <c r="S184" s="110"/>
      <c r="T184" s="110"/>
      <c r="U184" s="110"/>
      <c r="V184" s="110"/>
      <c r="W184" s="110"/>
      <c r="X184" s="258"/>
      <c r="Y184" s="258"/>
      <c r="Z184" s="258"/>
      <c r="AA184" s="258"/>
      <c r="AB184" s="732"/>
      <c r="AC184" s="732"/>
      <c r="AD184" s="732"/>
      <c r="AE184" s="110"/>
      <c r="AF184" s="110"/>
      <c r="AG184" s="732"/>
      <c r="AH184" s="732"/>
      <c r="AI184" s="732"/>
      <c r="AJ184" s="110"/>
      <c r="AK184" s="110"/>
      <c r="AL184" s="732"/>
      <c r="AM184" s="110"/>
      <c r="AN184" s="732"/>
      <c r="AO184" s="732"/>
      <c r="AP184" s="110"/>
      <c r="AQ184" s="110"/>
    </row>
    <row r="185" spans="1:43" ht="15.75" x14ac:dyDescent="0.25">
      <c r="A185" s="110"/>
      <c r="B185" s="110"/>
      <c r="C185" s="110"/>
      <c r="D185" s="110"/>
      <c r="E185" s="110"/>
      <c r="F185" s="732"/>
      <c r="G185" s="110"/>
      <c r="H185" s="110"/>
      <c r="I185" s="110"/>
      <c r="J185" s="110"/>
      <c r="K185" s="258"/>
      <c r="L185" s="258"/>
      <c r="M185" s="258"/>
      <c r="N185" s="258"/>
      <c r="O185" s="258"/>
      <c r="P185" s="258"/>
      <c r="Q185" s="110"/>
      <c r="R185" s="258"/>
      <c r="S185" s="110"/>
      <c r="T185" s="110"/>
      <c r="U185" s="110"/>
      <c r="V185" s="110"/>
      <c r="W185" s="110"/>
      <c r="X185" s="258"/>
      <c r="Y185" s="258"/>
      <c r="Z185" s="258"/>
      <c r="AA185" s="258"/>
      <c r="AB185" s="732"/>
      <c r="AC185" s="732"/>
      <c r="AD185" s="732"/>
      <c r="AE185" s="110"/>
      <c r="AF185" s="110"/>
      <c r="AG185" s="732"/>
      <c r="AH185" s="732"/>
      <c r="AI185" s="732"/>
      <c r="AJ185" s="110"/>
      <c r="AK185" s="110"/>
      <c r="AL185" s="732"/>
      <c r="AM185" s="110"/>
      <c r="AN185" s="732"/>
      <c r="AO185" s="732"/>
      <c r="AP185" s="110"/>
      <c r="AQ185" s="110"/>
    </row>
    <row r="186" spans="1:43" ht="15.75" x14ac:dyDescent="0.25">
      <c r="A186" s="110"/>
      <c r="B186" s="110"/>
      <c r="C186" s="110"/>
      <c r="D186" s="110"/>
      <c r="E186" s="110"/>
      <c r="F186" s="732"/>
      <c r="G186" s="110"/>
      <c r="H186" s="110"/>
      <c r="I186" s="110"/>
      <c r="J186" s="110"/>
      <c r="K186" s="258"/>
      <c r="L186" s="258"/>
      <c r="M186" s="258"/>
      <c r="N186" s="258"/>
      <c r="O186" s="258"/>
      <c r="P186" s="258"/>
      <c r="Q186" s="110"/>
      <c r="R186" s="258"/>
      <c r="S186" s="110"/>
      <c r="T186" s="110"/>
      <c r="U186" s="110"/>
      <c r="V186" s="110"/>
      <c r="W186" s="110"/>
      <c r="X186" s="258"/>
      <c r="Y186" s="258"/>
      <c r="Z186" s="258"/>
      <c r="AA186" s="258"/>
      <c r="AB186" s="732"/>
      <c r="AC186" s="732"/>
      <c r="AD186" s="732"/>
      <c r="AE186" s="110"/>
      <c r="AF186" s="110"/>
      <c r="AG186" s="732"/>
      <c r="AH186" s="732"/>
      <c r="AI186" s="732"/>
      <c r="AJ186" s="110"/>
      <c r="AK186" s="110"/>
      <c r="AL186" s="732"/>
      <c r="AM186" s="110"/>
      <c r="AN186" s="732"/>
      <c r="AO186" s="732"/>
      <c r="AP186" s="110"/>
      <c r="AQ186" s="110"/>
    </row>
    <row r="187" spans="1:43" ht="15.75" x14ac:dyDescent="0.25">
      <c r="A187" s="110"/>
      <c r="B187" s="110"/>
      <c r="C187" s="110"/>
      <c r="D187" s="110"/>
      <c r="E187" s="110"/>
      <c r="F187" s="732"/>
      <c r="G187" s="110"/>
      <c r="H187" s="110"/>
      <c r="I187" s="110"/>
      <c r="J187" s="110"/>
      <c r="K187" s="258"/>
      <c r="L187" s="258"/>
      <c r="M187" s="258"/>
      <c r="N187" s="258"/>
      <c r="O187" s="258"/>
      <c r="P187" s="258"/>
      <c r="Q187" s="110"/>
      <c r="R187" s="258"/>
      <c r="S187" s="110"/>
      <c r="T187" s="110"/>
      <c r="U187" s="110"/>
      <c r="V187" s="110"/>
      <c r="W187" s="110"/>
      <c r="X187" s="258"/>
      <c r="Y187" s="258"/>
      <c r="Z187" s="258"/>
      <c r="AA187" s="258"/>
      <c r="AB187" s="732"/>
      <c r="AC187" s="732"/>
      <c r="AD187" s="732"/>
      <c r="AE187" s="110"/>
      <c r="AF187" s="110"/>
      <c r="AG187" s="732"/>
      <c r="AH187" s="732"/>
      <c r="AI187" s="732"/>
      <c r="AJ187" s="110"/>
      <c r="AK187" s="110"/>
      <c r="AL187" s="732"/>
      <c r="AM187" s="110"/>
      <c r="AN187" s="732"/>
      <c r="AO187" s="732"/>
      <c r="AP187" s="110"/>
      <c r="AQ187" s="110"/>
    </row>
    <row r="188" spans="1:43" ht="15.75" x14ac:dyDescent="0.25">
      <c r="A188" s="110"/>
      <c r="B188" s="110"/>
      <c r="C188" s="110"/>
      <c r="D188" s="110"/>
      <c r="E188" s="110"/>
      <c r="F188" s="732"/>
      <c r="G188" s="110"/>
      <c r="H188" s="110"/>
      <c r="I188" s="110"/>
      <c r="J188" s="110"/>
      <c r="K188" s="258"/>
      <c r="L188" s="258"/>
      <c r="M188" s="258"/>
      <c r="N188" s="258"/>
      <c r="O188" s="258"/>
      <c r="P188" s="258"/>
      <c r="Q188" s="110"/>
      <c r="R188" s="258"/>
      <c r="S188" s="110"/>
      <c r="T188" s="110"/>
      <c r="U188" s="110"/>
      <c r="V188" s="110"/>
      <c r="W188" s="110"/>
      <c r="X188" s="258"/>
      <c r="Y188" s="258"/>
      <c r="Z188" s="258"/>
      <c r="AA188" s="258"/>
      <c r="AB188" s="732"/>
      <c r="AC188" s="732"/>
      <c r="AD188" s="732"/>
      <c r="AE188" s="110"/>
      <c r="AF188" s="110"/>
      <c r="AG188" s="732"/>
      <c r="AH188" s="732"/>
      <c r="AI188" s="732"/>
      <c r="AJ188" s="110"/>
      <c r="AK188" s="110"/>
      <c r="AL188" s="732"/>
      <c r="AM188" s="110"/>
      <c r="AN188" s="732"/>
      <c r="AO188" s="732"/>
      <c r="AP188" s="110"/>
      <c r="AQ188" s="110"/>
    </row>
    <row r="189" spans="1:43" ht="15.75" x14ac:dyDescent="0.25">
      <c r="A189" s="110"/>
      <c r="B189" s="110"/>
      <c r="C189" s="110"/>
      <c r="D189" s="110"/>
      <c r="E189" s="110"/>
      <c r="F189" s="732"/>
      <c r="G189" s="110"/>
      <c r="H189" s="110"/>
      <c r="I189" s="110"/>
      <c r="J189" s="110"/>
      <c r="K189" s="258"/>
      <c r="L189" s="258"/>
      <c r="M189" s="258"/>
      <c r="N189" s="258"/>
      <c r="O189" s="258"/>
      <c r="P189" s="258"/>
      <c r="Q189" s="110"/>
      <c r="R189" s="258"/>
      <c r="S189" s="110"/>
      <c r="T189" s="110"/>
      <c r="U189" s="110"/>
      <c r="V189" s="110"/>
      <c r="W189" s="110"/>
      <c r="X189" s="258"/>
      <c r="Y189" s="258"/>
      <c r="Z189" s="258"/>
      <c r="AA189" s="258"/>
      <c r="AB189" s="732"/>
      <c r="AC189" s="732"/>
      <c r="AD189" s="732"/>
      <c r="AE189" s="110"/>
      <c r="AF189" s="110"/>
      <c r="AG189" s="732"/>
      <c r="AH189" s="732"/>
      <c r="AI189" s="732"/>
      <c r="AJ189" s="110"/>
      <c r="AK189" s="110"/>
      <c r="AL189" s="732"/>
      <c r="AM189" s="110"/>
      <c r="AN189" s="732"/>
      <c r="AO189" s="732"/>
      <c r="AP189" s="110"/>
      <c r="AQ189" s="110"/>
    </row>
    <row r="190" spans="1:43" ht="15.75" x14ac:dyDescent="0.25">
      <c r="A190" s="110"/>
      <c r="B190" s="110"/>
      <c r="C190" s="110"/>
      <c r="D190" s="110"/>
      <c r="E190" s="110"/>
      <c r="F190" s="732"/>
      <c r="G190" s="110"/>
      <c r="H190" s="110"/>
      <c r="I190" s="110"/>
      <c r="J190" s="110"/>
      <c r="K190" s="258"/>
      <c r="L190" s="258"/>
      <c r="M190" s="258"/>
      <c r="N190" s="258"/>
      <c r="O190" s="258"/>
      <c r="P190" s="258"/>
      <c r="Q190" s="110"/>
      <c r="R190" s="258"/>
      <c r="S190" s="110"/>
      <c r="T190" s="110"/>
      <c r="U190" s="110"/>
      <c r="V190" s="110"/>
      <c r="W190" s="110"/>
      <c r="X190" s="258"/>
      <c r="Y190" s="258"/>
      <c r="Z190" s="258"/>
      <c r="AA190" s="258"/>
      <c r="AB190" s="732"/>
      <c r="AC190" s="732"/>
      <c r="AD190" s="732"/>
      <c r="AE190" s="110"/>
      <c r="AF190" s="110"/>
      <c r="AG190" s="732"/>
      <c r="AH190" s="732"/>
      <c r="AI190" s="732"/>
      <c r="AJ190" s="110"/>
      <c r="AK190" s="110"/>
      <c r="AL190" s="732"/>
      <c r="AM190" s="110"/>
      <c r="AN190" s="732"/>
      <c r="AO190" s="732"/>
      <c r="AP190" s="110"/>
      <c r="AQ190" s="110"/>
    </row>
    <row r="191" spans="1:43" ht="15.75" x14ac:dyDescent="0.25">
      <c r="A191" s="110"/>
      <c r="B191" s="110"/>
      <c r="C191" s="110"/>
      <c r="D191" s="110"/>
      <c r="E191" s="110"/>
      <c r="F191" s="732"/>
      <c r="G191" s="110"/>
      <c r="H191" s="110"/>
      <c r="I191" s="110"/>
      <c r="J191" s="110"/>
      <c r="K191" s="258"/>
      <c r="L191" s="258"/>
      <c r="M191" s="258"/>
      <c r="N191" s="258"/>
      <c r="O191" s="258"/>
      <c r="P191" s="258"/>
      <c r="Q191" s="110"/>
      <c r="R191" s="258"/>
      <c r="S191" s="110"/>
      <c r="T191" s="110"/>
      <c r="U191" s="110"/>
      <c r="V191" s="110"/>
      <c r="W191" s="110"/>
      <c r="X191" s="258"/>
      <c r="Y191" s="258"/>
      <c r="Z191" s="258"/>
      <c r="AA191" s="258"/>
      <c r="AB191" s="732"/>
      <c r="AC191" s="732"/>
      <c r="AD191" s="732"/>
      <c r="AE191" s="110"/>
      <c r="AF191" s="110"/>
      <c r="AG191" s="732"/>
      <c r="AH191" s="732"/>
      <c r="AI191" s="732"/>
      <c r="AJ191" s="110"/>
      <c r="AK191" s="110"/>
      <c r="AL191" s="732"/>
      <c r="AM191" s="110"/>
      <c r="AN191" s="732"/>
      <c r="AO191" s="732"/>
      <c r="AP191" s="110"/>
      <c r="AQ191" s="110"/>
    </row>
    <row r="192" spans="1:43" ht="15.75" x14ac:dyDescent="0.25">
      <c r="A192" s="110"/>
      <c r="B192" s="110"/>
      <c r="C192" s="110"/>
      <c r="D192" s="110"/>
      <c r="E192" s="110"/>
      <c r="F192" s="732"/>
      <c r="G192" s="110"/>
      <c r="H192" s="110"/>
      <c r="I192" s="110"/>
      <c r="J192" s="110"/>
      <c r="K192" s="258"/>
      <c r="L192" s="258"/>
      <c r="M192" s="258"/>
      <c r="N192" s="258"/>
      <c r="O192" s="258"/>
      <c r="P192" s="258"/>
      <c r="Q192" s="110"/>
      <c r="R192" s="258"/>
      <c r="S192" s="110"/>
      <c r="T192" s="110"/>
      <c r="U192" s="110"/>
      <c r="V192" s="110"/>
      <c r="W192" s="110"/>
      <c r="X192" s="258"/>
      <c r="Y192" s="258"/>
      <c r="Z192" s="258"/>
      <c r="AA192" s="258"/>
      <c r="AB192" s="732"/>
      <c r="AC192" s="732"/>
      <c r="AD192" s="732"/>
      <c r="AE192" s="110"/>
      <c r="AF192" s="110"/>
      <c r="AG192" s="732"/>
      <c r="AH192" s="732"/>
      <c r="AI192" s="732"/>
      <c r="AJ192" s="110"/>
      <c r="AK192" s="110"/>
      <c r="AL192" s="732"/>
      <c r="AM192" s="110"/>
      <c r="AN192" s="732"/>
      <c r="AO192" s="732"/>
      <c r="AP192" s="110"/>
      <c r="AQ192" s="110"/>
    </row>
    <row r="193" spans="1:43" ht="15.75" x14ac:dyDescent="0.25">
      <c r="A193" s="110"/>
      <c r="B193" s="110"/>
      <c r="C193" s="110"/>
      <c r="D193" s="110"/>
      <c r="E193" s="110"/>
      <c r="F193" s="732"/>
      <c r="G193" s="110"/>
      <c r="H193" s="110"/>
      <c r="I193" s="110"/>
      <c r="J193" s="110"/>
      <c r="K193" s="258"/>
      <c r="L193" s="258"/>
      <c r="M193" s="258"/>
      <c r="N193" s="258"/>
      <c r="O193" s="258"/>
      <c r="P193" s="258"/>
      <c r="Q193" s="110"/>
      <c r="R193" s="258"/>
      <c r="S193" s="110"/>
      <c r="T193" s="110"/>
      <c r="U193" s="110"/>
      <c r="V193" s="110"/>
      <c r="W193" s="110"/>
      <c r="X193" s="258"/>
      <c r="Y193" s="258"/>
      <c r="Z193" s="258"/>
      <c r="AA193" s="258"/>
      <c r="AB193" s="732"/>
      <c r="AC193" s="732"/>
      <c r="AD193" s="732"/>
      <c r="AE193" s="110"/>
      <c r="AF193" s="110"/>
      <c r="AG193" s="732"/>
      <c r="AH193" s="732"/>
      <c r="AI193" s="732"/>
      <c r="AJ193" s="110"/>
      <c r="AK193" s="110"/>
      <c r="AL193" s="732"/>
      <c r="AM193" s="110"/>
      <c r="AN193" s="732"/>
      <c r="AO193" s="732"/>
      <c r="AP193" s="110"/>
      <c r="AQ193" s="110"/>
    </row>
    <row r="194" spans="1:43" ht="15.75" x14ac:dyDescent="0.25">
      <c r="A194" s="110"/>
      <c r="B194" s="110"/>
      <c r="C194" s="110"/>
      <c r="D194" s="110"/>
      <c r="E194" s="110"/>
      <c r="F194" s="732"/>
      <c r="G194" s="110"/>
      <c r="H194" s="110"/>
      <c r="I194" s="110"/>
      <c r="J194" s="110"/>
      <c r="K194" s="258"/>
      <c r="L194" s="258"/>
      <c r="M194" s="258"/>
      <c r="N194" s="258"/>
      <c r="O194" s="258"/>
      <c r="P194" s="258"/>
      <c r="Q194" s="110"/>
      <c r="R194" s="258"/>
      <c r="S194" s="110"/>
      <c r="T194" s="110"/>
      <c r="U194" s="110"/>
      <c r="V194" s="110"/>
      <c r="W194" s="110"/>
      <c r="X194" s="258"/>
      <c r="Y194" s="258"/>
      <c r="Z194" s="258"/>
      <c r="AA194" s="258"/>
      <c r="AB194" s="732"/>
      <c r="AC194" s="732"/>
      <c r="AD194" s="732"/>
      <c r="AE194" s="110"/>
      <c r="AF194" s="110"/>
      <c r="AG194" s="732"/>
      <c r="AH194" s="732"/>
      <c r="AI194" s="732"/>
      <c r="AJ194" s="110"/>
      <c r="AK194" s="110"/>
      <c r="AL194" s="732"/>
      <c r="AM194" s="110"/>
      <c r="AN194" s="732"/>
      <c r="AO194" s="732"/>
      <c r="AP194" s="110"/>
      <c r="AQ194" s="110"/>
    </row>
    <row r="195" spans="1:43" ht="15.75" x14ac:dyDescent="0.25">
      <c r="A195" s="110"/>
      <c r="B195" s="110"/>
      <c r="C195" s="110"/>
      <c r="D195" s="110"/>
      <c r="E195" s="110"/>
      <c r="F195" s="732"/>
      <c r="G195" s="110"/>
      <c r="H195" s="110"/>
      <c r="I195" s="110"/>
      <c r="J195" s="110"/>
      <c r="K195" s="258"/>
      <c r="L195" s="258"/>
      <c r="M195" s="258"/>
      <c r="N195" s="258"/>
      <c r="O195" s="258"/>
      <c r="P195" s="258"/>
      <c r="Q195" s="110"/>
      <c r="R195" s="258"/>
      <c r="S195" s="110"/>
      <c r="T195" s="110"/>
      <c r="U195" s="110"/>
      <c r="V195" s="110"/>
      <c r="W195" s="110"/>
      <c r="X195" s="258"/>
      <c r="Y195" s="258"/>
      <c r="Z195" s="258"/>
      <c r="AA195" s="258"/>
      <c r="AB195" s="732"/>
      <c r="AC195" s="732"/>
      <c r="AD195" s="732"/>
      <c r="AE195" s="110"/>
      <c r="AF195" s="110"/>
      <c r="AG195" s="732"/>
      <c r="AH195" s="732"/>
      <c r="AI195" s="732"/>
      <c r="AJ195" s="110"/>
      <c r="AK195" s="110"/>
      <c r="AL195" s="732"/>
      <c r="AM195" s="110"/>
      <c r="AN195" s="732"/>
      <c r="AO195" s="732"/>
      <c r="AP195" s="110"/>
      <c r="AQ195" s="110"/>
    </row>
    <row r="196" spans="1:43" ht="15.75" x14ac:dyDescent="0.25">
      <c r="A196" s="110"/>
      <c r="B196" s="110"/>
      <c r="C196" s="110"/>
      <c r="D196" s="110"/>
      <c r="E196" s="110"/>
      <c r="F196" s="732"/>
      <c r="G196" s="110"/>
      <c r="H196" s="110"/>
      <c r="I196" s="110"/>
      <c r="J196" s="110"/>
      <c r="K196" s="258"/>
      <c r="L196" s="258"/>
      <c r="M196" s="258"/>
      <c r="N196" s="258"/>
      <c r="O196" s="258"/>
      <c r="P196" s="258"/>
      <c r="Q196" s="110"/>
      <c r="R196" s="258"/>
      <c r="S196" s="110"/>
      <c r="T196" s="110"/>
      <c r="U196" s="110"/>
      <c r="V196" s="110"/>
      <c r="W196" s="110"/>
      <c r="X196" s="258"/>
      <c r="Y196" s="258"/>
      <c r="Z196" s="258"/>
      <c r="AA196" s="258"/>
      <c r="AB196" s="732"/>
      <c r="AC196" s="732"/>
      <c r="AD196" s="732"/>
      <c r="AE196" s="110"/>
      <c r="AF196" s="110"/>
      <c r="AG196" s="732"/>
      <c r="AH196" s="732"/>
      <c r="AI196" s="732"/>
      <c r="AJ196" s="110"/>
      <c r="AK196" s="110"/>
      <c r="AL196" s="732"/>
      <c r="AM196" s="110"/>
      <c r="AN196" s="732"/>
      <c r="AO196" s="732"/>
      <c r="AP196" s="110"/>
      <c r="AQ196" s="110"/>
    </row>
    <row r="197" spans="1:43" ht="15.75" x14ac:dyDescent="0.25">
      <c r="A197" s="110"/>
      <c r="B197" s="110"/>
      <c r="C197" s="110"/>
      <c r="D197" s="110"/>
      <c r="E197" s="110"/>
      <c r="F197" s="732"/>
      <c r="G197" s="110"/>
      <c r="H197" s="110"/>
      <c r="I197" s="110"/>
      <c r="J197" s="110"/>
      <c r="K197" s="258"/>
      <c r="L197" s="258"/>
      <c r="M197" s="258"/>
      <c r="N197" s="258"/>
      <c r="O197" s="258"/>
      <c r="P197" s="258"/>
      <c r="Q197" s="110"/>
      <c r="R197" s="258"/>
      <c r="S197" s="110"/>
      <c r="T197" s="110"/>
      <c r="U197" s="110"/>
      <c r="V197" s="110"/>
      <c r="W197" s="110"/>
      <c r="X197" s="258"/>
      <c r="Y197" s="258"/>
      <c r="Z197" s="258"/>
      <c r="AA197" s="258"/>
      <c r="AB197" s="732"/>
      <c r="AC197" s="732"/>
      <c r="AD197" s="732"/>
      <c r="AE197" s="110"/>
      <c r="AF197" s="110"/>
      <c r="AG197" s="732"/>
      <c r="AH197" s="732"/>
      <c r="AI197" s="732"/>
      <c r="AJ197" s="110"/>
      <c r="AK197" s="110"/>
      <c r="AL197" s="732"/>
      <c r="AM197" s="110"/>
      <c r="AN197" s="732"/>
      <c r="AO197" s="732"/>
      <c r="AP197" s="110"/>
      <c r="AQ197" s="110"/>
    </row>
    <row r="198" spans="1:43" ht="15.75" x14ac:dyDescent="0.25">
      <c r="A198" s="110"/>
      <c r="B198" s="110"/>
      <c r="C198" s="110"/>
      <c r="D198" s="110"/>
      <c r="E198" s="110"/>
      <c r="F198" s="732"/>
      <c r="G198" s="110"/>
      <c r="H198" s="110"/>
      <c r="I198" s="110"/>
      <c r="J198" s="110"/>
      <c r="K198" s="258"/>
      <c r="L198" s="258"/>
      <c r="M198" s="258"/>
      <c r="N198" s="258"/>
      <c r="O198" s="258"/>
      <c r="P198" s="258"/>
      <c r="Q198" s="110"/>
      <c r="R198" s="258"/>
      <c r="S198" s="110"/>
      <c r="T198" s="110"/>
      <c r="U198" s="110"/>
      <c r="V198" s="110"/>
      <c r="W198" s="110"/>
      <c r="X198" s="258"/>
      <c r="Y198" s="258"/>
      <c r="Z198" s="258"/>
      <c r="AA198" s="258"/>
      <c r="AB198" s="732"/>
      <c r="AC198" s="732"/>
      <c r="AD198" s="732"/>
      <c r="AE198" s="110"/>
      <c r="AF198" s="110"/>
      <c r="AG198" s="732"/>
      <c r="AH198" s="732"/>
      <c r="AI198" s="732"/>
      <c r="AJ198" s="110"/>
      <c r="AK198" s="110"/>
      <c r="AL198" s="732"/>
      <c r="AM198" s="110"/>
      <c r="AN198" s="732"/>
      <c r="AO198" s="732"/>
      <c r="AP198" s="110"/>
      <c r="AQ198" s="110"/>
    </row>
  </sheetData>
  <mergeCells count="29">
    <mergeCell ref="AO4:AO5"/>
    <mergeCell ref="W4:W5"/>
    <mergeCell ref="AM4:AM5"/>
    <mergeCell ref="AG4:AJ4"/>
    <mergeCell ref="F4:F5"/>
    <mergeCell ref="I4:I5"/>
    <mergeCell ref="J4:J5"/>
    <mergeCell ref="AL4:AL5"/>
    <mergeCell ref="T4:T5"/>
    <mergeCell ref="AB4:AB5"/>
    <mergeCell ref="AK4:AK5"/>
    <mergeCell ref="X4:AA4"/>
    <mergeCell ref="AC4:AF4"/>
    <mergeCell ref="V4:V5"/>
    <mergeCell ref="AN4:AN5"/>
    <mergeCell ref="A1:AE1"/>
    <mergeCell ref="A2:AE2"/>
    <mergeCell ref="A3:AE3"/>
    <mergeCell ref="AG3:AI3"/>
    <mergeCell ref="U4:U5"/>
    <mergeCell ref="B4:B5"/>
    <mergeCell ref="A4:A5"/>
    <mergeCell ref="C4:C5"/>
    <mergeCell ref="D4:D5"/>
    <mergeCell ref="E4:E5"/>
    <mergeCell ref="K4:K5"/>
    <mergeCell ref="G4:G5"/>
    <mergeCell ref="H4:H5"/>
    <mergeCell ref="L4:R4"/>
  </mergeCells>
  <dataValidations count="5">
    <dataValidation type="list" errorStyle="warning" allowBlank="1" showInputMessage="1" showErrorMessage="1" sqref="H6:H7 H10 H13 H16 H19 H22 H25:H26 H29:H31 H35:H37 H40:H41 H44 H52:H58 H61 H64 H67 H70 H73">
      <formula1>nhomHang</formula1>
    </dataValidation>
    <dataValidation type="list" errorStyle="warning" allowBlank="1" showInputMessage="1" showErrorMessage="1" sqref="J6:J73">
      <formula1>PhuongTiens</formula1>
    </dataValidation>
    <dataValidation type="list" errorStyle="warning" allowBlank="1" showInputMessage="1" showErrorMessage="1" sqref="Q6:Q73">
      <formula1>LoaiDuongs</formula1>
    </dataValidation>
    <dataValidation type="list" errorStyle="warning" allowBlank="1" showInputMessage="1" showErrorMessage="1" sqref="AG6:AG7 AG10 AG13 AG16 AG19 AG22 AG25:AG26 AG29:AG31 AG35:AG37 AG40:AG41 AG44 AG52:AG58 AG61 AG64 AG67 AG70 AG73">
      <formula1>BocLen</formula1>
    </dataValidation>
    <dataValidation type="list" errorStyle="warning" allowBlank="1" showInputMessage="1" showErrorMessage="1" sqref="AI6:AI7 AI10 AI13 AI16 AI19 AI22 AI25:AI26 AI29:AI31 AI35:AI37 AI40:AI41 AI44 AI52:AI58 AI61 AI64 AI67 AI70 AI73">
      <formula1>BocXuong</formula1>
    </dataValidation>
  </dataValidations>
  <pageMargins left="0.75" right="0.75" top="0.75" bottom="0.75" header="0.3" footer="0.3"/>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A38"/>
  <sheetViews>
    <sheetView showZeros="0" topLeftCell="B1" workbookViewId="0">
      <selection activeCell="H25" sqref="H25"/>
    </sheetView>
  </sheetViews>
  <sheetFormatPr defaultColWidth="9.42578125" defaultRowHeight="15" x14ac:dyDescent="0.25"/>
  <cols>
    <col min="1" max="1" width="5.7109375" hidden="1" customWidth="1"/>
    <col min="2" max="2" width="4.85546875" bestFit="1" customWidth="1"/>
    <col min="3" max="3" width="8.42578125" bestFit="1" customWidth="1"/>
    <col min="4" max="4" width="27.7109375" customWidth="1"/>
    <col min="5" max="5" width="6.85546875" customWidth="1"/>
    <col min="6" max="6" width="7.140625" customWidth="1"/>
    <col min="7" max="7" width="9.140625" customWidth="1"/>
    <col min="8" max="9" width="10.140625" customWidth="1"/>
    <col min="10" max="11" width="7.140625" customWidth="1"/>
    <col min="12" max="12" width="10.140625" customWidth="1"/>
    <col min="13" max="13" width="7.140625" customWidth="1"/>
    <col min="14" max="15" width="10.140625" customWidth="1"/>
    <col min="16" max="16" width="11" customWidth="1"/>
  </cols>
  <sheetData>
    <row r="1" spans="1:27" ht="18.75" x14ac:dyDescent="0.3">
      <c r="A1" s="983" t="s">
        <v>1205</v>
      </c>
      <c r="B1" s="983" t="s">
        <v>1205</v>
      </c>
      <c r="C1" s="983" t="s">
        <v>1205</v>
      </c>
      <c r="D1" s="983" t="s">
        <v>1205</v>
      </c>
      <c r="E1" s="983" t="s">
        <v>1205</v>
      </c>
      <c r="F1" s="983" t="s">
        <v>1205</v>
      </c>
      <c r="G1" s="983" t="s">
        <v>1205</v>
      </c>
      <c r="H1" s="983" t="s">
        <v>1205</v>
      </c>
      <c r="I1" s="983" t="s">
        <v>1205</v>
      </c>
      <c r="J1" s="983" t="s">
        <v>1205</v>
      </c>
      <c r="K1" s="983" t="s">
        <v>1205</v>
      </c>
      <c r="L1" s="983" t="s">
        <v>1205</v>
      </c>
      <c r="M1" s="983" t="s">
        <v>1205</v>
      </c>
      <c r="N1" s="983" t="s">
        <v>1205</v>
      </c>
      <c r="O1" s="983" t="s">
        <v>1205</v>
      </c>
      <c r="P1" s="983" t="s">
        <v>1205</v>
      </c>
    </row>
    <row r="2" spans="1:27" x14ac:dyDescent="0.25">
      <c r="A2" s="1000" t="s">
        <v>315</v>
      </c>
      <c r="B2" s="1000" t="s">
        <v>315</v>
      </c>
      <c r="C2" s="1000" t="s">
        <v>315</v>
      </c>
      <c r="D2" s="1000" t="s">
        <v>315</v>
      </c>
      <c r="E2" s="1000" t="s">
        <v>315</v>
      </c>
      <c r="F2" s="1000" t="s">
        <v>315</v>
      </c>
      <c r="G2" s="1000" t="s">
        <v>315</v>
      </c>
      <c r="H2" s="1000" t="s">
        <v>315</v>
      </c>
      <c r="I2" s="1000" t="s">
        <v>315</v>
      </c>
      <c r="J2" s="1000" t="s">
        <v>315</v>
      </c>
      <c r="K2" s="1000" t="s">
        <v>315</v>
      </c>
      <c r="L2" s="1000" t="s">
        <v>315</v>
      </c>
      <c r="M2" s="1000" t="s">
        <v>315</v>
      </c>
      <c r="N2" s="1000" t="s">
        <v>315</v>
      </c>
      <c r="O2" s="1000" t="s">
        <v>315</v>
      </c>
      <c r="P2" s="1000" t="s">
        <v>315</v>
      </c>
    </row>
    <row r="3" spans="1:27" x14ac:dyDescent="0.25">
      <c r="A3" s="1000" t="s">
        <v>284</v>
      </c>
      <c r="B3" s="1000" t="s">
        <v>284</v>
      </c>
      <c r="C3" s="1000" t="s">
        <v>284</v>
      </c>
      <c r="D3" s="1000" t="s">
        <v>284</v>
      </c>
      <c r="E3" s="1000" t="s">
        <v>284</v>
      </c>
      <c r="F3" s="1000" t="s">
        <v>284</v>
      </c>
      <c r="G3" s="1000" t="s">
        <v>284</v>
      </c>
      <c r="H3" s="1000" t="s">
        <v>284</v>
      </c>
      <c r="I3" s="1000" t="s">
        <v>284</v>
      </c>
      <c r="J3" s="1000" t="s">
        <v>284</v>
      </c>
      <c r="K3" s="1000" t="s">
        <v>284</v>
      </c>
      <c r="L3" s="1000" t="s">
        <v>284</v>
      </c>
      <c r="M3" s="1000" t="s">
        <v>284</v>
      </c>
      <c r="N3" s="1000" t="s">
        <v>284</v>
      </c>
      <c r="O3" s="1000" t="s">
        <v>284</v>
      </c>
      <c r="P3" s="1000" t="s">
        <v>284</v>
      </c>
    </row>
    <row r="4" spans="1:27" x14ac:dyDescent="0.25">
      <c r="A4" s="1001"/>
      <c r="B4" s="1002" t="s">
        <v>386</v>
      </c>
      <c r="C4" s="1003" t="s">
        <v>752</v>
      </c>
      <c r="D4" s="1002" t="s">
        <v>151</v>
      </c>
      <c r="E4" s="1002" t="s">
        <v>1136</v>
      </c>
      <c r="F4" s="1002" t="s">
        <v>14</v>
      </c>
      <c r="G4" s="1002" t="s">
        <v>966</v>
      </c>
      <c r="H4" s="1002" t="s">
        <v>163</v>
      </c>
      <c r="I4" s="1002" t="s">
        <v>481</v>
      </c>
      <c r="J4" s="1002"/>
      <c r="K4" s="1002" t="s">
        <v>438</v>
      </c>
      <c r="L4" s="1002"/>
      <c r="M4" s="1002"/>
      <c r="N4" s="1002" t="s">
        <v>498</v>
      </c>
      <c r="O4" s="1002" t="s">
        <v>748</v>
      </c>
      <c r="P4" s="1002" t="s">
        <v>499</v>
      </c>
      <c r="Q4" s="676"/>
      <c r="R4" s="676"/>
      <c r="S4" s="676"/>
      <c r="T4" s="676"/>
      <c r="U4" s="676"/>
      <c r="V4" s="676"/>
      <c r="W4" s="676"/>
      <c r="X4" s="676"/>
      <c r="Y4" s="676"/>
      <c r="Z4" s="676"/>
      <c r="AA4" s="676"/>
    </row>
    <row r="5" spans="1:27" x14ac:dyDescent="0.25">
      <c r="A5" s="1001"/>
      <c r="B5" s="1002"/>
      <c r="C5" s="1003"/>
      <c r="D5" s="1002"/>
      <c r="E5" s="1002"/>
      <c r="F5" s="1002"/>
      <c r="G5" s="1002"/>
      <c r="H5" s="1002"/>
      <c r="I5" s="225" t="s">
        <v>481</v>
      </c>
      <c r="J5" s="225" t="s">
        <v>972</v>
      </c>
      <c r="K5" s="225" t="s">
        <v>642</v>
      </c>
      <c r="L5" s="225" t="s">
        <v>145</v>
      </c>
      <c r="M5" s="225" t="s">
        <v>825</v>
      </c>
      <c r="N5" s="1002"/>
      <c r="O5" s="1002"/>
      <c r="P5" s="1002"/>
      <c r="Q5" s="676"/>
      <c r="R5" s="676"/>
      <c r="S5" s="676"/>
      <c r="T5" s="676"/>
      <c r="U5" s="676"/>
      <c r="V5" s="676"/>
      <c r="W5" s="676"/>
      <c r="X5" s="676"/>
      <c r="Y5" s="676"/>
      <c r="Z5" s="676"/>
      <c r="AA5" s="676"/>
    </row>
    <row r="6" spans="1:27" x14ac:dyDescent="0.25">
      <c r="A6" s="92"/>
      <c r="B6" s="741">
        <v>1</v>
      </c>
      <c r="C6" s="138" t="s">
        <v>1256</v>
      </c>
      <c r="D6" s="625" t="s">
        <v>688</v>
      </c>
      <c r="E6" s="741" t="s">
        <v>165</v>
      </c>
      <c r="F6" s="725">
        <v>1</v>
      </c>
      <c r="G6" s="625" t="s">
        <v>214</v>
      </c>
      <c r="H6" s="625"/>
      <c r="I6" s="625" t="s">
        <v>1012</v>
      </c>
      <c r="J6" s="741">
        <v>1</v>
      </c>
      <c r="K6" s="725">
        <v>0</v>
      </c>
      <c r="L6" s="741">
        <f t="shared" ref="L6:L35" si="0">J6*K6</f>
        <v>0</v>
      </c>
      <c r="M6" s="741">
        <f t="shared" ref="M6:M35" si="1">SUM(L6:L6)</f>
        <v>0</v>
      </c>
      <c r="N6" s="187">
        <f t="shared" ref="N6:N35" si="2">0</f>
        <v>0</v>
      </c>
      <c r="O6" s="151">
        <v>0</v>
      </c>
      <c r="P6" s="187">
        <f t="shared" ref="P6:P35" si="3">F6*N6+O6</f>
        <v>0</v>
      </c>
      <c r="Q6" s="676"/>
      <c r="R6" s="676"/>
      <c r="S6" s="676"/>
      <c r="T6" s="676"/>
      <c r="U6" s="676"/>
      <c r="V6" s="676"/>
      <c r="W6" s="676"/>
      <c r="X6" s="676"/>
      <c r="Y6" s="676"/>
      <c r="Z6" s="676"/>
      <c r="AA6" s="676"/>
    </row>
    <row r="7" spans="1:27" x14ac:dyDescent="0.25">
      <c r="A7" s="609"/>
      <c r="B7" s="497">
        <v>2</v>
      </c>
      <c r="C7" s="648" t="s">
        <v>603</v>
      </c>
      <c r="D7" s="373" t="s">
        <v>215</v>
      </c>
      <c r="E7" s="497" t="s">
        <v>950</v>
      </c>
      <c r="F7" s="474">
        <v>1.31</v>
      </c>
      <c r="G7" s="373" t="s">
        <v>214</v>
      </c>
      <c r="H7" s="373"/>
      <c r="I7" s="373" t="s">
        <v>1012</v>
      </c>
      <c r="J7" s="497">
        <v>1</v>
      </c>
      <c r="K7" s="474">
        <v>0</v>
      </c>
      <c r="L7" s="497">
        <f t="shared" si="0"/>
        <v>0</v>
      </c>
      <c r="M7" s="497">
        <f t="shared" si="1"/>
        <v>0</v>
      </c>
      <c r="N7" s="687">
        <f t="shared" si="2"/>
        <v>0</v>
      </c>
      <c r="O7" s="661">
        <v>0</v>
      </c>
      <c r="P7" s="687">
        <f t="shared" si="3"/>
        <v>0</v>
      </c>
      <c r="Q7" s="676"/>
      <c r="R7" s="676"/>
      <c r="S7" s="676"/>
      <c r="T7" s="676"/>
      <c r="U7" s="676"/>
      <c r="V7" s="676"/>
      <c r="W7" s="676"/>
      <c r="X7" s="676"/>
      <c r="Y7" s="676"/>
      <c r="Z7" s="676"/>
      <c r="AA7" s="676"/>
    </row>
    <row r="8" spans="1:27" x14ac:dyDescent="0.25">
      <c r="A8" s="609"/>
      <c r="B8" s="497">
        <v>3</v>
      </c>
      <c r="C8" s="648" t="s">
        <v>99</v>
      </c>
      <c r="D8" s="373" t="s">
        <v>1199</v>
      </c>
      <c r="E8" s="497" t="s">
        <v>950</v>
      </c>
      <c r="F8" s="474">
        <v>1.45</v>
      </c>
      <c r="G8" s="373" t="s">
        <v>214</v>
      </c>
      <c r="H8" s="373"/>
      <c r="I8" s="373" t="s">
        <v>1012</v>
      </c>
      <c r="J8" s="497">
        <v>1</v>
      </c>
      <c r="K8" s="474">
        <v>0</v>
      </c>
      <c r="L8" s="497">
        <f t="shared" si="0"/>
        <v>0</v>
      </c>
      <c r="M8" s="497">
        <f t="shared" si="1"/>
        <v>0</v>
      </c>
      <c r="N8" s="687">
        <f t="shared" si="2"/>
        <v>0</v>
      </c>
      <c r="O8" s="661">
        <v>0</v>
      </c>
      <c r="P8" s="687">
        <f t="shared" si="3"/>
        <v>0</v>
      </c>
      <c r="Q8" s="676"/>
      <c r="R8" s="676"/>
      <c r="S8" s="676"/>
      <c r="T8" s="676"/>
      <c r="U8" s="676"/>
      <c r="V8" s="676"/>
      <c r="W8" s="676"/>
      <c r="X8" s="676"/>
      <c r="Y8" s="676"/>
      <c r="Z8" s="676"/>
      <c r="AA8" s="676"/>
    </row>
    <row r="9" spans="1:27" x14ac:dyDescent="0.25">
      <c r="A9" s="609"/>
      <c r="B9" s="497">
        <v>4</v>
      </c>
      <c r="C9" s="648" t="s">
        <v>523</v>
      </c>
      <c r="D9" s="559" t="s">
        <v>721</v>
      </c>
      <c r="E9" s="497" t="s">
        <v>950</v>
      </c>
      <c r="F9" s="474">
        <v>1.45</v>
      </c>
      <c r="G9" s="373" t="s">
        <v>214</v>
      </c>
      <c r="H9" s="373"/>
      <c r="I9" s="373" t="s">
        <v>1012</v>
      </c>
      <c r="J9" s="497">
        <v>1</v>
      </c>
      <c r="K9" s="474">
        <v>0</v>
      </c>
      <c r="L9" s="497">
        <f t="shared" si="0"/>
        <v>0</v>
      </c>
      <c r="M9" s="497">
        <f t="shared" si="1"/>
        <v>0</v>
      </c>
      <c r="N9" s="687">
        <f t="shared" si="2"/>
        <v>0</v>
      </c>
      <c r="O9" s="661">
        <v>0</v>
      </c>
      <c r="P9" s="687">
        <f t="shared" si="3"/>
        <v>0</v>
      </c>
      <c r="Q9" s="676"/>
      <c r="R9" s="676"/>
      <c r="S9" s="676"/>
      <c r="T9" s="676"/>
      <c r="U9" s="676"/>
      <c r="V9" s="676"/>
      <c r="W9" s="676"/>
      <c r="X9" s="676"/>
      <c r="Y9" s="676"/>
      <c r="Z9" s="676"/>
      <c r="AA9" s="676"/>
    </row>
    <row r="10" spans="1:27" x14ac:dyDescent="0.25">
      <c r="A10" s="609"/>
      <c r="B10" s="497">
        <v>5</v>
      </c>
      <c r="C10" s="648" t="s">
        <v>984</v>
      </c>
      <c r="D10" s="559" t="s">
        <v>401</v>
      </c>
      <c r="E10" s="497" t="s">
        <v>838</v>
      </c>
      <c r="F10" s="474">
        <v>1E-3</v>
      </c>
      <c r="G10" s="373" t="s">
        <v>214</v>
      </c>
      <c r="H10" s="373"/>
      <c r="I10" s="373" t="s">
        <v>1012</v>
      </c>
      <c r="J10" s="497">
        <v>1</v>
      </c>
      <c r="K10" s="474">
        <v>0</v>
      </c>
      <c r="L10" s="497">
        <f t="shared" si="0"/>
        <v>0</v>
      </c>
      <c r="M10" s="497">
        <f t="shared" si="1"/>
        <v>0</v>
      </c>
      <c r="N10" s="687">
        <f t="shared" si="2"/>
        <v>0</v>
      </c>
      <c r="O10" s="661">
        <v>0</v>
      </c>
      <c r="P10" s="687">
        <f t="shared" si="3"/>
        <v>0</v>
      </c>
      <c r="Q10" s="676"/>
      <c r="R10" s="676"/>
      <c r="S10" s="676"/>
      <c r="T10" s="676"/>
      <c r="U10" s="676"/>
      <c r="V10" s="676"/>
      <c r="W10" s="676"/>
      <c r="X10" s="676"/>
      <c r="Y10" s="676"/>
      <c r="Z10" s="676"/>
      <c r="AA10" s="676"/>
    </row>
    <row r="11" spans="1:27" x14ac:dyDescent="0.25">
      <c r="A11" s="609"/>
      <c r="B11" s="497">
        <v>6</v>
      </c>
      <c r="C11" s="648" t="s">
        <v>123</v>
      </c>
      <c r="D11" s="559" t="s">
        <v>495</v>
      </c>
      <c r="E11" s="497" t="s">
        <v>950</v>
      </c>
      <c r="F11" s="474">
        <v>1.6</v>
      </c>
      <c r="G11" s="373" t="s">
        <v>214</v>
      </c>
      <c r="H11" s="373"/>
      <c r="I11" s="373" t="s">
        <v>1012</v>
      </c>
      <c r="J11" s="497">
        <v>1</v>
      </c>
      <c r="K11" s="474">
        <v>0</v>
      </c>
      <c r="L11" s="497">
        <f t="shared" si="0"/>
        <v>0</v>
      </c>
      <c r="M11" s="497">
        <f t="shared" si="1"/>
        <v>0</v>
      </c>
      <c r="N11" s="687">
        <f t="shared" si="2"/>
        <v>0</v>
      </c>
      <c r="O11" s="661">
        <v>0</v>
      </c>
      <c r="P11" s="687">
        <f t="shared" si="3"/>
        <v>0</v>
      </c>
      <c r="Q11" s="676"/>
      <c r="R11" s="676"/>
      <c r="S11" s="676"/>
      <c r="T11" s="676"/>
      <c r="U11" s="676"/>
      <c r="V11" s="676"/>
      <c r="W11" s="676"/>
      <c r="X11" s="676"/>
      <c r="Y11" s="676"/>
      <c r="Z11" s="676"/>
      <c r="AA11" s="676"/>
    </row>
    <row r="12" spans="1:27" x14ac:dyDescent="0.25">
      <c r="A12" s="609"/>
      <c r="B12" s="497">
        <v>7</v>
      </c>
      <c r="C12" s="648" t="s">
        <v>485</v>
      </c>
      <c r="D12" s="559" t="s">
        <v>1011</v>
      </c>
      <c r="E12" s="497" t="s">
        <v>950</v>
      </c>
      <c r="F12" s="474">
        <v>1.5</v>
      </c>
      <c r="G12" s="373" t="s">
        <v>214</v>
      </c>
      <c r="H12" s="373"/>
      <c r="I12" s="373" t="s">
        <v>1012</v>
      </c>
      <c r="J12" s="497">
        <v>1</v>
      </c>
      <c r="K12" s="474">
        <v>0</v>
      </c>
      <c r="L12" s="497">
        <f t="shared" si="0"/>
        <v>0</v>
      </c>
      <c r="M12" s="497">
        <f t="shared" si="1"/>
        <v>0</v>
      </c>
      <c r="N12" s="687">
        <f t="shared" si="2"/>
        <v>0</v>
      </c>
      <c r="O12" s="661">
        <v>0</v>
      </c>
      <c r="P12" s="687">
        <f t="shared" si="3"/>
        <v>0</v>
      </c>
      <c r="Q12" s="676"/>
      <c r="R12" s="676"/>
      <c r="S12" s="676"/>
      <c r="T12" s="676"/>
      <c r="U12" s="676"/>
      <c r="V12" s="676"/>
      <c r="W12" s="676"/>
      <c r="X12" s="676"/>
      <c r="Y12" s="676"/>
      <c r="Z12" s="676"/>
      <c r="AA12" s="676"/>
    </row>
    <row r="13" spans="1:27" x14ac:dyDescent="0.25">
      <c r="A13" s="609"/>
      <c r="B13" s="497">
        <v>8</v>
      </c>
      <c r="C13" s="648" t="s">
        <v>552</v>
      </c>
      <c r="D13" s="559" t="s">
        <v>1044</v>
      </c>
      <c r="E13" s="497" t="s">
        <v>950</v>
      </c>
      <c r="F13" s="474">
        <v>1.5</v>
      </c>
      <c r="G13" s="373" t="s">
        <v>214</v>
      </c>
      <c r="H13" s="373"/>
      <c r="I13" s="373" t="s">
        <v>1012</v>
      </c>
      <c r="J13" s="497">
        <v>1</v>
      </c>
      <c r="K13" s="474">
        <v>0</v>
      </c>
      <c r="L13" s="497">
        <f t="shared" si="0"/>
        <v>0</v>
      </c>
      <c r="M13" s="497">
        <f t="shared" si="1"/>
        <v>0</v>
      </c>
      <c r="N13" s="687">
        <f t="shared" si="2"/>
        <v>0</v>
      </c>
      <c r="O13" s="661">
        <v>0</v>
      </c>
      <c r="P13" s="687">
        <f t="shared" si="3"/>
        <v>0</v>
      </c>
      <c r="Q13" s="676"/>
      <c r="R13" s="676"/>
      <c r="S13" s="676"/>
      <c r="T13" s="676"/>
      <c r="U13" s="676"/>
      <c r="V13" s="676"/>
      <c r="W13" s="676"/>
      <c r="X13" s="676"/>
      <c r="Y13" s="676"/>
      <c r="Z13" s="676"/>
      <c r="AA13" s="676"/>
    </row>
    <row r="14" spans="1:27" x14ac:dyDescent="0.25">
      <c r="A14" s="609"/>
      <c r="B14" s="497">
        <v>9</v>
      </c>
      <c r="C14" s="648" t="s">
        <v>901</v>
      </c>
      <c r="D14" s="559" t="s">
        <v>454</v>
      </c>
      <c r="E14" s="497" t="s">
        <v>838</v>
      </c>
      <c r="F14" s="474">
        <v>1E-3</v>
      </c>
      <c r="G14" s="373" t="s">
        <v>214</v>
      </c>
      <c r="H14" s="373"/>
      <c r="I14" s="373" t="s">
        <v>1012</v>
      </c>
      <c r="J14" s="497">
        <v>1</v>
      </c>
      <c r="K14" s="474">
        <v>0</v>
      </c>
      <c r="L14" s="497">
        <f t="shared" si="0"/>
        <v>0</v>
      </c>
      <c r="M14" s="497">
        <f t="shared" si="1"/>
        <v>0</v>
      </c>
      <c r="N14" s="687">
        <f t="shared" si="2"/>
        <v>0</v>
      </c>
      <c r="O14" s="661">
        <v>0</v>
      </c>
      <c r="P14" s="687">
        <f t="shared" si="3"/>
        <v>0</v>
      </c>
      <c r="Q14" s="676"/>
      <c r="R14" s="676"/>
      <c r="S14" s="676"/>
      <c r="T14" s="676"/>
      <c r="U14" s="676"/>
      <c r="V14" s="676"/>
      <c r="W14" s="676"/>
      <c r="X14" s="676"/>
      <c r="Y14" s="676"/>
      <c r="Z14" s="676"/>
      <c r="AA14" s="676"/>
    </row>
    <row r="15" spans="1:27" x14ac:dyDescent="0.25">
      <c r="A15" s="609"/>
      <c r="B15" s="497">
        <v>10</v>
      </c>
      <c r="C15" s="648" t="s">
        <v>894</v>
      </c>
      <c r="D15" s="559" t="s">
        <v>1147</v>
      </c>
      <c r="E15" s="497" t="s">
        <v>838</v>
      </c>
      <c r="F15" s="474">
        <v>1E-3</v>
      </c>
      <c r="G15" s="373" t="s">
        <v>214</v>
      </c>
      <c r="H15" s="373"/>
      <c r="I15" s="373" t="s">
        <v>1012</v>
      </c>
      <c r="J15" s="497">
        <v>1</v>
      </c>
      <c r="K15" s="474">
        <v>0</v>
      </c>
      <c r="L15" s="497">
        <f t="shared" si="0"/>
        <v>0</v>
      </c>
      <c r="M15" s="497">
        <f t="shared" si="1"/>
        <v>0</v>
      </c>
      <c r="N15" s="687">
        <f t="shared" si="2"/>
        <v>0</v>
      </c>
      <c r="O15" s="661">
        <v>0</v>
      </c>
      <c r="P15" s="687">
        <f t="shared" si="3"/>
        <v>0</v>
      </c>
      <c r="Q15" s="676"/>
      <c r="R15" s="676"/>
      <c r="S15" s="676"/>
      <c r="T15" s="676"/>
      <c r="U15" s="676"/>
      <c r="V15" s="676"/>
      <c r="W15" s="676"/>
      <c r="X15" s="676"/>
      <c r="Y15" s="676"/>
      <c r="Z15" s="676"/>
      <c r="AA15" s="676"/>
    </row>
    <row r="16" spans="1:27" x14ac:dyDescent="0.25">
      <c r="A16" s="609"/>
      <c r="B16" s="497">
        <v>11</v>
      </c>
      <c r="C16" s="648" t="s">
        <v>580</v>
      </c>
      <c r="D16" s="559" t="s">
        <v>1223</v>
      </c>
      <c r="E16" s="497" t="s">
        <v>594</v>
      </c>
      <c r="F16" s="474">
        <v>0</v>
      </c>
      <c r="G16" s="373" t="s">
        <v>214</v>
      </c>
      <c r="H16" s="373"/>
      <c r="I16" s="373" t="s">
        <v>1012</v>
      </c>
      <c r="J16" s="497">
        <v>1</v>
      </c>
      <c r="K16" s="474">
        <v>0</v>
      </c>
      <c r="L16" s="497">
        <f t="shared" si="0"/>
        <v>0</v>
      </c>
      <c r="M16" s="497">
        <f t="shared" si="1"/>
        <v>0</v>
      </c>
      <c r="N16" s="687">
        <f t="shared" si="2"/>
        <v>0</v>
      </c>
      <c r="O16" s="661">
        <v>0</v>
      </c>
      <c r="P16" s="687">
        <f t="shared" si="3"/>
        <v>0</v>
      </c>
      <c r="Q16" s="676"/>
      <c r="R16" s="676"/>
      <c r="S16" s="676"/>
      <c r="T16" s="676"/>
      <c r="U16" s="676"/>
      <c r="V16" s="676"/>
      <c r="W16" s="676"/>
      <c r="X16" s="676"/>
      <c r="Y16" s="676"/>
      <c r="Z16" s="676"/>
      <c r="AA16" s="676"/>
    </row>
    <row r="17" spans="1:27" x14ac:dyDescent="0.25">
      <c r="A17" s="609"/>
      <c r="B17" s="497">
        <v>12</v>
      </c>
      <c r="C17" s="648" t="s">
        <v>103</v>
      </c>
      <c r="D17" s="559" t="s">
        <v>422</v>
      </c>
      <c r="E17" s="497" t="s">
        <v>950</v>
      </c>
      <c r="F17" s="474">
        <v>0.77</v>
      </c>
      <c r="G17" s="373" t="s">
        <v>214</v>
      </c>
      <c r="H17" s="373"/>
      <c r="I17" s="373" t="s">
        <v>1012</v>
      </c>
      <c r="J17" s="497">
        <v>1</v>
      </c>
      <c r="K17" s="474">
        <v>0</v>
      </c>
      <c r="L17" s="497">
        <f t="shared" si="0"/>
        <v>0</v>
      </c>
      <c r="M17" s="497">
        <f t="shared" si="1"/>
        <v>0</v>
      </c>
      <c r="N17" s="687">
        <f t="shared" si="2"/>
        <v>0</v>
      </c>
      <c r="O17" s="661">
        <v>0</v>
      </c>
      <c r="P17" s="687">
        <f t="shared" si="3"/>
        <v>0</v>
      </c>
      <c r="Q17" s="676"/>
      <c r="R17" s="676"/>
      <c r="S17" s="676"/>
      <c r="T17" s="676"/>
      <c r="U17" s="676"/>
      <c r="V17" s="676"/>
      <c r="W17" s="676"/>
      <c r="X17" s="676"/>
      <c r="Y17" s="676"/>
      <c r="Z17" s="676"/>
      <c r="AA17" s="676"/>
    </row>
    <row r="18" spans="1:27" x14ac:dyDescent="0.25">
      <c r="A18" s="609"/>
      <c r="B18" s="497">
        <v>13</v>
      </c>
      <c r="C18" s="648" t="s">
        <v>855</v>
      </c>
      <c r="D18" s="559" t="s">
        <v>268</v>
      </c>
      <c r="E18" s="497" t="s">
        <v>630</v>
      </c>
      <c r="F18" s="474">
        <v>0</v>
      </c>
      <c r="G18" s="373" t="s">
        <v>214</v>
      </c>
      <c r="H18" s="373"/>
      <c r="I18" s="373" t="s">
        <v>1012</v>
      </c>
      <c r="J18" s="497">
        <v>1</v>
      </c>
      <c r="K18" s="474">
        <v>0</v>
      </c>
      <c r="L18" s="497">
        <f t="shared" si="0"/>
        <v>0</v>
      </c>
      <c r="M18" s="497">
        <f t="shared" si="1"/>
        <v>0</v>
      </c>
      <c r="N18" s="687">
        <f t="shared" si="2"/>
        <v>0</v>
      </c>
      <c r="O18" s="661">
        <v>0</v>
      </c>
      <c r="P18" s="687">
        <f t="shared" si="3"/>
        <v>0</v>
      </c>
      <c r="Q18" s="676"/>
      <c r="R18" s="676"/>
      <c r="S18" s="676"/>
      <c r="T18" s="676"/>
      <c r="U18" s="676"/>
      <c r="V18" s="676"/>
      <c r="W18" s="676"/>
      <c r="X18" s="676"/>
      <c r="Y18" s="676"/>
      <c r="Z18" s="676"/>
      <c r="AA18" s="676"/>
    </row>
    <row r="19" spans="1:27" x14ac:dyDescent="0.25">
      <c r="A19" s="609"/>
      <c r="B19" s="497">
        <v>14</v>
      </c>
      <c r="C19" s="648" t="s">
        <v>1077</v>
      </c>
      <c r="D19" s="559" t="s">
        <v>1274</v>
      </c>
      <c r="E19" s="497" t="s">
        <v>630</v>
      </c>
      <c r="F19" s="474">
        <v>0</v>
      </c>
      <c r="G19" s="373" t="s">
        <v>214</v>
      </c>
      <c r="H19" s="373"/>
      <c r="I19" s="373" t="s">
        <v>1012</v>
      </c>
      <c r="J19" s="497">
        <v>1</v>
      </c>
      <c r="K19" s="474">
        <v>0</v>
      </c>
      <c r="L19" s="497">
        <f t="shared" si="0"/>
        <v>0</v>
      </c>
      <c r="M19" s="497">
        <f t="shared" si="1"/>
        <v>0</v>
      </c>
      <c r="N19" s="687">
        <f t="shared" si="2"/>
        <v>0</v>
      </c>
      <c r="O19" s="661">
        <v>0</v>
      </c>
      <c r="P19" s="687">
        <f t="shared" si="3"/>
        <v>0</v>
      </c>
      <c r="Q19" s="676"/>
      <c r="R19" s="676"/>
      <c r="S19" s="676"/>
      <c r="T19" s="676"/>
      <c r="U19" s="676"/>
      <c r="V19" s="676"/>
      <c r="W19" s="676"/>
      <c r="X19" s="676"/>
      <c r="Y19" s="676"/>
      <c r="Z19" s="676"/>
      <c r="AA19" s="676"/>
    </row>
    <row r="20" spans="1:27" x14ac:dyDescent="0.25">
      <c r="A20" s="609"/>
      <c r="B20" s="497">
        <v>15</v>
      </c>
      <c r="C20" s="648" t="s">
        <v>461</v>
      </c>
      <c r="D20" s="559" t="s">
        <v>784</v>
      </c>
      <c r="E20" s="497" t="s">
        <v>838</v>
      </c>
      <c r="F20" s="474">
        <v>1E-3</v>
      </c>
      <c r="G20" s="373" t="s">
        <v>214</v>
      </c>
      <c r="H20" s="373"/>
      <c r="I20" s="373" t="s">
        <v>1012</v>
      </c>
      <c r="J20" s="497">
        <v>1</v>
      </c>
      <c r="K20" s="474">
        <v>0</v>
      </c>
      <c r="L20" s="497">
        <f t="shared" si="0"/>
        <v>0</v>
      </c>
      <c r="M20" s="497">
        <f t="shared" si="1"/>
        <v>0</v>
      </c>
      <c r="N20" s="687">
        <f t="shared" si="2"/>
        <v>0</v>
      </c>
      <c r="O20" s="661">
        <v>0</v>
      </c>
      <c r="P20" s="687">
        <f t="shared" si="3"/>
        <v>0</v>
      </c>
      <c r="Q20" s="676"/>
      <c r="R20" s="676"/>
      <c r="S20" s="676"/>
      <c r="T20" s="676"/>
      <c r="U20" s="676"/>
      <c r="V20" s="676"/>
      <c r="W20" s="676"/>
      <c r="X20" s="676"/>
      <c r="Y20" s="676"/>
      <c r="Z20" s="676"/>
      <c r="AA20" s="676"/>
    </row>
    <row r="21" spans="1:27" x14ac:dyDescent="0.25">
      <c r="A21" s="609"/>
      <c r="B21" s="497">
        <v>16</v>
      </c>
      <c r="C21" s="648" t="s">
        <v>35</v>
      </c>
      <c r="D21" s="559" t="s">
        <v>946</v>
      </c>
      <c r="E21" s="497" t="s">
        <v>594</v>
      </c>
      <c r="F21" s="474">
        <v>0</v>
      </c>
      <c r="G21" s="373" t="s">
        <v>214</v>
      </c>
      <c r="H21" s="373"/>
      <c r="I21" s="373" t="s">
        <v>1012</v>
      </c>
      <c r="J21" s="497">
        <v>1</v>
      </c>
      <c r="K21" s="474">
        <v>0</v>
      </c>
      <c r="L21" s="497">
        <f t="shared" si="0"/>
        <v>0</v>
      </c>
      <c r="M21" s="497">
        <f t="shared" si="1"/>
        <v>0</v>
      </c>
      <c r="N21" s="687">
        <f t="shared" si="2"/>
        <v>0</v>
      </c>
      <c r="O21" s="661">
        <v>0</v>
      </c>
      <c r="P21" s="687">
        <f t="shared" si="3"/>
        <v>0</v>
      </c>
      <c r="Q21" s="676"/>
      <c r="R21" s="676"/>
      <c r="S21" s="676"/>
      <c r="T21" s="676"/>
      <c r="U21" s="676"/>
      <c r="V21" s="676"/>
      <c r="W21" s="676"/>
      <c r="X21" s="676"/>
      <c r="Y21" s="676"/>
      <c r="Z21" s="676"/>
      <c r="AA21" s="676"/>
    </row>
    <row r="22" spans="1:27" x14ac:dyDescent="0.25">
      <c r="A22" s="609"/>
      <c r="B22" s="497">
        <v>17</v>
      </c>
      <c r="C22" s="648" t="s">
        <v>104</v>
      </c>
      <c r="D22" s="559" t="s">
        <v>283</v>
      </c>
      <c r="E22" s="497" t="s">
        <v>838</v>
      </c>
      <c r="F22" s="474">
        <v>1E-3</v>
      </c>
      <c r="G22" s="373" t="s">
        <v>416</v>
      </c>
      <c r="H22" s="373"/>
      <c r="I22" s="373" t="s">
        <v>1012</v>
      </c>
      <c r="J22" s="497">
        <v>1</v>
      </c>
      <c r="K22" s="474">
        <v>0</v>
      </c>
      <c r="L22" s="497">
        <f t="shared" si="0"/>
        <v>0</v>
      </c>
      <c r="M22" s="497">
        <f t="shared" si="1"/>
        <v>0</v>
      </c>
      <c r="N22" s="687">
        <f t="shared" si="2"/>
        <v>0</v>
      </c>
      <c r="O22" s="661">
        <v>0</v>
      </c>
      <c r="P22" s="687">
        <f t="shared" si="3"/>
        <v>0</v>
      </c>
      <c r="Q22" s="676"/>
      <c r="R22" s="676"/>
      <c r="S22" s="676"/>
      <c r="T22" s="676"/>
      <c r="U22" s="676"/>
      <c r="V22" s="676"/>
      <c r="W22" s="676"/>
      <c r="X22" s="676"/>
      <c r="Y22" s="676"/>
      <c r="Z22" s="676"/>
      <c r="AA22" s="676"/>
    </row>
    <row r="23" spans="1:27" x14ac:dyDescent="0.25">
      <c r="A23" s="609"/>
      <c r="B23" s="497">
        <v>18</v>
      </c>
      <c r="C23" s="648" t="s">
        <v>316</v>
      </c>
      <c r="D23" s="559" t="s">
        <v>1216</v>
      </c>
      <c r="E23" s="497" t="s">
        <v>838</v>
      </c>
      <c r="F23" s="474">
        <v>1E-3</v>
      </c>
      <c r="G23" s="373" t="s">
        <v>792</v>
      </c>
      <c r="H23" s="373"/>
      <c r="I23" s="373" t="s">
        <v>1012</v>
      </c>
      <c r="J23" s="497">
        <v>1</v>
      </c>
      <c r="K23" s="474">
        <v>0</v>
      </c>
      <c r="L23" s="497">
        <f t="shared" si="0"/>
        <v>0</v>
      </c>
      <c r="M23" s="497">
        <f t="shared" si="1"/>
        <v>0</v>
      </c>
      <c r="N23" s="687">
        <f t="shared" si="2"/>
        <v>0</v>
      </c>
      <c r="O23" s="661">
        <v>0</v>
      </c>
      <c r="P23" s="687">
        <f t="shared" si="3"/>
        <v>0</v>
      </c>
      <c r="Q23" s="676"/>
      <c r="R23" s="676"/>
      <c r="S23" s="676"/>
      <c r="T23" s="676"/>
      <c r="U23" s="676"/>
      <c r="V23" s="676"/>
      <c r="W23" s="676"/>
      <c r="X23" s="676"/>
      <c r="Y23" s="676"/>
      <c r="Z23" s="676"/>
      <c r="AA23" s="676"/>
    </row>
    <row r="24" spans="1:27" x14ac:dyDescent="0.25">
      <c r="A24" s="609"/>
      <c r="B24" s="497">
        <v>19</v>
      </c>
      <c r="C24" s="648" t="s">
        <v>956</v>
      </c>
      <c r="D24" s="559" t="s">
        <v>304</v>
      </c>
      <c r="E24" s="497" t="s">
        <v>447</v>
      </c>
      <c r="F24" s="474">
        <v>0</v>
      </c>
      <c r="G24" s="373" t="s">
        <v>214</v>
      </c>
      <c r="H24" s="373"/>
      <c r="I24" s="373" t="s">
        <v>1012</v>
      </c>
      <c r="J24" s="497">
        <v>1</v>
      </c>
      <c r="K24" s="474">
        <v>0</v>
      </c>
      <c r="L24" s="497">
        <f t="shared" si="0"/>
        <v>0</v>
      </c>
      <c r="M24" s="497">
        <f t="shared" si="1"/>
        <v>0</v>
      </c>
      <c r="N24" s="687">
        <f t="shared" si="2"/>
        <v>0</v>
      </c>
      <c r="O24" s="661">
        <v>0</v>
      </c>
      <c r="P24" s="687">
        <f t="shared" si="3"/>
        <v>0</v>
      </c>
      <c r="Q24" s="676"/>
      <c r="R24" s="676"/>
      <c r="S24" s="676"/>
      <c r="T24" s="676"/>
      <c r="U24" s="676"/>
      <c r="V24" s="676"/>
      <c r="W24" s="676"/>
      <c r="X24" s="676"/>
      <c r="Y24" s="676"/>
      <c r="Z24" s="676"/>
      <c r="AA24" s="676"/>
    </row>
    <row r="25" spans="1:27" x14ac:dyDescent="0.25">
      <c r="A25" s="609"/>
      <c r="B25" s="497">
        <v>20</v>
      </c>
      <c r="C25" s="648" t="s">
        <v>615</v>
      </c>
      <c r="D25" s="559" t="s">
        <v>304</v>
      </c>
      <c r="E25" s="497" t="s">
        <v>950</v>
      </c>
      <c r="F25" s="474">
        <v>0</v>
      </c>
      <c r="G25" s="373" t="s">
        <v>214</v>
      </c>
      <c r="H25" s="373"/>
      <c r="I25" s="373" t="s">
        <v>1012</v>
      </c>
      <c r="J25" s="497">
        <v>1</v>
      </c>
      <c r="K25" s="474">
        <v>0</v>
      </c>
      <c r="L25" s="497">
        <f t="shared" si="0"/>
        <v>0</v>
      </c>
      <c r="M25" s="497">
        <f t="shared" si="1"/>
        <v>0</v>
      </c>
      <c r="N25" s="687">
        <f t="shared" si="2"/>
        <v>0</v>
      </c>
      <c r="O25" s="661">
        <v>0</v>
      </c>
      <c r="P25" s="687">
        <f t="shared" si="3"/>
        <v>0</v>
      </c>
      <c r="Q25" s="676"/>
      <c r="R25" s="676"/>
      <c r="S25" s="676"/>
      <c r="T25" s="676"/>
      <c r="U25" s="676"/>
      <c r="V25" s="676"/>
      <c r="W25" s="676"/>
      <c r="X25" s="676"/>
      <c r="Y25" s="676"/>
      <c r="Z25" s="676"/>
      <c r="AA25" s="676"/>
    </row>
    <row r="26" spans="1:27" x14ac:dyDescent="0.25">
      <c r="A26" s="609"/>
      <c r="B26" s="497">
        <v>21</v>
      </c>
      <c r="C26" s="648" t="s">
        <v>919</v>
      </c>
      <c r="D26" s="559" t="s">
        <v>336</v>
      </c>
      <c r="E26" s="497" t="s">
        <v>838</v>
      </c>
      <c r="F26" s="474">
        <v>1E-3</v>
      </c>
      <c r="G26" s="373" t="s">
        <v>214</v>
      </c>
      <c r="H26" s="373"/>
      <c r="I26" s="373" t="s">
        <v>1012</v>
      </c>
      <c r="J26" s="497">
        <v>1</v>
      </c>
      <c r="K26" s="474">
        <v>0</v>
      </c>
      <c r="L26" s="497">
        <f t="shared" si="0"/>
        <v>0</v>
      </c>
      <c r="M26" s="497">
        <f t="shared" si="1"/>
        <v>0</v>
      </c>
      <c r="N26" s="687">
        <f t="shared" si="2"/>
        <v>0</v>
      </c>
      <c r="O26" s="661">
        <v>0</v>
      </c>
      <c r="P26" s="687">
        <f t="shared" si="3"/>
        <v>0</v>
      </c>
      <c r="Q26" s="676"/>
      <c r="R26" s="676"/>
      <c r="S26" s="676"/>
      <c r="T26" s="676"/>
      <c r="U26" s="676"/>
      <c r="V26" s="676"/>
      <c r="W26" s="676"/>
      <c r="X26" s="676"/>
      <c r="Y26" s="676"/>
      <c r="Z26" s="676"/>
      <c r="AA26" s="676"/>
    </row>
    <row r="27" spans="1:27" x14ac:dyDescent="0.25">
      <c r="A27" s="609"/>
      <c r="B27" s="497">
        <v>22</v>
      </c>
      <c r="C27" s="648" t="s">
        <v>1210</v>
      </c>
      <c r="D27" s="559" t="s">
        <v>269</v>
      </c>
      <c r="E27" s="497" t="s">
        <v>838</v>
      </c>
      <c r="F27" s="474">
        <v>1E-3</v>
      </c>
      <c r="G27" s="373" t="s">
        <v>62</v>
      </c>
      <c r="H27" s="373"/>
      <c r="I27" s="373" t="s">
        <v>1012</v>
      </c>
      <c r="J27" s="497">
        <v>1</v>
      </c>
      <c r="K27" s="474">
        <v>0</v>
      </c>
      <c r="L27" s="497">
        <f t="shared" si="0"/>
        <v>0</v>
      </c>
      <c r="M27" s="497">
        <f t="shared" si="1"/>
        <v>0</v>
      </c>
      <c r="N27" s="687">
        <f t="shared" si="2"/>
        <v>0</v>
      </c>
      <c r="O27" s="661">
        <v>0</v>
      </c>
      <c r="P27" s="687">
        <f t="shared" si="3"/>
        <v>0</v>
      </c>
      <c r="Q27" s="676"/>
      <c r="R27" s="676"/>
      <c r="S27" s="676"/>
      <c r="T27" s="676"/>
      <c r="U27" s="676"/>
      <c r="V27" s="676"/>
      <c r="W27" s="676"/>
      <c r="X27" s="676"/>
      <c r="Y27" s="676"/>
      <c r="Z27" s="676"/>
      <c r="AA27" s="676"/>
    </row>
    <row r="28" spans="1:27" x14ac:dyDescent="0.25">
      <c r="A28" s="609"/>
      <c r="B28" s="497">
        <v>23</v>
      </c>
      <c r="C28" s="648" t="s">
        <v>340</v>
      </c>
      <c r="D28" s="559" t="s">
        <v>619</v>
      </c>
      <c r="E28" s="497" t="s">
        <v>838</v>
      </c>
      <c r="F28" s="474">
        <v>1E-3</v>
      </c>
      <c r="G28" s="373" t="s">
        <v>62</v>
      </c>
      <c r="H28" s="373"/>
      <c r="I28" s="373" t="s">
        <v>1012</v>
      </c>
      <c r="J28" s="497">
        <v>1</v>
      </c>
      <c r="K28" s="474">
        <v>0</v>
      </c>
      <c r="L28" s="497">
        <f t="shared" si="0"/>
        <v>0</v>
      </c>
      <c r="M28" s="497">
        <f t="shared" si="1"/>
        <v>0</v>
      </c>
      <c r="N28" s="687">
        <f t="shared" si="2"/>
        <v>0</v>
      </c>
      <c r="O28" s="661">
        <v>0</v>
      </c>
      <c r="P28" s="687">
        <f t="shared" si="3"/>
        <v>0</v>
      </c>
      <c r="Q28" s="676"/>
      <c r="R28" s="676"/>
      <c r="S28" s="676"/>
      <c r="T28" s="676"/>
      <c r="U28" s="676"/>
      <c r="V28" s="676"/>
      <c r="W28" s="676"/>
      <c r="X28" s="676"/>
      <c r="Y28" s="676"/>
      <c r="Z28" s="676"/>
      <c r="AA28" s="676"/>
    </row>
    <row r="29" spans="1:27" x14ac:dyDescent="0.25">
      <c r="A29" s="609"/>
      <c r="B29" s="497">
        <v>24</v>
      </c>
      <c r="C29" s="648" t="s">
        <v>849</v>
      </c>
      <c r="D29" s="559" t="s">
        <v>158</v>
      </c>
      <c r="E29" s="497" t="s">
        <v>838</v>
      </c>
      <c r="F29" s="474">
        <v>1E-3</v>
      </c>
      <c r="G29" s="373" t="s">
        <v>62</v>
      </c>
      <c r="H29" s="373"/>
      <c r="I29" s="373" t="s">
        <v>1012</v>
      </c>
      <c r="J29" s="497">
        <v>1</v>
      </c>
      <c r="K29" s="474">
        <v>0</v>
      </c>
      <c r="L29" s="497">
        <f t="shared" si="0"/>
        <v>0</v>
      </c>
      <c r="M29" s="497">
        <f t="shared" si="1"/>
        <v>0</v>
      </c>
      <c r="N29" s="687">
        <f t="shared" si="2"/>
        <v>0</v>
      </c>
      <c r="O29" s="661">
        <v>0</v>
      </c>
      <c r="P29" s="687">
        <f t="shared" si="3"/>
        <v>0</v>
      </c>
      <c r="Q29" s="676"/>
      <c r="R29" s="676"/>
      <c r="S29" s="676"/>
      <c r="T29" s="676"/>
      <c r="U29" s="676"/>
      <c r="V29" s="676"/>
      <c r="W29" s="676"/>
      <c r="X29" s="676"/>
      <c r="Y29" s="676"/>
      <c r="Z29" s="676"/>
      <c r="AA29" s="676"/>
    </row>
    <row r="30" spans="1:27" x14ac:dyDescent="0.25">
      <c r="A30" s="609"/>
      <c r="B30" s="497">
        <v>25</v>
      </c>
      <c r="C30" s="648" t="s">
        <v>1141</v>
      </c>
      <c r="D30" s="559" t="s">
        <v>685</v>
      </c>
      <c r="E30" s="497" t="s">
        <v>838</v>
      </c>
      <c r="F30" s="474">
        <v>1E-3</v>
      </c>
      <c r="G30" s="373" t="s">
        <v>416</v>
      </c>
      <c r="H30" s="373"/>
      <c r="I30" s="373" t="s">
        <v>1012</v>
      </c>
      <c r="J30" s="497">
        <v>1</v>
      </c>
      <c r="K30" s="474">
        <v>0</v>
      </c>
      <c r="L30" s="497">
        <f t="shared" si="0"/>
        <v>0</v>
      </c>
      <c r="M30" s="497">
        <f t="shared" si="1"/>
        <v>0</v>
      </c>
      <c r="N30" s="687">
        <f t="shared" si="2"/>
        <v>0</v>
      </c>
      <c r="O30" s="661">
        <v>0</v>
      </c>
      <c r="P30" s="687">
        <f t="shared" si="3"/>
        <v>0</v>
      </c>
      <c r="Q30" s="676"/>
      <c r="R30" s="676"/>
      <c r="S30" s="676"/>
      <c r="T30" s="676"/>
      <c r="U30" s="676"/>
      <c r="V30" s="676"/>
      <c r="W30" s="676"/>
      <c r="X30" s="676"/>
      <c r="Y30" s="676"/>
      <c r="Z30" s="676"/>
      <c r="AA30" s="676"/>
    </row>
    <row r="31" spans="1:27" x14ac:dyDescent="0.25">
      <c r="A31" s="609"/>
      <c r="B31" s="497">
        <v>26</v>
      </c>
      <c r="C31" s="648" t="s">
        <v>649</v>
      </c>
      <c r="D31" s="559" t="s">
        <v>705</v>
      </c>
      <c r="E31" s="497" t="s">
        <v>838</v>
      </c>
      <c r="F31" s="474">
        <v>1E-3</v>
      </c>
      <c r="G31" s="373" t="s">
        <v>416</v>
      </c>
      <c r="H31" s="373"/>
      <c r="I31" s="373" t="s">
        <v>1012</v>
      </c>
      <c r="J31" s="497">
        <v>1</v>
      </c>
      <c r="K31" s="474">
        <v>0</v>
      </c>
      <c r="L31" s="497">
        <f t="shared" si="0"/>
        <v>0</v>
      </c>
      <c r="M31" s="497">
        <f t="shared" si="1"/>
        <v>0</v>
      </c>
      <c r="N31" s="687">
        <f t="shared" si="2"/>
        <v>0</v>
      </c>
      <c r="O31" s="661">
        <v>0</v>
      </c>
      <c r="P31" s="687">
        <f t="shared" si="3"/>
        <v>0</v>
      </c>
      <c r="Q31" s="676"/>
      <c r="R31" s="676"/>
      <c r="S31" s="676"/>
      <c r="T31" s="676"/>
      <c r="U31" s="676"/>
      <c r="V31" s="676"/>
      <c r="W31" s="676"/>
      <c r="X31" s="676"/>
      <c r="Y31" s="676"/>
      <c r="Z31" s="676"/>
      <c r="AA31" s="676"/>
    </row>
    <row r="32" spans="1:27" x14ac:dyDescent="0.25">
      <c r="A32" s="609"/>
      <c r="B32" s="497">
        <v>27</v>
      </c>
      <c r="C32" s="648" t="s">
        <v>713</v>
      </c>
      <c r="D32" s="559" t="s">
        <v>13</v>
      </c>
      <c r="E32" s="497" t="s">
        <v>838</v>
      </c>
      <c r="F32" s="474">
        <v>1E-3</v>
      </c>
      <c r="G32" s="373" t="s">
        <v>416</v>
      </c>
      <c r="H32" s="373"/>
      <c r="I32" s="373" t="s">
        <v>1012</v>
      </c>
      <c r="J32" s="497">
        <v>1</v>
      </c>
      <c r="K32" s="474">
        <v>0</v>
      </c>
      <c r="L32" s="497">
        <f t="shared" si="0"/>
        <v>0</v>
      </c>
      <c r="M32" s="497">
        <f t="shared" si="1"/>
        <v>0</v>
      </c>
      <c r="N32" s="687">
        <f t="shared" si="2"/>
        <v>0</v>
      </c>
      <c r="O32" s="661">
        <v>0</v>
      </c>
      <c r="P32" s="687">
        <f t="shared" si="3"/>
        <v>0</v>
      </c>
      <c r="Q32" s="676"/>
      <c r="R32" s="676"/>
      <c r="S32" s="676"/>
      <c r="T32" s="676"/>
      <c r="U32" s="676"/>
      <c r="V32" s="676"/>
      <c r="W32" s="676"/>
      <c r="X32" s="676"/>
      <c r="Y32" s="676"/>
      <c r="Z32" s="676"/>
      <c r="AA32" s="676"/>
    </row>
    <row r="33" spans="1:27" x14ac:dyDescent="0.25">
      <c r="A33" s="609"/>
      <c r="B33" s="497">
        <v>28</v>
      </c>
      <c r="C33" s="648" t="s">
        <v>132</v>
      </c>
      <c r="D33" s="559" t="s">
        <v>969</v>
      </c>
      <c r="E33" s="497" t="s">
        <v>838</v>
      </c>
      <c r="F33" s="474">
        <v>1E-3</v>
      </c>
      <c r="G33" s="373" t="s">
        <v>62</v>
      </c>
      <c r="H33" s="373"/>
      <c r="I33" s="373" t="s">
        <v>1012</v>
      </c>
      <c r="J33" s="497">
        <v>1</v>
      </c>
      <c r="K33" s="474">
        <v>0</v>
      </c>
      <c r="L33" s="497">
        <f t="shared" si="0"/>
        <v>0</v>
      </c>
      <c r="M33" s="497">
        <f t="shared" si="1"/>
        <v>0</v>
      </c>
      <c r="N33" s="687">
        <f t="shared" si="2"/>
        <v>0</v>
      </c>
      <c r="O33" s="661">
        <v>0</v>
      </c>
      <c r="P33" s="687">
        <f t="shared" si="3"/>
        <v>0</v>
      </c>
      <c r="Q33" s="676"/>
      <c r="R33" s="676"/>
      <c r="S33" s="676"/>
      <c r="T33" s="676"/>
      <c r="U33" s="676"/>
      <c r="V33" s="676"/>
      <c r="W33" s="676"/>
      <c r="X33" s="676"/>
      <c r="Y33" s="676"/>
      <c r="Z33" s="676"/>
      <c r="AA33" s="676"/>
    </row>
    <row r="34" spans="1:27" x14ac:dyDescent="0.25">
      <c r="A34" s="609"/>
      <c r="B34" s="497">
        <v>29</v>
      </c>
      <c r="C34" s="648" t="s">
        <v>149</v>
      </c>
      <c r="D34" s="559" t="s">
        <v>89</v>
      </c>
      <c r="E34" s="497" t="s">
        <v>838</v>
      </c>
      <c r="F34" s="474">
        <v>1E-3</v>
      </c>
      <c r="G34" s="373" t="s">
        <v>62</v>
      </c>
      <c r="H34" s="373"/>
      <c r="I34" s="373" t="s">
        <v>1012</v>
      </c>
      <c r="J34" s="497">
        <v>1</v>
      </c>
      <c r="K34" s="474">
        <v>0</v>
      </c>
      <c r="L34" s="497">
        <f t="shared" si="0"/>
        <v>0</v>
      </c>
      <c r="M34" s="497">
        <f t="shared" si="1"/>
        <v>0</v>
      </c>
      <c r="N34" s="687">
        <f t="shared" si="2"/>
        <v>0</v>
      </c>
      <c r="O34" s="661">
        <v>0</v>
      </c>
      <c r="P34" s="687">
        <f t="shared" si="3"/>
        <v>0</v>
      </c>
      <c r="Q34" s="676"/>
      <c r="R34" s="676"/>
      <c r="S34" s="676"/>
      <c r="T34" s="676"/>
      <c r="U34" s="676"/>
      <c r="V34" s="676"/>
      <c r="W34" s="676"/>
      <c r="X34" s="676"/>
      <c r="Y34" s="676"/>
      <c r="Z34" s="676"/>
      <c r="AA34" s="676"/>
    </row>
    <row r="35" spans="1:27" x14ac:dyDescent="0.25">
      <c r="A35" s="544"/>
      <c r="B35" s="428">
        <v>30</v>
      </c>
      <c r="C35" s="598" t="s">
        <v>235</v>
      </c>
      <c r="D35" s="494" t="s">
        <v>662</v>
      </c>
      <c r="E35" s="428" t="s">
        <v>838</v>
      </c>
      <c r="F35" s="403">
        <v>1E-3</v>
      </c>
      <c r="G35" s="315" t="s">
        <v>62</v>
      </c>
      <c r="H35" s="315"/>
      <c r="I35" s="315" t="s">
        <v>1012</v>
      </c>
      <c r="J35" s="428">
        <v>1</v>
      </c>
      <c r="K35" s="403">
        <v>0</v>
      </c>
      <c r="L35" s="428">
        <f t="shared" si="0"/>
        <v>0</v>
      </c>
      <c r="M35" s="428">
        <f t="shared" si="1"/>
        <v>0</v>
      </c>
      <c r="N35" s="640">
        <f t="shared" si="2"/>
        <v>0</v>
      </c>
      <c r="O35" s="593">
        <v>0</v>
      </c>
      <c r="P35" s="640">
        <f t="shared" si="3"/>
        <v>0</v>
      </c>
      <c r="Q35" s="676"/>
      <c r="R35" s="676"/>
      <c r="S35" s="676"/>
      <c r="T35" s="676"/>
      <c r="U35" s="676"/>
      <c r="V35" s="676"/>
      <c r="W35" s="676"/>
      <c r="X35" s="676"/>
      <c r="Y35" s="676"/>
      <c r="Z35" s="676"/>
      <c r="AA35" s="676"/>
    </row>
    <row r="36" spans="1:27" x14ac:dyDescent="0.25">
      <c r="A36" s="472"/>
      <c r="B36" s="242"/>
      <c r="C36" s="509"/>
      <c r="D36" s="418"/>
      <c r="E36" s="242"/>
      <c r="F36" s="242"/>
      <c r="G36" s="242"/>
      <c r="H36" s="242"/>
      <c r="I36" s="242"/>
      <c r="J36" s="242"/>
      <c r="K36" s="242"/>
      <c r="L36" s="242"/>
      <c r="M36" s="242"/>
      <c r="N36" s="242"/>
      <c r="O36" s="242"/>
      <c r="P36" s="242"/>
      <c r="Q36" s="676"/>
      <c r="R36" s="676"/>
      <c r="S36" s="676"/>
      <c r="T36" s="676"/>
      <c r="U36" s="676"/>
      <c r="V36" s="676"/>
      <c r="W36" s="676"/>
      <c r="X36" s="676"/>
      <c r="Y36" s="676"/>
      <c r="Z36" s="676"/>
      <c r="AA36" s="676"/>
    </row>
    <row r="37" spans="1:27" x14ac:dyDescent="0.25">
      <c r="A37" s="472"/>
      <c r="B37" s="242"/>
      <c r="C37" s="509"/>
      <c r="D37" s="418"/>
      <c r="E37" s="242"/>
      <c r="F37" s="242"/>
      <c r="G37" s="242"/>
      <c r="H37" s="242"/>
      <c r="I37" s="242"/>
      <c r="J37" s="242"/>
      <c r="K37" s="242"/>
      <c r="L37" s="242"/>
      <c r="M37" s="242"/>
      <c r="N37" s="242"/>
      <c r="O37" s="242"/>
      <c r="P37" s="242"/>
      <c r="Q37" s="676"/>
      <c r="R37" s="676"/>
      <c r="S37" s="676"/>
      <c r="T37" s="676"/>
      <c r="U37" s="676"/>
      <c r="V37" s="676"/>
      <c r="W37" s="676"/>
      <c r="X37" s="676"/>
      <c r="Y37" s="676"/>
      <c r="Z37" s="676"/>
      <c r="AA37" s="676"/>
    </row>
    <row r="38" spans="1:27" x14ac:dyDescent="0.25">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row>
  </sheetData>
  <mergeCells count="16">
    <mergeCell ref="A1:P1"/>
    <mergeCell ref="A2:P2"/>
    <mergeCell ref="A3:P3"/>
    <mergeCell ref="A4:A5"/>
    <mergeCell ref="B4:B5"/>
    <mergeCell ref="C4:C5"/>
    <mergeCell ref="D4:D5"/>
    <mergeCell ref="E4:E5"/>
    <mergeCell ref="F4:F5"/>
    <mergeCell ref="G4:G5"/>
    <mergeCell ref="H4:H5"/>
    <mergeCell ref="I4:J4"/>
    <mergeCell ref="K4:M4"/>
    <mergeCell ref="N4:N5"/>
    <mergeCell ref="O4:O5"/>
    <mergeCell ref="P4:P5"/>
  </mergeCells>
  <conditionalFormatting sqref="J6:K35">
    <cfRule type="cellIs" dxfId="8" priority="1" stopIfTrue="1" operator="equal">
      <formula>0</formula>
    </cfRule>
  </conditionalFormatting>
  <pageMargins left="0.75" right="0.75" top="0.79" bottom="0.79" header="0.3" footer="0.3"/>
  <pageSetup paperSize="9" scale="90" orientation="landscape" useFirstPageNumber="1" horizontalDpi="65532"/>
  <headerFooter>
    <oddFooter>&amp;CTrang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Zeros="0" topLeftCell="A6" workbookViewId="0">
      <selection activeCell="B10" sqref="B10:B11"/>
    </sheetView>
  </sheetViews>
  <sheetFormatPr defaultColWidth="9.140625" defaultRowHeight="15" x14ac:dyDescent="0.25"/>
  <cols>
    <col min="1" max="1" width="4.28515625" style="751" customWidth="1"/>
    <col min="2" max="2" width="9.28515625" style="751" customWidth="1"/>
    <col min="3" max="3" width="23.85546875" style="751" customWidth="1"/>
    <col min="4" max="4" width="5.42578125" style="751" customWidth="1"/>
    <col min="5" max="5" width="14" style="751" customWidth="1"/>
    <col min="6" max="6" width="8" style="751" customWidth="1"/>
    <col min="7" max="7" width="11" style="751" customWidth="1"/>
    <col min="8" max="12" width="5.5703125" style="751" customWidth="1"/>
    <col min="13" max="13" width="7.140625" style="751" customWidth="1"/>
    <col min="14" max="14" width="8.28515625" style="751" customWidth="1"/>
    <col min="15" max="15" width="6.7109375" style="751" customWidth="1"/>
    <col min="16" max="16" width="8.28515625" style="751" customWidth="1"/>
    <col min="17" max="17" width="11.5703125" style="751" customWidth="1"/>
    <col min="18" max="19" width="10" style="751" customWidth="1"/>
    <col min="20" max="20" width="9.140625" style="751" customWidth="1"/>
    <col min="21" max="16384" width="9.140625" style="751"/>
  </cols>
  <sheetData>
    <row r="1" spans="1:27" ht="15" hidden="1" customHeight="1" x14ac:dyDescent="0.25">
      <c r="A1" s="327" t="s">
        <v>1211</v>
      </c>
      <c r="B1" s="327" t="s">
        <v>567</v>
      </c>
      <c r="C1" s="327" t="s">
        <v>1072</v>
      </c>
      <c r="D1" s="327" t="s">
        <v>789</v>
      </c>
      <c r="E1" s="327" t="s">
        <v>982</v>
      </c>
      <c r="F1" s="327" t="s">
        <v>977</v>
      </c>
      <c r="G1" s="327" t="s">
        <v>1023</v>
      </c>
      <c r="H1" s="327" t="s">
        <v>135</v>
      </c>
      <c r="I1" s="327"/>
      <c r="J1" s="327"/>
      <c r="K1" s="327"/>
      <c r="L1" s="327"/>
      <c r="M1" s="327" t="s">
        <v>697</v>
      </c>
      <c r="N1" s="327"/>
      <c r="O1" s="327" t="s">
        <v>998</v>
      </c>
      <c r="P1" s="327" t="s">
        <v>1038</v>
      </c>
      <c r="Q1" s="327"/>
    </row>
    <row r="2" spans="1:27" ht="15" hidden="1" customHeight="1" x14ac:dyDescent="0.25">
      <c r="A2" s="747">
        <v>1</v>
      </c>
      <c r="B2" s="747">
        <v>1</v>
      </c>
      <c r="C2" s="747">
        <v>1</v>
      </c>
      <c r="D2" s="747">
        <v>1</v>
      </c>
      <c r="E2" s="747">
        <v>0</v>
      </c>
      <c r="F2" s="747">
        <v>1</v>
      </c>
      <c r="G2" s="747"/>
      <c r="H2" s="747">
        <v>1</v>
      </c>
      <c r="I2" s="747"/>
      <c r="J2" s="747"/>
      <c r="K2" s="747"/>
      <c r="L2" s="747"/>
      <c r="M2" s="747">
        <v>1</v>
      </c>
      <c r="N2" s="747"/>
      <c r="O2" s="747">
        <v>1</v>
      </c>
      <c r="P2" s="747">
        <v>0</v>
      </c>
      <c r="Q2" s="747"/>
    </row>
    <row r="3" spans="1:27" ht="15" hidden="1" customHeight="1" x14ac:dyDescent="0.25">
      <c r="A3" s="747">
        <v>0</v>
      </c>
      <c r="B3" s="747">
        <v>0</v>
      </c>
      <c r="C3" s="747">
        <v>0</v>
      </c>
      <c r="D3" s="747">
        <v>0</v>
      </c>
      <c r="E3" s="747">
        <v>0</v>
      </c>
      <c r="F3" s="747">
        <v>0</v>
      </c>
      <c r="G3" s="747">
        <v>0</v>
      </c>
      <c r="H3" s="747">
        <v>0</v>
      </c>
      <c r="I3" s="747"/>
      <c r="J3" s="747"/>
      <c r="K3" s="747"/>
      <c r="L3" s="747"/>
      <c r="M3" s="747">
        <v>0</v>
      </c>
      <c r="N3" s="747"/>
      <c r="O3" s="747">
        <v>0</v>
      </c>
      <c r="P3" s="747">
        <v>0</v>
      </c>
      <c r="Q3" s="747"/>
    </row>
    <row r="4" spans="1:27" ht="15" hidden="1" customHeight="1" x14ac:dyDescent="0.25">
      <c r="A4" s="747"/>
      <c r="B4" s="389"/>
      <c r="C4" s="389"/>
      <c r="D4" s="389"/>
      <c r="E4" s="389"/>
      <c r="F4" s="389"/>
      <c r="G4" s="389"/>
      <c r="H4" s="389"/>
      <c r="I4" s="389"/>
      <c r="J4" s="389"/>
      <c r="K4" s="389"/>
      <c r="L4" s="389"/>
      <c r="M4" s="389"/>
      <c r="N4" s="389"/>
      <c r="O4" s="389"/>
      <c r="P4" s="389"/>
      <c r="Q4" s="389"/>
      <c r="R4" s="49"/>
      <c r="S4" s="49"/>
      <c r="T4" s="49"/>
      <c r="U4" s="49"/>
      <c r="V4" s="49"/>
      <c r="W4" s="49"/>
      <c r="X4" s="49"/>
      <c r="Y4" s="49"/>
      <c r="Z4" s="49"/>
      <c r="AA4" s="49"/>
    </row>
    <row r="5" spans="1:27" ht="15" hidden="1" customHeight="1" x14ac:dyDescent="0.25">
      <c r="A5" s="747"/>
      <c r="B5" s="389"/>
      <c r="C5" s="389"/>
      <c r="D5" s="389"/>
      <c r="E5" s="389"/>
      <c r="F5" s="389"/>
      <c r="G5" s="389"/>
      <c r="H5" s="389"/>
      <c r="I5" s="389"/>
      <c r="J5" s="389"/>
      <c r="K5" s="389"/>
      <c r="L5" s="389"/>
      <c r="M5" s="389"/>
      <c r="N5" s="389"/>
      <c r="O5" s="389"/>
      <c r="P5" s="389"/>
      <c r="Q5" s="389"/>
      <c r="R5" s="49"/>
      <c r="S5" s="49"/>
      <c r="T5" s="49"/>
      <c r="U5" s="49"/>
      <c r="V5" s="49"/>
      <c r="W5" s="49"/>
      <c r="X5" s="49"/>
      <c r="Y5" s="49"/>
      <c r="Z5" s="49"/>
      <c r="AA5" s="49"/>
    </row>
    <row r="6" spans="1:27" ht="21.75" customHeight="1" x14ac:dyDescent="0.3">
      <c r="A6" s="986" t="s">
        <v>659</v>
      </c>
      <c r="B6" s="1008"/>
      <c r="C6" s="1008"/>
      <c r="D6" s="1008"/>
      <c r="E6" s="1008"/>
      <c r="F6" s="1008"/>
      <c r="G6" s="1008"/>
      <c r="H6" s="1008"/>
      <c r="I6" s="1008"/>
      <c r="J6" s="1008"/>
      <c r="K6" s="1008"/>
      <c r="L6" s="1008"/>
      <c r="M6" s="1008"/>
      <c r="N6" s="1008"/>
      <c r="O6" s="1008"/>
      <c r="P6" s="1008"/>
      <c r="Q6" s="1008"/>
      <c r="R6" s="49"/>
      <c r="S6" s="49"/>
      <c r="T6" s="49"/>
      <c r="U6" s="49"/>
      <c r="V6" s="49"/>
      <c r="W6" s="49"/>
      <c r="X6" s="49"/>
      <c r="Y6" s="49"/>
      <c r="Z6" s="49"/>
      <c r="AA6" s="49"/>
    </row>
    <row r="7" spans="1:27" ht="18" customHeight="1" x14ac:dyDescent="0.25">
      <c r="A7" s="1009" t="s">
        <v>315</v>
      </c>
      <c r="B7" s="1008"/>
      <c r="C7" s="1008"/>
      <c r="D7" s="1008"/>
      <c r="E7" s="1008"/>
      <c r="F7" s="1008"/>
      <c r="G7" s="1008"/>
      <c r="H7" s="1008"/>
      <c r="I7" s="1008"/>
      <c r="J7" s="1008"/>
      <c r="K7" s="1008"/>
      <c r="L7" s="1008"/>
      <c r="M7" s="1008"/>
      <c r="N7" s="1008"/>
      <c r="O7" s="1008"/>
      <c r="P7" s="1008"/>
      <c r="Q7" s="1008"/>
      <c r="R7" s="49"/>
      <c r="S7" s="49"/>
      <c r="T7" s="49"/>
      <c r="U7" s="49"/>
      <c r="V7" s="49"/>
      <c r="W7" s="49"/>
      <c r="X7" s="49"/>
      <c r="Y7" s="49"/>
      <c r="Z7" s="49"/>
      <c r="AA7" s="49"/>
    </row>
    <row r="8" spans="1:27" ht="16.5" customHeight="1" x14ac:dyDescent="0.25">
      <c r="A8" s="1009" t="s">
        <v>284</v>
      </c>
      <c r="B8" s="1008"/>
      <c r="C8" s="1008"/>
      <c r="D8" s="1008"/>
      <c r="E8" s="1008"/>
      <c r="F8" s="1008"/>
      <c r="G8" s="1008"/>
      <c r="H8" s="1008"/>
      <c r="I8" s="1008"/>
      <c r="J8" s="1008"/>
      <c r="K8" s="1008"/>
      <c r="L8" s="1008"/>
      <c r="M8" s="1008"/>
      <c r="N8" s="1008"/>
      <c r="O8" s="1008"/>
      <c r="P8" s="1008"/>
      <c r="Q8" s="1008"/>
      <c r="R8" s="49"/>
      <c r="S8" s="49"/>
      <c r="T8" s="49"/>
      <c r="U8" s="49"/>
      <c r="V8" s="49"/>
      <c r="W8" s="49"/>
      <c r="X8" s="49"/>
      <c r="Y8" s="49"/>
      <c r="Z8" s="49"/>
      <c r="AA8" s="49"/>
    </row>
    <row r="9" spans="1:27" ht="23.25" customHeight="1" x14ac:dyDescent="0.25">
      <c r="A9" s="1012" t="s">
        <v>866</v>
      </c>
      <c r="B9" s="1013"/>
      <c r="C9" s="1013"/>
      <c r="D9" s="1013"/>
      <c r="E9" s="1013"/>
      <c r="F9" s="1013"/>
      <c r="G9" s="1013"/>
      <c r="H9" s="1014">
        <v>218559</v>
      </c>
      <c r="I9" s="1014"/>
      <c r="J9" s="1014"/>
      <c r="K9" s="1014"/>
      <c r="L9" s="1014"/>
      <c r="M9" s="1014"/>
      <c r="N9" s="1014"/>
      <c r="O9" s="1014"/>
      <c r="P9" s="1014"/>
      <c r="Q9" s="1014"/>
      <c r="R9" s="49"/>
      <c r="S9" s="49"/>
      <c r="T9" s="49"/>
      <c r="U9" s="49"/>
      <c r="V9" s="49"/>
      <c r="W9" s="49"/>
      <c r="X9" s="49"/>
      <c r="Y9" s="49"/>
      <c r="Z9" s="49"/>
      <c r="AA9" s="49"/>
    </row>
    <row r="10" spans="1:27" ht="17.25" customHeight="1" x14ac:dyDescent="0.25">
      <c r="A10" s="989" t="s">
        <v>386</v>
      </c>
      <c r="B10" s="1006" t="s">
        <v>802</v>
      </c>
      <c r="C10" s="1004" t="s">
        <v>151</v>
      </c>
      <c r="D10" s="1004" t="s">
        <v>1136</v>
      </c>
      <c r="E10" s="1004" t="s">
        <v>801</v>
      </c>
      <c r="F10" s="1006" t="s">
        <v>872</v>
      </c>
      <c r="G10" s="1004" t="s">
        <v>163</v>
      </c>
      <c r="H10" s="1004" t="s">
        <v>775</v>
      </c>
      <c r="I10" s="1006" t="s">
        <v>636</v>
      </c>
      <c r="J10" s="1006" t="s">
        <v>652</v>
      </c>
      <c r="K10" s="1006" t="s">
        <v>1260</v>
      </c>
      <c r="L10" s="1006" t="s">
        <v>350</v>
      </c>
      <c r="M10" s="1010" t="s">
        <v>1243</v>
      </c>
      <c r="N10" s="1011"/>
      <c r="O10" s="1011"/>
      <c r="P10" s="1011"/>
      <c r="Q10" s="1006" t="s">
        <v>499</v>
      </c>
      <c r="R10" s="49"/>
      <c r="S10" s="49"/>
      <c r="T10" s="49"/>
      <c r="U10" s="49"/>
      <c r="V10" s="49"/>
      <c r="W10" s="49"/>
      <c r="X10" s="49"/>
      <c r="Y10" s="49"/>
      <c r="Z10" s="49"/>
      <c r="AA10" s="49"/>
    </row>
    <row r="11" spans="1:27" ht="24.75" customHeight="1" x14ac:dyDescent="0.25">
      <c r="A11" s="990"/>
      <c r="B11" s="1007"/>
      <c r="C11" s="1005"/>
      <c r="D11" s="1005"/>
      <c r="E11" s="1005"/>
      <c r="F11" s="1007"/>
      <c r="G11" s="1005"/>
      <c r="H11" s="1005"/>
      <c r="I11" s="1007"/>
      <c r="J11" s="1007"/>
      <c r="K11" s="1007"/>
      <c r="L11" s="1007"/>
      <c r="M11" s="288" t="s">
        <v>486</v>
      </c>
      <c r="N11" s="288" t="s">
        <v>1117</v>
      </c>
      <c r="O11" s="288" t="s">
        <v>181</v>
      </c>
      <c r="P11" s="288" t="s">
        <v>288</v>
      </c>
      <c r="Q11" s="1007"/>
      <c r="R11" s="49"/>
      <c r="S11" s="49"/>
      <c r="T11" s="49"/>
      <c r="U11" s="49"/>
      <c r="V11" s="49"/>
      <c r="W11" s="49"/>
      <c r="X11" s="49"/>
      <c r="Y11" s="49"/>
      <c r="Z11" s="49"/>
      <c r="AA11" s="49"/>
    </row>
    <row r="12" spans="1:27" ht="14.1" customHeight="1" x14ac:dyDescent="0.25">
      <c r="A12" s="734">
        <v>1</v>
      </c>
      <c r="B12" s="287" t="s">
        <v>1256</v>
      </c>
      <c r="C12" s="128" t="s">
        <v>688</v>
      </c>
      <c r="D12" s="13" t="s">
        <v>165</v>
      </c>
      <c r="E12" s="722"/>
      <c r="F12" s="63">
        <v>0</v>
      </c>
      <c r="G12" s="13"/>
      <c r="H12" s="284"/>
      <c r="I12" s="722" t="s">
        <v>187</v>
      </c>
      <c r="J12" s="128">
        <v>1</v>
      </c>
      <c r="K12" s="722" t="s">
        <v>643</v>
      </c>
      <c r="L12" s="128">
        <v>1</v>
      </c>
      <c r="M12" s="722">
        <v>0</v>
      </c>
      <c r="N12" s="722">
        <v>0</v>
      </c>
      <c r="O12" s="375">
        <v>0</v>
      </c>
      <c r="P12" s="375">
        <v>0</v>
      </c>
      <c r="Q12" s="97">
        <f>H9*IF(H12&gt;0,((I12+J12+K12+IF(H12&gt;10,(H12-10)*L12/10,0))/F12),0)</f>
        <v>0</v>
      </c>
      <c r="R12" s="49"/>
      <c r="S12" s="49"/>
      <c r="T12" s="49"/>
      <c r="U12" s="49"/>
      <c r="V12" s="49"/>
      <c r="W12" s="49"/>
      <c r="X12" s="49"/>
      <c r="Y12" s="49"/>
      <c r="Z12" s="49"/>
      <c r="AA12" s="49"/>
    </row>
    <row r="13" spans="1:27" ht="14.1" customHeight="1" x14ac:dyDescent="0.25">
      <c r="A13" s="493">
        <v>2</v>
      </c>
      <c r="B13" s="37" t="s">
        <v>603</v>
      </c>
      <c r="C13" s="371" t="s">
        <v>215</v>
      </c>
      <c r="D13" s="8" t="s">
        <v>950</v>
      </c>
      <c r="E13" s="480" t="s">
        <v>234</v>
      </c>
      <c r="F13" s="595">
        <v>1</v>
      </c>
      <c r="G13" s="8"/>
      <c r="H13" s="16"/>
      <c r="I13" s="480" t="s">
        <v>187</v>
      </c>
      <c r="J13" s="371">
        <v>1</v>
      </c>
      <c r="K13" s="480" t="s">
        <v>643</v>
      </c>
      <c r="L13" s="371">
        <v>1</v>
      </c>
      <c r="M13" s="480">
        <v>0.14000000000000001</v>
      </c>
      <c r="N13" s="480">
        <v>0</v>
      </c>
      <c r="O13" s="143">
        <v>7.4999999999999997E-2</v>
      </c>
      <c r="P13" s="143">
        <v>8.0000000000000002E-3</v>
      </c>
      <c r="Q13" s="623"/>
      <c r="R13" s="49"/>
      <c r="S13" s="49"/>
      <c r="T13" s="49"/>
      <c r="U13" s="49"/>
      <c r="V13" s="49"/>
      <c r="W13" s="49"/>
      <c r="X13" s="49"/>
      <c r="Y13" s="49"/>
      <c r="Z13" s="49"/>
      <c r="AA13" s="49"/>
    </row>
    <row r="14" spans="1:27" ht="14.1" customHeight="1" x14ac:dyDescent="0.25">
      <c r="A14" s="493">
        <v>3</v>
      </c>
      <c r="B14" s="37" t="s">
        <v>99</v>
      </c>
      <c r="C14" s="371" t="s">
        <v>1199</v>
      </c>
      <c r="D14" s="8" t="s">
        <v>950</v>
      </c>
      <c r="E14" s="480" t="s">
        <v>234</v>
      </c>
      <c r="F14" s="595">
        <v>1</v>
      </c>
      <c r="G14" s="8"/>
      <c r="H14" s="16"/>
      <c r="I14" s="480" t="s">
        <v>187</v>
      </c>
      <c r="J14" s="371">
        <v>1</v>
      </c>
      <c r="K14" s="480" t="s">
        <v>643</v>
      </c>
      <c r="L14" s="371">
        <v>1</v>
      </c>
      <c r="M14" s="480">
        <v>0.14000000000000001</v>
      </c>
      <c r="N14" s="480">
        <v>0</v>
      </c>
      <c r="O14" s="143">
        <v>7.4999999999999997E-2</v>
      </c>
      <c r="P14" s="143">
        <v>8.0000000000000002E-3</v>
      </c>
      <c r="Q14" s="623"/>
      <c r="R14" s="49"/>
      <c r="S14" s="49"/>
      <c r="T14" s="49"/>
      <c r="U14" s="49"/>
      <c r="V14" s="49"/>
      <c r="W14" s="49"/>
      <c r="X14" s="49"/>
      <c r="Y14" s="49"/>
      <c r="Z14" s="49"/>
      <c r="AA14" s="49"/>
    </row>
    <row r="15" spans="1:27" ht="14.1" customHeight="1" x14ac:dyDescent="0.25">
      <c r="A15" s="493">
        <v>4</v>
      </c>
      <c r="B15" s="37" t="s">
        <v>523</v>
      </c>
      <c r="C15" s="371" t="s">
        <v>721</v>
      </c>
      <c r="D15" s="8" t="s">
        <v>950</v>
      </c>
      <c r="E15" s="480" t="s">
        <v>234</v>
      </c>
      <c r="F15" s="595">
        <v>1</v>
      </c>
      <c r="G15" s="8"/>
      <c r="H15" s="16"/>
      <c r="I15" s="480" t="s">
        <v>187</v>
      </c>
      <c r="J15" s="371">
        <v>1</v>
      </c>
      <c r="K15" s="480" t="s">
        <v>643</v>
      </c>
      <c r="L15" s="371">
        <v>1</v>
      </c>
      <c r="M15" s="480">
        <v>0.14000000000000001</v>
      </c>
      <c r="N15" s="480">
        <v>0</v>
      </c>
      <c r="O15" s="143">
        <v>7.4999999999999997E-2</v>
      </c>
      <c r="P15" s="143">
        <v>8.0000000000000002E-3</v>
      </c>
      <c r="Q15" s="623"/>
      <c r="R15" s="49"/>
      <c r="S15" s="49"/>
      <c r="T15" s="49"/>
      <c r="U15" s="49"/>
      <c r="V15" s="49"/>
      <c r="W15" s="49"/>
      <c r="X15" s="49"/>
      <c r="Y15" s="49"/>
      <c r="Z15" s="49"/>
      <c r="AA15" s="49"/>
    </row>
    <row r="16" spans="1:27" ht="14.1" customHeight="1" x14ac:dyDescent="0.25">
      <c r="A16" s="493">
        <v>5</v>
      </c>
      <c r="B16" s="37" t="s">
        <v>984</v>
      </c>
      <c r="C16" s="371" t="s">
        <v>401</v>
      </c>
      <c r="D16" s="8" t="s">
        <v>838</v>
      </c>
      <c r="E16" s="480" t="s">
        <v>1263</v>
      </c>
      <c r="F16" s="595">
        <v>1000</v>
      </c>
      <c r="G16" s="8"/>
      <c r="H16" s="16"/>
      <c r="I16" s="480" t="s">
        <v>187</v>
      </c>
      <c r="J16" s="371">
        <v>1</v>
      </c>
      <c r="K16" s="480" t="s">
        <v>643</v>
      </c>
      <c r="L16" s="371">
        <v>1</v>
      </c>
      <c r="M16" s="480">
        <v>0.34</v>
      </c>
      <c r="N16" s="480">
        <v>0.21</v>
      </c>
      <c r="O16" s="143">
        <v>8.1000000000000003E-2</v>
      </c>
      <c r="P16" s="143">
        <v>8.9999999999999993E-3</v>
      </c>
      <c r="Q16" s="623"/>
      <c r="R16" s="49"/>
      <c r="S16" s="49"/>
      <c r="T16" s="49"/>
      <c r="U16" s="49"/>
      <c r="V16" s="49"/>
      <c r="W16" s="49"/>
      <c r="X16" s="49"/>
      <c r="Y16" s="49"/>
      <c r="Z16" s="49"/>
      <c r="AA16" s="49"/>
    </row>
    <row r="17" spans="1:27" ht="14.1" customHeight="1" x14ac:dyDescent="0.25">
      <c r="A17" s="493">
        <v>6</v>
      </c>
      <c r="B17" s="37" t="s">
        <v>123</v>
      </c>
      <c r="C17" s="371" t="s">
        <v>495</v>
      </c>
      <c r="D17" s="8" t="s">
        <v>950</v>
      </c>
      <c r="E17" s="480" t="s">
        <v>469</v>
      </c>
      <c r="F17" s="595">
        <v>1</v>
      </c>
      <c r="G17" s="8"/>
      <c r="H17" s="16"/>
      <c r="I17" s="480" t="s">
        <v>187</v>
      </c>
      <c r="J17" s="371">
        <v>1</v>
      </c>
      <c r="K17" s="480" t="s">
        <v>643</v>
      </c>
      <c r="L17" s="371">
        <v>1</v>
      </c>
      <c r="M17" s="480">
        <v>0.24</v>
      </c>
      <c r="N17" s="480">
        <v>0</v>
      </c>
      <c r="O17" s="143">
        <v>7.4999999999999997E-2</v>
      </c>
      <c r="P17" s="143">
        <v>8.9999999999999993E-3</v>
      </c>
      <c r="Q17" s="623"/>
      <c r="R17" s="49"/>
      <c r="S17" s="49"/>
      <c r="T17" s="49"/>
      <c r="U17" s="49"/>
      <c r="V17" s="49"/>
      <c r="W17" s="49"/>
      <c r="X17" s="49"/>
      <c r="Y17" s="49"/>
      <c r="Z17" s="49"/>
      <c r="AA17" s="49"/>
    </row>
    <row r="18" spans="1:27" ht="14.1" customHeight="1" x14ac:dyDescent="0.25">
      <c r="A18" s="493">
        <v>7</v>
      </c>
      <c r="B18" s="37" t="s">
        <v>485</v>
      </c>
      <c r="C18" s="371" t="s">
        <v>1011</v>
      </c>
      <c r="D18" s="8" t="s">
        <v>950</v>
      </c>
      <c r="E18" s="480" t="s">
        <v>469</v>
      </c>
      <c r="F18" s="595">
        <v>1</v>
      </c>
      <c r="G18" s="8"/>
      <c r="H18" s="16"/>
      <c r="I18" s="480" t="s">
        <v>187</v>
      </c>
      <c r="J18" s="371">
        <v>1</v>
      </c>
      <c r="K18" s="480" t="s">
        <v>643</v>
      </c>
      <c r="L18" s="371">
        <v>1</v>
      </c>
      <c r="M18" s="480">
        <v>0.24</v>
      </c>
      <c r="N18" s="480">
        <v>0</v>
      </c>
      <c r="O18" s="143">
        <v>7.4999999999999997E-2</v>
      </c>
      <c r="P18" s="143">
        <v>8.9999999999999993E-3</v>
      </c>
      <c r="Q18" s="623"/>
      <c r="R18" s="49"/>
      <c r="S18" s="49"/>
      <c r="T18" s="49"/>
      <c r="U18" s="49"/>
      <c r="V18" s="49"/>
      <c r="W18" s="49"/>
      <c r="X18" s="49"/>
      <c r="Y18" s="49"/>
      <c r="Z18" s="49"/>
      <c r="AA18" s="49"/>
    </row>
    <row r="19" spans="1:27" ht="14.1" customHeight="1" x14ac:dyDescent="0.25">
      <c r="A19" s="493">
        <v>8</v>
      </c>
      <c r="B19" s="37" t="s">
        <v>552</v>
      </c>
      <c r="C19" s="371" t="s">
        <v>1044</v>
      </c>
      <c r="D19" s="8" t="s">
        <v>950</v>
      </c>
      <c r="E19" s="480" t="s">
        <v>469</v>
      </c>
      <c r="F19" s="595">
        <v>1</v>
      </c>
      <c r="G19" s="8"/>
      <c r="H19" s="16"/>
      <c r="I19" s="480" t="s">
        <v>187</v>
      </c>
      <c r="J19" s="371">
        <v>1</v>
      </c>
      <c r="K19" s="480" t="s">
        <v>643</v>
      </c>
      <c r="L19" s="371">
        <v>1</v>
      </c>
      <c r="M19" s="480">
        <v>0.24</v>
      </c>
      <c r="N19" s="480">
        <v>0</v>
      </c>
      <c r="O19" s="143">
        <v>7.4999999999999997E-2</v>
      </c>
      <c r="P19" s="143">
        <v>8.9999999999999993E-3</v>
      </c>
      <c r="Q19" s="623"/>
      <c r="R19" s="49"/>
      <c r="S19" s="49"/>
      <c r="T19" s="49"/>
      <c r="U19" s="49"/>
      <c r="V19" s="49"/>
      <c r="W19" s="49"/>
      <c r="X19" s="49"/>
      <c r="Y19" s="49"/>
      <c r="Z19" s="49"/>
      <c r="AA19" s="49"/>
    </row>
    <row r="20" spans="1:27" ht="14.1" customHeight="1" x14ac:dyDescent="0.25">
      <c r="A20" s="493">
        <v>9</v>
      </c>
      <c r="B20" s="37" t="s">
        <v>901</v>
      </c>
      <c r="C20" s="371" t="s">
        <v>454</v>
      </c>
      <c r="D20" s="8" t="s">
        <v>838</v>
      </c>
      <c r="E20" s="480" t="s">
        <v>1263</v>
      </c>
      <c r="F20" s="595">
        <v>1000</v>
      </c>
      <c r="G20" s="8"/>
      <c r="H20" s="16"/>
      <c r="I20" s="480" t="s">
        <v>187</v>
      </c>
      <c r="J20" s="371">
        <v>1</v>
      </c>
      <c r="K20" s="480" t="s">
        <v>643</v>
      </c>
      <c r="L20" s="371">
        <v>1</v>
      </c>
      <c r="M20" s="480">
        <v>0.34</v>
      </c>
      <c r="N20" s="480">
        <v>0.21</v>
      </c>
      <c r="O20" s="143">
        <v>8.1000000000000003E-2</v>
      </c>
      <c r="P20" s="143">
        <v>8.9999999999999993E-3</v>
      </c>
      <c r="Q20" s="623"/>
      <c r="R20" s="49"/>
      <c r="S20" s="49"/>
      <c r="T20" s="49"/>
      <c r="U20" s="49"/>
      <c r="V20" s="49"/>
      <c r="W20" s="49"/>
      <c r="X20" s="49"/>
      <c r="Y20" s="49"/>
      <c r="Z20" s="49"/>
      <c r="AA20" s="49"/>
    </row>
    <row r="21" spans="1:27" ht="14.1" customHeight="1" x14ac:dyDescent="0.25">
      <c r="A21" s="493">
        <v>10</v>
      </c>
      <c r="B21" s="37" t="s">
        <v>894</v>
      </c>
      <c r="C21" s="371" t="s">
        <v>1147</v>
      </c>
      <c r="D21" s="8" t="s">
        <v>838</v>
      </c>
      <c r="E21" s="480"/>
      <c r="F21" s="595">
        <v>0</v>
      </c>
      <c r="G21" s="8"/>
      <c r="H21" s="16"/>
      <c r="I21" s="480" t="s">
        <v>187</v>
      </c>
      <c r="J21" s="371">
        <v>1</v>
      </c>
      <c r="K21" s="480" t="s">
        <v>643</v>
      </c>
      <c r="L21" s="371">
        <v>1</v>
      </c>
      <c r="M21" s="480">
        <v>0</v>
      </c>
      <c r="N21" s="480">
        <v>0</v>
      </c>
      <c r="O21" s="143">
        <v>0</v>
      </c>
      <c r="P21" s="143">
        <v>0</v>
      </c>
      <c r="Q21" s="623"/>
      <c r="R21" s="49"/>
      <c r="S21" s="49"/>
      <c r="T21" s="49"/>
      <c r="U21" s="49"/>
      <c r="V21" s="49"/>
      <c r="W21" s="49"/>
      <c r="X21" s="49"/>
      <c r="Y21" s="49"/>
      <c r="Z21" s="49"/>
      <c r="AA21" s="49"/>
    </row>
    <row r="22" spans="1:27" ht="14.1" customHeight="1" x14ac:dyDescent="0.25">
      <c r="A22" s="493">
        <v>11</v>
      </c>
      <c r="B22" s="37" t="s">
        <v>580</v>
      </c>
      <c r="C22" s="371" t="s">
        <v>1223</v>
      </c>
      <c r="D22" s="8" t="s">
        <v>594</v>
      </c>
      <c r="E22" s="480"/>
      <c r="F22" s="595">
        <v>0</v>
      </c>
      <c r="G22" s="8"/>
      <c r="H22" s="16"/>
      <c r="I22" s="480" t="s">
        <v>187</v>
      </c>
      <c r="J22" s="371">
        <v>1</v>
      </c>
      <c r="K22" s="480" t="s">
        <v>643</v>
      </c>
      <c r="L22" s="371">
        <v>1</v>
      </c>
      <c r="M22" s="480">
        <v>0</v>
      </c>
      <c r="N22" s="480">
        <v>0</v>
      </c>
      <c r="O22" s="143">
        <v>0</v>
      </c>
      <c r="P22" s="143">
        <v>0</v>
      </c>
      <c r="Q22" s="623"/>
      <c r="R22" s="49"/>
      <c r="S22" s="49"/>
      <c r="T22" s="49"/>
      <c r="U22" s="49"/>
      <c r="V22" s="49"/>
      <c r="W22" s="49"/>
      <c r="X22" s="49"/>
      <c r="Y22" s="49"/>
      <c r="Z22" s="49"/>
      <c r="AA22" s="49"/>
    </row>
    <row r="23" spans="1:27" ht="14.1" customHeight="1" x14ac:dyDescent="0.25">
      <c r="A23" s="493">
        <v>12</v>
      </c>
      <c r="B23" s="37" t="s">
        <v>103</v>
      </c>
      <c r="C23" s="371" t="s">
        <v>422</v>
      </c>
      <c r="D23" s="8" t="s">
        <v>950</v>
      </c>
      <c r="E23" s="480" t="s">
        <v>204</v>
      </c>
      <c r="F23" s="595">
        <v>1</v>
      </c>
      <c r="G23" s="8"/>
      <c r="H23" s="16"/>
      <c r="I23" s="480" t="s">
        <v>187</v>
      </c>
      <c r="J23" s="371">
        <v>1</v>
      </c>
      <c r="K23" s="480" t="s">
        <v>643</v>
      </c>
      <c r="L23" s="371">
        <v>1</v>
      </c>
      <c r="M23" s="480">
        <v>0.14000000000000001</v>
      </c>
      <c r="N23" s="480">
        <v>0.09</v>
      </c>
      <c r="O23" s="143">
        <v>0.05</v>
      </c>
      <c r="P23" s="143">
        <v>6.0000000000000001E-3</v>
      </c>
      <c r="Q23" s="623"/>
      <c r="R23" s="49"/>
      <c r="S23" s="49"/>
      <c r="T23" s="49"/>
      <c r="U23" s="49"/>
      <c r="V23" s="49"/>
      <c r="W23" s="49"/>
      <c r="X23" s="49"/>
      <c r="Y23" s="49"/>
      <c r="Z23" s="49"/>
      <c r="AA23" s="49"/>
    </row>
    <row r="24" spans="1:27" ht="14.1" customHeight="1" x14ac:dyDescent="0.25">
      <c r="A24" s="493">
        <v>13</v>
      </c>
      <c r="B24" s="37" t="s">
        <v>855</v>
      </c>
      <c r="C24" s="371" t="s">
        <v>268</v>
      </c>
      <c r="D24" s="8" t="s">
        <v>630</v>
      </c>
      <c r="E24" s="480"/>
      <c r="F24" s="595">
        <v>0</v>
      </c>
      <c r="G24" s="8"/>
      <c r="H24" s="16"/>
      <c r="I24" s="480" t="s">
        <v>187</v>
      </c>
      <c r="J24" s="371">
        <v>1</v>
      </c>
      <c r="K24" s="480" t="s">
        <v>643</v>
      </c>
      <c r="L24" s="371">
        <v>1</v>
      </c>
      <c r="M24" s="480">
        <v>0</v>
      </c>
      <c r="N24" s="480">
        <v>0</v>
      </c>
      <c r="O24" s="143">
        <v>0</v>
      </c>
      <c r="P24" s="143">
        <v>0</v>
      </c>
      <c r="Q24" s="623"/>
      <c r="R24" s="49"/>
      <c r="S24" s="49"/>
      <c r="T24" s="49"/>
      <c r="U24" s="49"/>
      <c r="V24" s="49"/>
      <c r="W24" s="49"/>
      <c r="X24" s="49"/>
      <c r="Y24" s="49"/>
      <c r="Z24" s="49"/>
      <c r="AA24" s="49"/>
    </row>
    <row r="25" spans="1:27" ht="14.1" customHeight="1" x14ac:dyDescent="0.25">
      <c r="A25" s="493">
        <v>14</v>
      </c>
      <c r="B25" s="37" t="s">
        <v>1077</v>
      </c>
      <c r="C25" s="371" t="s">
        <v>1274</v>
      </c>
      <c r="D25" s="8" t="s">
        <v>630</v>
      </c>
      <c r="E25" s="480"/>
      <c r="F25" s="595">
        <v>0</v>
      </c>
      <c r="G25" s="8"/>
      <c r="H25" s="16"/>
      <c r="I25" s="480" t="s">
        <v>187</v>
      </c>
      <c r="J25" s="371">
        <v>1</v>
      </c>
      <c r="K25" s="480" t="s">
        <v>643</v>
      </c>
      <c r="L25" s="371">
        <v>1</v>
      </c>
      <c r="M25" s="480">
        <v>0</v>
      </c>
      <c r="N25" s="480">
        <v>0</v>
      </c>
      <c r="O25" s="143">
        <v>0</v>
      </c>
      <c r="P25" s="143">
        <v>0</v>
      </c>
      <c r="Q25" s="623"/>
      <c r="R25" s="49"/>
      <c r="S25" s="49"/>
      <c r="T25" s="49"/>
      <c r="U25" s="49"/>
      <c r="V25" s="49"/>
      <c r="W25" s="49"/>
      <c r="X25" s="49"/>
      <c r="Y25" s="49"/>
      <c r="Z25" s="49"/>
      <c r="AA25" s="49"/>
    </row>
    <row r="26" spans="1:27" ht="14.1" customHeight="1" x14ac:dyDescent="0.25">
      <c r="A26" s="493">
        <v>15</v>
      </c>
      <c r="B26" s="37" t="s">
        <v>461</v>
      </c>
      <c r="C26" s="371" t="s">
        <v>784</v>
      </c>
      <c r="D26" s="8" t="s">
        <v>838</v>
      </c>
      <c r="E26" s="480"/>
      <c r="F26" s="595">
        <v>0</v>
      </c>
      <c r="G26" s="8"/>
      <c r="H26" s="16"/>
      <c r="I26" s="480" t="s">
        <v>187</v>
      </c>
      <c r="J26" s="371">
        <v>1</v>
      </c>
      <c r="K26" s="480" t="s">
        <v>643</v>
      </c>
      <c r="L26" s="371">
        <v>1</v>
      </c>
      <c r="M26" s="480">
        <v>0</v>
      </c>
      <c r="N26" s="480">
        <v>0</v>
      </c>
      <c r="O26" s="143">
        <v>0</v>
      </c>
      <c r="P26" s="143">
        <v>0</v>
      </c>
      <c r="Q26" s="623"/>
      <c r="R26" s="49"/>
      <c r="S26" s="49"/>
      <c r="T26" s="49"/>
      <c r="U26" s="49"/>
      <c r="V26" s="49"/>
      <c r="W26" s="49"/>
      <c r="X26" s="49"/>
      <c r="Y26" s="49"/>
      <c r="Z26" s="49"/>
      <c r="AA26" s="49"/>
    </row>
    <row r="27" spans="1:27" ht="14.1" customHeight="1" x14ac:dyDescent="0.25">
      <c r="A27" s="493">
        <v>16</v>
      </c>
      <c r="B27" s="37" t="s">
        <v>35</v>
      </c>
      <c r="C27" s="371" t="s">
        <v>946</v>
      </c>
      <c r="D27" s="8" t="s">
        <v>594</v>
      </c>
      <c r="E27" s="480"/>
      <c r="F27" s="595">
        <v>0</v>
      </c>
      <c r="G27" s="8"/>
      <c r="H27" s="16"/>
      <c r="I27" s="480" t="s">
        <v>187</v>
      </c>
      <c r="J27" s="371">
        <v>1</v>
      </c>
      <c r="K27" s="480" t="s">
        <v>643</v>
      </c>
      <c r="L27" s="371">
        <v>1</v>
      </c>
      <c r="M27" s="480">
        <v>0</v>
      </c>
      <c r="N27" s="480">
        <v>0</v>
      </c>
      <c r="O27" s="143">
        <v>0</v>
      </c>
      <c r="P27" s="143">
        <v>0</v>
      </c>
      <c r="Q27" s="623"/>
      <c r="R27" s="49"/>
      <c r="S27" s="49"/>
      <c r="T27" s="49"/>
      <c r="U27" s="49"/>
      <c r="V27" s="49"/>
      <c r="W27" s="49"/>
      <c r="X27" s="49"/>
      <c r="Y27" s="49"/>
      <c r="Z27" s="49"/>
      <c r="AA27" s="49"/>
    </row>
    <row r="28" spans="1:27" ht="14.1" customHeight="1" x14ac:dyDescent="0.25">
      <c r="A28" s="493">
        <v>17</v>
      </c>
      <c r="B28" s="37" t="s">
        <v>104</v>
      </c>
      <c r="C28" s="371" t="s">
        <v>283</v>
      </c>
      <c r="D28" s="8" t="s">
        <v>838</v>
      </c>
      <c r="E28" s="480"/>
      <c r="F28" s="595">
        <v>0</v>
      </c>
      <c r="G28" s="8"/>
      <c r="H28" s="16"/>
      <c r="I28" s="480" t="s">
        <v>187</v>
      </c>
      <c r="J28" s="371">
        <v>1</v>
      </c>
      <c r="K28" s="480" t="s">
        <v>643</v>
      </c>
      <c r="L28" s="371">
        <v>1</v>
      </c>
      <c r="M28" s="480">
        <v>0</v>
      </c>
      <c r="N28" s="480">
        <v>0</v>
      </c>
      <c r="O28" s="143">
        <v>0</v>
      </c>
      <c r="P28" s="143">
        <v>0</v>
      </c>
      <c r="Q28" s="623"/>
      <c r="R28" s="49"/>
      <c r="S28" s="49"/>
      <c r="T28" s="49"/>
      <c r="U28" s="49"/>
      <c r="V28" s="49"/>
      <c r="W28" s="49"/>
      <c r="X28" s="49"/>
      <c r="Y28" s="49"/>
      <c r="Z28" s="49"/>
      <c r="AA28" s="49"/>
    </row>
    <row r="29" spans="1:27" ht="14.1" customHeight="1" x14ac:dyDescent="0.25">
      <c r="A29" s="493">
        <v>18</v>
      </c>
      <c r="B29" s="37" t="s">
        <v>316</v>
      </c>
      <c r="C29" s="371" t="s">
        <v>1216</v>
      </c>
      <c r="D29" s="8" t="s">
        <v>838</v>
      </c>
      <c r="E29" s="480"/>
      <c r="F29" s="595">
        <v>0</v>
      </c>
      <c r="G29" s="8"/>
      <c r="H29" s="16"/>
      <c r="I29" s="480" t="s">
        <v>187</v>
      </c>
      <c r="J29" s="371">
        <v>1</v>
      </c>
      <c r="K29" s="480" t="s">
        <v>643</v>
      </c>
      <c r="L29" s="371">
        <v>1</v>
      </c>
      <c r="M29" s="480">
        <v>0</v>
      </c>
      <c r="N29" s="480">
        <v>0</v>
      </c>
      <c r="O29" s="143">
        <v>0</v>
      </c>
      <c r="P29" s="143">
        <v>0</v>
      </c>
      <c r="Q29" s="623"/>
      <c r="R29" s="49"/>
      <c r="S29" s="49"/>
      <c r="T29" s="49"/>
      <c r="U29" s="49"/>
      <c r="V29" s="49"/>
      <c r="W29" s="49"/>
      <c r="X29" s="49"/>
      <c r="Y29" s="49"/>
      <c r="Z29" s="49"/>
      <c r="AA29" s="49"/>
    </row>
    <row r="30" spans="1:27" ht="14.1" customHeight="1" x14ac:dyDescent="0.25">
      <c r="A30" s="493">
        <v>19</v>
      </c>
      <c r="B30" s="37" t="s">
        <v>956</v>
      </c>
      <c r="C30" s="371" t="s">
        <v>304</v>
      </c>
      <c r="D30" s="8" t="s">
        <v>447</v>
      </c>
      <c r="E30" s="480"/>
      <c r="F30" s="595">
        <v>0</v>
      </c>
      <c r="G30" s="8"/>
      <c r="H30" s="16"/>
      <c r="I30" s="480" t="s">
        <v>187</v>
      </c>
      <c r="J30" s="371">
        <v>1</v>
      </c>
      <c r="K30" s="480" t="s">
        <v>643</v>
      </c>
      <c r="L30" s="371">
        <v>1</v>
      </c>
      <c r="M30" s="480">
        <v>0</v>
      </c>
      <c r="N30" s="480">
        <v>0</v>
      </c>
      <c r="O30" s="143">
        <v>0</v>
      </c>
      <c r="P30" s="143">
        <v>0</v>
      </c>
      <c r="Q30" s="623"/>
      <c r="R30" s="49"/>
      <c r="S30" s="49"/>
      <c r="T30" s="49"/>
      <c r="U30" s="49"/>
      <c r="V30" s="49"/>
      <c r="W30" s="49"/>
      <c r="X30" s="49"/>
      <c r="Y30" s="49"/>
      <c r="Z30" s="49"/>
      <c r="AA30" s="49"/>
    </row>
    <row r="31" spans="1:27" ht="14.1" customHeight="1" x14ac:dyDescent="0.25">
      <c r="A31" s="493">
        <v>20</v>
      </c>
      <c r="B31" s="37" t="s">
        <v>615</v>
      </c>
      <c r="C31" s="371" t="s">
        <v>304</v>
      </c>
      <c r="D31" s="8" t="s">
        <v>950</v>
      </c>
      <c r="E31" s="480"/>
      <c r="F31" s="595">
        <v>0</v>
      </c>
      <c r="G31" s="8"/>
      <c r="H31" s="16"/>
      <c r="I31" s="480" t="s">
        <v>187</v>
      </c>
      <c r="J31" s="371">
        <v>1</v>
      </c>
      <c r="K31" s="480" t="s">
        <v>643</v>
      </c>
      <c r="L31" s="371">
        <v>1</v>
      </c>
      <c r="M31" s="480">
        <v>0</v>
      </c>
      <c r="N31" s="480">
        <v>0</v>
      </c>
      <c r="O31" s="143">
        <v>0</v>
      </c>
      <c r="P31" s="143">
        <v>0</v>
      </c>
      <c r="Q31" s="623"/>
      <c r="R31" s="49"/>
      <c r="S31" s="49"/>
      <c r="T31" s="49"/>
      <c r="U31" s="49"/>
      <c r="V31" s="49"/>
      <c r="W31" s="49"/>
      <c r="X31" s="49"/>
      <c r="Y31" s="49"/>
      <c r="Z31" s="49"/>
      <c r="AA31" s="49"/>
    </row>
    <row r="32" spans="1:27" ht="14.1" customHeight="1" x14ac:dyDescent="0.25">
      <c r="A32" s="493">
        <v>21</v>
      </c>
      <c r="B32" s="37" t="s">
        <v>919</v>
      </c>
      <c r="C32" s="371" t="s">
        <v>336</v>
      </c>
      <c r="D32" s="8" t="s">
        <v>838</v>
      </c>
      <c r="E32" s="480"/>
      <c r="F32" s="595">
        <v>0</v>
      </c>
      <c r="G32" s="8"/>
      <c r="H32" s="16"/>
      <c r="I32" s="480" t="s">
        <v>187</v>
      </c>
      <c r="J32" s="371">
        <v>1</v>
      </c>
      <c r="K32" s="480" t="s">
        <v>643</v>
      </c>
      <c r="L32" s="371">
        <v>1</v>
      </c>
      <c r="M32" s="480">
        <v>0</v>
      </c>
      <c r="N32" s="480">
        <v>0</v>
      </c>
      <c r="O32" s="143">
        <v>0</v>
      </c>
      <c r="P32" s="143">
        <v>0</v>
      </c>
      <c r="Q32" s="623"/>
      <c r="R32" s="49"/>
      <c r="S32" s="49"/>
      <c r="T32" s="49"/>
      <c r="U32" s="49"/>
      <c r="V32" s="49"/>
      <c r="W32" s="49"/>
      <c r="X32" s="49"/>
      <c r="Y32" s="49"/>
      <c r="Z32" s="49"/>
      <c r="AA32" s="49"/>
    </row>
    <row r="33" spans="1:27" ht="14.1" customHeight="1" x14ac:dyDescent="0.25">
      <c r="A33" s="493">
        <v>22</v>
      </c>
      <c r="B33" s="37" t="s">
        <v>1210</v>
      </c>
      <c r="C33" s="371" t="s">
        <v>269</v>
      </c>
      <c r="D33" s="8" t="s">
        <v>838</v>
      </c>
      <c r="E33" s="480"/>
      <c r="F33" s="595">
        <v>0</v>
      </c>
      <c r="G33" s="8"/>
      <c r="H33" s="16"/>
      <c r="I33" s="480" t="s">
        <v>187</v>
      </c>
      <c r="J33" s="371">
        <v>1</v>
      </c>
      <c r="K33" s="480" t="s">
        <v>643</v>
      </c>
      <c r="L33" s="371">
        <v>1</v>
      </c>
      <c r="M33" s="480">
        <v>0</v>
      </c>
      <c r="N33" s="480">
        <v>0</v>
      </c>
      <c r="O33" s="143">
        <v>0</v>
      </c>
      <c r="P33" s="143">
        <v>0</v>
      </c>
      <c r="Q33" s="623"/>
      <c r="R33" s="49"/>
      <c r="S33" s="49"/>
      <c r="T33" s="49"/>
      <c r="U33" s="49"/>
      <c r="V33" s="49"/>
      <c r="W33" s="49"/>
      <c r="X33" s="49"/>
      <c r="Y33" s="49"/>
      <c r="Z33" s="49"/>
      <c r="AA33" s="49"/>
    </row>
    <row r="34" spans="1:27" ht="14.1" customHeight="1" x14ac:dyDescent="0.25">
      <c r="A34" s="493">
        <v>23</v>
      </c>
      <c r="B34" s="37" t="s">
        <v>340</v>
      </c>
      <c r="C34" s="371" t="s">
        <v>619</v>
      </c>
      <c r="D34" s="8" t="s">
        <v>838</v>
      </c>
      <c r="E34" s="480"/>
      <c r="F34" s="595">
        <v>0</v>
      </c>
      <c r="G34" s="8"/>
      <c r="H34" s="16"/>
      <c r="I34" s="480" t="s">
        <v>187</v>
      </c>
      <c r="J34" s="371">
        <v>1</v>
      </c>
      <c r="K34" s="480" t="s">
        <v>643</v>
      </c>
      <c r="L34" s="371">
        <v>1</v>
      </c>
      <c r="M34" s="480">
        <v>0</v>
      </c>
      <c r="N34" s="480">
        <v>0</v>
      </c>
      <c r="O34" s="143">
        <v>0</v>
      </c>
      <c r="P34" s="143">
        <v>0</v>
      </c>
      <c r="Q34" s="623"/>
      <c r="R34" s="49"/>
      <c r="S34" s="49"/>
      <c r="T34" s="49"/>
      <c r="U34" s="49"/>
      <c r="V34" s="49"/>
      <c r="W34" s="49"/>
      <c r="X34" s="49"/>
      <c r="Y34" s="49"/>
      <c r="Z34" s="49"/>
      <c r="AA34" s="49"/>
    </row>
    <row r="35" spans="1:27" ht="14.1" customHeight="1" x14ac:dyDescent="0.25">
      <c r="A35" s="493">
        <v>24</v>
      </c>
      <c r="B35" s="37" t="s">
        <v>849</v>
      </c>
      <c r="C35" s="371" t="s">
        <v>158</v>
      </c>
      <c r="D35" s="8" t="s">
        <v>838</v>
      </c>
      <c r="E35" s="480" t="s">
        <v>1263</v>
      </c>
      <c r="F35" s="595">
        <v>1000</v>
      </c>
      <c r="G35" s="8"/>
      <c r="H35" s="16"/>
      <c r="I35" s="480" t="s">
        <v>187</v>
      </c>
      <c r="J35" s="371">
        <v>1</v>
      </c>
      <c r="K35" s="480" t="s">
        <v>643</v>
      </c>
      <c r="L35" s="371">
        <v>1</v>
      </c>
      <c r="M35" s="480">
        <v>0.34</v>
      </c>
      <c r="N35" s="480">
        <v>0.21</v>
      </c>
      <c r="O35" s="143">
        <v>8.1000000000000003E-2</v>
      </c>
      <c r="P35" s="143">
        <v>8.9999999999999993E-3</v>
      </c>
      <c r="Q35" s="623"/>
      <c r="R35" s="49"/>
      <c r="S35" s="49"/>
      <c r="T35" s="49"/>
      <c r="U35" s="49"/>
      <c r="V35" s="49"/>
      <c r="W35" s="49"/>
      <c r="X35" s="49"/>
      <c r="Y35" s="49"/>
      <c r="Z35" s="49"/>
      <c r="AA35" s="49"/>
    </row>
    <row r="36" spans="1:27" ht="14.1" customHeight="1" x14ac:dyDescent="0.25">
      <c r="A36" s="493">
        <v>25</v>
      </c>
      <c r="B36" s="37" t="s">
        <v>1141</v>
      </c>
      <c r="C36" s="371" t="s">
        <v>685</v>
      </c>
      <c r="D36" s="8" t="s">
        <v>838</v>
      </c>
      <c r="E36" s="480" t="s">
        <v>1263</v>
      </c>
      <c r="F36" s="595">
        <v>1000</v>
      </c>
      <c r="G36" s="8"/>
      <c r="H36" s="16"/>
      <c r="I36" s="480" t="s">
        <v>187</v>
      </c>
      <c r="J36" s="371">
        <v>1</v>
      </c>
      <c r="K36" s="480" t="s">
        <v>643</v>
      </c>
      <c r="L36" s="371">
        <v>1</v>
      </c>
      <c r="M36" s="480">
        <v>0.34</v>
      </c>
      <c r="N36" s="480">
        <v>0.21</v>
      </c>
      <c r="O36" s="143">
        <v>8.1000000000000003E-2</v>
      </c>
      <c r="P36" s="143">
        <v>8.9999999999999993E-3</v>
      </c>
      <c r="Q36" s="623"/>
      <c r="R36" s="49"/>
      <c r="S36" s="49"/>
      <c r="T36" s="49"/>
      <c r="U36" s="49"/>
      <c r="V36" s="49"/>
      <c r="W36" s="49"/>
      <c r="X36" s="49"/>
      <c r="Y36" s="49"/>
      <c r="Z36" s="49"/>
      <c r="AA36" s="49"/>
    </row>
    <row r="37" spans="1:27" ht="14.1" customHeight="1" x14ac:dyDescent="0.25">
      <c r="A37" s="493">
        <v>26</v>
      </c>
      <c r="B37" s="37" t="s">
        <v>649</v>
      </c>
      <c r="C37" s="371" t="s">
        <v>705</v>
      </c>
      <c r="D37" s="8" t="s">
        <v>838</v>
      </c>
      <c r="E37" s="480" t="s">
        <v>1263</v>
      </c>
      <c r="F37" s="595">
        <v>1000</v>
      </c>
      <c r="G37" s="8"/>
      <c r="H37" s="16"/>
      <c r="I37" s="480" t="s">
        <v>187</v>
      </c>
      <c r="J37" s="371">
        <v>1</v>
      </c>
      <c r="K37" s="480" t="s">
        <v>643</v>
      </c>
      <c r="L37" s="371">
        <v>1</v>
      </c>
      <c r="M37" s="480">
        <v>0.34</v>
      </c>
      <c r="N37" s="480">
        <v>0.21</v>
      </c>
      <c r="O37" s="143">
        <v>8.1000000000000003E-2</v>
      </c>
      <c r="P37" s="143">
        <v>8.9999999999999993E-3</v>
      </c>
      <c r="Q37" s="623"/>
      <c r="R37" s="49"/>
      <c r="S37" s="49"/>
      <c r="T37" s="49"/>
      <c r="U37" s="49"/>
      <c r="V37" s="49"/>
      <c r="W37" s="49"/>
      <c r="X37" s="49"/>
      <c r="Y37" s="49"/>
      <c r="Z37" s="49"/>
      <c r="AA37" s="49"/>
    </row>
    <row r="38" spans="1:27" ht="14.1" customHeight="1" x14ac:dyDescent="0.25">
      <c r="A38" s="493">
        <v>27</v>
      </c>
      <c r="B38" s="37" t="s">
        <v>713</v>
      </c>
      <c r="C38" s="371" t="s">
        <v>13</v>
      </c>
      <c r="D38" s="8" t="s">
        <v>838</v>
      </c>
      <c r="E38" s="480" t="s">
        <v>1263</v>
      </c>
      <c r="F38" s="595">
        <v>1000</v>
      </c>
      <c r="G38" s="8"/>
      <c r="H38" s="16"/>
      <c r="I38" s="480" t="s">
        <v>187</v>
      </c>
      <c r="J38" s="371">
        <v>1</v>
      </c>
      <c r="K38" s="480" t="s">
        <v>643</v>
      </c>
      <c r="L38" s="371">
        <v>1</v>
      </c>
      <c r="M38" s="480">
        <v>0.34</v>
      </c>
      <c r="N38" s="480">
        <v>0.21</v>
      </c>
      <c r="O38" s="143">
        <v>8.1000000000000003E-2</v>
      </c>
      <c r="P38" s="143">
        <v>8.9999999999999993E-3</v>
      </c>
      <c r="Q38" s="623"/>
      <c r="R38" s="49"/>
      <c r="S38" s="49"/>
      <c r="T38" s="49"/>
      <c r="U38" s="49"/>
      <c r="V38" s="49"/>
      <c r="W38" s="49"/>
      <c r="X38" s="49"/>
      <c r="Y38" s="49"/>
      <c r="Z38" s="49"/>
      <c r="AA38" s="49"/>
    </row>
    <row r="39" spans="1:27" ht="14.1" customHeight="1" x14ac:dyDescent="0.25">
      <c r="A39" s="493">
        <v>28</v>
      </c>
      <c r="B39" s="37" t="s">
        <v>132</v>
      </c>
      <c r="C39" s="371" t="s">
        <v>969</v>
      </c>
      <c r="D39" s="8" t="s">
        <v>838</v>
      </c>
      <c r="E39" s="480" t="s">
        <v>1263</v>
      </c>
      <c r="F39" s="595">
        <v>1000</v>
      </c>
      <c r="G39" s="8"/>
      <c r="H39" s="16"/>
      <c r="I39" s="480" t="s">
        <v>187</v>
      </c>
      <c r="J39" s="371">
        <v>1</v>
      </c>
      <c r="K39" s="480" t="s">
        <v>643</v>
      </c>
      <c r="L39" s="371">
        <v>1</v>
      </c>
      <c r="M39" s="480">
        <v>0.34</v>
      </c>
      <c r="N39" s="480">
        <v>0.21</v>
      </c>
      <c r="O39" s="143">
        <v>8.1000000000000003E-2</v>
      </c>
      <c r="P39" s="143">
        <v>8.9999999999999993E-3</v>
      </c>
      <c r="Q39" s="623"/>
      <c r="R39" s="49"/>
      <c r="S39" s="49"/>
      <c r="T39" s="49"/>
      <c r="U39" s="49"/>
      <c r="V39" s="49"/>
      <c r="W39" s="49"/>
      <c r="X39" s="49"/>
      <c r="Y39" s="49"/>
      <c r="Z39" s="49"/>
      <c r="AA39" s="49"/>
    </row>
    <row r="40" spans="1:27" ht="14.1" customHeight="1" x14ac:dyDescent="0.25">
      <c r="A40" s="493">
        <v>29</v>
      </c>
      <c r="B40" s="37" t="s">
        <v>149</v>
      </c>
      <c r="C40" s="371" t="s">
        <v>89</v>
      </c>
      <c r="D40" s="8" t="s">
        <v>838</v>
      </c>
      <c r="E40" s="480" t="s">
        <v>1263</v>
      </c>
      <c r="F40" s="595">
        <v>1000</v>
      </c>
      <c r="G40" s="8"/>
      <c r="H40" s="16"/>
      <c r="I40" s="480" t="s">
        <v>187</v>
      </c>
      <c r="J40" s="371">
        <v>1</v>
      </c>
      <c r="K40" s="480" t="s">
        <v>643</v>
      </c>
      <c r="L40" s="371">
        <v>1</v>
      </c>
      <c r="M40" s="480">
        <v>0.34</v>
      </c>
      <c r="N40" s="480">
        <v>0.21</v>
      </c>
      <c r="O40" s="143">
        <v>8.1000000000000003E-2</v>
      </c>
      <c r="P40" s="143">
        <v>8.9999999999999993E-3</v>
      </c>
      <c r="Q40" s="623"/>
      <c r="R40" s="49"/>
      <c r="S40" s="49"/>
      <c r="T40" s="49"/>
      <c r="U40" s="49"/>
      <c r="V40" s="49"/>
      <c r="W40" s="49"/>
      <c r="X40" s="49"/>
      <c r="Y40" s="49"/>
      <c r="Z40" s="49"/>
      <c r="AA40" s="49"/>
    </row>
    <row r="41" spans="1:27" ht="14.1" customHeight="1" x14ac:dyDescent="0.25">
      <c r="A41" s="324">
        <v>30</v>
      </c>
      <c r="B41" s="604" t="s">
        <v>235</v>
      </c>
      <c r="C41" s="192" t="s">
        <v>662</v>
      </c>
      <c r="D41" s="355" t="s">
        <v>838</v>
      </c>
      <c r="E41" s="295" t="s">
        <v>115</v>
      </c>
      <c r="F41" s="413">
        <v>1000</v>
      </c>
      <c r="G41" s="355"/>
      <c r="H41" s="597"/>
      <c r="I41" s="295" t="s">
        <v>187</v>
      </c>
      <c r="J41" s="192">
        <v>1</v>
      </c>
      <c r="K41" s="295" t="s">
        <v>643</v>
      </c>
      <c r="L41" s="192">
        <v>1</v>
      </c>
      <c r="M41" s="295">
        <v>0.15</v>
      </c>
      <c r="N41" s="651">
        <v>0.11</v>
      </c>
      <c r="O41" s="341">
        <v>7.4999999999999997E-2</v>
      </c>
      <c r="P41" s="341">
        <v>8.0000000000000002E-3</v>
      </c>
      <c r="Q41" s="26"/>
      <c r="R41" s="49"/>
      <c r="S41" s="49"/>
      <c r="T41" s="49"/>
      <c r="U41" s="49"/>
      <c r="V41" s="49"/>
      <c r="W41" s="49"/>
      <c r="X41" s="49"/>
      <c r="Y41" s="49"/>
      <c r="Z41" s="49"/>
      <c r="AA41" s="49"/>
    </row>
    <row r="42" spans="1:27" ht="15" customHeight="1" x14ac:dyDescent="0.25">
      <c r="A42" s="194"/>
      <c r="B42" s="245"/>
      <c r="C42" s="245"/>
      <c r="D42" s="245"/>
      <c r="E42" s="245"/>
      <c r="F42" s="245"/>
      <c r="G42" s="245"/>
      <c r="H42" s="245"/>
      <c r="I42" s="245"/>
      <c r="J42" s="245"/>
      <c r="K42" s="245"/>
      <c r="L42" s="245"/>
      <c r="M42" s="245"/>
      <c r="N42" s="245"/>
      <c r="O42" s="245"/>
      <c r="P42" s="245"/>
      <c r="Q42" s="245"/>
      <c r="R42" s="49"/>
      <c r="S42" s="49"/>
      <c r="T42" s="49"/>
      <c r="U42" s="49"/>
      <c r="V42" s="49"/>
      <c r="W42" s="49"/>
      <c r="X42" s="49"/>
      <c r="Y42" s="49"/>
      <c r="Z42" s="49"/>
      <c r="AA42" s="49"/>
    </row>
    <row r="43" spans="1:27" x14ac:dyDescent="0.25">
      <c r="A43" s="194"/>
      <c r="B43" s="245"/>
      <c r="C43" s="245"/>
      <c r="D43" s="245"/>
      <c r="E43" s="245"/>
      <c r="F43" s="245"/>
      <c r="G43" s="245"/>
      <c r="H43" s="245"/>
      <c r="I43" s="245"/>
      <c r="J43" s="245"/>
      <c r="K43" s="245"/>
      <c r="L43" s="245"/>
      <c r="M43" s="245"/>
      <c r="N43" s="245"/>
      <c r="O43" s="245"/>
      <c r="P43" s="245"/>
      <c r="Q43" s="245"/>
      <c r="R43" s="49"/>
      <c r="S43" s="49"/>
      <c r="T43" s="49"/>
      <c r="U43" s="49"/>
      <c r="V43" s="49"/>
      <c r="W43" s="49"/>
      <c r="X43" s="49"/>
      <c r="Y43" s="49"/>
      <c r="Z43" s="49"/>
      <c r="AA43" s="49"/>
    </row>
    <row r="44" spans="1:27" x14ac:dyDescent="0.25">
      <c r="A44" s="194"/>
      <c r="B44" s="245"/>
      <c r="C44" s="245"/>
      <c r="D44" s="245"/>
      <c r="E44" s="245"/>
      <c r="F44" s="245"/>
      <c r="G44" s="245"/>
      <c r="H44" s="245"/>
      <c r="I44" s="245"/>
      <c r="J44" s="245"/>
      <c r="K44" s="245"/>
      <c r="L44" s="245"/>
      <c r="M44" s="245"/>
      <c r="N44" s="245"/>
      <c r="O44" s="245"/>
      <c r="P44" s="245"/>
      <c r="Q44" s="245"/>
      <c r="R44" s="49"/>
      <c r="S44" s="49"/>
      <c r="T44" s="49"/>
      <c r="U44" s="49"/>
      <c r="V44" s="49"/>
      <c r="W44" s="49"/>
      <c r="X44" s="49"/>
      <c r="Y44" s="49"/>
      <c r="Z44" s="49"/>
      <c r="AA44" s="49"/>
    </row>
    <row r="45" spans="1:27" x14ac:dyDescent="0.25">
      <c r="A45" s="194"/>
      <c r="B45" s="194"/>
      <c r="C45" s="194"/>
      <c r="D45" s="194"/>
      <c r="E45" s="194"/>
      <c r="F45" s="194"/>
      <c r="G45" s="194"/>
      <c r="H45" s="194"/>
      <c r="I45" s="194"/>
      <c r="J45" s="194"/>
      <c r="K45" s="194"/>
      <c r="L45" s="194"/>
      <c r="M45" s="194"/>
      <c r="N45" s="194"/>
      <c r="O45" s="194"/>
      <c r="P45" s="194"/>
      <c r="Q45" s="194"/>
    </row>
    <row r="46" spans="1:27" x14ac:dyDescent="0.25">
      <c r="A46" s="194"/>
      <c r="B46" s="194"/>
      <c r="C46" s="194"/>
      <c r="D46" s="194"/>
      <c r="E46" s="194"/>
      <c r="F46" s="194"/>
      <c r="G46" s="194"/>
      <c r="H46" s="194"/>
      <c r="I46" s="194"/>
      <c r="J46" s="194"/>
      <c r="K46" s="194"/>
      <c r="L46" s="194"/>
      <c r="M46" s="194"/>
      <c r="N46" s="194"/>
      <c r="O46" s="194"/>
      <c r="P46" s="194"/>
      <c r="Q46" s="194"/>
    </row>
    <row r="47" spans="1:27" x14ac:dyDescent="0.25">
      <c r="A47" s="194"/>
      <c r="B47" s="194"/>
      <c r="C47" s="194"/>
      <c r="D47" s="194"/>
      <c r="E47" s="194"/>
      <c r="F47" s="194"/>
      <c r="G47" s="194"/>
      <c r="H47" s="194"/>
      <c r="I47" s="194"/>
      <c r="J47" s="194"/>
      <c r="K47" s="194"/>
      <c r="L47" s="194"/>
      <c r="M47" s="194"/>
      <c r="N47" s="194"/>
      <c r="O47" s="194"/>
      <c r="P47" s="194"/>
      <c r="Q47" s="194"/>
    </row>
    <row r="48" spans="1:27" x14ac:dyDescent="0.25">
      <c r="A48" s="194"/>
      <c r="B48" s="194"/>
      <c r="C48" s="194"/>
      <c r="D48" s="194"/>
      <c r="E48" s="194"/>
      <c r="F48" s="194"/>
      <c r="G48" s="194"/>
      <c r="H48" s="194"/>
      <c r="I48" s="194"/>
      <c r="J48" s="194"/>
      <c r="K48" s="194"/>
      <c r="L48" s="194"/>
      <c r="M48" s="194"/>
      <c r="N48" s="194"/>
      <c r="O48" s="194"/>
      <c r="P48" s="194"/>
      <c r="Q48" s="194"/>
    </row>
    <row r="49" spans="1:17" x14ac:dyDescent="0.25">
      <c r="A49" s="194"/>
      <c r="B49" s="194"/>
      <c r="C49" s="194"/>
      <c r="D49" s="194"/>
      <c r="E49" s="194"/>
      <c r="F49" s="194"/>
      <c r="G49" s="194"/>
      <c r="H49" s="194"/>
      <c r="I49" s="194"/>
      <c r="J49" s="194"/>
      <c r="K49" s="194"/>
      <c r="L49" s="194"/>
      <c r="M49" s="194"/>
      <c r="N49" s="194"/>
      <c r="O49" s="194"/>
      <c r="P49" s="194"/>
      <c r="Q49" s="194"/>
    </row>
    <row r="50" spans="1:17" x14ac:dyDescent="0.25">
      <c r="A50" s="194"/>
      <c r="B50" s="194"/>
      <c r="C50" s="194"/>
      <c r="D50" s="194"/>
      <c r="E50" s="194"/>
      <c r="F50" s="194"/>
      <c r="G50" s="194"/>
      <c r="H50" s="194"/>
      <c r="I50" s="194"/>
      <c r="J50" s="194"/>
      <c r="K50" s="194"/>
      <c r="L50" s="194"/>
      <c r="M50" s="194"/>
      <c r="N50" s="194"/>
      <c r="O50" s="194"/>
      <c r="P50" s="194"/>
      <c r="Q50" s="194"/>
    </row>
    <row r="51" spans="1:17" x14ac:dyDescent="0.25">
      <c r="A51" s="194"/>
      <c r="B51" s="194"/>
      <c r="C51" s="194"/>
      <c r="D51" s="194"/>
      <c r="E51" s="194"/>
      <c r="F51" s="194"/>
      <c r="G51" s="194"/>
      <c r="H51" s="194"/>
      <c r="I51" s="194"/>
      <c r="J51" s="194"/>
      <c r="K51" s="194"/>
      <c r="L51" s="194"/>
      <c r="M51" s="194"/>
      <c r="N51" s="194"/>
      <c r="O51" s="194"/>
      <c r="P51" s="194"/>
      <c r="Q51" s="194"/>
    </row>
    <row r="52" spans="1:17" x14ac:dyDescent="0.25">
      <c r="A52" s="194"/>
      <c r="B52" s="194"/>
      <c r="C52" s="194"/>
      <c r="D52" s="194"/>
      <c r="E52" s="194"/>
      <c r="F52" s="194"/>
      <c r="G52" s="194"/>
      <c r="H52" s="194"/>
      <c r="I52" s="194"/>
      <c r="J52" s="194"/>
      <c r="K52" s="194"/>
      <c r="L52" s="194"/>
      <c r="M52" s="194"/>
      <c r="N52" s="194"/>
      <c r="O52" s="194"/>
      <c r="P52" s="194"/>
      <c r="Q52" s="194"/>
    </row>
    <row r="53" spans="1:17" x14ac:dyDescent="0.25">
      <c r="A53" s="194"/>
      <c r="B53" s="194"/>
      <c r="C53" s="194"/>
      <c r="D53" s="194"/>
      <c r="E53" s="194"/>
      <c r="F53" s="194"/>
      <c r="G53" s="194"/>
      <c r="H53" s="194"/>
      <c r="I53" s="194"/>
      <c r="J53" s="194"/>
      <c r="K53" s="194"/>
      <c r="L53" s="194"/>
      <c r="M53" s="194"/>
      <c r="N53" s="194"/>
      <c r="O53" s="194"/>
      <c r="P53" s="194"/>
      <c r="Q53" s="194"/>
    </row>
    <row r="54" spans="1:17" x14ac:dyDescent="0.25">
      <c r="A54" s="194"/>
      <c r="B54" s="194"/>
      <c r="C54" s="194"/>
      <c r="D54" s="194"/>
      <c r="E54" s="194"/>
      <c r="F54" s="194"/>
      <c r="G54" s="194"/>
      <c r="H54" s="194"/>
      <c r="I54" s="194"/>
      <c r="J54" s="194"/>
      <c r="K54" s="194"/>
      <c r="L54" s="194"/>
      <c r="M54" s="194"/>
      <c r="N54" s="194"/>
      <c r="O54" s="194"/>
      <c r="P54" s="194"/>
      <c r="Q54" s="194"/>
    </row>
    <row r="55" spans="1:17" x14ac:dyDescent="0.25">
      <c r="A55" s="194"/>
      <c r="B55" s="194"/>
      <c r="C55" s="194"/>
      <c r="D55" s="194"/>
      <c r="E55" s="194"/>
      <c r="F55" s="194"/>
      <c r="G55" s="194"/>
      <c r="H55" s="194"/>
      <c r="I55" s="194"/>
      <c r="J55" s="194"/>
      <c r="K55" s="194"/>
      <c r="L55" s="194"/>
      <c r="M55" s="194"/>
      <c r="N55" s="194"/>
      <c r="O55" s="194"/>
      <c r="P55" s="194"/>
      <c r="Q55" s="194"/>
    </row>
    <row r="56" spans="1:17" x14ac:dyDescent="0.25">
      <c r="A56" s="194"/>
      <c r="B56" s="194"/>
      <c r="C56" s="194"/>
      <c r="D56" s="194"/>
      <c r="E56" s="194"/>
      <c r="F56" s="194"/>
      <c r="G56" s="194"/>
      <c r="H56" s="194"/>
      <c r="I56" s="194"/>
      <c r="J56" s="194"/>
      <c r="K56" s="194"/>
      <c r="L56" s="194"/>
      <c r="M56" s="194"/>
      <c r="N56" s="194"/>
      <c r="O56" s="194"/>
      <c r="P56" s="194"/>
      <c r="Q56" s="194"/>
    </row>
    <row r="57" spans="1:17" x14ac:dyDescent="0.25">
      <c r="A57" s="194"/>
      <c r="B57" s="194"/>
      <c r="C57" s="194"/>
      <c r="D57" s="194"/>
      <c r="E57" s="194"/>
      <c r="F57" s="194"/>
      <c r="G57" s="194"/>
      <c r="H57" s="194"/>
      <c r="I57" s="194"/>
      <c r="J57" s="194"/>
      <c r="K57" s="194"/>
      <c r="L57" s="194"/>
      <c r="M57" s="194"/>
      <c r="N57" s="194"/>
      <c r="O57" s="194"/>
      <c r="P57" s="194"/>
      <c r="Q57" s="194"/>
    </row>
    <row r="58" spans="1:17" x14ac:dyDescent="0.25">
      <c r="A58" s="194"/>
      <c r="B58" s="194"/>
      <c r="C58" s="194"/>
      <c r="D58" s="194"/>
      <c r="E58" s="194"/>
      <c r="F58" s="194"/>
      <c r="G58" s="194"/>
      <c r="H58" s="194"/>
      <c r="I58" s="194"/>
      <c r="J58" s="194"/>
      <c r="K58" s="194"/>
      <c r="L58" s="194"/>
      <c r="M58" s="194"/>
      <c r="N58" s="194"/>
      <c r="O58" s="194"/>
      <c r="P58" s="194"/>
      <c r="Q58" s="194"/>
    </row>
    <row r="59" spans="1:17" x14ac:dyDescent="0.25">
      <c r="A59" s="194"/>
      <c r="B59" s="194"/>
      <c r="C59" s="194"/>
      <c r="D59" s="194"/>
      <c r="E59" s="194"/>
      <c r="F59" s="194"/>
      <c r="G59" s="194"/>
      <c r="H59" s="194"/>
      <c r="I59" s="194"/>
      <c r="J59" s="194"/>
      <c r="K59" s="194"/>
      <c r="L59" s="194"/>
      <c r="M59" s="194"/>
      <c r="N59" s="194"/>
      <c r="O59" s="194"/>
      <c r="P59" s="194"/>
      <c r="Q59" s="194"/>
    </row>
    <row r="60" spans="1:17" x14ac:dyDescent="0.25">
      <c r="A60" s="194"/>
      <c r="B60" s="194"/>
      <c r="C60" s="194"/>
      <c r="D60" s="194"/>
      <c r="E60" s="194"/>
      <c r="F60" s="194"/>
      <c r="G60" s="194"/>
      <c r="H60" s="194"/>
      <c r="I60" s="194"/>
      <c r="J60" s="194"/>
      <c r="K60" s="194"/>
      <c r="L60" s="194"/>
      <c r="M60" s="194"/>
      <c r="N60" s="194"/>
      <c r="O60" s="194"/>
      <c r="P60" s="194"/>
      <c r="Q60" s="194"/>
    </row>
    <row r="61" spans="1:17" x14ac:dyDescent="0.25">
      <c r="A61" s="194"/>
      <c r="B61" s="194"/>
      <c r="C61" s="194"/>
      <c r="D61" s="194"/>
      <c r="E61" s="194"/>
      <c r="F61" s="194"/>
      <c r="G61" s="194"/>
      <c r="H61" s="194"/>
      <c r="I61" s="194"/>
      <c r="J61" s="194"/>
      <c r="K61" s="194"/>
      <c r="L61" s="194"/>
      <c r="M61" s="194"/>
      <c r="N61" s="194"/>
      <c r="O61" s="194"/>
      <c r="P61" s="194"/>
      <c r="Q61" s="194"/>
    </row>
    <row r="62" spans="1:17" x14ac:dyDescent="0.25">
      <c r="A62" s="194"/>
      <c r="B62" s="194"/>
      <c r="C62" s="194"/>
      <c r="D62" s="194"/>
      <c r="E62" s="194"/>
      <c r="F62" s="194"/>
      <c r="G62" s="194"/>
      <c r="H62" s="194"/>
      <c r="I62" s="194"/>
      <c r="J62" s="194"/>
      <c r="K62" s="194"/>
      <c r="L62" s="194"/>
      <c r="M62" s="194"/>
      <c r="N62" s="194"/>
      <c r="O62" s="194"/>
      <c r="P62" s="194"/>
      <c r="Q62" s="194"/>
    </row>
    <row r="63" spans="1:17" x14ac:dyDescent="0.25">
      <c r="A63" s="194"/>
      <c r="B63" s="194"/>
      <c r="C63" s="194"/>
      <c r="D63" s="194"/>
      <c r="E63" s="194"/>
      <c r="F63" s="194"/>
      <c r="G63" s="194"/>
      <c r="H63" s="194"/>
      <c r="I63" s="194"/>
      <c r="J63" s="194"/>
      <c r="K63" s="194"/>
      <c r="L63" s="194"/>
      <c r="M63" s="194"/>
      <c r="N63" s="194"/>
      <c r="O63" s="194"/>
      <c r="P63" s="194"/>
      <c r="Q63" s="194"/>
    </row>
    <row r="64" spans="1:17" x14ac:dyDescent="0.25">
      <c r="A64" s="194"/>
      <c r="B64" s="194"/>
      <c r="C64" s="194"/>
      <c r="D64" s="194"/>
      <c r="E64" s="194"/>
      <c r="F64" s="194"/>
      <c r="G64" s="194"/>
      <c r="H64" s="194"/>
      <c r="I64" s="194"/>
      <c r="J64" s="194"/>
      <c r="K64" s="194"/>
      <c r="L64" s="194"/>
      <c r="M64" s="194"/>
      <c r="N64" s="194"/>
      <c r="O64" s="194"/>
      <c r="P64" s="194"/>
      <c r="Q64" s="194"/>
    </row>
    <row r="65" spans="1:17" x14ac:dyDescent="0.25">
      <c r="A65" s="194"/>
      <c r="B65" s="194"/>
      <c r="C65" s="194"/>
      <c r="D65" s="194"/>
      <c r="E65" s="194"/>
      <c r="F65" s="194"/>
      <c r="G65" s="194"/>
      <c r="H65" s="194"/>
      <c r="I65" s="194"/>
      <c r="J65" s="194"/>
      <c r="K65" s="194"/>
      <c r="L65" s="194"/>
      <c r="M65" s="194"/>
      <c r="N65" s="194"/>
      <c r="O65" s="194"/>
      <c r="P65" s="194"/>
      <c r="Q65" s="194"/>
    </row>
    <row r="66" spans="1:17" x14ac:dyDescent="0.25">
      <c r="A66" s="194"/>
      <c r="B66" s="194"/>
      <c r="C66" s="194"/>
      <c r="D66" s="194"/>
      <c r="E66" s="194"/>
      <c r="F66" s="194"/>
      <c r="G66" s="194"/>
      <c r="H66" s="194"/>
      <c r="I66" s="194"/>
      <c r="J66" s="194"/>
      <c r="K66" s="194"/>
      <c r="L66" s="194"/>
      <c r="M66" s="194"/>
      <c r="N66" s="194"/>
      <c r="O66" s="194"/>
      <c r="P66" s="194"/>
      <c r="Q66" s="194"/>
    </row>
    <row r="67" spans="1:17" x14ac:dyDescent="0.25">
      <c r="A67" s="194"/>
      <c r="B67" s="194"/>
      <c r="C67" s="194"/>
      <c r="D67" s="194"/>
      <c r="E67" s="194"/>
      <c r="F67" s="194"/>
      <c r="G67" s="194"/>
      <c r="H67" s="194"/>
      <c r="I67" s="194"/>
      <c r="J67" s="194"/>
      <c r="K67" s="194"/>
      <c r="L67" s="194"/>
      <c r="M67" s="194"/>
      <c r="N67" s="194"/>
      <c r="O67" s="194"/>
      <c r="P67" s="194"/>
      <c r="Q67" s="194"/>
    </row>
    <row r="68" spans="1:17" x14ac:dyDescent="0.25">
      <c r="A68" s="194"/>
      <c r="B68" s="194"/>
      <c r="C68" s="194"/>
      <c r="D68" s="194"/>
      <c r="E68" s="194"/>
      <c r="F68" s="194"/>
      <c r="G68" s="194"/>
      <c r="H68" s="194"/>
      <c r="I68" s="194"/>
      <c r="J68" s="194"/>
      <c r="K68" s="194"/>
      <c r="L68" s="194"/>
      <c r="M68" s="194"/>
      <c r="N68" s="194"/>
      <c r="O68" s="194"/>
      <c r="P68" s="194"/>
      <c r="Q68" s="194"/>
    </row>
    <row r="69" spans="1:17" ht="15.75" x14ac:dyDescent="0.25">
      <c r="A69" s="194"/>
      <c r="B69" s="194"/>
      <c r="C69" s="194"/>
      <c r="D69" s="194"/>
      <c r="E69" s="194"/>
      <c r="F69" s="194"/>
      <c r="G69" s="194"/>
      <c r="H69" s="194"/>
      <c r="I69" s="194"/>
      <c r="J69" s="194"/>
      <c r="K69" s="194"/>
      <c r="L69" s="194"/>
      <c r="M69" s="194"/>
      <c r="N69" s="110"/>
      <c r="O69" s="110"/>
      <c r="P69" s="110"/>
      <c r="Q69" s="110"/>
    </row>
    <row r="70" spans="1:17" ht="15.75" x14ac:dyDescent="0.25">
      <c r="A70" s="110"/>
      <c r="B70" s="110"/>
      <c r="C70" s="110"/>
      <c r="D70" s="110"/>
      <c r="E70" s="110"/>
      <c r="F70" s="110"/>
      <c r="G70" s="110"/>
      <c r="H70" s="110"/>
      <c r="I70" s="110"/>
      <c r="J70" s="110"/>
      <c r="K70" s="110"/>
      <c r="L70" s="110"/>
      <c r="M70" s="110"/>
      <c r="N70" s="110"/>
      <c r="O70" s="110"/>
      <c r="P70" s="110"/>
      <c r="Q70" s="110"/>
    </row>
    <row r="71" spans="1:17" ht="15.75" x14ac:dyDescent="0.25">
      <c r="A71" s="110"/>
      <c r="B71" s="110"/>
      <c r="C71" s="110"/>
      <c r="D71" s="110"/>
      <c r="E71" s="110"/>
      <c r="F71" s="110"/>
      <c r="G71" s="110"/>
      <c r="H71" s="110"/>
      <c r="I71" s="110"/>
      <c r="J71" s="110"/>
      <c r="K71" s="110"/>
      <c r="L71" s="110"/>
      <c r="M71" s="110"/>
      <c r="N71" s="110"/>
      <c r="O71" s="110"/>
      <c r="P71" s="110"/>
      <c r="Q71" s="110"/>
    </row>
    <row r="72" spans="1:17" ht="15.75" x14ac:dyDescent="0.25">
      <c r="A72" s="110"/>
      <c r="B72" s="110"/>
      <c r="C72" s="110"/>
      <c r="D72" s="110"/>
      <c r="E72" s="110"/>
      <c r="F72" s="110"/>
      <c r="G72" s="110"/>
      <c r="H72" s="110"/>
      <c r="I72" s="110"/>
      <c r="J72" s="110"/>
      <c r="K72" s="110"/>
      <c r="L72" s="110"/>
      <c r="M72" s="110"/>
      <c r="N72" s="110"/>
      <c r="O72" s="110"/>
      <c r="P72" s="110"/>
      <c r="Q72" s="110"/>
    </row>
    <row r="73" spans="1:17" ht="15.75" x14ac:dyDescent="0.25">
      <c r="A73" s="110"/>
      <c r="B73" s="110"/>
      <c r="C73" s="110"/>
      <c r="D73" s="110"/>
      <c r="E73" s="110"/>
      <c r="F73" s="110"/>
      <c r="G73" s="110"/>
      <c r="H73" s="110"/>
      <c r="I73" s="110"/>
      <c r="J73" s="110"/>
      <c r="K73" s="110"/>
      <c r="L73" s="110"/>
      <c r="M73" s="110"/>
      <c r="N73" s="110"/>
      <c r="O73" s="110"/>
      <c r="P73" s="110"/>
      <c r="Q73" s="110"/>
    </row>
    <row r="74" spans="1:17" ht="15.75" x14ac:dyDescent="0.25">
      <c r="A74" s="110"/>
      <c r="B74" s="110"/>
      <c r="C74" s="110"/>
      <c r="D74" s="110"/>
      <c r="E74" s="110"/>
      <c r="F74" s="110"/>
      <c r="G74" s="110"/>
      <c r="H74" s="110"/>
      <c r="I74" s="110"/>
      <c r="J74" s="110"/>
      <c r="K74" s="110"/>
      <c r="L74" s="110"/>
      <c r="M74" s="110"/>
      <c r="N74" s="110"/>
      <c r="O74" s="110"/>
      <c r="P74" s="110"/>
      <c r="Q74" s="110"/>
    </row>
    <row r="75" spans="1:17" ht="15.75" x14ac:dyDescent="0.25">
      <c r="A75" s="110"/>
      <c r="B75" s="110"/>
      <c r="C75" s="110"/>
      <c r="D75" s="110"/>
      <c r="E75" s="110"/>
      <c r="F75" s="110"/>
      <c r="G75" s="110"/>
      <c r="H75" s="110"/>
      <c r="I75" s="110"/>
      <c r="J75" s="110"/>
      <c r="K75" s="110"/>
      <c r="L75" s="110"/>
      <c r="M75" s="110"/>
      <c r="N75" s="110"/>
      <c r="O75" s="110"/>
      <c r="P75" s="110"/>
      <c r="Q75" s="110"/>
    </row>
    <row r="76" spans="1:17" ht="15.75" x14ac:dyDescent="0.25">
      <c r="A76" s="110"/>
      <c r="B76" s="110"/>
      <c r="C76" s="110"/>
      <c r="D76" s="110"/>
      <c r="E76" s="110"/>
      <c r="F76" s="110"/>
      <c r="G76" s="110"/>
      <c r="H76" s="110"/>
      <c r="I76" s="110"/>
      <c r="J76" s="110"/>
      <c r="K76" s="110"/>
      <c r="L76" s="110"/>
      <c r="M76" s="110"/>
      <c r="N76" s="110"/>
      <c r="O76" s="110"/>
      <c r="P76" s="110"/>
      <c r="Q76" s="110"/>
    </row>
    <row r="77" spans="1:17" ht="15.75" x14ac:dyDescent="0.25">
      <c r="A77" s="110"/>
      <c r="B77" s="110"/>
      <c r="C77" s="110"/>
      <c r="D77" s="110"/>
      <c r="E77" s="110"/>
      <c r="F77" s="110"/>
      <c r="G77" s="110"/>
      <c r="H77" s="110"/>
      <c r="I77" s="110"/>
      <c r="J77" s="110"/>
      <c r="K77" s="110"/>
      <c r="L77" s="110"/>
      <c r="M77" s="110"/>
      <c r="N77" s="110"/>
      <c r="O77" s="110"/>
      <c r="P77" s="110"/>
      <c r="Q77" s="110"/>
    </row>
    <row r="78" spans="1:17" ht="15.75" x14ac:dyDescent="0.25">
      <c r="A78" s="110"/>
      <c r="B78" s="110"/>
      <c r="C78" s="110"/>
      <c r="D78" s="110"/>
      <c r="E78" s="110"/>
      <c r="F78" s="110"/>
      <c r="G78" s="110"/>
      <c r="H78" s="110"/>
      <c r="I78" s="110"/>
      <c r="J78" s="110"/>
      <c r="K78" s="110"/>
      <c r="L78" s="110"/>
      <c r="M78" s="110"/>
      <c r="N78" s="110"/>
      <c r="O78" s="110"/>
      <c r="P78" s="110"/>
      <c r="Q78" s="110"/>
    </row>
    <row r="79" spans="1:17" ht="15.75" x14ac:dyDescent="0.25">
      <c r="A79" s="110"/>
      <c r="B79" s="110"/>
      <c r="C79" s="110"/>
      <c r="D79" s="110"/>
      <c r="E79" s="110"/>
      <c r="F79" s="110"/>
      <c r="G79" s="110"/>
      <c r="H79" s="110"/>
      <c r="I79" s="110"/>
      <c r="J79" s="110"/>
      <c r="K79" s="110"/>
      <c r="L79" s="110"/>
      <c r="M79" s="110"/>
      <c r="N79" s="110"/>
      <c r="O79" s="110"/>
      <c r="P79" s="110"/>
      <c r="Q79" s="110"/>
    </row>
    <row r="80" spans="1:17" ht="15.75" x14ac:dyDescent="0.25">
      <c r="A80" s="110"/>
      <c r="B80" s="110"/>
      <c r="C80" s="110"/>
      <c r="D80" s="110"/>
      <c r="E80" s="110"/>
      <c r="F80" s="110"/>
      <c r="G80" s="110"/>
      <c r="H80" s="110"/>
      <c r="I80" s="110"/>
      <c r="J80" s="110"/>
      <c r="K80" s="110"/>
      <c r="L80" s="110"/>
      <c r="M80" s="110"/>
      <c r="N80" s="110"/>
      <c r="O80" s="110"/>
      <c r="P80" s="110"/>
      <c r="Q80" s="110"/>
    </row>
    <row r="81" spans="1:17" ht="15.75" x14ac:dyDescent="0.25">
      <c r="A81" s="110"/>
      <c r="B81" s="110"/>
      <c r="C81" s="110"/>
      <c r="D81" s="110"/>
      <c r="E81" s="110"/>
      <c r="F81" s="110"/>
      <c r="G81" s="110"/>
      <c r="H81" s="110"/>
      <c r="I81" s="110"/>
      <c r="J81" s="110"/>
      <c r="K81" s="110"/>
      <c r="L81" s="110"/>
      <c r="M81" s="110"/>
      <c r="N81" s="110"/>
      <c r="O81" s="110"/>
      <c r="P81" s="110"/>
      <c r="Q81" s="110"/>
    </row>
    <row r="82" spans="1:17" ht="15.75" x14ac:dyDescent="0.25">
      <c r="A82" s="110"/>
      <c r="B82" s="110"/>
      <c r="C82" s="110"/>
      <c r="D82" s="110"/>
      <c r="E82" s="110"/>
      <c r="F82" s="110"/>
      <c r="G82" s="110"/>
      <c r="H82" s="110"/>
      <c r="I82" s="110"/>
      <c r="J82" s="110"/>
      <c r="K82" s="110"/>
      <c r="L82" s="110"/>
      <c r="M82" s="110"/>
      <c r="N82" s="110"/>
      <c r="O82" s="110"/>
      <c r="P82" s="110"/>
      <c r="Q82" s="110"/>
    </row>
    <row r="83" spans="1:17" ht="15.75" x14ac:dyDescent="0.25">
      <c r="A83" s="110"/>
      <c r="B83" s="110"/>
      <c r="C83" s="110"/>
      <c r="D83" s="110"/>
      <c r="E83" s="110"/>
      <c r="F83" s="110"/>
      <c r="G83" s="110"/>
      <c r="H83" s="110"/>
      <c r="I83" s="110"/>
      <c r="J83" s="110"/>
      <c r="K83" s="110"/>
      <c r="L83" s="110"/>
      <c r="M83" s="110"/>
      <c r="N83" s="110"/>
      <c r="O83" s="110"/>
      <c r="P83" s="110"/>
      <c r="Q83" s="110"/>
    </row>
    <row r="84" spans="1:17" ht="15.75" x14ac:dyDescent="0.25">
      <c r="A84" s="110"/>
      <c r="B84" s="110"/>
      <c r="C84" s="110"/>
      <c r="D84" s="110"/>
      <c r="E84" s="110"/>
      <c r="F84" s="110"/>
      <c r="G84" s="110"/>
      <c r="H84" s="110"/>
      <c r="I84" s="110"/>
      <c r="J84" s="110"/>
      <c r="K84" s="110"/>
      <c r="L84" s="110"/>
      <c r="M84" s="110"/>
      <c r="N84" s="110"/>
      <c r="O84" s="110"/>
      <c r="P84" s="110"/>
      <c r="Q84" s="110"/>
    </row>
    <row r="85" spans="1:17" ht="15.75" x14ac:dyDescent="0.25">
      <c r="A85" s="110"/>
      <c r="B85" s="110"/>
      <c r="C85" s="110"/>
      <c r="D85" s="110"/>
      <c r="E85" s="110"/>
      <c r="F85" s="110"/>
      <c r="G85" s="110"/>
      <c r="H85" s="110"/>
      <c r="I85" s="110"/>
      <c r="J85" s="110"/>
      <c r="K85" s="110"/>
      <c r="L85" s="110"/>
      <c r="M85" s="110"/>
      <c r="N85" s="110"/>
      <c r="O85" s="110"/>
      <c r="P85" s="110"/>
      <c r="Q85" s="110"/>
    </row>
    <row r="86" spans="1:17" ht="15.75" x14ac:dyDescent="0.25">
      <c r="A86" s="110"/>
      <c r="B86" s="110"/>
      <c r="C86" s="110"/>
      <c r="D86" s="110"/>
      <c r="E86" s="110"/>
      <c r="F86" s="110"/>
      <c r="G86" s="110"/>
      <c r="H86" s="110"/>
      <c r="I86" s="110"/>
      <c r="J86" s="110"/>
      <c r="K86" s="110"/>
      <c r="L86" s="110"/>
      <c r="M86" s="110"/>
      <c r="N86" s="110"/>
      <c r="O86" s="110"/>
      <c r="P86" s="110"/>
      <c r="Q86" s="110"/>
    </row>
    <row r="87" spans="1:17" ht="15.75" x14ac:dyDescent="0.25">
      <c r="A87" s="110"/>
      <c r="B87" s="110"/>
      <c r="C87" s="110"/>
      <c r="D87" s="110"/>
      <c r="E87" s="110"/>
      <c r="F87" s="110"/>
      <c r="G87" s="110"/>
      <c r="H87" s="110"/>
      <c r="I87" s="110"/>
      <c r="J87" s="110"/>
      <c r="K87" s="110"/>
      <c r="L87" s="110"/>
      <c r="M87" s="110"/>
      <c r="N87" s="110"/>
      <c r="O87" s="110"/>
      <c r="P87" s="110"/>
      <c r="Q87" s="110"/>
    </row>
    <row r="88" spans="1:17" ht="15.75" x14ac:dyDescent="0.25">
      <c r="A88" s="110"/>
      <c r="B88" s="110"/>
      <c r="C88" s="110"/>
      <c r="D88" s="110"/>
      <c r="E88" s="110"/>
      <c r="F88" s="110"/>
      <c r="G88" s="110"/>
      <c r="H88" s="110"/>
      <c r="I88" s="110"/>
      <c r="J88" s="110"/>
      <c r="K88" s="110"/>
      <c r="L88" s="110"/>
      <c r="M88" s="110"/>
      <c r="N88" s="110"/>
      <c r="O88" s="110"/>
      <c r="P88" s="110"/>
      <c r="Q88" s="110"/>
    </row>
    <row r="89" spans="1:17" ht="15.75" x14ac:dyDescent="0.25">
      <c r="A89" s="110"/>
      <c r="B89" s="110"/>
      <c r="C89" s="110"/>
      <c r="D89" s="110"/>
      <c r="E89" s="110"/>
      <c r="F89" s="110"/>
      <c r="G89" s="110"/>
      <c r="H89" s="110"/>
      <c r="I89" s="110"/>
      <c r="J89" s="110"/>
      <c r="K89" s="110"/>
      <c r="L89" s="110"/>
      <c r="M89" s="110"/>
      <c r="N89" s="110"/>
      <c r="O89" s="110"/>
      <c r="P89" s="110"/>
      <c r="Q89" s="110"/>
    </row>
    <row r="90" spans="1:17" ht="15.75" x14ac:dyDescent="0.25">
      <c r="A90" s="110"/>
      <c r="B90" s="110"/>
      <c r="C90" s="110"/>
      <c r="D90" s="110"/>
      <c r="E90" s="110"/>
      <c r="F90" s="110"/>
      <c r="G90" s="110"/>
      <c r="H90" s="110"/>
      <c r="I90" s="110"/>
      <c r="J90" s="110"/>
      <c r="K90" s="110"/>
      <c r="L90" s="110"/>
      <c r="M90" s="110"/>
      <c r="N90" s="110"/>
      <c r="O90" s="110"/>
      <c r="P90" s="110"/>
      <c r="Q90" s="110"/>
    </row>
    <row r="91" spans="1:17" ht="15.75" x14ac:dyDescent="0.25">
      <c r="A91" s="110"/>
      <c r="B91" s="110"/>
      <c r="C91" s="110"/>
      <c r="D91" s="110"/>
      <c r="E91" s="110"/>
      <c r="F91" s="110"/>
      <c r="G91" s="110"/>
      <c r="H91" s="110"/>
      <c r="I91" s="110"/>
      <c r="J91" s="110"/>
      <c r="K91" s="110"/>
      <c r="L91" s="110"/>
      <c r="M91" s="110"/>
      <c r="N91" s="110"/>
      <c r="O91" s="110"/>
      <c r="P91" s="110"/>
      <c r="Q91" s="110"/>
    </row>
    <row r="92" spans="1:17" ht="15.75" x14ac:dyDescent="0.25">
      <c r="A92" s="110"/>
      <c r="B92" s="110"/>
      <c r="C92" s="110"/>
      <c r="D92" s="110"/>
      <c r="E92" s="110"/>
      <c r="F92" s="110"/>
      <c r="G92" s="110"/>
      <c r="H92" s="110"/>
      <c r="I92" s="110"/>
      <c r="J92" s="110"/>
      <c r="K92" s="110"/>
      <c r="L92" s="110"/>
      <c r="M92" s="110"/>
      <c r="N92" s="110"/>
      <c r="O92" s="110"/>
      <c r="P92" s="110"/>
      <c r="Q92" s="110"/>
    </row>
    <row r="93" spans="1:17" ht="15.75" x14ac:dyDescent="0.25">
      <c r="A93" s="110"/>
      <c r="B93" s="110"/>
      <c r="C93" s="110"/>
      <c r="D93" s="110"/>
      <c r="E93" s="110"/>
      <c r="F93" s="110"/>
      <c r="G93" s="110"/>
      <c r="H93" s="110"/>
      <c r="I93" s="110"/>
      <c r="J93" s="110"/>
      <c r="K93" s="110"/>
      <c r="L93" s="110"/>
      <c r="M93" s="110"/>
      <c r="N93" s="110"/>
      <c r="O93" s="110"/>
      <c r="P93" s="110"/>
      <c r="Q93" s="110"/>
    </row>
    <row r="94" spans="1:17" ht="15.75" x14ac:dyDescent="0.25">
      <c r="A94" s="110"/>
      <c r="B94" s="110"/>
      <c r="C94" s="110"/>
      <c r="D94" s="110"/>
      <c r="E94" s="110"/>
      <c r="F94" s="110"/>
      <c r="G94" s="110"/>
      <c r="H94" s="110"/>
      <c r="I94" s="110"/>
      <c r="J94" s="110"/>
      <c r="K94" s="110"/>
      <c r="L94" s="110"/>
      <c r="M94" s="110"/>
      <c r="N94" s="110"/>
      <c r="O94" s="110"/>
      <c r="P94" s="110"/>
      <c r="Q94" s="110"/>
    </row>
    <row r="95" spans="1:17" ht="15.75" x14ac:dyDescent="0.25">
      <c r="A95" s="110"/>
      <c r="B95" s="110"/>
      <c r="C95" s="110"/>
      <c r="D95" s="110"/>
      <c r="E95" s="110"/>
      <c r="F95" s="110"/>
      <c r="G95" s="110"/>
      <c r="H95" s="110"/>
      <c r="I95" s="110"/>
      <c r="J95" s="110"/>
      <c r="K95" s="110"/>
      <c r="L95" s="110"/>
      <c r="M95" s="110"/>
      <c r="N95" s="110"/>
      <c r="O95" s="110"/>
      <c r="P95" s="110"/>
      <c r="Q95" s="110"/>
    </row>
    <row r="96" spans="1:17" ht="15.75" x14ac:dyDescent="0.25">
      <c r="A96" s="110"/>
      <c r="B96" s="110"/>
      <c r="C96" s="110"/>
      <c r="D96" s="110"/>
      <c r="E96" s="110"/>
      <c r="F96" s="110"/>
      <c r="G96" s="110"/>
      <c r="H96" s="110"/>
      <c r="I96" s="110"/>
      <c r="J96" s="110"/>
      <c r="K96" s="110"/>
      <c r="L96" s="110"/>
      <c r="M96" s="110"/>
      <c r="N96" s="110"/>
      <c r="O96" s="110"/>
      <c r="P96" s="110"/>
      <c r="Q96" s="110"/>
    </row>
    <row r="97" spans="1:17" ht="15.75" x14ac:dyDescent="0.25">
      <c r="A97" s="110"/>
      <c r="B97" s="110"/>
      <c r="C97" s="110"/>
      <c r="D97" s="110"/>
      <c r="E97" s="110"/>
      <c r="F97" s="110"/>
      <c r="G97" s="110"/>
      <c r="H97" s="110"/>
      <c r="I97" s="110"/>
      <c r="J97" s="110"/>
      <c r="K97" s="110"/>
      <c r="L97" s="110"/>
      <c r="M97" s="110"/>
      <c r="N97" s="110"/>
      <c r="O97" s="110"/>
      <c r="P97" s="110"/>
      <c r="Q97" s="110"/>
    </row>
    <row r="98" spans="1:17" ht="15.75" x14ac:dyDescent="0.25">
      <c r="A98" s="110"/>
      <c r="B98" s="110"/>
      <c r="C98" s="110"/>
      <c r="D98" s="110"/>
      <c r="E98" s="110"/>
      <c r="F98" s="110"/>
      <c r="G98" s="110"/>
      <c r="H98" s="110"/>
      <c r="I98" s="110"/>
      <c r="J98" s="110"/>
      <c r="K98" s="110"/>
      <c r="L98" s="110"/>
      <c r="M98" s="110"/>
      <c r="N98" s="110"/>
      <c r="O98" s="110"/>
      <c r="P98" s="110"/>
      <c r="Q98" s="110"/>
    </row>
    <row r="99" spans="1:17" ht="15.75" x14ac:dyDescent="0.25">
      <c r="A99" s="110"/>
      <c r="B99" s="110"/>
      <c r="C99" s="110"/>
      <c r="D99" s="110"/>
      <c r="E99" s="110"/>
      <c r="F99" s="110"/>
      <c r="G99" s="110"/>
      <c r="H99" s="110"/>
      <c r="I99" s="110"/>
      <c r="J99" s="110"/>
      <c r="K99" s="110"/>
      <c r="L99" s="110"/>
      <c r="M99" s="110"/>
      <c r="N99" s="110"/>
      <c r="O99" s="110"/>
      <c r="P99" s="110"/>
      <c r="Q99" s="110"/>
    </row>
    <row r="100" spans="1:17" ht="15.75" x14ac:dyDescent="0.25">
      <c r="A100" s="110"/>
      <c r="B100" s="110"/>
      <c r="C100" s="110"/>
      <c r="D100" s="110"/>
      <c r="E100" s="110"/>
      <c r="F100" s="110"/>
      <c r="G100" s="110"/>
      <c r="H100" s="110"/>
      <c r="I100" s="110"/>
      <c r="J100" s="110"/>
      <c r="K100" s="110"/>
      <c r="L100" s="110"/>
      <c r="M100" s="110"/>
      <c r="N100" s="110"/>
      <c r="O100" s="110"/>
      <c r="P100" s="110"/>
      <c r="Q100" s="110"/>
    </row>
    <row r="101" spans="1:17" ht="15.75" x14ac:dyDescent="0.25">
      <c r="A101" s="110"/>
      <c r="B101" s="110"/>
      <c r="C101" s="110"/>
      <c r="D101" s="110"/>
      <c r="E101" s="110"/>
      <c r="F101" s="110"/>
      <c r="G101" s="110"/>
      <c r="H101" s="110"/>
      <c r="I101" s="110"/>
      <c r="J101" s="110"/>
      <c r="K101" s="110"/>
      <c r="L101" s="110"/>
      <c r="M101" s="110"/>
      <c r="N101" s="110"/>
      <c r="O101" s="110"/>
      <c r="P101" s="110"/>
      <c r="Q101" s="110"/>
    </row>
    <row r="102" spans="1:17" ht="15.75" x14ac:dyDescent="0.25">
      <c r="A102" s="110"/>
      <c r="B102" s="110"/>
      <c r="C102" s="110"/>
      <c r="D102" s="110"/>
      <c r="E102" s="110"/>
      <c r="F102" s="110"/>
      <c r="G102" s="110"/>
      <c r="H102" s="110"/>
      <c r="I102" s="110"/>
      <c r="J102" s="110"/>
      <c r="K102" s="110"/>
      <c r="L102" s="110"/>
      <c r="M102" s="110"/>
      <c r="N102" s="110"/>
      <c r="O102" s="110"/>
      <c r="P102" s="110"/>
      <c r="Q102" s="110"/>
    </row>
    <row r="103" spans="1:17" ht="15.75" x14ac:dyDescent="0.25">
      <c r="A103" s="110"/>
      <c r="B103" s="110"/>
      <c r="C103" s="110"/>
      <c r="D103" s="110"/>
      <c r="E103" s="110"/>
      <c r="F103" s="110"/>
      <c r="G103" s="110"/>
      <c r="H103" s="110"/>
      <c r="I103" s="110"/>
      <c r="J103" s="110"/>
      <c r="K103" s="110"/>
      <c r="L103" s="110"/>
      <c r="M103" s="110"/>
      <c r="N103" s="110"/>
      <c r="O103" s="110"/>
      <c r="P103" s="110"/>
      <c r="Q103" s="110"/>
    </row>
    <row r="104" spans="1:17" ht="15.75" x14ac:dyDescent="0.25">
      <c r="A104" s="110"/>
      <c r="B104" s="110"/>
      <c r="C104" s="110"/>
      <c r="D104" s="110"/>
      <c r="E104" s="110"/>
      <c r="F104" s="110"/>
      <c r="G104" s="110"/>
      <c r="H104" s="110"/>
      <c r="I104" s="110"/>
      <c r="J104" s="110"/>
      <c r="K104" s="110"/>
      <c r="L104" s="110"/>
      <c r="M104" s="110"/>
      <c r="N104" s="110"/>
      <c r="O104" s="110"/>
      <c r="P104" s="110"/>
      <c r="Q104" s="110"/>
    </row>
    <row r="105" spans="1:17" ht="15.75" x14ac:dyDescent="0.25">
      <c r="A105" s="110"/>
      <c r="B105" s="110"/>
      <c r="C105" s="110"/>
      <c r="D105" s="110"/>
      <c r="E105" s="110"/>
      <c r="F105" s="110"/>
      <c r="G105" s="110"/>
      <c r="H105" s="110"/>
      <c r="I105" s="110"/>
      <c r="J105" s="110"/>
      <c r="K105" s="110"/>
      <c r="L105" s="110"/>
      <c r="M105" s="110"/>
      <c r="N105" s="110"/>
      <c r="O105" s="110"/>
      <c r="P105" s="110"/>
      <c r="Q105" s="110"/>
    </row>
    <row r="106" spans="1:17" ht="15.75" x14ac:dyDescent="0.25">
      <c r="A106" s="110"/>
      <c r="B106" s="110"/>
      <c r="C106" s="110"/>
      <c r="D106" s="110"/>
      <c r="E106" s="110"/>
      <c r="F106" s="110"/>
      <c r="G106" s="110"/>
      <c r="H106" s="110"/>
      <c r="I106" s="110"/>
      <c r="J106" s="110"/>
      <c r="K106" s="110"/>
      <c r="L106" s="110"/>
      <c r="M106" s="110"/>
      <c r="N106" s="110"/>
      <c r="O106" s="110"/>
      <c r="P106" s="110"/>
      <c r="Q106" s="110"/>
    </row>
    <row r="107" spans="1:17" ht="15.75" x14ac:dyDescent="0.25">
      <c r="A107" s="110"/>
      <c r="B107" s="110"/>
      <c r="C107" s="110"/>
      <c r="D107" s="110"/>
      <c r="E107" s="110"/>
      <c r="F107" s="110"/>
      <c r="G107" s="110"/>
      <c r="H107" s="110"/>
      <c r="I107" s="110"/>
      <c r="J107" s="110"/>
      <c r="K107" s="110"/>
      <c r="L107" s="110"/>
      <c r="M107" s="110"/>
      <c r="N107" s="110"/>
      <c r="O107" s="110"/>
      <c r="P107" s="110"/>
      <c r="Q107" s="110"/>
    </row>
    <row r="108" spans="1:17" ht="15.75" x14ac:dyDescent="0.25">
      <c r="A108" s="110"/>
      <c r="B108" s="110"/>
      <c r="C108" s="110"/>
      <c r="D108" s="110"/>
      <c r="E108" s="110"/>
      <c r="F108" s="110"/>
      <c r="G108" s="110"/>
      <c r="H108" s="110"/>
      <c r="I108" s="110"/>
      <c r="J108" s="110"/>
      <c r="K108" s="110"/>
      <c r="L108" s="110"/>
      <c r="M108" s="110"/>
      <c r="N108" s="110"/>
      <c r="O108" s="110"/>
      <c r="P108" s="110"/>
      <c r="Q108" s="110"/>
    </row>
    <row r="109" spans="1:17" ht="15.75" x14ac:dyDescent="0.25">
      <c r="A109" s="110"/>
      <c r="B109" s="110"/>
      <c r="C109" s="110"/>
      <c r="D109" s="110"/>
      <c r="E109" s="110"/>
      <c r="F109" s="110"/>
      <c r="G109" s="110"/>
      <c r="H109" s="110"/>
      <c r="I109" s="110"/>
      <c r="J109" s="110"/>
      <c r="K109" s="110"/>
      <c r="L109" s="110"/>
      <c r="M109" s="110"/>
      <c r="N109" s="110"/>
      <c r="O109" s="110"/>
      <c r="P109" s="110"/>
      <c r="Q109" s="110"/>
    </row>
    <row r="110" spans="1:17" ht="15.75" x14ac:dyDescent="0.25">
      <c r="A110" s="110"/>
      <c r="B110" s="110"/>
      <c r="C110" s="110"/>
      <c r="D110" s="110"/>
      <c r="E110" s="110"/>
      <c r="F110" s="110"/>
      <c r="G110" s="110"/>
      <c r="H110" s="110"/>
      <c r="I110" s="110"/>
      <c r="J110" s="110"/>
      <c r="K110" s="110"/>
      <c r="L110" s="110"/>
      <c r="M110" s="110"/>
      <c r="N110" s="110"/>
      <c r="O110" s="110"/>
      <c r="P110" s="110"/>
      <c r="Q110" s="110"/>
    </row>
    <row r="111" spans="1:17" ht="15.75" x14ac:dyDescent="0.25">
      <c r="A111" s="110"/>
      <c r="B111" s="110"/>
      <c r="C111" s="110"/>
      <c r="D111" s="110"/>
      <c r="E111" s="110"/>
      <c r="F111" s="110"/>
      <c r="G111" s="110"/>
      <c r="H111" s="110"/>
      <c r="I111" s="110"/>
      <c r="J111" s="110"/>
      <c r="K111" s="110"/>
      <c r="L111" s="110"/>
      <c r="M111" s="110"/>
      <c r="N111" s="110"/>
      <c r="O111" s="110"/>
      <c r="P111" s="110"/>
      <c r="Q111" s="110"/>
    </row>
    <row r="112" spans="1:17" ht="15.75" x14ac:dyDescent="0.25">
      <c r="A112" s="110"/>
      <c r="B112" s="110"/>
      <c r="C112" s="110"/>
      <c r="D112" s="110"/>
      <c r="E112" s="110"/>
      <c r="F112" s="110"/>
      <c r="G112" s="110"/>
      <c r="H112" s="110"/>
      <c r="I112" s="110"/>
      <c r="J112" s="110"/>
      <c r="K112" s="110"/>
      <c r="L112" s="110"/>
      <c r="M112" s="110"/>
      <c r="N112" s="110"/>
      <c r="O112" s="110"/>
      <c r="P112" s="110"/>
      <c r="Q112" s="110"/>
    </row>
    <row r="113" spans="1:17" ht="15.75" x14ac:dyDescent="0.25">
      <c r="A113" s="110"/>
      <c r="B113" s="110"/>
      <c r="C113" s="110"/>
      <c r="D113" s="110"/>
      <c r="E113" s="110"/>
      <c r="F113" s="110"/>
      <c r="G113" s="110"/>
      <c r="H113" s="110"/>
      <c r="I113" s="110"/>
      <c r="J113" s="110"/>
      <c r="K113" s="110"/>
      <c r="L113" s="110"/>
      <c r="M113" s="110"/>
      <c r="N113" s="110"/>
      <c r="O113" s="110"/>
      <c r="P113" s="110"/>
      <c r="Q113" s="110"/>
    </row>
    <row r="114" spans="1:17" ht="15.75" x14ac:dyDescent="0.25">
      <c r="A114" s="110"/>
      <c r="B114" s="110"/>
      <c r="C114" s="110"/>
      <c r="D114" s="110"/>
      <c r="E114" s="110"/>
      <c r="F114" s="110"/>
      <c r="G114" s="110"/>
      <c r="H114" s="110"/>
      <c r="I114" s="110"/>
      <c r="J114" s="110"/>
      <c r="K114" s="110"/>
      <c r="L114" s="110"/>
      <c r="M114" s="110"/>
      <c r="N114" s="110"/>
      <c r="O114" s="110"/>
      <c r="P114" s="110"/>
      <c r="Q114" s="110"/>
    </row>
    <row r="115" spans="1:17" ht="15.75" x14ac:dyDescent="0.25">
      <c r="A115" s="110"/>
      <c r="B115" s="110"/>
      <c r="C115" s="110"/>
      <c r="D115" s="110"/>
      <c r="E115" s="110"/>
      <c r="F115" s="110"/>
      <c r="G115" s="110"/>
      <c r="H115" s="110"/>
      <c r="I115" s="110"/>
      <c r="J115" s="110"/>
      <c r="K115" s="110"/>
      <c r="L115" s="110"/>
      <c r="M115" s="110"/>
      <c r="N115" s="110"/>
      <c r="O115" s="110"/>
      <c r="P115" s="110"/>
      <c r="Q115" s="110"/>
    </row>
    <row r="116" spans="1:17" ht="15.75" x14ac:dyDescent="0.25">
      <c r="A116" s="110"/>
      <c r="B116" s="110"/>
      <c r="C116" s="110"/>
      <c r="D116" s="110"/>
      <c r="E116" s="110"/>
      <c r="F116" s="110"/>
      <c r="G116" s="110"/>
      <c r="H116" s="110"/>
      <c r="I116" s="110"/>
      <c r="J116" s="110"/>
      <c r="K116" s="110"/>
      <c r="L116" s="110"/>
      <c r="M116" s="110"/>
      <c r="N116" s="110"/>
      <c r="O116" s="110"/>
      <c r="P116" s="110"/>
      <c r="Q116" s="110"/>
    </row>
    <row r="117" spans="1:17" ht="15.75" x14ac:dyDescent="0.25">
      <c r="A117" s="110"/>
      <c r="B117" s="110"/>
      <c r="C117" s="110"/>
      <c r="D117" s="110"/>
      <c r="E117" s="110"/>
      <c r="F117" s="110"/>
      <c r="G117" s="110"/>
      <c r="H117" s="110"/>
      <c r="I117" s="110"/>
      <c r="J117" s="110"/>
      <c r="K117" s="110"/>
      <c r="L117" s="110"/>
      <c r="M117" s="110"/>
      <c r="N117" s="110"/>
      <c r="O117" s="110"/>
      <c r="P117" s="110"/>
      <c r="Q117" s="110"/>
    </row>
    <row r="118" spans="1:17" ht="15.75" x14ac:dyDescent="0.25">
      <c r="A118" s="110"/>
      <c r="B118" s="110"/>
      <c r="C118" s="110"/>
      <c r="D118" s="110"/>
      <c r="E118" s="110"/>
      <c r="F118" s="110"/>
      <c r="G118" s="110"/>
      <c r="H118" s="110"/>
      <c r="I118" s="110"/>
      <c r="J118" s="110"/>
      <c r="K118" s="110"/>
      <c r="L118" s="110"/>
      <c r="M118" s="110"/>
      <c r="N118" s="110"/>
      <c r="O118" s="110"/>
      <c r="P118" s="110"/>
      <c r="Q118" s="110"/>
    </row>
    <row r="119" spans="1:17" ht="15.75" x14ac:dyDescent="0.25">
      <c r="A119" s="110"/>
      <c r="B119" s="110"/>
      <c r="C119" s="110"/>
      <c r="D119" s="110"/>
      <c r="E119" s="110"/>
      <c r="F119" s="110"/>
      <c r="G119" s="110"/>
      <c r="H119" s="110"/>
      <c r="I119" s="110"/>
      <c r="J119" s="110"/>
      <c r="K119" s="110"/>
      <c r="L119" s="110"/>
      <c r="M119" s="110"/>
      <c r="N119" s="110"/>
      <c r="O119" s="110"/>
      <c r="P119" s="110"/>
      <c r="Q119" s="110"/>
    </row>
    <row r="120" spans="1:17" ht="15.75" x14ac:dyDescent="0.25">
      <c r="A120" s="110"/>
      <c r="B120" s="110"/>
      <c r="C120" s="110"/>
      <c r="D120" s="110"/>
      <c r="E120" s="110"/>
      <c r="F120" s="110"/>
      <c r="G120" s="110"/>
      <c r="H120" s="110"/>
      <c r="I120" s="110"/>
      <c r="J120" s="110"/>
      <c r="K120" s="110"/>
      <c r="L120" s="110"/>
      <c r="M120" s="110"/>
      <c r="N120" s="110"/>
      <c r="O120" s="110"/>
      <c r="P120" s="110"/>
      <c r="Q120" s="110"/>
    </row>
    <row r="121" spans="1:17" ht="15.75" x14ac:dyDescent="0.25">
      <c r="A121" s="110"/>
      <c r="B121" s="110"/>
      <c r="C121" s="110"/>
      <c r="D121" s="110"/>
      <c r="E121" s="110"/>
      <c r="F121" s="110"/>
      <c r="G121" s="110"/>
      <c r="H121" s="110"/>
      <c r="I121" s="110"/>
      <c r="J121" s="110"/>
      <c r="K121" s="110"/>
      <c r="L121" s="110"/>
      <c r="M121" s="110"/>
      <c r="N121" s="110"/>
      <c r="O121" s="110"/>
      <c r="P121" s="110"/>
      <c r="Q121" s="110"/>
    </row>
    <row r="122" spans="1:17" ht="15.75" x14ac:dyDescent="0.25">
      <c r="A122" s="110"/>
      <c r="B122" s="110"/>
      <c r="C122" s="110"/>
      <c r="D122" s="110"/>
      <c r="E122" s="110"/>
      <c r="F122" s="110"/>
      <c r="G122" s="110"/>
      <c r="H122" s="110"/>
      <c r="I122" s="110"/>
      <c r="J122" s="110"/>
      <c r="K122" s="110"/>
      <c r="L122" s="110"/>
      <c r="M122" s="110"/>
      <c r="N122" s="110"/>
      <c r="O122" s="110"/>
      <c r="P122" s="110"/>
      <c r="Q122" s="110"/>
    </row>
    <row r="123" spans="1:17" ht="15.75" x14ac:dyDescent="0.25">
      <c r="A123" s="110"/>
      <c r="B123" s="110"/>
      <c r="C123" s="110"/>
      <c r="D123" s="110"/>
      <c r="E123" s="110"/>
      <c r="F123" s="110"/>
      <c r="G123" s="110"/>
      <c r="H123" s="110"/>
      <c r="I123" s="110"/>
      <c r="J123" s="110"/>
      <c r="K123" s="110"/>
      <c r="L123" s="110"/>
      <c r="M123" s="110"/>
      <c r="N123" s="110"/>
      <c r="O123" s="110"/>
      <c r="P123" s="110"/>
      <c r="Q123" s="110"/>
    </row>
    <row r="124" spans="1:17" ht="15.75" x14ac:dyDescent="0.25">
      <c r="A124" s="110"/>
      <c r="B124" s="110"/>
      <c r="C124" s="110"/>
      <c r="D124" s="110"/>
      <c r="E124" s="110"/>
      <c r="F124" s="110"/>
      <c r="G124" s="110"/>
      <c r="H124" s="110"/>
      <c r="I124" s="110"/>
      <c r="J124" s="110"/>
      <c r="K124" s="110"/>
      <c r="L124" s="110"/>
      <c r="M124" s="110"/>
      <c r="N124" s="110"/>
      <c r="O124" s="110"/>
      <c r="P124" s="110"/>
      <c r="Q124" s="110"/>
    </row>
    <row r="125" spans="1:17" ht="15.75" x14ac:dyDescent="0.25">
      <c r="A125" s="110"/>
      <c r="B125" s="110"/>
      <c r="C125" s="110"/>
      <c r="D125" s="110"/>
      <c r="E125" s="110"/>
      <c r="F125" s="110"/>
      <c r="G125" s="110"/>
      <c r="H125" s="110"/>
      <c r="I125" s="110"/>
      <c r="J125" s="110"/>
      <c r="K125" s="110"/>
      <c r="L125" s="110"/>
      <c r="M125" s="110"/>
      <c r="N125" s="110"/>
      <c r="O125" s="110"/>
      <c r="P125" s="110"/>
      <c r="Q125" s="110"/>
    </row>
    <row r="126" spans="1:17" ht="15.75" x14ac:dyDescent="0.25">
      <c r="A126" s="110"/>
      <c r="B126" s="110"/>
      <c r="C126" s="110"/>
      <c r="D126" s="110"/>
      <c r="E126" s="110"/>
      <c r="F126" s="110"/>
      <c r="G126" s="110"/>
      <c r="H126" s="110"/>
      <c r="I126" s="110"/>
      <c r="J126" s="110"/>
      <c r="K126" s="110"/>
      <c r="L126" s="110"/>
      <c r="M126" s="110"/>
      <c r="N126" s="110"/>
      <c r="O126" s="110"/>
      <c r="P126" s="110"/>
      <c r="Q126" s="110"/>
    </row>
    <row r="127" spans="1:17" ht="15.75" x14ac:dyDescent="0.25">
      <c r="A127" s="110"/>
      <c r="B127" s="110"/>
      <c r="C127" s="110"/>
      <c r="D127" s="110"/>
      <c r="E127" s="110"/>
      <c r="F127" s="110"/>
      <c r="G127" s="110"/>
      <c r="H127" s="110"/>
      <c r="I127" s="110"/>
      <c r="J127" s="110"/>
      <c r="K127" s="110"/>
      <c r="L127" s="110"/>
      <c r="M127" s="110"/>
      <c r="N127" s="110"/>
      <c r="O127" s="110"/>
      <c r="P127" s="110"/>
      <c r="Q127" s="110"/>
    </row>
    <row r="128" spans="1:17" ht="15.75" x14ac:dyDescent="0.25">
      <c r="A128" s="110"/>
      <c r="B128" s="110"/>
      <c r="C128" s="110"/>
      <c r="D128" s="110"/>
      <c r="E128" s="110"/>
      <c r="F128" s="110"/>
      <c r="G128" s="110"/>
      <c r="H128" s="110"/>
      <c r="I128" s="110"/>
      <c r="J128" s="110"/>
      <c r="K128" s="110"/>
      <c r="L128" s="110"/>
      <c r="M128" s="110"/>
      <c r="N128" s="110"/>
      <c r="O128" s="110"/>
      <c r="P128" s="110"/>
      <c r="Q128" s="110"/>
    </row>
    <row r="129" spans="1:17" ht="15.75" x14ac:dyDescent="0.25">
      <c r="A129" s="110"/>
      <c r="B129" s="110"/>
      <c r="C129" s="110"/>
      <c r="D129" s="110"/>
      <c r="E129" s="110"/>
      <c r="F129" s="110"/>
      <c r="G129" s="110"/>
      <c r="H129" s="110"/>
      <c r="I129" s="110"/>
      <c r="J129" s="110"/>
      <c r="K129" s="110"/>
      <c r="L129" s="110"/>
      <c r="M129" s="110"/>
      <c r="N129" s="110"/>
      <c r="O129" s="110"/>
      <c r="P129" s="110"/>
      <c r="Q129" s="110"/>
    </row>
    <row r="130" spans="1:17" ht="15.75" x14ac:dyDescent="0.25">
      <c r="A130" s="110"/>
      <c r="B130" s="110"/>
      <c r="C130" s="110"/>
      <c r="D130" s="110"/>
      <c r="E130" s="110"/>
      <c r="F130" s="110"/>
      <c r="G130" s="110"/>
      <c r="H130" s="110"/>
      <c r="I130" s="110"/>
      <c r="J130" s="110"/>
      <c r="K130" s="110"/>
      <c r="L130" s="110"/>
      <c r="M130" s="110"/>
      <c r="N130" s="110"/>
      <c r="O130" s="110"/>
      <c r="P130" s="110"/>
      <c r="Q130" s="110"/>
    </row>
    <row r="131" spans="1:17" ht="15.75" x14ac:dyDescent="0.25">
      <c r="A131" s="110"/>
      <c r="B131" s="110"/>
      <c r="C131" s="110"/>
      <c r="D131" s="110"/>
      <c r="E131" s="110"/>
      <c r="F131" s="110"/>
      <c r="G131" s="110"/>
      <c r="H131" s="110"/>
      <c r="I131" s="110"/>
      <c r="J131" s="110"/>
      <c r="K131" s="110"/>
      <c r="L131" s="110"/>
      <c r="M131" s="110"/>
      <c r="N131" s="110"/>
      <c r="O131" s="110"/>
      <c r="P131" s="110"/>
      <c r="Q131" s="110"/>
    </row>
    <row r="132" spans="1:17" ht="15.75" x14ac:dyDescent="0.25">
      <c r="A132" s="110"/>
      <c r="B132" s="110"/>
      <c r="C132" s="110"/>
      <c r="D132" s="110"/>
      <c r="E132" s="110"/>
      <c r="F132" s="110"/>
      <c r="G132" s="110"/>
      <c r="H132" s="110"/>
      <c r="I132" s="110"/>
      <c r="J132" s="110"/>
      <c r="K132" s="110"/>
      <c r="L132" s="110"/>
      <c r="M132" s="110"/>
      <c r="N132" s="110"/>
      <c r="O132" s="110"/>
      <c r="P132" s="110"/>
      <c r="Q132" s="110"/>
    </row>
    <row r="133" spans="1:17" ht="15.75" x14ac:dyDescent="0.25">
      <c r="A133" s="110"/>
      <c r="B133" s="110"/>
      <c r="C133" s="110"/>
      <c r="D133" s="110"/>
      <c r="E133" s="110"/>
      <c r="F133" s="110"/>
      <c r="G133" s="110"/>
      <c r="H133" s="110"/>
      <c r="I133" s="110"/>
      <c r="J133" s="110"/>
      <c r="K133" s="110"/>
      <c r="L133" s="110"/>
      <c r="M133" s="110"/>
      <c r="N133" s="110"/>
      <c r="O133" s="110"/>
      <c r="P133" s="110"/>
      <c r="Q133" s="110"/>
    </row>
    <row r="134" spans="1:17" ht="15.75" x14ac:dyDescent="0.25">
      <c r="A134" s="110"/>
      <c r="B134" s="110"/>
      <c r="C134" s="110"/>
      <c r="D134" s="110"/>
      <c r="E134" s="110"/>
      <c r="F134" s="110"/>
      <c r="G134" s="110"/>
      <c r="H134" s="110"/>
      <c r="I134" s="110"/>
      <c r="J134" s="110"/>
      <c r="K134" s="110"/>
      <c r="L134" s="110"/>
      <c r="M134" s="110"/>
      <c r="N134" s="110"/>
      <c r="O134" s="110"/>
      <c r="P134" s="110"/>
      <c r="Q134" s="110"/>
    </row>
    <row r="135" spans="1:17" ht="15.75" x14ac:dyDescent="0.25">
      <c r="A135" s="110"/>
      <c r="B135" s="110"/>
      <c r="C135" s="110"/>
      <c r="D135" s="110"/>
      <c r="E135" s="110"/>
      <c r="F135" s="110"/>
      <c r="G135" s="110"/>
      <c r="H135" s="110"/>
      <c r="I135" s="110"/>
      <c r="J135" s="110"/>
      <c r="K135" s="110"/>
      <c r="L135" s="110"/>
      <c r="M135" s="110"/>
      <c r="N135" s="110"/>
      <c r="O135" s="110"/>
      <c r="P135" s="110"/>
      <c r="Q135" s="110"/>
    </row>
    <row r="136" spans="1:17" ht="15.75" x14ac:dyDescent="0.25">
      <c r="A136" s="110"/>
      <c r="B136" s="110"/>
      <c r="C136" s="110"/>
      <c r="D136" s="110"/>
      <c r="E136" s="110"/>
      <c r="F136" s="110"/>
      <c r="G136" s="110"/>
      <c r="H136" s="110"/>
      <c r="I136" s="110"/>
      <c r="J136" s="110"/>
      <c r="K136" s="110"/>
      <c r="L136" s="110"/>
      <c r="M136" s="110"/>
      <c r="N136" s="110"/>
      <c r="O136" s="110"/>
      <c r="P136" s="110"/>
      <c r="Q136" s="110"/>
    </row>
    <row r="137" spans="1:17" ht="15.75" x14ac:dyDescent="0.25">
      <c r="A137" s="110"/>
      <c r="B137" s="110"/>
      <c r="C137" s="110"/>
      <c r="D137" s="110"/>
      <c r="E137" s="110"/>
      <c r="F137" s="110"/>
      <c r="G137" s="110"/>
      <c r="H137" s="110"/>
      <c r="I137" s="110"/>
      <c r="J137" s="110"/>
      <c r="K137" s="110"/>
      <c r="L137" s="110"/>
      <c r="M137" s="110"/>
      <c r="N137" s="110"/>
      <c r="O137" s="110"/>
      <c r="P137" s="110"/>
      <c r="Q137" s="110"/>
    </row>
    <row r="138" spans="1:17" ht="15.75" x14ac:dyDescent="0.25">
      <c r="A138" s="110"/>
      <c r="B138" s="110"/>
      <c r="C138" s="110"/>
      <c r="D138" s="110"/>
      <c r="E138" s="110"/>
      <c r="F138" s="110"/>
      <c r="G138" s="110"/>
      <c r="H138" s="110"/>
      <c r="I138" s="110"/>
      <c r="J138" s="110"/>
      <c r="K138" s="110"/>
      <c r="L138" s="110"/>
      <c r="M138" s="110"/>
      <c r="N138" s="110"/>
      <c r="O138" s="110"/>
      <c r="P138" s="110"/>
      <c r="Q138" s="110"/>
    </row>
    <row r="139" spans="1:17" ht="15.75" x14ac:dyDescent="0.25">
      <c r="A139" s="110"/>
      <c r="B139" s="110"/>
      <c r="C139" s="110"/>
      <c r="D139" s="110"/>
      <c r="E139" s="110"/>
      <c r="F139" s="110"/>
      <c r="G139" s="110"/>
      <c r="H139" s="110"/>
      <c r="I139" s="110"/>
      <c r="J139" s="110"/>
      <c r="K139" s="110"/>
      <c r="L139" s="110"/>
      <c r="M139" s="110"/>
      <c r="N139" s="110"/>
      <c r="O139" s="110"/>
      <c r="P139" s="110"/>
      <c r="Q139" s="110"/>
    </row>
    <row r="140" spans="1:17" ht="15.75" x14ac:dyDescent="0.25">
      <c r="A140" s="110"/>
      <c r="B140" s="110"/>
      <c r="C140" s="110"/>
      <c r="D140" s="110"/>
      <c r="E140" s="110"/>
      <c r="F140" s="110"/>
      <c r="G140" s="110"/>
      <c r="H140" s="110"/>
      <c r="I140" s="110"/>
      <c r="J140" s="110"/>
      <c r="K140" s="110"/>
      <c r="L140" s="110"/>
      <c r="M140" s="110"/>
      <c r="N140" s="110"/>
      <c r="O140" s="110"/>
      <c r="P140" s="110"/>
      <c r="Q140" s="110"/>
    </row>
    <row r="141" spans="1:17" ht="15.75" x14ac:dyDescent="0.25">
      <c r="A141" s="110"/>
      <c r="B141" s="110"/>
      <c r="C141" s="110"/>
      <c r="D141" s="110"/>
      <c r="E141" s="110"/>
      <c r="F141" s="110"/>
      <c r="G141" s="110"/>
      <c r="H141" s="110"/>
      <c r="I141" s="110"/>
      <c r="J141" s="110"/>
      <c r="K141" s="110"/>
      <c r="L141" s="110"/>
      <c r="M141" s="110"/>
      <c r="N141" s="110"/>
      <c r="O141" s="110"/>
      <c r="P141" s="110"/>
      <c r="Q141" s="110"/>
    </row>
    <row r="142" spans="1:17" ht="15.75" x14ac:dyDescent="0.25">
      <c r="A142" s="110"/>
      <c r="B142" s="110"/>
      <c r="C142" s="110"/>
      <c r="D142" s="110"/>
      <c r="E142" s="110"/>
      <c r="F142" s="110"/>
      <c r="G142" s="110"/>
      <c r="H142" s="110"/>
      <c r="I142" s="110"/>
      <c r="J142" s="110"/>
      <c r="K142" s="110"/>
      <c r="L142" s="110"/>
      <c r="M142" s="110"/>
      <c r="N142" s="110"/>
      <c r="O142" s="110"/>
      <c r="P142" s="110"/>
      <c r="Q142" s="110"/>
    </row>
    <row r="143" spans="1:17" ht="15.75" x14ac:dyDescent="0.25">
      <c r="A143" s="110"/>
      <c r="B143" s="110"/>
      <c r="C143" s="110"/>
      <c r="D143" s="110"/>
      <c r="E143" s="110"/>
      <c r="F143" s="110"/>
      <c r="G143" s="110"/>
      <c r="H143" s="110"/>
      <c r="I143" s="110"/>
      <c r="J143" s="110"/>
      <c r="K143" s="110"/>
      <c r="L143" s="110"/>
      <c r="M143" s="110"/>
      <c r="N143" s="110"/>
      <c r="O143" s="110"/>
      <c r="P143" s="110"/>
      <c r="Q143" s="110"/>
    </row>
    <row r="144" spans="1:17" ht="15.75" x14ac:dyDescent="0.25">
      <c r="A144" s="110"/>
      <c r="B144" s="110"/>
      <c r="C144" s="110"/>
      <c r="D144" s="110"/>
      <c r="E144" s="110"/>
      <c r="F144" s="110"/>
      <c r="G144" s="110"/>
      <c r="H144" s="110"/>
      <c r="I144" s="110"/>
      <c r="J144" s="110"/>
      <c r="K144" s="110"/>
      <c r="L144" s="110"/>
      <c r="M144" s="110"/>
      <c r="N144" s="110"/>
      <c r="O144" s="110"/>
      <c r="P144" s="110"/>
      <c r="Q144" s="110"/>
    </row>
    <row r="145" spans="1:17" ht="15.75" x14ac:dyDescent="0.25">
      <c r="A145" s="110"/>
      <c r="B145" s="110"/>
      <c r="C145" s="110"/>
      <c r="D145" s="110"/>
      <c r="E145" s="110"/>
      <c r="F145" s="110"/>
      <c r="G145" s="110"/>
      <c r="H145" s="110"/>
      <c r="I145" s="110"/>
      <c r="J145" s="110"/>
      <c r="K145" s="110"/>
      <c r="L145" s="110"/>
      <c r="M145" s="110"/>
      <c r="N145" s="110"/>
      <c r="O145" s="110"/>
      <c r="P145" s="110"/>
      <c r="Q145" s="110"/>
    </row>
    <row r="146" spans="1:17" ht="15.75" x14ac:dyDescent="0.25">
      <c r="A146" s="110"/>
      <c r="B146" s="110"/>
      <c r="C146" s="110"/>
      <c r="D146" s="110"/>
      <c r="E146" s="110"/>
      <c r="F146" s="110"/>
      <c r="G146" s="110"/>
      <c r="H146" s="110"/>
      <c r="I146" s="110"/>
      <c r="J146" s="110"/>
      <c r="K146" s="110"/>
      <c r="L146" s="110"/>
      <c r="M146" s="110"/>
      <c r="N146" s="110"/>
      <c r="O146" s="110"/>
      <c r="P146" s="110"/>
      <c r="Q146" s="110"/>
    </row>
    <row r="147" spans="1:17" ht="15.75" x14ac:dyDescent="0.25">
      <c r="A147" s="110"/>
      <c r="B147" s="110"/>
      <c r="C147" s="110"/>
      <c r="D147" s="110"/>
      <c r="E147" s="110"/>
      <c r="F147" s="110"/>
      <c r="G147" s="110"/>
      <c r="H147" s="110"/>
      <c r="I147" s="110"/>
      <c r="J147" s="110"/>
      <c r="K147" s="110"/>
      <c r="L147" s="110"/>
      <c r="M147" s="110"/>
      <c r="N147" s="110"/>
      <c r="O147" s="110"/>
      <c r="P147" s="110"/>
      <c r="Q147" s="110"/>
    </row>
    <row r="148" spans="1:17" ht="15.75" x14ac:dyDescent="0.25">
      <c r="A148" s="110"/>
      <c r="B148" s="110"/>
      <c r="C148" s="110"/>
      <c r="D148" s="110"/>
      <c r="E148" s="110"/>
      <c r="F148" s="110"/>
      <c r="G148" s="110"/>
      <c r="H148" s="110"/>
      <c r="I148" s="110"/>
      <c r="J148" s="110"/>
      <c r="K148" s="110"/>
      <c r="L148" s="110"/>
      <c r="M148" s="110"/>
      <c r="N148" s="110"/>
      <c r="O148" s="110"/>
      <c r="P148" s="110"/>
      <c r="Q148" s="110"/>
    </row>
    <row r="149" spans="1:17" ht="15.75" x14ac:dyDescent="0.25">
      <c r="A149" s="110"/>
      <c r="B149" s="110"/>
      <c r="C149" s="110"/>
      <c r="D149" s="110"/>
      <c r="E149" s="110"/>
      <c r="F149" s="110"/>
      <c r="G149" s="110"/>
      <c r="H149" s="110"/>
      <c r="I149" s="110"/>
      <c r="J149" s="110"/>
      <c r="K149" s="110"/>
      <c r="L149" s="110"/>
      <c r="M149" s="110"/>
      <c r="N149" s="110"/>
      <c r="O149" s="110"/>
      <c r="P149" s="110"/>
      <c r="Q149" s="110"/>
    </row>
    <row r="150" spans="1:17" ht="15.75" x14ac:dyDescent="0.25">
      <c r="A150" s="110"/>
      <c r="B150" s="110"/>
      <c r="C150" s="110"/>
      <c r="D150" s="110"/>
      <c r="E150" s="110"/>
      <c r="F150" s="110"/>
      <c r="G150" s="110"/>
      <c r="H150" s="110"/>
      <c r="I150" s="110"/>
      <c r="J150" s="110"/>
      <c r="K150" s="110"/>
      <c r="L150" s="110"/>
      <c r="M150" s="110"/>
      <c r="N150" s="110"/>
      <c r="O150" s="110"/>
      <c r="P150" s="110"/>
      <c r="Q150" s="110"/>
    </row>
    <row r="151" spans="1:17" ht="15.75" x14ac:dyDescent="0.25">
      <c r="A151" s="110"/>
      <c r="B151" s="110"/>
      <c r="C151" s="110"/>
      <c r="D151" s="110"/>
      <c r="E151" s="110"/>
      <c r="F151" s="110"/>
      <c r="G151" s="110"/>
      <c r="H151" s="110"/>
      <c r="I151" s="110"/>
      <c r="J151" s="110"/>
      <c r="K151" s="110"/>
      <c r="L151" s="110"/>
      <c r="M151" s="110"/>
      <c r="N151" s="110"/>
      <c r="O151" s="110"/>
      <c r="P151" s="110"/>
      <c r="Q151" s="110"/>
    </row>
    <row r="152" spans="1:17" ht="15.75" x14ac:dyDescent="0.25">
      <c r="A152" s="110"/>
      <c r="B152" s="110"/>
      <c r="C152" s="110"/>
      <c r="D152" s="110"/>
      <c r="E152" s="110"/>
      <c r="F152" s="110"/>
      <c r="G152" s="110"/>
      <c r="H152" s="110"/>
      <c r="I152" s="110"/>
      <c r="J152" s="110"/>
      <c r="K152" s="110"/>
      <c r="L152" s="110"/>
      <c r="M152" s="110"/>
      <c r="N152" s="110"/>
      <c r="O152" s="110"/>
      <c r="P152" s="110"/>
      <c r="Q152" s="110"/>
    </row>
    <row r="153" spans="1:17" ht="15.75" x14ac:dyDescent="0.25">
      <c r="A153" s="110"/>
      <c r="B153" s="110"/>
      <c r="C153" s="110"/>
      <c r="D153" s="110"/>
      <c r="E153" s="110"/>
      <c r="F153" s="110"/>
      <c r="G153" s="110"/>
      <c r="H153" s="110"/>
      <c r="I153" s="110"/>
      <c r="J153" s="110"/>
      <c r="K153" s="110"/>
      <c r="L153" s="110"/>
      <c r="M153" s="110"/>
      <c r="N153" s="110"/>
      <c r="O153" s="110"/>
      <c r="P153" s="110"/>
      <c r="Q153" s="110"/>
    </row>
    <row r="154" spans="1:17" ht="15.75" x14ac:dyDescent="0.25">
      <c r="A154" s="110"/>
      <c r="B154" s="110"/>
      <c r="C154" s="110"/>
      <c r="D154" s="110"/>
      <c r="E154" s="110"/>
      <c r="F154" s="110"/>
      <c r="G154" s="110"/>
      <c r="H154" s="110"/>
      <c r="I154" s="110"/>
      <c r="J154" s="110"/>
      <c r="K154" s="110"/>
      <c r="L154" s="110"/>
      <c r="M154" s="110"/>
      <c r="N154" s="110"/>
      <c r="O154" s="110"/>
      <c r="P154" s="110"/>
      <c r="Q154" s="110"/>
    </row>
    <row r="155" spans="1:17" ht="15.75" x14ac:dyDescent="0.25">
      <c r="A155" s="110"/>
      <c r="B155" s="110"/>
      <c r="C155" s="110"/>
      <c r="D155" s="110"/>
      <c r="E155" s="110"/>
      <c r="F155" s="110"/>
      <c r="G155" s="110"/>
      <c r="H155" s="110"/>
      <c r="I155" s="110"/>
      <c r="J155" s="110"/>
      <c r="K155" s="110"/>
      <c r="L155" s="110"/>
      <c r="M155" s="110"/>
      <c r="N155" s="110"/>
      <c r="O155" s="110"/>
      <c r="P155" s="110"/>
      <c r="Q155" s="110"/>
    </row>
    <row r="156" spans="1:17" ht="15.75" x14ac:dyDescent="0.25">
      <c r="A156" s="110"/>
      <c r="B156" s="110"/>
      <c r="C156" s="110"/>
      <c r="D156" s="110"/>
      <c r="E156" s="110"/>
      <c r="F156" s="110"/>
      <c r="G156" s="110"/>
      <c r="H156" s="110"/>
      <c r="I156" s="110"/>
      <c r="J156" s="110"/>
      <c r="K156" s="110"/>
      <c r="L156" s="110"/>
      <c r="M156" s="110"/>
      <c r="N156" s="110"/>
      <c r="O156" s="110"/>
      <c r="P156" s="110"/>
      <c r="Q156" s="110"/>
    </row>
    <row r="157" spans="1:17" ht="15.75" x14ac:dyDescent="0.25">
      <c r="A157" s="110"/>
      <c r="B157" s="110"/>
      <c r="C157" s="110"/>
      <c r="D157" s="110"/>
      <c r="E157" s="110"/>
      <c r="F157" s="110"/>
      <c r="G157" s="110"/>
      <c r="H157" s="110"/>
      <c r="I157" s="110"/>
      <c r="J157" s="110"/>
      <c r="K157" s="110"/>
      <c r="L157" s="110"/>
      <c r="M157" s="110"/>
      <c r="N157" s="110"/>
      <c r="O157" s="110"/>
      <c r="P157" s="110"/>
      <c r="Q157" s="110"/>
    </row>
    <row r="158" spans="1:17" ht="15.75" x14ac:dyDescent="0.25">
      <c r="A158" s="110"/>
      <c r="B158" s="110"/>
      <c r="C158" s="110"/>
      <c r="D158" s="110"/>
      <c r="E158" s="110"/>
      <c r="F158" s="110"/>
      <c r="G158" s="110"/>
      <c r="H158" s="110"/>
      <c r="I158" s="110"/>
      <c r="J158" s="110"/>
      <c r="K158" s="110"/>
      <c r="L158" s="110"/>
      <c r="M158" s="110"/>
      <c r="N158" s="110"/>
      <c r="O158" s="110"/>
      <c r="P158" s="110"/>
      <c r="Q158" s="110"/>
    </row>
    <row r="159" spans="1:17" ht="15.75" x14ac:dyDescent="0.25">
      <c r="A159" s="110"/>
      <c r="B159" s="110"/>
      <c r="C159" s="110"/>
      <c r="D159" s="110"/>
      <c r="E159" s="110"/>
      <c r="F159" s="110"/>
      <c r="G159" s="110"/>
      <c r="H159" s="110"/>
      <c r="I159" s="110"/>
      <c r="J159" s="110"/>
      <c r="K159" s="110"/>
      <c r="L159" s="110"/>
      <c r="M159" s="110"/>
      <c r="N159" s="110"/>
      <c r="O159" s="110"/>
      <c r="P159" s="110"/>
      <c r="Q159" s="110"/>
    </row>
    <row r="160" spans="1:17" ht="15.75" x14ac:dyDescent="0.25">
      <c r="A160" s="110"/>
      <c r="B160" s="110"/>
      <c r="C160" s="110"/>
      <c r="D160" s="110"/>
      <c r="E160" s="110"/>
      <c r="F160" s="110"/>
      <c r="G160" s="110"/>
      <c r="H160" s="110"/>
      <c r="I160" s="110"/>
      <c r="J160" s="110"/>
      <c r="K160" s="110"/>
      <c r="L160" s="110"/>
      <c r="M160" s="110"/>
      <c r="N160" s="110"/>
      <c r="O160" s="110"/>
      <c r="P160" s="110"/>
      <c r="Q160" s="110"/>
    </row>
    <row r="161" spans="1:17" ht="15.75" x14ac:dyDescent="0.25">
      <c r="A161" s="110"/>
      <c r="B161" s="110"/>
      <c r="C161" s="110"/>
      <c r="D161" s="110"/>
      <c r="E161" s="110"/>
      <c r="F161" s="110"/>
      <c r="G161" s="110"/>
      <c r="H161" s="110"/>
      <c r="I161" s="110"/>
      <c r="J161" s="110"/>
      <c r="K161" s="110"/>
      <c r="L161" s="110"/>
      <c r="M161" s="110"/>
      <c r="N161" s="110"/>
      <c r="O161" s="110"/>
      <c r="P161" s="110"/>
      <c r="Q161" s="110"/>
    </row>
    <row r="162" spans="1:17" ht="15.75" x14ac:dyDescent="0.25">
      <c r="A162" s="110"/>
      <c r="B162" s="110"/>
      <c r="C162" s="110"/>
      <c r="D162" s="110"/>
      <c r="E162" s="110"/>
      <c r="F162" s="110"/>
      <c r="G162" s="110"/>
      <c r="H162" s="110"/>
      <c r="I162" s="110"/>
      <c r="J162" s="110"/>
      <c r="K162" s="110"/>
      <c r="L162" s="110"/>
      <c r="M162" s="110"/>
      <c r="N162" s="110"/>
      <c r="O162" s="110"/>
      <c r="P162" s="110"/>
      <c r="Q162" s="110"/>
    </row>
    <row r="163" spans="1:17" ht="15.75" x14ac:dyDescent="0.25">
      <c r="A163" s="110"/>
      <c r="B163" s="110"/>
      <c r="C163" s="110"/>
      <c r="D163" s="110"/>
      <c r="E163" s="110"/>
      <c r="F163" s="110"/>
      <c r="G163" s="110"/>
      <c r="H163" s="110"/>
      <c r="I163" s="110"/>
      <c r="J163" s="110"/>
      <c r="K163" s="110"/>
      <c r="L163" s="110"/>
      <c r="M163" s="110"/>
      <c r="N163" s="110"/>
      <c r="O163" s="110"/>
      <c r="P163" s="110"/>
      <c r="Q163" s="110"/>
    </row>
    <row r="164" spans="1:17" ht="15.75" x14ac:dyDescent="0.25">
      <c r="A164" s="110"/>
      <c r="B164" s="110"/>
      <c r="C164" s="110"/>
      <c r="D164" s="110"/>
      <c r="E164" s="110"/>
      <c r="F164" s="110"/>
      <c r="G164" s="110"/>
      <c r="H164" s="110"/>
      <c r="I164" s="110"/>
      <c r="J164" s="110"/>
      <c r="K164" s="110"/>
      <c r="L164" s="110"/>
      <c r="M164" s="110"/>
      <c r="N164" s="110"/>
      <c r="O164" s="110"/>
      <c r="P164" s="110"/>
      <c r="Q164" s="110"/>
    </row>
    <row r="165" spans="1:17" ht="15.75" x14ac:dyDescent="0.25">
      <c r="A165" s="110"/>
      <c r="B165" s="110"/>
      <c r="C165" s="110"/>
      <c r="D165" s="110"/>
      <c r="E165" s="110"/>
      <c r="F165" s="110"/>
      <c r="G165" s="110"/>
      <c r="H165" s="110"/>
      <c r="I165" s="110"/>
      <c r="J165" s="110"/>
      <c r="K165" s="110"/>
      <c r="L165" s="110"/>
      <c r="M165" s="110"/>
      <c r="N165" s="110"/>
      <c r="O165" s="110"/>
      <c r="P165" s="110"/>
      <c r="Q165" s="110"/>
    </row>
    <row r="166" spans="1:17" ht="15.75" x14ac:dyDescent="0.25">
      <c r="A166" s="110"/>
      <c r="B166" s="110"/>
      <c r="C166" s="110"/>
      <c r="D166" s="110"/>
      <c r="E166" s="110"/>
      <c r="F166" s="110"/>
      <c r="G166" s="110"/>
      <c r="H166" s="110"/>
      <c r="I166" s="110"/>
      <c r="J166" s="110"/>
      <c r="K166" s="110"/>
      <c r="L166" s="110"/>
      <c r="M166" s="110"/>
      <c r="N166" s="110"/>
      <c r="O166" s="110"/>
      <c r="P166" s="110"/>
      <c r="Q166" s="110"/>
    </row>
    <row r="167" spans="1:17" ht="15.75" x14ac:dyDescent="0.25">
      <c r="A167" s="110"/>
      <c r="B167" s="110"/>
      <c r="C167" s="110"/>
      <c r="D167" s="110"/>
      <c r="E167" s="110"/>
      <c r="F167" s="110"/>
      <c r="G167" s="110"/>
      <c r="H167" s="110"/>
      <c r="I167" s="110"/>
      <c r="J167" s="110"/>
      <c r="K167" s="110"/>
      <c r="L167" s="110"/>
      <c r="M167" s="110"/>
      <c r="N167" s="110"/>
      <c r="O167" s="110"/>
      <c r="P167" s="110"/>
      <c r="Q167" s="110"/>
    </row>
    <row r="168" spans="1:17" ht="15.75" x14ac:dyDescent="0.25">
      <c r="A168" s="110"/>
      <c r="B168" s="110"/>
      <c r="C168" s="110"/>
      <c r="D168" s="110"/>
      <c r="E168" s="110"/>
      <c r="F168" s="110"/>
      <c r="G168" s="110"/>
      <c r="H168" s="110"/>
      <c r="I168" s="110"/>
      <c r="J168" s="110"/>
      <c r="K168" s="110"/>
      <c r="L168" s="110"/>
      <c r="M168" s="110"/>
      <c r="N168" s="110"/>
      <c r="O168" s="110"/>
      <c r="P168" s="110"/>
      <c r="Q168" s="110"/>
    </row>
    <row r="169" spans="1:17" ht="15.75" x14ac:dyDescent="0.25">
      <c r="A169" s="110"/>
      <c r="B169" s="110"/>
      <c r="C169" s="110"/>
      <c r="D169" s="110"/>
      <c r="E169" s="110"/>
      <c r="F169" s="110"/>
      <c r="G169" s="110"/>
      <c r="H169" s="110"/>
      <c r="I169" s="110"/>
      <c r="J169" s="110"/>
      <c r="K169" s="110"/>
      <c r="L169" s="110"/>
      <c r="M169" s="110"/>
      <c r="N169" s="110"/>
      <c r="O169" s="110"/>
      <c r="P169" s="110"/>
      <c r="Q169" s="110"/>
    </row>
    <row r="170" spans="1:17" ht="15.75" x14ac:dyDescent="0.25">
      <c r="A170" s="110"/>
      <c r="B170" s="110"/>
      <c r="C170" s="110"/>
      <c r="D170" s="110"/>
      <c r="E170" s="110"/>
      <c r="F170" s="110"/>
      <c r="G170" s="110"/>
      <c r="H170" s="110"/>
      <c r="I170" s="110"/>
      <c r="J170" s="110"/>
      <c r="K170" s="110"/>
      <c r="L170" s="110"/>
      <c r="M170" s="110"/>
      <c r="N170" s="110"/>
      <c r="O170" s="110"/>
      <c r="P170" s="110"/>
      <c r="Q170" s="110"/>
    </row>
    <row r="171" spans="1:17" ht="15.75" x14ac:dyDescent="0.25">
      <c r="A171" s="110"/>
      <c r="B171" s="110"/>
      <c r="C171" s="110"/>
      <c r="D171" s="110"/>
      <c r="E171" s="110"/>
      <c r="F171" s="110"/>
      <c r="G171" s="110"/>
      <c r="H171" s="110"/>
      <c r="I171" s="110"/>
      <c r="J171" s="110"/>
      <c r="K171" s="110"/>
      <c r="L171" s="110"/>
      <c r="M171" s="110"/>
      <c r="N171" s="110"/>
      <c r="O171" s="110"/>
      <c r="P171" s="110"/>
      <c r="Q171" s="110"/>
    </row>
    <row r="172" spans="1:17" ht="15.75" x14ac:dyDescent="0.25">
      <c r="A172" s="110"/>
      <c r="B172" s="110"/>
      <c r="C172" s="110"/>
      <c r="D172" s="110"/>
      <c r="E172" s="110"/>
      <c r="F172" s="110"/>
      <c r="G172" s="110"/>
      <c r="H172" s="110"/>
      <c r="I172" s="110"/>
      <c r="J172" s="110"/>
      <c r="K172" s="110"/>
      <c r="L172" s="110"/>
      <c r="M172" s="110"/>
      <c r="N172" s="110"/>
      <c r="O172" s="110"/>
      <c r="P172" s="110"/>
      <c r="Q172" s="110"/>
    </row>
    <row r="173" spans="1:17" ht="15.75" x14ac:dyDescent="0.25">
      <c r="A173" s="110"/>
      <c r="B173" s="110"/>
      <c r="C173" s="110"/>
      <c r="D173" s="110"/>
      <c r="E173" s="110"/>
      <c r="F173" s="110"/>
      <c r="G173" s="110"/>
      <c r="H173" s="110"/>
      <c r="I173" s="110"/>
      <c r="J173" s="110"/>
      <c r="K173" s="110"/>
      <c r="L173" s="110"/>
      <c r="M173" s="110"/>
      <c r="N173" s="110"/>
      <c r="O173" s="110"/>
      <c r="P173" s="110"/>
      <c r="Q173" s="110"/>
    </row>
    <row r="174" spans="1:17" ht="15.75" x14ac:dyDescent="0.25">
      <c r="A174" s="110"/>
      <c r="B174" s="110"/>
      <c r="C174" s="110"/>
      <c r="D174" s="110"/>
      <c r="E174" s="110"/>
      <c r="F174" s="110"/>
      <c r="G174" s="110"/>
      <c r="H174" s="110"/>
      <c r="I174" s="110"/>
      <c r="J174" s="110"/>
      <c r="K174" s="110"/>
      <c r="L174" s="110"/>
      <c r="M174" s="110"/>
      <c r="N174" s="110"/>
      <c r="O174" s="110"/>
      <c r="P174" s="110"/>
      <c r="Q174" s="110"/>
    </row>
    <row r="175" spans="1:17" ht="15.75" x14ac:dyDescent="0.25">
      <c r="A175" s="110"/>
      <c r="B175" s="110"/>
      <c r="C175" s="110"/>
      <c r="D175" s="110"/>
      <c r="E175" s="110"/>
      <c r="F175" s="110"/>
      <c r="G175" s="110"/>
      <c r="H175" s="110"/>
      <c r="I175" s="110"/>
      <c r="J175" s="110"/>
      <c r="K175" s="110"/>
      <c r="L175" s="110"/>
      <c r="M175" s="110"/>
      <c r="N175" s="110"/>
      <c r="O175" s="110"/>
      <c r="P175" s="110"/>
      <c r="Q175" s="110"/>
    </row>
    <row r="176" spans="1:17" ht="15.75" x14ac:dyDescent="0.25">
      <c r="A176" s="110"/>
      <c r="B176" s="110"/>
      <c r="C176" s="110"/>
      <c r="D176" s="110"/>
      <c r="E176" s="110"/>
      <c r="F176" s="110"/>
      <c r="G176" s="110"/>
      <c r="H176" s="110"/>
      <c r="I176" s="110"/>
      <c r="J176" s="110"/>
      <c r="K176" s="110"/>
      <c r="L176" s="110"/>
      <c r="M176" s="110"/>
      <c r="N176" s="110"/>
      <c r="O176" s="110"/>
      <c r="P176" s="110"/>
      <c r="Q176" s="110"/>
    </row>
    <row r="177" spans="1:17" ht="15.75" x14ac:dyDescent="0.25">
      <c r="A177" s="110"/>
      <c r="B177" s="110"/>
      <c r="C177" s="110"/>
      <c r="D177" s="110"/>
      <c r="E177" s="110"/>
      <c r="F177" s="110"/>
      <c r="G177" s="110"/>
      <c r="H177" s="110"/>
      <c r="I177" s="110"/>
      <c r="J177" s="110"/>
      <c r="K177" s="110"/>
      <c r="L177" s="110"/>
      <c r="M177" s="110"/>
      <c r="N177" s="110"/>
      <c r="O177" s="110"/>
      <c r="P177" s="110"/>
      <c r="Q177" s="110"/>
    </row>
    <row r="178" spans="1:17" ht="15.75" x14ac:dyDescent="0.25">
      <c r="A178" s="110"/>
      <c r="B178" s="110"/>
      <c r="C178" s="110"/>
      <c r="D178" s="110"/>
      <c r="E178" s="110"/>
      <c r="F178" s="110"/>
      <c r="G178" s="110"/>
      <c r="H178" s="110"/>
      <c r="I178" s="110"/>
      <c r="J178" s="110"/>
      <c r="K178" s="110"/>
      <c r="L178" s="110"/>
      <c r="M178" s="110"/>
      <c r="N178" s="110"/>
      <c r="O178" s="110"/>
      <c r="P178" s="110"/>
      <c r="Q178" s="110"/>
    </row>
    <row r="179" spans="1:17" ht="15.75" x14ac:dyDescent="0.25">
      <c r="A179" s="110"/>
      <c r="B179" s="110"/>
      <c r="C179" s="110"/>
      <c r="D179" s="110"/>
      <c r="E179" s="110"/>
      <c r="F179" s="110"/>
      <c r="G179" s="110"/>
      <c r="H179" s="110"/>
      <c r="I179" s="110"/>
      <c r="J179" s="110"/>
      <c r="K179" s="110"/>
      <c r="L179" s="110"/>
      <c r="M179" s="110"/>
      <c r="N179" s="110"/>
      <c r="O179" s="110"/>
      <c r="P179" s="110"/>
      <c r="Q179" s="110"/>
    </row>
    <row r="180" spans="1:17" ht="15.75" x14ac:dyDescent="0.25">
      <c r="A180" s="110"/>
      <c r="B180" s="110"/>
      <c r="C180" s="110"/>
      <c r="D180" s="110"/>
      <c r="E180" s="110"/>
      <c r="F180" s="110"/>
      <c r="G180" s="110"/>
      <c r="H180" s="110"/>
      <c r="I180" s="110"/>
      <c r="J180" s="110"/>
      <c r="K180" s="110"/>
      <c r="L180" s="110"/>
      <c r="M180" s="110"/>
      <c r="N180" s="110"/>
      <c r="O180" s="110"/>
      <c r="P180" s="110"/>
      <c r="Q180" s="110"/>
    </row>
    <row r="181" spans="1:17" ht="15.75" x14ac:dyDescent="0.25">
      <c r="A181" s="110"/>
      <c r="B181" s="110"/>
      <c r="C181" s="110"/>
      <c r="D181" s="110"/>
      <c r="E181" s="110"/>
      <c r="F181" s="110"/>
      <c r="G181" s="110"/>
      <c r="H181" s="110"/>
      <c r="I181" s="110"/>
      <c r="J181" s="110"/>
      <c r="K181" s="110"/>
      <c r="L181" s="110"/>
      <c r="M181" s="110"/>
      <c r="N181" s="110"/>
      <c r="O181" s="110"/>
      <c r="P181" s="110"/>
      <c r="Q181" s="110"/>
    </row>
    <row r="182" spans="1:17" ht="15.75" x14ac:dyDescent="0.25">
      <c r="A182" s="110"/>
      <c r="B182" s="110"/>
      <c r="C182" s="110"/>
      <c r="D182" s="110"/>
      <c r="E182" s="110"/>
      <c r="F182" s="110"/>
      <c r="G182" s="110"/>
      <c r="H182" s="110"/>
      <c r="I182" s="110"/>
      <c r="J182" s="110"/>
      <c r="K182" s="110"/>
      <c r="L182" s="110"/>
      <c r="M182" s="110"/>
      <c r="N182" s="110"/>
      <c r="O182" s="110"/>
      <c r="P182" s="110"/>
      <c r="Q182" s="110"/>
    </row>
    <row r="183" spans="1:17" ht="15.75" x14ac:dyDescent="0.25">
      <c r="A183" s="110"/>
      <c r="B183" s="110"/>
      <c r="C183" s="110"/>
      <c r="D183" s="110"/>
      <c r="E183" s="110"/>
      <c r="F183" s="110"/>
      <c r="G183" s="110"/>
      <c r="H183" s="110"/>
      <c r="I183" s="110"/>
      <c r="J183" s="110"/>
      <c r="K183" s="110"/>
      <c r="L183" s="110"/>
      <c r="M183" s="110"/>
      <c r="N183" s="110"/>
      <c r="O183" s="110"/>
      <c r="P183" s="110"/>
      <c r="Q183" s="110"/>
    </row>
    <row r="184" spans="1:17" ht="15.75" x14ac:dyDescent="0.25">
      <c r="A184" s="110"/>
      <c r="B184" s="110"/>
      <c r="C184" s="110"/>
      <c r="D184" s="110"/>
      <c r="E184" s="110"/>
      <c r="F184" s="110"/>
      <c r="G184" s="110"/>
      <c r="H184" s="110"/>
      <c r="I184" s="110"/>
      <c r="J184" s="110"/>
      <c r="K184" s="110"/>
      <c r="L184" s="110"/>
      <c r="M184" s="110"/>
      <c r="N184" s="110"/>
      <c r="O184" s="110"/>
      <c r="P184" s="110"/>
      <c r="Q184" s="110"/>
    </row>
    <row r="185" spans="1:17" ht="15.75" x14ac:dyDescent="0.25">
      <c r="A185" s="110"/>
      <c r="B185" s="110"/>
      <c r="C185" s="110"/>
      <c r="D185" s="110"/>
      <c r="E185" s="110"/>
      <c r="F185" s="110"/>
      <c r="G185" s="110"/>
      <c r="H185" s="110"/>
      <c r="I185" s="110"/>
      <c r="J185" s="110"/>
      <c r="K185" s="110"/>
      <c r="L185" s="110"/>
      <c r="M185" s="110"/>
      <c r="N185" s="110"/>
      <c r="O185" s="110"/>
      <c r="P185" s="110"/>
      <c r="Q185" s="110"/>
    </row>
    <row r="186" spans="1:17" ht="15.75" x14ac:dyDescent="0.25">
      <c r="A186" s="110"/>
      <c r="B186" s="110"/>
      <c r="C186" s="110"/>
      <c r="D186" s="110"/>
      <c r="E186" s="110"/>
      <c r="F186" s="110"/>
      <c r="G186" s="110"/>
      <c r="H186" s="110"/>
      <c r="I186" s="110"/>
      <c r="J186" s="110"/>
      <c r="K186" s="110"/>
      <c r="L186" s="110"/>
      <c r="M186" s="110"/>
      <c r="N186" s="110"/>
      <c r="O186" s="110"/>
      <c r="P186" s="110"/>
      <c r="Q186" s="110"/>
    </row>
    <row r="187" spans="1:17" ht="15.75" x14ac:dyDescent="0.25">
      <c r="A187" s="110"/>
      <c r="B187" s="110"/>
      <c r="C187" s="110"/>
      <c r="D187" s="110"/>
      <c r="E187" s="110"/>
      <c r="F187" s="110"/>
      <c r="G187" s="110"/>
      <c r="H187" s="110"/>
      <c r="I187" s="110"/>
      <c r="J187" s="110"/>
      <c r="K187" s="110"/>
      <c r="L187" s="110"/>
      <c r="M187" s="110"/>
      <c r="N187" s="110"/>
      <c r="O187" s="110"/>
      <c r="P187" s="110"/>
      <c r="Q187" s="110"/>
    </row>
    <row r="188" spans="1:17" ht="15.75" x14ac:dyDescent="0.25">
      <c r="A188" s="110"/>
      <c r="B188" s="110"/>
      <c r="C188" s="110"/>
      <c r="D188" s="110"/>
      <c r="E188" s="110"/>
      <c r="F188" s="110"/>
      <c r="G188" s="110"/>
      <c r="H188" s="110"/>
      <c r="I188" s="110"/>
      <c r="J188" s="110"/>
      <c r="K188" s="110"/>
      <c r="L188" s="110"/>
      <c r="M188" s="110"/>
      <c r="N188" s="110"/>
      <c r="O188" s="110"/>
      <c r="P188" s="110"/>
      <c r="Q188" s="110"/>
    </row>
    <row r="189" spans="1:17" ht="15.75" x14ac:dyDescent="0.25">
      <c r="A189" s="110"/>
      <c r="B189" s="110"/>
      <c r="C189" s="110"/>
      <c r="D189" s="110"/>
      <c r="E189" s="110"/>
      <c r="F189" s="110"/>
      <c r="G189" s="110"/>
      <c r="H189" s="110"/>
      <c r="I189" s="110"/>
      <c r="J189" s="110"/>
      <c r="K189" s="110"/>
      <c r="L189" s="110"/>
      <c r="M189" s="110"/>
      <c r="N189" s="110"/>
      <c r="O189" s="110"/>
      <c r="P189" s="110"/>
      <c r="Q189" s="110"/>
    </row>
    <row r="190" spans="1:17" ht="15.75" x14ac:dyDescent="0.25">
      <c r="A190" s="110"/>
      <c r="B190" s="110"/>
      <c r="C190" s="110"/>
      <c r="D190" s="110"/>
      <c r="E190" s="110"/>
      <c r="F190" s="110"/>
      <c r="G190" s="110"/>
      <c r="H190" s="110"/>
      <c r="I190" s="110"/>
      <c r="J190" s="110"/>
      <c r="K190" s="110"/>
      <c r="L190" s="110"/>
      <c r="M190" s="110"/>
      <c r="N190" s="110"/>
      <c r="O190" s="110"/>
      <c r="P190" s="110"/>
      <c r="Q190" s="110"/>
    </row>
    <row r="191" spans="1:17" ht="15.75" x14ac:dyDescent="0.25">
      <c r="A191" s="110"/>
      <c r="B191" s="110"/>
      <c r="C191" s="110"/>
      <c r="D191" s="110"/>
      <c r="E191" s="110"/>
      <c r="F191" s="110"/>
      <c r="G191" s="110"/>
      <c r="H191" s="110"/>
      <c r="I191" s="110"/>
      <c r="J191" s="110"/>
      <c r="K191" s="110"/>
      <c r="L191" s="110"/>
      <c r="M191" s="110"/>
      <c r="N191" s="110"/>
      <c r="O191" s="110"/>
      <c r="P191" s="110"/>
      <c r="Q191" s="110"/>
    </row>
    <row r="192" spans="1:17" ht="15.75" x14ac:dyDescent="0.25">
      <c r="A192" s="110"/>
      <c r="B192" s="110"/>
      <c r="C192" s="110"/>
      <c r="D192" s="110"/>
      <c r="E192" s="110"/>
      <c r="F192" s="110"/>
      <c r="G192" s="110"/>
      <c r="H192" s="110"/>
      <c r="I192" s="110"/>
      <c r="J192" s="110"/>
      <c r="K192" s="110"/>
      <c r="L192" s="110"/>
      <c r="M192" s="110"/>
      <c r="N192" s="110"/>
      <c r="O192" s="110"/>
      <c r="P192" s="110"/>
      <c r="Q192" s="110"/>
    </row>
    <row r="193" spans="1:17" ht="15.75" x14ac:dyDescent="0.25">
      <c r="A193" s="110"/>
      <c r="B193" s="110"/>
      <c r="C193" s="110"/>
      <c r="D193" s="110"/>
      <c r="E193" s="110"/>
      <c r="F193" s="110"/>
      <c r="G193" s="110"/>
      <c r="H193" s="110"/>
      <c r="I193" s="110"/>
      <c r="J193" s="110"/>
      <c r="K193" s="110"/>
      <c r="L193" s="110"/>
      <c r="M193" s="110"/>
      <c r="N193" s="110"/>
      <c r="O193" s="110"/>
      <c r="P193" s="110"/>
      <c r="Q193" s="110"/>
    </row>
    <row r="194" spans="1:17" ht="15.75" x14ac:dyDescent="0.25">
      <c r="A194" s="110"/>
      <c r="B194" s="110"/>
      <c r="C194" s="110"/>
      <c r="D194" s="110"/>
      <c r="E194" s="110"/>
      <c r="F194" s="110"/>
      <c r="G194" s="110"/>
      <c r="H194" s="110"/>
      <c r="I194" s="110"/>
      <c r="J194" s="110"/>
      <c r="K194" s="110"/>
      <c r="L194" s="110"/>
      <c r="M194" s="110"/>
      <c r="N194" s="110"/>
      <c r="O194" s="110"/>
      <c r="P194" s="110"/>
      <c r="Q194" s="110"/>
    </row>
    <row r="195" spans="1:17" ht="15.75" x14ac:dyDescent="0.25">
      <c r="A195" s="110"/>
      <c r="B195" s="110"/>
      <c r="C195" s="110"/>
      <c r="D195" s="110"/>
      <c r="E195" s="110"/>
      <c r="F195" s="110"/>
      <c r="G195" s="110"/>
      <c r="H195" s="110"/>
      <c r="I195" s="110"/>
      <c r="J195" s="110"/>
      <c r="K195" s="110"/>
      <c r="L195" s="110"/>
      <c r="M195" s="110"/>
      <c r="N195" s="110"/>
      <c r="O195" s="110"/>
      <c r="P195" s="110"/>
      <c r="Q195" s="110"/>
    </row>
    <row r="196" spans="1:17" ht="15.75" x14ac:dyDescent="0.25">
      <c r="A196" s="110"/>
      <c r="B196" s="110"/>
      <c r="C196" s="110"/>
      <c r="D196" s="110"/>
      <c r="E196" s="110"/>
      <c r="F196" s="110"/>
      <c r="G196" s="110"/>
      <c r="H196" s="110"/>
      <c r="I196" s="110"/>
      <c r="J196" s="110"/>
      <c r="K196" s="110"/>
      <c r="L196" s="110"/>
      <c r="M196" s="110"/>
      <c r="N196" s="110"/>
      <c r="O196" s="110"/>
      <c r="P196" s="110"/>
      <c r="Q196" s="110"/>
    </row>
    <row r="197" spans="1:17" ht="15.75" x14ac:dyDescent="0.25">
      <c r="A197" s="110"/>
      <c r="B197" s="110"/>
      <c r="C197" s="110"/>
      <c r="D197" s="110"/>
      <c r="E197" s="110"/>
      <c r="F197" s="110"/>
      <c r="G197" s="110"/>
      <c r="H197" s="110"/>
      <c r="I197" s="110"/>
      <c r="J197" s="110"/>
      <c r="K197" s="110"/>
      <c r="L197" s="110"/>
      <c r="M197" s="110"/>
      <c r="N197" s="110"/>
      <c r="O197" s="110"/>
      <c r="P197" s="110"/>
      <c r="Q197" s="110"/>
    </row>
    <row r="198" spans="1:17" ht="15.75" x14ac:dyDescent="0.25">
      <c r="A198" s="110"/>
      <c r="B198" s="110"/>
      <c r="C198" s="110"/>
      <c r="D198" s="110"/>
      <c r="E198" s="110"/>
      <c r="F198" s="110"/>
      <c r="G198" s="110"/>
      <c r="H198" s="110"/>
      <c r="I198" s="110"/>
      <c r="J198" s="110"/>
      <c r="K198" s="110"/>
      <c r="L198" s="110"/>
      <c r="M198" s="110"/>
      <c r="N198" s="110"/>
      <c r="O198" s="110"/>
      <c r="P198" s="110"/>
      <c r="Q198" s="110"/>
    </row>
    <row r="199" spans="1:17" ht="15.75" x14ac:dyDescent="0.25">
      <c r="A199" s="110"/>
      <c r="B199" s="110"/>
      <c r="C199" s="110"/>
      <c r="D199" s="110"/>
      <c r="E199" s="110"/>
      <c r="F199" s="110"/>
      <c r="G199" s="110"/>
      <c r="H199" s="110"/>
      <c r="I199" s="110"/>
      <c r="J199" s="110"/>
      <c r="K199" s="110"/>
      <c r="L199" s="110"/>
      <c r="M199" s="110"/>
      <c r="N199" s="110"/>
      <c r="O199" s="110"/>
      <c r="P199" s="110"/>
      <c r="Q199" s="110"/>
    </row>
    <row r="200" spans="1:17" ht="15.75" x14ac:dyDescent="0.25">
      <c r="A200" s="110"/>
      <c r="B200" s="110"/>
      <c r="C200" s="110"/>
      <c r="D200" s="110"/>
      <c r="E200" s="110"/>
      <c r="F200" s="110"/>
      <c r="G200" s="110"/>
      <c r="H200" s="110"/>
      <c r="I200" s="110"/>
      <c r="J200" s="110"/>
      <c r="K200" s="110"/>
      <c r="L200" s="110"/>
      <c r="M200" s="110"/>
      <c r="N200" s="110"/>
      <c r="O200" s="110"/>
      <c r="P200" s="110"/>
      <c r="Q200" s="110"/>
    </row>
  </sheetData>
  <mergeCells count="19">
    <mergeCell ref="Q10:Q11"/>
    <mergeCell ref="C10:C11"/>
    <mergeCell ref="D10:D11"/>
    <mergeCell ref="E10:E11"/>
    <mergeCell ref="H10:H11"/>
    <mergeCell ref="F10:F11"/>
    <mergeCell ref="A6:Q6"/>
    <mergeCell ref="A7:Q7"/>
    <mergeCell ref="A8:Q8"/>
    <mergeCell ref="B10:B11"/>
    <mergeCell ref="A10:A11"/>
    <mergeCell ref="I10:I11"/>
    <mergeCell ref="J10:J11"/>
    <mergeCell ref="M10:P10"/>
    <mergeCell ref="G10:G11"/>
    <mergeCell ref="K10:K11"/>
    <mergeCell ref="L10:L11"/>
    <mergeCell ref="A9:G9"/>
    <mergeCell ref="H9:Q9"/>
  </mergeCells>
  <dataValidations count="3">
    <dataValidation type="list" errorStyle="warning" allowBlank="1" showInputMessage="1" showErrorMessage="1" sqref="E12:E41">
      <formula1>CuocTC588s</formula1>
    </dataValidation>
    <dataValidation type="list" errorStyle="warning" allowBlank="1" showInputMessage="1" showErrorMessage="1" sqref="I12:I41">
      <formula1>DoDoc</formula1>
    </dataValidation>
    <dataValidation type="list" errorStyle="warning" allowBlank="1" showInputMessage="1" showErrorMessage="1" sqref="K12:K41">
      <formula1>DiaHinh</formula1>
    </dataValidation>
  </dataValidations>
  <pageMargins left="0.75" right="0.75" top="0.79" bottom="0.79" header="0.3" footer="0.3"/>
  <pageSetup paperSize="9" orientation="portrait" horizontalDpi="6553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11"/>
  <sheetViews>
    <sheetView showZeros="0" topLeftCell="B1" workbookViewId="0">
      <selection activeCell="B50" sqref="A50:XFD356"/>
    </sheetView>
  </sheetViews>
  <sheetFormatPr defaultColWidth="9.140625" defaultRowHeight="15" x14ac:dyDescent="0.25"/>
  <cols>
    <col min="1" max="1" width="9.140625" style="770" hidden="1" customWidth="1"/>
    <col min="2" max="2" width="4.85546875" style="770" bestFit="1" customWidth="1"/>
    <col min="3" max="3" width="6.85546875" style="770" bestFit="1" customWidth="1"/>
    <col min="4" max="4" width="9.42578125" style="770" hidden="1" customWidth="1"/>
    <col min="5" max="5" width="30.28515625" style="770" customWidth="1"/>
    <col min="6" max="8" width="10.85546875" style="770" customWidth="1"/>
    <col min="9" max="9" width="9.140625" style="770" hidden="1" customWidth="1"/>
    <col min="10" max="10" width="12.85546875" style="770" hidden="1" customWidth="1"/>
    <col min="11" max="11" width="9.140625" style="770" customWidth="1"/>
    <col min="12" max="16384" width="9.140625" style="770"/>
  </cols>
  <sheetData>
    <row r="1" spans="1:11" ht="18.75" x14ac:dyDescent="0.3">
      <c r="B1" s="959" t="s">
        <v>740</v>
      </c>
      <c r="C1" s="959"/>
      <c r="D1" s="959"/>
      <c r="E1" s="959"/>
      <c r="F1" s="959"/>
      <c r="G1" s="959"/>
      <c r="H1" s="959"/>
      <c r="I1" s="959"/>
      <c r="J1" s="959"/>
      <c r="K1" s="959"/>
    </row>
    <row r="2" spans="1:11" x14ac:dyDescent="0.25">
      <c r="B2" s="976" t="s">
        <v>1257</v>
      </c>
      <c r="C2" s="976"/>
      <c r="D2" s="976"/>
      <c r="E2" s="976"/>
      <c r="F2" s="976"/>
      <c r="G2" s="976"/>
      <c r="H2" s="976"/>
      <c r="I2" s="976"/>
      <c r="J2" s="976"/>
      <c r="K2" s="976"/>
    </row>
    <row r="3" spans="1:11" x14ac:dyDescent="0.25">
      <c r="B3" s="977" t="s">
        <v>440</v>
      </c>
      <c r="C3" s="977"/>
      <c r="D3" s="977"/>
      <c r="E3" s="977"/>
      <c r="F3" s="977"/>
      <c r="G3" s="977"/>
      <c r="H3" s="977"/>
      <c r="I3" s="977"/>
      <c r="J3" s="977"/>
      <c r="K3" s="977"/>
    </row>
    <row r="4" spans="1:11" ht="21" customHeight="1" x14ac:dyDescent="0.25">
      <c r="B4" s="773" t="s">
        <v>386</v>
      </c>
      <c r="C4" s="773" t="s">
        <v>393</v>
      </c>
      <c r="D4" s="773"/>
      <c r="E4" s="773" t="s">
        <v>129</v>
      </c>
      <c r="F4" s="773" t="s">
        <v>441</v>
      </c>
      <c r="G4" s="773" t="s">
        <v>915</v>
      </c>
      <c r="H4" s="773" t="s">
        <v>57</v>
      </c>
      <c r="I4" s="773" t="s">
        <v>972</v>
      </c>
      <c r="J4" s="773" t="s">
        <v>568</v>
      </c>
      <c r="K4" s="773" t="s">
        <v>848</v>
      </c>
    </row>
    <row r="5" spans="1:11" x14ac:dyDescent="0.25">
      <c r="A5" s="793"/>
      <c r="B5" s="794">
        <v>1</v>
      </c>
      <c r="C5" s="795" t="s">
        <v>475</v>
      </c>
      <c r="D5" s="796"/>
      <c r="E5" s="796" t="s">
        <v>1154</v>
      </c>
      <c r="F5" s="794" t="s">
        <v>434</v>
      </c>
      <c r="G5" s="797">
        <v>218559</v>
      </c>
      <c r="H5" s="818">
        <v>218559</v>
      </c>
      <c r="I5" s="798">
        <v>1</v>
      </c>
      <c r="J5" s="797">
        <f t="shared" ref="J5:J9" si="0">H5*I5</f>
        <v>218559</v>
      </c>
      <c r="K5" s="797">
        <f t="shared" ref="K5:K9" si="1">H5</f>
        <v>218559</v>
      </c>
    </row>
    <row r="6" spans="1:11" x14ac:dyDescent="0.25">
      <c r="A6" s="799"/>
      <c r="B6" s="800">
        <v>2</v>
      </c>
      <c r="C6" s="801" t="s">
        <v>49</v>
      </c>
      <c r="D6" s="802"/>
      <c r="E6" s="802" t="s">
        <v>818</v>
      </c>
      <c r="F6" s="800" t="s">
        <v>434</v>
      </c>
      <c r="G6" s="803">
        <v>239000</v>
      </c>
      <c r="H6" s="804">
        <v>239000</v>
      </c>
      <c r="I6" s="805">
        <v>1</v>
      </c>
      <c r="J6" s="803">
        <f t="shared" si="0"/>
        <v>239000</v>
      </c>
      <c r="K6" s="803">
        <f t="shared" si="1"/>
        <v>239000</v>
      </c>
    </row>
    <row r="7" spans="1:11" x14ac:dyDescent="0.25">
      <c r="A7" s="799"/>
      <c r="B7" s="800">
        <v>3</v>
      </c>
      <c r="C7" s="801" t="s">
        <v>1156</v>
      </c>
      <c r="D7" s="802"/>
      <c r="E7" s="802" t="s">
        <v>213</v>
      </c>
      <c r="F7" s="800" t="s">
        <v>434</v>
      </c>
      <c r="G7" s="803">
        <v>230630</v>
      </c>
      <c r="H7" s="804">
        <v>230630</v>
      </c>
      <c r="I7" s="805">
        <v>1</v>
      </c>
      <c r="J7" s="803">
        <f t="shared" si="0"/>
        <v>230630</v>
      </c>
      <c r="K7" s="803">
        <f t="shared" si="1"/>
        <v>230630</v>
      </c>
    </row>
    <row r="8" spans="1:11" x14ac:dyDescent="0.25">
      <c r="A8" s="799"/>
      <c r="B8" s="800">
        <v>4</v>
      </c>
      <c r="C8" s="801" t="s">
        <v>706</v>
      </c>
      <c r="D8" s="802"/>
      <c r="E8" s="802" t="s">
        <v>1200</v>
      </c>
      <c r="F8" s="800" t="s">
        <v>434</v>
      </c>
      <c r="G8" s="803">
        <v>252200</v>
      </c>
      <c r="H8" s="804">
        <v>252200</v>
      </c>
      <c r="I8" s="805">
        <v>1</v>
      </c>
      <c r="J8" s="803">
        <f t="shared" si="0"/>
        <v>252200</v>
      </c>
      <c r="K8" s="803">
        <f t="shared" si="1"/>
        <v>252200</v>
      </c>
    </row>
    <row r="9" spans="1:11" x14ac:dyDescent="0.25">
      <c r="A9" s="812"/>
      <c r="B9" s="815">
        <v>5</v>
      </c>
      <c r="C9" s="813" t="s">
        <v>169</v>
      </c>
      <c r="D9" s="814"/>
      <c r="E9" s="814" t="s">
        <v>911</v>
      </c>
      <c r="F9" s="815" t="s">
        <v>434</v>
      </c>
      <c r="G9" s="816">
        <v>273770</v>
      </c>
      <c r="H9" s="819">
        <v>273770</v>
      </c>
      <c r="I9" s="817">
        <v>1</v>
      </c>
      <c r="J9" s="816">
        <f t="shared" si="0"/>
        <v>273770</v>
      </c>
      <c r="K9" s="816">
        <f t="shared" si="1"/>
        <v>273770</v>
      </c>
    </row>
    <row r="10" spans="1:11" x14ac:dyDescent="0.25">
      <c r="B10" s="775"/>
      <c r="C10" s="775"/>
      <c r="D10" s="775"/>
      <c r="E10" s="775"/>
      <c r="F10" s="775"/>
      <c r="G10" s="775"/>
      <c r="H10" s="775"/>
      <c r="I10" s="775"/>
      <c r="J10" s="775"/>
      <c r="K10" s="775"/>
    </row>
    <row r="11" spans="1:11" x14ac:dyDescent="0.25">
      <c r="B11" s="775"/>
      <c r="C11" s="775"/>
      <c r="D11" s="775"/>
      <c r="E11" s="775"/>
      <c r="F11" s="775"/>
      <c r="G11" s="775"/>
      <c r="H11" s="775"/>
      <c r="I11" s="775"/>
      <c r="J11" s="775"/>
      <c r="K11" s="775"/>
    </row>
  </sheetData>
  <mergeCells count="3">
    <mergeCell ref="B1:K1"/>
    <mergeCell ref="B2:K2"/>
    <mergeCell ref="B3:K3"/>
  </mergeCells>
  <conditionalFormatting sqref="G5:H9">
    <cfRule type="cellIs" dxfId="7" priority="2" stopIfTrue="1" operator="equal">
      <formula>0</formula>
    </cfRule>
  </conditionalFormatting>
  <conditionalFormatting sqref="I5:I10">
    <cfRule type="cellIs" dxfId="6" priority="1" stopIfTrue="1" operator="equal">
      <formula>1</formula>
    </cfRule>
  </conditionalFormatting>
  <pageMargins left="0.98425196850393704" right="0.59055118110236227" top="0.78740157480314965" bottom="0.78740157480314965" header="0.31496062992125984" footer="0.31496062992125984"/>
  <pageSetup paperSize="9" orientation="portrait" useFirstPageNumber="1" horizontalDpi="6553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H55"/>
  <sheetViews>
    <sheetView showZeros="0" topLeftCell="B1" workbookViewId="0">
      <selection activeCell="E6" sqref="E6"/>
    </sheetView>
  </sheetViews>
  <sheetFormatPr defaultColWidth="9.140625" defaultRowHeight="15" x14ac:dyDescent="0.25"/>
  <cols>
    <col min="1" max="1" width="9.140625" style="751" hidden="1" customWidth="1"/>
    <col min="2" max="2" width="4.85546875" style="751" bestFit="1" customWidth="1"/>
    <col min="3" max="3" width="8.140625" style="751" bestFit="1" customWidth="1"/>
    <col min="4" max="4" width="10.28515625" style="751" hidden="1" customWidth="1"/>
    <col min="5" max="5" width="45.7109375" style="751" customWidth="1"/>
    <col min="6" max="6" width="9.140625" style="751" customWidth="1"/>
    <col min="7" max="7" width="9.140625" style="751" hidden="1" customWidth="1"/>
    <col min="8" max="8" width="10" style="751" hidden="1" customWidth="1"/>
    <col min="9" max="9" width="6.5703125" style="751" hidden="1" customWidth="1"/>
    <col min="10" max="10" width="11" style="751" customWidth="1"/>
    <col min="11" max="11" width="9.85546875" style="751" customWidth="1"/>
    <col min="12" max="12" width="13.28515625" style="751" hidden="1" customWidth="1"/>
    <col min="13" max="13" width="7.5703125" style="751" hidden="1" customWidth="1"/>
    <col min="14" max="14" width="11" style="751" hidden="1" customWidth="1"/>
    <col min="15" max="15" width="11.5703125" style="751" hidden="1" customWidth="1"/>
    <col min="16" max="16" width="11" style="751" hidden="1" customWidth="1"/>
    <col min="17" max="17" width="6.5703125" style="751" hidden="1" customWidth="1"/>
    <col min="18" max="18" width="12.85546875" style="751" hidden="1" customWidth="1"/>
    <col min="19" max="19" width="11" style="751" hidden="1" customWidth="1"/>
    <col min="20" max="20" width="11.5703125" style="751" hidden="1" customWidth="1"/>
    <col min="21" max="21" width="12.42578125" style="751" hidden="1" customWidth="1"/>
    <col min="22" max="22" width="9.5703125" style="751" hidden="1" customWidth="1"/>
    <col min="23" max="23" width="11" style="751" hidden="1" customWidth="1"/>
    <col min="24" max="24" width="9.85546875" style="751" customWidth="1"/>
    <col min="25" max="25" width="14.7109375" style="751" hidden="1" customWidth="1"/>
    <col min="26" max="26" width="13.140625" style="751" customWidth="1"/>
    <col min="27" max="27" width="12.85546875" style="751" customWidth="1"/>
    <col min="28" max="34" width="9.140625" style="751" hidden="1" customWidth="1"/>
    <col min="35" max="35" width="9.140625" style="751" customWidth="1"/>
    <col min="36" max="16384" width="9.140625" style="751"/>
  </cols>
  <sheetData>
    <row r="1" spans="1:27" ht="18.75" x14ac:dyDescent="0.3">
      <c r="A1" s="978" t="s">
        <v>1259</v>
      </c>
      <c r="B1" s="978" t="s">
        <v>1259</v>
      </c>
      <c r="C1" s="978" t="s">
        <v>1259</v>
      </c>
      <c r="D1" s="978" t="s">
        <v>1259</v>
      </c>
      <c r="E1" s="978" t="s">
        <v>1259</v>
      </c>
      <c r="F1" s="978" t="s">
        <v>1259</v>
      </c>
      <c r="G1" s="978" t="s">
        <v>1259</v>
      </c>
      <c r="H1" s="978" t="s">
        <v>1259</v>
      </c>
      <c r="I1" s="978" t="s">
        <v>1259</v>
      </c>
      <c r="J1" s="978" t="s">
        <v>1259</v>
      </c>
      <c r="K1" s="978" t="s">
        <v>1259</v>
      </c>
      <c r="L1" s="978" t="s">
        <v>1259</v>
      </c>
      <c r="M1" s="978" t="s">
        <v>1259</v>
      </c>
      <c r="N1" s="978" t="s">
        <v>1259</v>
      </c>
      <c r="O1" s="978" t="s">
        <v>1259</v>
      </c>
      <c r="P1" s="978" t="s">
        <v>1259</v>
      </c>
      <c r="Q1" s="978" t="s">
        <v>1259</v>
      </c>
      <c r="R1" s="978" t="s">
        <v>1259</v>
      </c>
      <c r="S1" s="978" t="s">
        <v>1259</v>
      </c>
      <c r="T1" s="978" t="s">
        <v>1259</v>
      </c>
      <c r="U1" s="978" t="s">
        <v>1259</v>
      </c>
      <c r="V1" s="978" t="s">
        <v>1259</v>
      </c>
      <c r="W1" s="978" t="s">
        <v>1259</v>
      </c>
      <c r="X1" s="978" t="s">
        <v>1259</v>
      </c>
      <c r="Y1" s="978" t="s">
        <v>1259</v>
      </c>
      <c r="Z1" s="978" t="s">
        <v>1259</v>
      </c>
      <c r="AA1" s="978" t="s">
        <v>1259</v>
      </c>
    </row>
    <row r="2" spans="1:27" x14ac:dyDescent="0.25">
      <c r="A2" s="979" t="s">
        <v>315</v>
      </c>
      <c r="B2" s="979" t="s">
        <v>315</v>
      </c>
      <c r="C2" s="979" t="s">
        <v>315</v>
      </c>
      <c r="D2" s="979" t="s">
        <v>315</v>
      </c>
      <c r="E2" s="979" t="s">
        <v>315</v>
      </c>
      <c r="F2" s="979" t="s">
        <v>315</v>
      </c>
      <c r="G2" s="979" t="s">
        <v>315</v>
      </c>
      <c r="H2" s="979" t="s">
        <v>315</v>
      </c>
      <c r="I2" s="979" t="s">
        <v>315</v>
      </c>
      <c r="J2" s="979" t="s">
        <v>315</v>
      </c>
      <c r="K2" s="979" t="s">
        <v>315</v>
      </c>
      <c r="L2" s="979" t="s">
        <v>315</v>
      </c>
      <c r="M2" s="979" t="s">
        <v>315</v>
      </c>
      <c r="N2" s="979" t="s">
        <v>315</v>
      </c>
      <c r="O2" s="979" t="s">
        <v>315</v>
      </c>
      <c r="P2" s="979" t="s">
        <v>315</v>
      </c>
      <c r="Q2" s="979" t="s">
        <v>315</v>
      </c>
      <c r="R2" s="979" t="s">
        <v>315</v>
      </c>
      <c r="S2" s="979" t="s">
        <v>315</v>
      </c>
      <c r="T2" s="979" t="s">
        <v>315</v>
      </c>
      <c r="U2" s="979" t="s">
        <v>315</v>
      </c>
      <c r="V2" s="979" t="s">
        <v>315</v>
      </c>
      <c r="W2" s="979" t="s">
        <v>315</v>
      </c>
      <c r="X2" s="979" t="s">
        <v>315</v>
      </c>
      <c r="Y2" s="979" t="s">
        <v>315</v>
      </c>
      <c r="Z2" s="979" t="s">
        <v>315</v>
      </c>
      <c r="AA2" s="979" t="s">
        <v>315</v>
      </c>
    </row>
    <row r="3" spans="1:27" ht="13.5" customHeight="1" x14ac:dyDescent="0.25">
      <c r="A3" s="981" t="s">
        <v>60</v>
      </c>
      <c r="B3" s="981" t="s">
        <v>60</v>
      </c>
      <c r="C3" s="981" t="s">
        <v>60</v>
      </c>
      <c r="D3" s="981" t="s">
        <v>60</v>
      </c>
      <c r="E3" s="981" t="s">
        <v>60</v>
      </c>
      <c r="F3" s="981" t="s">
        <v>60</v>
      </c>
      <c r="G3" s="981" t="s">
        <v>60</v>
      </c>
      <c r="H3" s="981" t="s">
        <v>60</v>
      </c>
      <c r="I3" s="981" t="s">
        <v>60</v>
      </c>
      <c r="J3" s="981" t="s">
        <v>60</v>
      </c>
      <c r="K3" s="981" t="s">
        <v>60</v>
      </c>
      <c r="L3" s="981" t="s">
        <v>60</v>
      </c>
      <c r="M3" s="981" t="s">
        <v>60</v>
      </c>
      <c r="N3" s="981" t="s">
        <v>60</v>
      </c>
      <c r="O3" s="981" t="s">
        <v>60</v>
      </c>
      <c r="P3" s="981" t="s">
        <v>60</v>
      </c>
      <c r="Q3" s="981" t="s">
        <v>60</v>
      </c>
      <c r="R3" s="981" t="s">
        <v>60</v>
      </c>
      <c r="S3" s="981" t="s">
        <v>60</v>
      </c>
      <c r="T3" s="981" t="s">
        <v>60</v>
      </c>
      <c r="U3" s="981" t="s">
        <v>60</v>
      </c>
      <c r="V3" s="981" t="s">
        <v>60</v>
      </c>
      <c r="W3" s="981" t="s">
        <v>60</v>
      </c>
      <c r="X3" s="981" t="s">
        <v>60</v>
      </c>
      <c r="Y3" s="981" t="s">
        <v>60</v>
      </c>
      <c r="Z3" s="981" t="s">
        <v>60</v>
      </c>
      <c r="AA3" s="981" t="s">
        <v>60</v>
      </c>
    </row>
    <row r="4" spans="1:27" x14ac:dyDescent="0.25">
      <c r="A4" s="410"/>
      <c r="B4" s="980" t="s">
        <v>386</v>
      </c>
      <c r="C4" s="980" t="s">
        <v>752</v>
      </c>
      <c r="D4" s="588"/>
      <c r="E4" s="980" t="s">
        <v>925</v>
      </c>
      <c r="F4" s="980" t="s">
        <v>1136</v>
      </c>
      <c r="G4" s="980" t="s">
        <v>730</v>
      </c>
      <c r="H4" s="980" t="s">
        <v>1243</v>
      </c>
      <c r="I4" s="980" t="s">
        <v>972</v>
      </c>
      <c r="J4" s="980" t="s">
        <v>4</v>
      </c>
      <c r="K4" s="980" t="s">
        <v>915</v>
      </c>
      <c r="L4" s="980" t="s">
        <v>120</v>
      </c>
      <c r="M4" s="980" t="s">
        <v>57</v>
      </c>
      <c r="N4" s="980" t="s">
        <v>120</v>
      </c>
      <c r="O4" s="980" t="s">
        <v>999</v>
      </c>
      <c r="P4" s="980" t="s">
        <v>120</v>
      </c>
      <c r="Q4" s="980" t="s">
        <v>972</v>
      </c>
      <c r="R4" s="980" t="s">
        <v>568</v>
      </c>
      <c r="S4" s="980" t="s">
        <v>120</v>
      </c>
      <c r="T4" s="980" t="s">
        <v>999</v>
      </c>
      <c r="U4" s="980" t="s">
        <v>120</v>
      </c>
      <c r="V4" s="980" t="s">
        <v>1185</v>
      </c>
      <c r="W4" s="980" t="s">
        <v>120</v>
      </c>
      <c r="X4" s="980" t="s">
        <v>848</v>
      </c>
      <c r="Y4" s="980" t="s">
        <v>120</v>
      </c>
      <c r="Z4" s="980" t="s">
        <v>999</v>
      </c>
      <c r="AA4" s="980" t="s">
        <v>120</v>
      </c>
    </row>
    <row r="5" spans="1:27" ht="7.15" customHeight="1" x14ac:dyDescent="0.25">
      <c r="A5" s="410"/>
      <c r="B5" s="980"/>
      <c r="C5" s="980"/>
      <c r="D5" s="588"/>
      <c r="E5" s="980"/>
      <c r="F5" s="980"/>
      <c r="G5" s="980" t="s">
        <v>730</v>
      </c>
      <c r="H5" s="980" t="s">
        <v>1243</v>
      </c>
      <c r="I5" s="980" t="s">
        <v>972</v>
      </c>
      <c r="J5" s="980" t="s">
        <v>4</v>
      </c>
      <c r="K5" s="980"/>
      <c r="L5" s="980"/>
      <c r="M5" s="980"/>
      <c r="N5" s="980"/>
      <c r="O5" s="980"/>
      <c r="P5" s="980"/>
      <c r="Q5" s="980"/>
      <c r="R5" s="980"/>
      <c r="S5" s="980"/>
      <c r="T5" s="980"/>
      <c r="U5" s="980"/>
      <c r="V5" s="980"/>
      <c r="W5" s="980"/>
      <c r="X5" s="980"/>
      <c r="Y5" s="980"/>
      <c r="Z5" s="980"/>
      <c r="AA5" s="980"/>
    </row>
    <row r="6" spans="1:27" x14ac:dyDescent="0.25">
      <c r="A6" s="421" t="s">
        <v>262</v>
      </c>
      <c r="B6" s="140">
        <v>1</v>
      </c>
      <c r="C6" s="465" t="s">
        <v>475</v>
      </c>
      <c r="D6" s="465">
        <f>'Giá NC'!D5</f>
        <v>0</v>
      </c>
      <c r="E6" s="227" t="str">
        <f>'Giá NC'!E5</f>
        <v>Nhân công bậc 3,0/7 - Nhóm 1</v>
      </c>
      <c r="F6" s="140" t="s">
        <v>434</v>
      </c>
      <c r="G6" s="455"/>
      <c r="H6" s="455"/>
      <c r="I6" s="455"/>
      <c r="J6" s="455">
        <f>SUM(J7:J19)</f>
        <v>27.616632000000003</v>
      </c>
      <c r="K6" s="285">
        <f>'Giá NC'!G5</f>
        <v>218559</v>
      </c>
      <c r="L6" s="285">
        <f>J6*K6</f>
        <v>6035863.4732880006</v>
      </c>
      <c r="M6" s="285">
        <f>'Giá NC'!H5</f>
        <v>218559</v>
      </c>
      <c r="N6" s="285">
        <f>J6*M6</f>
        <v>6035863.4732880006</v>
      </c>
      <c r="O6" s="285">
        <f>M6-K6</f>
        <v>0</v>
      </c>
      <c r="P6" s="285">
        <f>J6*O6</f>
        <v>0</v>
      </c>
      <c r="Q6" s="285">
        <v>1</v>
      </c>
      <c r="R6" s="285">
        <f>M6*Q6</f>
        <v>218559</v>
      </c>
      <c r="S6" s="285">
        <f>J6*R6</f>
        <v>6035863.4732880006</v>
      </c>
      <c r="T6" s="285">
        <v>0</v>
      </c>
      <c r="U6" s="285">
        <v>0</v>
      </c>
      <c r="V6" s="285">
        <v>0</v>
      </c>
      <c r="W6" s="285">
        <v>0</v>
      </c>
      <c r="X6" s="285">
        <f>'Giá NC'!K5</f>
        <v>218559</v>
      </c>
      <c r="Y6" s="285">
        <f>J6*X6</f>
        <v>6035863.4732880006</v>
      </c>
      <c r="Z6" s="285">
        <f>X6-K6</f>
        <v>0</v>
      </c>
      <c r="AA6" s="285">
        <f>J6*Z6</f>
        <v>0</v>
      </c>
    </row>
    <row r="7" spans="1:27" s="391" customFormat="1" hidden="1" x14ac:dyDescent="0.25">
      <c r="A7" s="529">
        <f>'Du toan chi tiet'!A11</f>
        <v>0</v>
      </c>
      <c r="B7" s="76"/>
      <c r="C7" s="411" t="str">
        <f>'Du toan chi tiet'!C11</f>
        <v>AB.66141</v>
      </c>
      <c r="D7" s="411"/>
      <c r="E7" s="155" t="str">
        <f>'Du toan chi tiet'!D11</f>
        <v>Đắp bột đá công trình dày 5cm</v>
      </c>
      <c r="F7" s="76" t="str">
        <f>'Du toan chi tiet'!E11</f>
        <v>m3</v>
      </c>
      <c r="G7" s="381">
        <f>'Du toan chi tiet'!M11</f>
        <v>39.97</v>
      </c>
      <c r="H7" s="381">
        <f>'Phan tich don gia'!G44</f>
        <v>3.8899999999999997E-2</v>
      </c>
      <c r="I7" s="381">
        <f>'Du toan chi tiet'!W11</f>
        <v>1</v>
      </c>
      <c r="J7" s="381">
        <f t="shared" ref="J7:J19" si="0">PRODUCT(G7,H7,I7)</f>
        <v>1.5548329999999999</v>
      </c>
      <c r="K7" s="237"/>
      <c r="L7" s="237"/>
      <c r="M7" s="237"/>
      <c r="N7" s="237"/>
      <c r="O7" s="237"/>
      <c r="P7" s="237"/>
      <c r="Q7" s="237"/>
      <c r="R7" s="237"/>
      <c r="S7" s="237"/>
      <c r="T7" s="237"/>
      <c r="U7" s="237"/>
      <c r="V7" s="237"/>
      <c r="W7" s="237"/>
      <c r="X7" s="237"/>
      <c r="Y7" s="237"/>
      <c r="Z7" s="237"/>
      <c r="AA7" s="237">
        <f>J7*Z6</f>
        <v>0</v>
      </c>
    </row>
    <row r="8" spans="1:27" s="391" customFormat="1" hidden="1" x14ac:dyDescent="0.25">
      <c r="A8" s="529">
        <f>'Du toan chi tiet'!A17</f>
        <v>0</v>
      </c>
      <c r="B8" s="76"/>
      <c r="C8" s="411" t="str">
        <f>'Du toan chi tiet'!C17</f>
        <v>AB.31134</v>
      </c>
      <c r="D8" s="411"/>
      <c r="E8" s="155" t="str">
        <f>'Du toan chi tiet'!D17</f>
        <v>Đào kết cấu mặt đường hiện có</v>
      </c>
      <c r="F8" s="76" t="str">
        <f>'Du toan chi tiet'!E17</f>
        <v>m3</v>
      </c>
      <c r="G8" s="381">
        <f>'Du toan chi tiet'!M17</f>
        <v>5.92</v>
      </c>
      <c r="H8" s="381">
        <f>'Phan tich don gia'!G89</f>
        <v>4.8099999999999997E-2</v>
      </c>
      <c r="I8" s="381">
        <f>'Du toan chi tiet'!W17</f>
        <v>1</v>
      </c>
      <c r="J8" s="381">
        <f t="shared" si="0"/>
        <v>0.28475200000000001</v>
      </c>
      <c r="K8" s="237"/>
      <c r="L8" s="237"/>
      <c r="M8" s="237"/>
      <c r="N8" s="237"/>
      <c r="O8" s="237"/>
      <c r="P8" s="237"/>
      <c r="Q8" s="237"/>
      <c r="R8" s="237"/>
      <c r="S8" s="237"/>
      <c r="T8" s="237"/>
      <c r="U8" s="237"/>
      <c r="V8" s="237"/>
      <c r="W8" s="237"/>
      <c r="X8" s="237"/>
      <c r="Y8" s="237"/>
      <c r="Z8" s="237"/>
      <c r="AA8" s="237">
        <f>J8*Z6</f>
        <v>0</v>
      </c>
    </row>
    <row r="9" spans="1:27" s="391" customFormat="1" ht="30" hidden="1" x14ac:dyDescent="0.25">
      <c r="A9" s="529">
        <f>'Du toan chi tiet'!A18</f>
        <v>0</v>
      </c>
      <c r="B9" s="76"/>
      <c r="C9" s="411" t="str">
        <f>'Du toan chi tiet'!C18</f>
        <v>AB.21132</v>
      </c>
      <c r="D9" s="411"/>
      <c r="E9" s="155" t="str">
        <f>'Du toan chi tiet'!D18</f>
        <v>Đào đất hữu cơ bằng máy đào 1,25m3 - Cấp đất II</v>
      </c>
      <c r="F9" s="76" t="str">
        <f>'Du toan chi tiet'!E18</f>
        <v>m3</v>
      </c>
      <c r="G9" s="381">
        <f>'Du toan chi tiet'!M18</f>
        <v>185.83</v>
      </c>
      <c r="H9" s="381">
        <f>'Phan tich don gia'!G95</f>
        <v>5.1000000000000004E-3</v>
      </c>
      <c r="I9" s="381">
        <f>'Du toan chi tiet'!W18</f>
        <v>1</v>
      </c>
      <c r="J9" s="381">
        <f t="shared" si="0"/>
        <v>0.94773300000000016</v>
      </c>
      <c r="K9" s="237"/>
      <c r="L9" s="237"/>
      <c r="M9" s="237"/>
      <c r="N9" s="237"/>
      <c r="O9" s="237"/>
      <c r="P9" s="237"/>
      <c r="Q9" s="237"/>
      <c r="R9" s="237"/>
      <c r="S9" s="237"/>
      <c r="T9" s="237"/>
      <c r="U9" s="237"/>
      <c r="V9" s="237"/>
      <c r="W9" s="237"/>
      <c r="X9" s="237"/>
      <c r="Y9" s="237"/>
      <c r="Z9" s="237"/>
      <c r="AA9" s="237">
        <f>J9*Z6</f>
        <v>0</v>
      </c>
    </row>
    <row r="10" spans="1:27" s="391" customFormat="1" ht="30" hidden="1" x14ac:dyDescent="0.25">
      <c r="A10" s="529">
        <f>'Du toan chi tiet'!A19</f>
        <v>0</v>
      </c>
      <c r="B10" s="76"/>
      <c r="C10" s="411" t="str">
        <f>'Du toan chi tiet'!C19</f>
        <v>AB.31132</v>
      </c>
      <c r="D10" s="411"/>
      <c r="E10" s="155" t="str">
        <f>'Du toan chi tiet'!D19</f>
        <v>Đào đánh cấp bằng máy đào 1,25m3 - Cấp đất II</v>
      </c>
      <c r="F10" s="76" t="str">
        <f>'Du toan chi tiet'!E19</f>
        <v>m3</v>
      </c>
      <c r="G10" s="381">
        <f>'Du toan chi tiet'!M19</f>
        <v>18.11</v>
      </c>
      <c r="H10" s="381">
        <f>'Phan tich don gia'!G101</f>
        <v>3.39E-2</v>
      </c>
      <c r="I10" s="381">
        <f>'Du toan chi tiet'!W19</f>
        <v>1</v>
      </c>
      <c r="J10" s="381">
        <f t="shared" si="0"/>
        <v>0.61392899999999995</v>
      </c>
      <c r="K10" s="237"/>
      <c r="L10" s="237"/>
      <c r="M10" s="237"/>
      <c r="N10" s="237"/>
      <c r="O10" s="237"/>
      <c r="P10" s="237"/>
      <c r="Q10" s="237"/>
      <c r="R10" s="237"/>
      <c r="S10" s="237"/>
      <c r="T10" s="237"/>
      <c r="U10" s="237"/>
      <c r="V10" s="237"/>
      <c r="W10" s="237"/>
      <c r="X10" s="237"/>
      <c r="Y10" s="237"/>
      <c r="Z10" s="237"/>
      <c r="AA10" s="237">
        <f>J10*Z6</f>
        <v>0</v>
      </c>
    </row>
    <row r="11" spans="1:27" s="391" customFormat="1" ht="30" hidden="1" x14ac:dyDescent="0.25">
      <c r="A11" s="529">
        <f>'Du toan chi tiet'!A20</f>
        <v>0</v>
      </c>
      <c r="B11" s="76"/>
      <c r="C11" s="411" t="str">
        <f>'Du toan chi tiet'!C20</f>
        <v>AA.22112</v>
      </c>
      <c r="D11" s="411"/>
      <c r="E11" s="155" t="str">
        <f>'Du toan chi tiet'!D20</f>
        <v>Phá dỡ kết cấu bê tông không cốt thép bằng búa căn khí nén 3m3/ph</v>
      </c>
      <c r="F11" s="76" t="str">
        <f>'Du toan chi tiet'!E20</f>
        <v>m3</v>
      </c>
      <c r="G11" s="381">
        <f>'Du toan chi tiet'!M20</f>
        <v>33.17</v>
      </c>
      <c r="H11" s="381">
        <f>'Phan tich don gia'!G107</f>
        <v>0.5</v>
      </c>
      <c r="I11" s="381">
        <f>'Du toan chi tiet'!W20</f>
        <v>1</v>
      </c>
      <c r="J11" s="381">
        <f t="shared" si="0"/>
        <v>16.585000000000001</v>
      </c>
      <c r="K11" s="237"/>
      <c r="L11" s="237"/>
      <c r="M11" s="237"/>
      <c r="N11" s="237"/>
      <c r="O11" s="237"/>
      <c r="P11" s="237"/>
      <c r="Q11" s="237"/>
      <c r="R11" s="237"/>
      <c r="S11" s="237"/>
      <c r="T11" s="237"/>
      <c r="U11" s="237"/>
      <c r="V11" s="237"/>
      <c r="W11" s="237"/>
      <c r="X11" s="237"/>
      <c r="Y11" s="237"/>
      <c r="Z11" s="237"/>
      <c r="AA11" s="237">
        <f>J11*Z6</f>
        <v>0</v>
      </c>
    </row>
    <row r="12" spans="1:27" s="391" customFormat="1" ht="30" hidden="1" x14ac:dyDescent="0.25">
      <c r="A12" s="529">
        <f>'Du toan chi tiet'!A21</f>
        <v>0</v>
      </c>
      <c r="B12" s="76"/>
      <c r="C12" s="411" t="str">
        <f>'Du toan chi tiet'!C21</f>
        <v>AA.13221</v>
      </c>
      <c r="D12" s="411"/>
      <c r="E12" s="155" t="str">
        <f>'Du toan chi tiet'!D21</f>
        <v>Đào bụi tre, đường kính bụi tre ≤50cm bằng thủ công</v>
      </c>
      <c r="F12" s="76" t="str">
        <f>'Du toan chi tiet'!E21</f>
        <v>bụi</v>
      </c>
      <c r="G12" s="381">
        <f>'Du toan chi tiet'!M21</f>
        <v>7</v>
      </c>
      <c r="H12" s="381">
        <f>'Phan tich don gia'!G113</f>
        <v>0.79</v>
      </c>
      <c r="I12" s="381">
        <f>'Du toan chi tiet'!W21</f>
        <v>1</v>
      </c>
      <c r="J12" s="381">
        <f t="shared" si="0"/>
        <v>5.53</v>
      </c>
      <c r="K12" s="237"/>
      <c r="L12" s="237"/>
      <c r="M12" s="237"/>
      <c r="N12" s="237"/>
      <c r="O12" s="237"/>
      <c r="P12" s="237"/>
      <c r="Q12" s="237"/>
      <c r="R12" s="237"/>
      <c r="S12" s="237"/>
      <c r="T12" s="237"/>
      <c r="U12" s="237"/>
      <c r="V12" s="237"/>
      <c r="W12" s="237"/>
      <c r="X12" s="237"/>
      <c r="Y12" s="237"/>
      <c r="Z12" s="237"/>
      <c r="AA12" s="237">
        <f>J12*Z6</f>
        <v>0</v>
      </c>
    </row>
    <row r="13" spans="1:27" s="391" customFormat="1" ht="30" hidden="1" x14ac:dyDescent="0.25">
      <c r="A13" s="529">
        <f>'Du toan chi tiet'!A25</f>
        <v>0</v>
      </c>
      <c r="B13" s="76"/>
      <c r="C13" s="411" t="str">
        <f>'Du toan chi tiet'!C25</f>
        <v>AA.22212</v>
      </c>
      <c r="D13" s="411"/>
      <c r="E13" s="155" t="str">
        <f>'Du toan chi tiet'!D25</f>
        <v>Phá dỡ kết cấu bê tông không cốt thép bằng máy khoan bê tông 1,5kw cột biển báo</v>
      </c>
      <c r="F13" s="76" t="str">
        <f>'Du toan chi tiet'!E25</f>
        <v>m3</v>
      </c>
      <c r="G13" s="381">
        <f>'Du toan chi tiet'!M25</f>
        <v>0.2</v>
      </c>
      <c r="H13" s="381">
        <f>'Phan tich don gia'!G141</f>
        <v>1.88</v>
      </c>
      <c r="I13" s="381">
        <f>'Du toan chi tiet'!W25</f>
        <v>1</v>
      </c>
      <c r="J13" s="381">
        <f t="shared" si="0"/>
        <v>0.376</v>
      </c>
      <c r="K13" s="237"/>
      <c r="L13" s="237"/>
      <c r="M13" s="237"/>
      <c r="N13" s="237"/>
      <c r="O13" s="237"/>
      <c r="P13" s="237"/>
      <c r="Q13" s="237"/>
      <c r="R13" s="237"/>
      <c r="S13" s="237"/>
      <c r="T13" s="237"/>
      <c r="U13" s="237"/>
      <c r="V13" s="237"/>
      <c r="W13" s="237"/>
      <c r="X13" s="237"/>
      <c r="Y13" s="237"/>
      <c r="Z13" s="237"/>
      <c r="AA13" s="237">
        <f>J13*Z6</f>
        <v>0</v>
      </c>
    </row>
    <row r="14" spans="1:27" s="391" customFormat="1" ht="30" hidden="1" x14ac:dyDescent="0.25">
      <c r="A14" s="529">
        <f>'Du toan chi tiet'!A29</f>
        <v>0</v>
      </c>
      <c r="B14" s="76"/>
      <c r="C14" s="411" t="str">
        <f>'Du toan chi tiet'!C29</f>
        <v>AB.11413</v>
      </c>
      <c r="D14" s="411"/>
      <c r="E14" s="155" t="str">
        <f>'Du toan chi tiet'!D29</f>
        <v>Đào móng cột, trụ, hố kiểm tra bằng thủ công, rộng ≤1m, sâu ≤1m - Cấp đất III</v>
      </c>
      <c r="F14" s="76" t="str">
        <f>'Du toan chi tiet'!E29</f>
        <v>1m3</v>
      </c>
      <c r="G14" s="381">
        <f>'Du toan chi tiet'!M29</f>
        <v>0.44</v>
      </c>
      <c r="H14" s="381">
        <f>'Phan tich don gia'!G167</f>
        <v>1.9</v>
      </c>
      <c r="I14" s="381">
        <f>'Du toan chi tiet'!W29</f>
        <v>1</v>
      </c>
      <c r="J14" s="381">
        <f t="shared" si="0"/>
        <v>0.83599999999999997</v>
      </c>
      <c r="K14" s="237"/>
      <c r="L14" s="237"/>
      <c r="M14" s="237"/>
      <c r="N14" s="237"/>
      <c r="O14" s="237"/>
      <c r="P14" s="237"/>
      <c r="Q14" s="237"/>
      <c r="R14" s="237"/>
      <c r="S14" s="237"/>
      <c r="T14" s="237"/>
      <c r="U14" s="237"/>
      <c r="V14" s="237"/>
      <c r="W14" s="237"/>
      <c r="X14" s="237"/>
      <c r="Y14" s="237"/>
      <c r="Z14" s="237"/>
      <c r="AA14" s="237">
        <f>J14*Z6</f>
        <v>0</v>
      </c>
    </row>
    <row r="15" spans="1:27" s="391" customFormat="1" ht="30" hidden="1" x14ac:dyDescent="0.25">
      <c r="A15" s="529">
        <f>'Du toan chi tiet'!A30</f>
        <v>0</v>
      </c>
      <c r="B15" s="76"/>
      <c r="C15" s="411" t="str">
        <f>'Du toan chi tiet'!C30</f>
        <v>AB.13111</v>
      </c>
      <c r="D15" s="411"/>
      <c r="E15" s="155" t="str">
        <f>'Du toan chi tiet'!D30</f>
        <v>Đắp đất nền móng công trình, nền đường bằng thủ công</v>
      </c>
      <c r="F15" s="76" t="str">
        <f>'Du toan chi tiet'!E30</f>
        <v>m3</v>
      </c>
      <c r="G15" s="381">
        <f>'Du toan chi tiet'!M30</f>
        <v>0.25</v>
      </c>
      <c r="H15" s="381">
        <f>'Phan tich don gia'!G170</f>
        <v>0.56000000000000005</v>
      </c>
      <c r="I15" s="381">
        <f>'Du toan chi tiet'!W30</f>
        <v>1</v>
      </c>
      <c r="J15" s="381">
        <f t="shared" si="0"/>
        <v>0.14000000000000001</v>
      </c>
      <c r="K15" s="237"/>
      <c r="L15" s="237"/>
      <c r="M15" s="237"/>
      <c r="N15" s="237"/>
      <c r="O15" s="237"/>
      <c r="P15" s="237"/>
      <c r="Q15" s="237"/>
      <c r="R15" s="237"/>
      <c r="S15" s="237"/>
      <c r="T15" s="237"/>
      <c r="U15" s="237"/>
      <c r="V15" s="237"/>
      <c r="W15" s="237"/>
      <c r="X15" s="237"/>
      <c r="Y15" s="237"/>
      <c r="Z15" s="237"/>
      <c r="AA15" s="237">
        <f>J15*Z6</f>
        <v>0</v>
      </c>
    </row>
    <row r="16" spans="1:27" s="391" customFormat="1" hidden="1" x14ac:dyDescent="0.25">
      <c r="A16" s="529">
        <f>'Du toan chi tiet'!A42</f>
        <v>0</v>
      </c>
      <c r="B16" s="76"/>
      <c r="C16" s="411" t="str">
        <f>'Du toan chi tiet'!C42</f>
        <v>AB.31134</v>
      </c>
      <c r="D16" s="411"/>
      <c r="E16" s="155" t="str">
        <f>'Du toan chi tiet'!D42</f>
        <v xml:space="preserve">Đào kết cấu mặt đường hiện có </v>
      </c>
      <c r="F16" s="76" t="str">
        <f>'Du toan chi tiet'!E42</f>
        <v>m3</v>
      </c>
      <c r="G16" s="381">
        <f>'Du toan chi tiet'!M42</f>
        <v>0.76</v>
      </c>
      <c r="H16" s="381">
        <f>'Phan tich don gia'!G273</f>
        <v>4.8099999999999997E-2</v>
      </c>
      <c r="I16" s="381">
        <f>'Du toan chi tiet'!W42</f>
        <v>1</v>
      </c>
      <c r="J16" s="381">
        <f t="shared" si="0"/>
        <v>3.6555999999999998E-2</v>
      </c>
      <c r="K16" s="237"/>
      <c r="L16" s="237"/>
      <c r="M16" s="237"/>
      <c r="N16" s="237"/>
      <c r="O16" s="237"/>
      <c r="P16" s="237"/>
      <c r="Q16" s="237"/>
      <c r="R16" s="237"/>
      <c r="S16" s="237"/>
      <c r="T16" s="237"/>
      <c r="U16" s="237"/>
      <c r="V16" s="237"/>
      <c r="W16" s="237"/>
      <c r="X16" s="237"/>
      <c r="Y16" s="237"/>
      <c r="Z16" s="237"/>
      <c r="AA16" s="237">
        <f>J16*Z6</f>
        <v>0</v>
      </c>
    </row>
    <row r="17" spans="1:27" s="391" customFormat="1" ht="30" hidden="1" x14ac:dyDescent="0.25">
      <c r="A17" s="529">
        <f>'Du toan chi tiet'!A43</f>
        <v>0</v>
      </c>
      <c r="B17" s="76"/>
      <c r="C17" s="411" t="str">
        <f>'Du toan chi tiet'!C43</f>
        <v>AB.25103</v>
      </c>
      <c r="D17" s="411"/>
      <c r="E17" s="155" t="str">
        <f>'Du toan chi tiet'!D43</f>
        <v>Đào móng bằng máy đào 0,4m3, chiều rộng móng ≤6m - Cấp đất III</v>
      </c>
      <c r="F17" s="76" t="str">
        <f>'Du toan chi tiet'!E43</f>
        <v>m3</v>
      </c>
      <c r="G17" s="381">
        <f>'Du toan chi tiet'!M43</f>
        <v>11.4</v>
      </c>
      <c r="H17" s="381">
        <f>'Phan tich don gia'!G279</f>
        <v>4.6100000000000002E-2</v>
      </c>
      <c r="I17" s="381">
        <f>'Du toan chi tiet'!W43</f>
        <v>1</v>
      </c>
      <c r="J17" s="381">
        <f t="shared" si="0"/>
        <v>0.52554000000000001</v>
      </c>
      <c r="K17" s="237"/>
      <c r="L17" s="237"/>
      <c r="M17" s="237"/>
      <c r="N17" s="237"/>
      <c r="O17" s="237"/>
      <c r="P17" s="237"/>
      <c r="Q17" s="237"/>
      <c r="R17" s="237"/>
      <c r="S17" s="237"/>
      <c r="T17" s="237"/>
      <c r="U17" s="237"/>
      <c r="V17" s="237"/>
      <c r="W17" s="237"/>
      <c r="X17" s="237"/>
      <c r="Y17" s="237"/>
      <c r="Z17" s="237"/>
      <c r="AA17" s="237">
        <f>J17*Z6</f>
        <v>0</v>
      </c>
    </row>
    <row r="18" spans="1:27" s="391" customFormat="1" ht="30" hidden="1" x14ac:dyDescent="0.25">
      <c r="A18" s="529">
        <f>'Du toan chi tiet'!A44</f>
        <v>0</v>
      </c>
      <c r="B18" s="76"/>
      <c r="C18" s="411" t="str">
        <f>'Du toan chi tiet'!C44</f>
        <v>AB.65130</v>
      </c>
      <c r="D18" s="411"/>
      <c r="E18" s="155" t="str">
        <f>'Du toan chi tiet'!D44</f>
        <v>Đắp đất bằng đầm đất cầm tay 70kg, độ chặt Y/C K = 0,95</v>
      </c>
      <c r="F18" s="76" t="str">
        <f>'Du toan chi tiet'!E44</f>
        <v>m3</v>
      </c>
      <c r="G18" s="381">
        <f>'Du toan chi tiet'!M44</f>
        <v>2.52</v>
      </c>
      <c r="H18" s="381">
        <f>'Phan tich don gia'!G284</f>
        <v>7.1300000000000002E-2</v>
      </c>
      <c r="I18" s="381">
        <f>'Du toan chi tiet'!W44</f>
        <v>1</v>
      </c>
      <c r="J18" s="381">
        <f t="shared" si="0"/>
        <v>0.179676</v>
      </c>
      <c r="K18" s="237"/>
      <c r="L18" s="237"/>
      <c r="M18" s="237"/>
      <c r="N18" s="237"/>
      <c r="O18" s="237"/>
      <c r="P18" s="237"/>
      <c r="Q18" s="237"/>
      <c r="R18" s="237"/>
      <c r="S18" s="237"/>
      <c r="T18" s="237"/>
      <c r="U18" s="237"/>
      <c r="V18" s="237"/>
      <c r="W18" s="237"/>
      <c r="X18" s="237"/>
      <c r="Y18" s="237"/>
      <c r="Z18" s="237"/>
      <c r="AA18" s="237">
        <f>J18*Z6</f>
        <v>0</v>
      </c>
    </row>
    <row r="19" spans="1:27" s="391" customFormat="1" hidden="1" x14ac:dyDescent="0.25">
      <c r="A19" s="529">
        <f>'Du toan chi tiet'!A46</f>
        <v>0</v>
      </c>
      <c r="B19" s="76"/>
      <c r="C19" s="411" t="str">
        <f>'Du toan chi tiet'!C46</f>
        <v>AB.66141</v>
      </c>
      <c r="D19" s="411"/>
      <c r="E19" s="155" t="str">
        <f>'Du toan chi tiet'!D46</f>
        <v>Đắpbột đáy dày 5cm</v>
      </c>
      <c r="F19" s="76" t="str">
        <f>'Du toan chi tiet'!E46</f>
        <v>m3</v>
      </c>
      <c r="G19" s="381">
        <f>'Du toan chi tiet'!M46</f>
        <v>0.17</v>
      </c>
      <c r="H19" s="381">
        <f>'Phan tich don gia'!G303</f>
        <v>3.8899999999999997E-2</v>
      </c>
      <c r="I19" s="381">
        <f>'Du toan chi tiet'!W46</f>
        <v>1</v>
      </c>
      <c r="J19" s="381">
        <f t="shared" si="0"/>
        <v>6.613E-3</v>
      </c>
      <c r="K19" s="237"/>
      <c r="L19" s="237"/>
      <c r="M19" s="237"/>
      <c r="N19" s="237"/>
      <c r="O19" s="237"/>
      <c r="P19" s="237"/>
      <c r="Q19" s="237"/>
      <c r="R19" s="237"/>
      <c r="S19" s="237"/>
      <c r="T19" s="237"/>
      <c r="U19" s="237"/>
      <c r="V19" s="237"/>
      <c r="W19" s="237"/>
      <c r="X19" s="237"/>
      <c r="Y19" s="237"/>
      <c r="Z19" s="237"/>
      <c r="AA19" s="237">
        <f>J19*Z6</f>
        <v>0</v>
      </c>
    </row>
    <row r="20" spans="1:27" x14ac:dyDescent="0.25">
      <c r="A20" s="159" t="s">
        <v>262</v>
      </c>
      <c r="B20" s="649">
        <v>2</v>
      </c>
      <c r="C20" s="214" t="s">
        <v>49</v>
      </c>
      <c r="D20" s="214">
        <f>'Giá NC'!D6</f>
        <v>0</v>
      </c>
      <c r="E20" s="720" t="str">
        <f>'Giá NC'!E6</f>
        <v>Nhân công bậc 3,5/7 - Nhóm 1</v>
      </c>
      <c r="F20" s="649" t="s">
        <v>434</v>
      </c>
      <c r="G20" s="176"/>
      <c r="H20" s="176"/>
      <c r="I20" s="176"/>
      <c r="J20" s="176">
        <f>SUM(J21:J21)</f>
        <v>8.3520000000000003</v>
      </c>
      <c r="K20" s="10">
        <f>'Giá NC'!G6</f>
        <v>239000</v>
      </c>
      <c r="L20" s="10">
        <f>J20*K20</f>
        <v>1996128</v>
      </c>
      <c r="M20" s="10">
        <f>'Giá NC'!H6</f>
        <v>239000</v>
      </c>
      <c r="N20" s="10">
        <f>J20*M20</f>
        <v>1996128</v>
      </c>
      <c r="O20" s="10">
        <f>M20-K20</f>
        <v>0</v>
      </c>
      <c r="P20" s="10">
        <f>J20*O20</f>
        <v>0</v>
      </c>
      <c r="Q20" s="10">
        <v>1</v>
      </c>
      <c r="R20" s="10">
        <f>M20*Q20</f>
        <v>239000</v>
      </c>
      <c r="S20" s="10">
        <f>J20*R20</f>
        <v>1996128</v>
      </c>
      <c r="T20" s="10">
        <v>0</v>
      </c>
      <c r="U20" s="10">
        <v>0</v>
      </c>
      <c r="V20" s="10">
        <v>0</v>
      </c>
      <c r="W20" s="10">
        <v>0</v>
      </c>
      <c r="X20" s="10">
        <f>'Giá NC'!K6</f>
        <v>239000</v>
      </c>
      <c r="Y20" s="10">
        <f>J20*X20</f>
        <v>1996128</v>
      </c>
      <c r="Z20" s="10">
        <f>X20-K20</f>
        <v>0</v>
      </c>
      <c r="AA20" s="10">
        <f>J20*Z20</f>
        <v>0</v>
      </c>
    </row>
    <row r="21" spans="1:27" s="391" customFormat="1" ht="30" hidden="1" x14ac:dyDescent="0.25">
      <c r="A21" s="529">
        <f>'Du toan chi tiet'!A16</f>
        <v>0</v>
      </c>
      <c r="B21" s="76"/>
      <c r="C21" s="411" t="str">
        <f>'Du toan chi tiet'!C16</f>
        <v>SF.12112</v>
      </c>
      <c r="D21" s="411"/>
      <c r="E21" s="155" t="str">
        <f>'Du toan chi tiet'!D16</f>
        <v>Bảo dưỡng khe co dãn mặt đường bê tông xi măng - Chiều dày mặt đường 25cm</v>
      </c>
      <c r="F21" s="76" t="str">
        <f>'Du toan chi tiet'!E16</f>
        <v>1m</v>
      </c>
      <c r="G21" s="381">
        <f>'Du toan chi tiet'!M16</f>
        <v>52.2</v>
      </c>
      <c r="H21" s="381">
        <f>'Phan tich don gia'!G84</f>
        <v>0.16</v>
      </c>
      <c r="I21" s="381">
        <f>'Du toan chi tiet'!W16</f>
        <v>1</v>
      </c>
      <c r="J21" s="381">
        <f>PRODUCT(G21,H21,I21)</f>
        <v>8.3520000000000003</v>
      </c>
      <c r="K21" s="237"/>
      <c r="L21" s="237"/>
      <c r="M21" s="237"/>
      <c r="N21" s="237"/>
      <c r="O21" s="237"/>
      <c r="P21" s="237"/>
      <c r="Q21" s="237"/>
      <c r="R21" s="237"/>
      <c r="S21" s="237"/>
      <c r="T21" s="237"/>
      <c r="U21" s="237"/>
      <c r="V21" s="237"/>
      <c r="W21" s="237"/>
      <c r="X21" s="237"/>
      <c r="Y21" s="237"/>
      <c r="Z21" s="237"/>
      <c r="AA21" s="237">
        <f>J21*Z20</f>
        <v>0</v>
      </c>
    </row>
    <row r="22" spans="1:27" x14ac:dyDescent="0.25">
      <c r="A22" s="159" t="s">
        <v>262</v>
      </c>
      <c r="B22" s="649">
        <v>3</v>
      </c>
      <c r="C22" s="214" t="s">
        <v>1156</v>
      </c>
      <c r="D22" s="214">
        <f>'Giá NC'!D7</f>
        <v>0</v>
      </c>
      <c r="E22" s="720" t="str">
        <f>'Giá NC'!E7</f>
        <v>Nhân công bậc 3,0/7 - Nhóm 2</v>
      </c>
      <c r="F22" s="649" t="s">
        <v>434</v>
      </c>
      <c r="G22" s="176"/>
      <c r="H22" s="176"/>
      <c r="I22" s="176"/>
      <c r="J22" s="176">
        <f>SUM(J23:J23)</f>
        <v>0.7256999999999999</v>
      </c>
      <c r="K22" s="10">
        <f>'Giá NC'!G7</f>
        <v>230630</v>
      </c>
      <c r="L22" s="10">
        <f>J22*K22</f>
        <v>167368.19099999999</v>
      </c>
      <c r="M22" s="10">
        <f>'Giá NC'!H7</f>
        <v>230630</v>
      </c>
      <c r="N22" s="10">
        <f>J22*M22</f>
        <v>167368.19099999999</v>
      </c>
      <c r="O22" s="10">
        <f>M22-K22</f>
        <v>0</v>
      </c>
      <c r="P22" s="10">
        <f>J22*O22</f>
        <v>0</v>
      </c>
      <c r="Q22" s="10">
        <v>1</v>
      </c>
      <c r="R22" s="10">
        <f>M22*Q22</f>
        <v>230630</v>
      </c>
      <c r="S22" s="10">
        <f>J22*R22</f>
        <v>167368.19099999999</v>
      </c>
      <c r="T22" s="10">
        <v>0</v>
      </c>
      <c r="U22" s="10">
        <v>0</v>
      </c>
      <c r="V22" s="10">
        <v>0</v>
      </c>
      <c r="W22" s="10">
        <v>0</v>
      </c>
      <c r="X22" s="10">
        <f>'Giá NC'!K7</f>
        <v>230630</v>
      </c>
      <c r="Y22" s="10">
        <f>J22*X22</f>
        <v>167368.19099999999</v>
      </c>
      <c r="Z22" s="10">
        <f>X22-K22</f>
        <v>0</v>
      </c>
      <c r="AA22" s="10">
        <f>J22*Z22</f>
        <v>0</v>
      </c>
    </row>
    <row r="23" spans="1:27" s="391" customFormat="1" ht="45" hidden="1" x14ac:dyDescent="0.25">
      <c r="A23" s="529">
        <f>'Du toan chi tiet'!A36</f>
        <v>0</v>
      </c>
      <c r="B23" s="76"/>
      <c r="C23" s="411" t="str">
        <f>'Du toan chi tiet'!C36</f>
        <v>AF.11231</v>
      </c>
      <c r="D23" s="411"/>
      <c r="E23" s="155" t="str">
        <f>'Du toan chi tiet'!D36</f>
        <v>Bê tông móng tường cánh SX bằng máy trộn, đổ bằng thủ công, rộng ≤250cm, M150, đá 2x4, PCB40</v>
      </c>
      <c r="F23" s="76" t="str">
        <f>'Du toan chi tiet'!E36</f>
        <v>m3</v>
      </c>
      <c r="G23" s="381">
        <f>'Du toan chi tiet'!M36</f>
        <v>0.59</v>
      </c>
      <c r="H23" s="381">
        <f>'Phan tich don gia'!G220</f>
        <v>1.23</v>
      </c>
      <c r="I23" s="381">
        <f>'Du toan chi tiet'!W36</f>
        <v>1</v>
      </c>
      <c r="J23" s="381">
        <f>PRODUCT(G23,H23,I23)</f>
        <v>0.7256999999999999</v>
      </c>
      <c r="K23" s="237"/>
      <c r="L23" s="237"/>
      <c r="M23" s="237"/>
      <c r="N23" s="237"/>
      <c r="O23" s="237"/>
      <c r="P23" s="237"/>
      <c r="Q23" s="237"/>
      <c r="R23" s="237"/>
      <c r="S23" s="237"/>
      <c r="T23" s="237"/>
      <c r="U23" s="237"/>
      <c r="V23" s="237"/>
      <c r="W23" s="237"/>
      <c r="X23" s="237"/>
      <c r="Y23" s="237"/>
      <c r="Z23" s="237"/>
      <c r="AA23" s="237">
        <f>J23*Z22</f>
        <v>0</v>
      </c>
    </row>
    <row r="24" spans="1:27" x14ac:dyDescent="0.25">
      <c r="A24" s="159" t="s">
        <v>262</v>
      </c>
      <c r="B24" s="649">
        <v>4</v>
      </c>
      <c r="C24" s="214" t="s">
        <v>706</v>
      </c>
      <c r="D24" s="214">
        <f>'Giá NC'!D8</f>
        <v>0</v>
      </c>
      <c r="E24" s="720" t="str">
        <f>'Giá NC'!E8</f>
        <v>Nhân công bậc 3,5/7 - Nhóm 2</v>
      </c>
      <c r="F24" s="649" t="s">
        <v>434</v>
      </c>
      <c r="G24" s="176"/>
      <c r="H24" s="176"/>
      <c r="I24" s="176"/>
      <c r="J24" s="176" t="e">
        <f>SUM(J25:J42)</f>
        <v>#REF!</v>
      </c>
      <c r="K24" s="10">
        <f>'Giá NC'!G8</f>
        <v>252200</v>
      </c>
      <c r="L24" s="10" t="e">
        <f>J24*K24</f>
        <v>#REF!</v>
      </c>
      <c r="M24" s="10">
        <f>'Giá NC'!H8</f>
        <v>252200</v>
      </c>
      <c r="N24" s="10" t="e">
        <f>J24*M24</f>
        <v>#REF!</v>
      </c>
      <c r="O24" s="10">
        <f>M24-K24</f>
        <v>0</v>
      </c>
      <c r="P24" s="10" t="e">
        <f>J24*O24</f>
        <v>#REF!</v>
      </c>
      <c r="Q24" s="10">
        <v>1</v>
      </c>
      <c r="R24" s="10">
        <f>M24*Q24</f>
        <v>252200</v>
      </c>
      <c r="S24" s="10" t="e">
        <f>J24*R24</f>
        <v>#REF!</v>
      </c>
      <c r="T24" s="10">
        <v>0</v>
      </c>
      <c r="U24" s="10">
        <v>0</v>
      </c>
      <c r="V24" s="10">
        <v>0</v>
      </c>
      <c r="W24" s="10">
        <v>0</v>
      </c>
      <c r="X24" s="10">
        <f>'Giá NC'!K8</f>
        <v>252200</v>
      </c>
      <c r="Y24" s="10" t="e">
        <f>J24*X24</f>
        <v>#REF!</v>
      </c>
      <c r="Z24" s="10">
        <f>X24-K24</f>
        <v>0</v>
      </c>
      <c r="AA24" s="10" t="e">
        <f>J24*Z24</f>
        <v>#REF!</v>
      </c>
    </row>
    <row r="25" spans="1:27" s="391" customFormat="1" ht="45" hidden="1" x14ac:dyDescent="0.25">
      <c r="A25" s="529">
        <f>'Du toan chi tiet'!A8</f>
        <v>0</v>
      </c>
      <c r="B25" s="76"/>
      <c r="C25" s="411" t="str">
        <f>'Du toan chi tiet'!C8</f>
        <v>AD.23263</v>
      </c>
      <c r="D25" s="411"/>
      <c r="E25" s="155" t="str">
        <f>'Du toan chi tiet'!D8</f>
        <v>Rải thảm mặt đường Carboncor Asphalt, bằng phương pháp thủ cơ giới, chiều dày mặt đường đã lèn ép 3cm</v>
      </c>
      <c r="F25" s="76" t="str">
        <f>'Du toan chi tiet'!E8</f>
        <v>m2</v>
      </c>
      <c r="G25" s="381">
        <f>'Du toan chi tiet'!M8</f>
        <v>1631.42</v>
      </c>
      <c r="H25" s="381">
        <f>'Phan tich don gia'!G11</f>
        <v>8.0000000000000002E-3</v>
      </c>
      <c r="I25" s="381">
        <f>'Du toan chi tiet'!W8</f>
        <v>1</v>
      </c>
      <c r="J25" s="381">
        <f t="shared" ref="J25:J42" si="1">PRODUCT(G25,H25,I25)</f>
        <v>13.051360000000001</v>
      </c>
      <c r="K25" s="237"/>
      <c r="L25" s="237"/>
      <c r="M25" s="237"/>
      <c r="N25" s="237"/>
      <c r="O25" s="237"/>
      <c r="P25" s="237"/>
      <c r="Q25" s="237"/>
      <c r="R25" s="237"/>
      <c r="S25" s="237"/>
      <c r="T25" s="237"/>
      <c r="U25" s="237"/>
      <c r="V25" s="237"/>
      <c r="W25" s="237"/>
      <c r="X25" s="237"/>
      <c r="Y25" s="237"/>
      <c r="Z25" s="237"/>
      <c r="AA25" s="237">
        <f>J25*Z24</f>
        <v>0</v>
      </c>
    </row>
    <row r="26" spans="1:27" s="391" customFormat="1" ht="45" hidden="1" x14ac:dyDescent="0.25">
      <c r="A26" s="529">
        <f>'Du toan chi tiet'!A9</f>
        <v>0</v>
      </c>
      <c r="B26" s="76"/>
      <c r="C26" s="411" t="str">
        <f>'Du toan chi tiet'!C9</f>
        <v>AD.23261vd</v>
      </c>
      <c r="D26" s="411"/>
      <c r="E26" s="155" t="str">
        <f>'Du toan chi tiet'!D9</f>
        <v>Rải thảm mặt đường Carboncor Asphalt, bằng phương pháp thủ cơ giới, chiều dày mặt đường đã lèn ép 1cm</v>
      </c>
      <c r="F26" s="76" t="str">
        <f>'Du toan chi tiet'!E9</f>
        <v>m2</v>
      </c>
      <c r="G26" s="381">
        <f>'Du toan chi tiet'!M9</f>
        <v>856.71</v>
      </c>
      <c r="H26" s="381">
        <f>'Phan tich don gia'!G22</f>
        <v>4.3333333333333331E-3</v>
      </c>
      <c r="I26" s="381">
        <f>'Du toan chi tiet'!W9</f>
        <v>1</v>
      </c>
      <c r="J26" s="381">
        <f t="shared" si="1"/>
        <v>3.7124099999999998</v>
      </c>
      <c r="K26" s="237"/>
      <c r="L26" s="237"/>
      <c r="M26" s="237"/>
      <c r="N26" s="237"/>
      <c r="O26" s="237"/>
      <c r="P26" s="237"/>
      <c r="Q26" s="237"/>
      <c r="R26" s="237"/>
      <c r="S26" s="237"/>
      <c r="T26" s="237"/>
      <c r="U26" s="237"/>
      <c r="V26" s="237"/>
      <c r="W26" s="237"/>
      <c r="X26" s="237"/>
      <c r="Y26" s="237"/>
      <c r="Z26" s="237"/>
      <c r="AA26" s="237">
        <f>J26*Z24</f>
        <v>0</v>
      </c>
    </row>
    <row r="27" spans="1:27" s="391" customFormat="1" hidden="1" x14ac:dyDescent="0.25">
      <c r="A27" s="529" t="e">
        <f>'Du toan chi tiet'!#REF!</f>
        <v>#REF!</v>
      </c>
      <c r="B27" s="76"/>
      <c r="C27" s="411" t="e">
        <f>'Du toan chi tiet'!#REF!</f>
        <v>#REF!</v>
      </c>
      <c r="D27" s="411"/>
      <c r="E27" s="155" t="e">
        <f>'Du toan chi tiet'!#REF!</f>
        <v>#REF!</v>
      </c>
      <c r="F27" s="76" t="e">
        <f>'Du toan chi tiet'!#REF!</f>
        <v>#REF!</v>
      </c>
      <c r="G27" s="381" t="e">
        <f>'Du toan chi tiet'!#REF!</f>
        <v>#REF!</v>
      </c>
      <c r="H27" s="381" t="e">
        <f>'Phan tich don gia'!#REF!</f>
        <v>#REF!</v>
      </c>
      <c r="I27" s="381" t="e">
        <f>'Du toan chi tiet'!#REF!</f>
        <v>#REF!</v>
      </c>
      <c r="J27" s="381" t="e">
        <f t="shared" si="1"/>
        <v>#REF!</v>
      </c>
      <c r="K27" s="237"/>
      <c r="L27" s="237"/>
      <c r="M27" s="237"/>
      <c r="N27" s="237"/>
      <c r="O27" s="237"/>
      <c r="P27" s="237"/>
      <c r="Q27" s="237"/>
      <c r="R27" s="237"/>
      <c r="S27" s="237"/>
      <c r="T27" s="237"/>
      <c r="U27" s="237"/>
      <c r="V27" s="237"/>
      <c r="W27" s="237"/>
      <c r="X27" s="237"/>
      <c r="Y27" s="237"/>
      <c r="Z27" s="237"/>
      <c r="AA27" s="237" t="e">
        <f>J27*Z24</f>
        <v>#REF!</v>
      </c>
    </row>
    <row r="28" spans="1:27" s="391" customFormat="1" ht="30" hidden="1" x14ac:dyDescent="0.25">
      <c r="A28" s="529">
        <f>'Du toan chi tiet'!A10</f>
        <v>0</v>
      </c>
      <c r="B28" s="76"/>
      <c r="C28" s="411" t="str">
        <f>'Du toan chi tiet'!C10</f>
        <v>AF.15433</v>
      </c>
      <c r="D28" s="411"/>
      <c r="E28" s="155" t="str">
        <f>'Du toan chi tiet'!D10</f>
        <v>Bê tông thương phẩm, bê tông mặt đường dày mặt đường ≤25cm, bê tông M300, đá 2x4</v>
      </c>
      <c r="F28" s="76" t="str">
        <f>'Du toan chi tiet'!E10</f>
        <v>m3</v>
      </c>
      <c r="G28" s="381">
        <f>'Du toan chi tiet'!M10</f>
        <v>133.84</v>
      </c>
      <c r="H28" s="381">
        <f>'Phan tich don gia'!G35</f>
        <v>0.68500000000000005</v>
      </c>
      <c r="I28" s="381">
        <f>'Du toan chi tiet'!W10</f>
        <v>1</v>
      </c>
      <c r="J28" s="381">
        <f t="shared" si="1"/>
        <v>91.680400000000006</v>
      </c>
      <c r="K28" s="237"/>
      <c r="L28" s="237"/>
      <c r="M28" s="237"/>
      <c r="N28" s="237"/>
      <c r="O28" s="237"/>
      <c r="P28" s="237"/>
      <c r="Q28" s="237"/>
      <c r="R28" s="237"/>
      <c r="S28" s="237"/>
      <c r="T28" s="237"/>
      <c r="U28" s="237"/>
      <c r="V28" s="237"/>
      <c r="W28" s="237"/>
      <c r="X28" s="237"/>
      <c r="Y28" s="237"/>
      <c r="Z28" s="237"/>
      <c r="AA28" s="237">
        <f>J28*Z24</f>
        <v>0</v>
      </c>
    </row>
    <row r="29" spans="1:27" s="391" customFormat="1" hidden="1" x14ac:dyDescent="0.25">
      <c r="A29" s="529">
        <f>'Du toan chi tiet'!A12</f>
        <v>0</v>
      </c>
      <c r="B29" s="76"/>
      <c r="C29" s="411" t="str">
        <f>'Du toan chi tiet'!C12</f>
        <v>AL.16201</v>
      </c>
      <c r="D29" s="411"/>
      <c r="E29" s="155" t="str">
        <f>'Du toan chi tiet'!D12</f>
        <v>Lót bạc nilong sọc xanh đỏ</v>
      </c>
      <c r="F29" s="76" t="str">
        <f>'Du toan chi tiet'!E12</f>
        <v>m2</v>
      </c>
      <c r="G29" s="381">
        <f>'Du toan chi tiet'!M12</f>
        <v>763.11</v>
      </c>
      <c r="H29" s="381">
        <f>'Phan tich don gia'!G53</f>
        <v>1.5E-3</v>
      </c>
      <c r="I29" s="381">
        <f>'Du toan chi tiet'!W12</f>
        <v>1</v>
      </c>
      <c r="J29" s="381">
        <f t="shared" si="1"/>
        <v>1.144665</v>
      </c>
      <c r="K29" s="237"/>
      <c r="L29" s="237"/>
      <c r="M29" s="237"/>
      <c r="N29" s="237"/>
      <c r="O29" s="237"/>
      <c r="P29" s="237"/>
      <c r="Q29" s="237"/>
      <c r="R29" s="237"/>
      <c r="S29" s="237"/>
      <c r="T29" s="237"/>
      <c r="U29" s="237"/>
      <c r="V29" s="237"/>
      <c r="W29" s="237"/>
      <c r="X29" s="237"/>
      <c r="Y29" s="237"/>
      <c r="Z29" s="237"/>
      <c r="AA29" s="237">
        <f>J29*Z24</f>
        <v>0</v>
      </c>
    </row>
    <row r="30" spans="1:27" s="391" customFormat="1" hidden="1" x14ac:dyDescent="0.25">
      <c r="A30" s="529">
        <f>'Du toan chi tiet'!A15</f>
        <v>0</v>
      </c>
      <c r="B30" s="76"/>
      <c r="C30" s="411" t="str">
        <f>'Du toan chi tiet'!C15</f>
        <v>AL.22112</v>
      </c>
      <c r="D30" s="411"/>
      <c r="E30" s="155" t="str">
        <f>'Du toan chi tiet'!D15</f>
        <v>Cắt mặt đường bê tông hiện có</v>
      </c>
      <c r="F30" s="76" t="str">
        <f>'Du toan chi tiet'!E15</f>
        <v>10m</v>
      </c>
      <c r="G30" s="381">
        <f>'Du toan chi tiet'!M15</f>
        <v>0.6</v>
      </c>
      <c r="H30" s="381">
        <f>'Phan tich don gia'!G77</f>
        <v>0.55000000000000004</v>
      </c>
      <c r="I30" s="381">
        <f>'Du toan chi tiet'!W15</f>
        <v>1</v>
      </c>
      <c r="J30" s="381">
        <f t="shared" si="1"/>
        <v>0.33</v>
      </c>
      <c r="K30" s="237"/>
      <c r="L30" s="237"/>
      <c r="M30" s="237"/>
      <c r="N30" s="237"/>
      <c r="O30" s="237"/>
      <c r="P30" s="237"/>
      <c r="Q30" s="237"/>
      <c r="R30" s="237"/>
      <c r="S30" s="237"/>
      <c r="T30" s="237"/>
      <c r="U30" s="237"/>
      <c r="V30" s="237"/>
      <c r="W30" s="237"/>
      <c r="X30" s="237"/>
      <c r="Y30" s="237"/>
      <c r="Z30" s="237"/>
      <c r="AA30" s="237">
        <f>J30*Z24</f>
        <v>0</v>
      </c>
    </row>
    <row r="31" spans="1:27" s="391" customFormat="1" ht="30" hidden="1" x14ac:dyDescent="0.25">
      <c r="A31" s="529">
        <f>'Du toan chi tiet'!A24</f>
        <v>0</v>
      </c>
      <c r="B31" s="76"/>
      <c r="C31" s="411" t="str">
        <f>'Du toan chi tiet'!C24</f>
        <v>AK.91141vd</v>
      </c>
      <c r="D31" s="411"/>
      <c r="E31" s="155" t="str">
        <f>'Du toan chi tiet'!D24</f>
        <v>Sơn kẻ đường bằng sơn dẻo nhiệt phản quang, dày sơn 6mm</v>
      </c>
      <c r="F31" s="76" t="str">
        <f>'Du toan chi tiet'!E24</f>
        <v>m2</v>
      </c>
      <c r="G31" s="381">
        <f>'Du toan chi tiet'!M24</f>
        <v>6.6</v>
      </c>
      <c r="H31" s="381">
        <f>'Phan tich don gia'!G133</f>
        <v>0.26</v>
      </c>
      <c r="I31" s="381">
        <f>'Du toan chi tiet'!W24</f>
        <v>1</v>
      </c>
      <c r="J31" s="381">
        <f t="shared" si="1"/>
        <v>1.716</v>
      </c>
      <c r="K31" s="237"/>
      <c r="L31" s="237"/>
      <c r="M31" s="237"/>
      <c r="N31" s="237"/>
      <c r="O31" s="237"/>
      <c r="P31" s="237"/>
      <c r="Q31" s="237"/>
      <c r="R31" s="237"/>
      <c r="S31" s="237"/>
      <c r="T31" s="237"/>
      <c r="U31" s="237"/>
      <c r="V31" s="237"/>
      <c r="W31" s="237"/>
      <c r="X31" s="237"/>
      <c r="Y31" s="237"/>
      <c r="Z31" s="237"/>
      <c r="AA31" s="237">
        <f>J31*Z24</f>
        <v>0</v>
      </c>
    </row>
    <row r="32" spans="1:27" s="391" customFormat="1" hidden="1" x14ac:dyDescent="0.25">
      <c r="A32" s="529">
        <f>'Du toan chi tiet'!A26</f>
        <v>0</v>
      </c>
      <c r="B32" s="76"/>
      <c r="C32" s="411" t="str">
        <f>'Du toan chi tiet'!C26</f>
        <v>SE.31420</v>
      </c>
      <c r="D32" s="411"/>
      <c r="E32" s="155" t="str">
        <f>'Du toan chi tiet'!D26</f>
        <v>Sơn biển báo, cột biển báo bằng thép - 3 nước</v>
      </c>
      <c r="F32" s="76" t="str">
        <f>'Du toan chi tiet'!E26</f>
        <v>m2</v>
      </c>
      <c r="G32" s="381">
        <f>'Du toan chi tiet'!M26</f>
        <v>1.1200000000000001</v>
      </c>
      <c r="H32" s="381">
        <f>'Phan tich don gia'!G149</f>
        <v>0.16</v>
      </c>
      <c r="I32" s="381">
        <f>'Du toan chi tiet'!W26</f>
        <v>1</v>
      </c>
      <c r="J32" s="381">
        <f t="shared" si="1"/>
        <v>0.17920000000000003</v>
      </c>
      <c r="K32" s="237"/>
      <c r="L32" s="237"/>
      <c r="M32" s="237"/>
      <c r="N32" s="237"/>
      <c r="O32" s="237"/>
      <c r="P32" s="237"/>
      <c r="Q32" s="237"/>
      <c r="R32" s="237"/>
      <c r="S32" s="237"/>
      <c r="T32" s="237"/>
      <c r="U32" s="237"/>
      <c r="V32" s="237"/>
      <c r="W32" s="237"/>
      <c r="X32" s="237"/>
      <c r="Y32" s="237"/>
      <c r="Z32" s="237"/>
      <c r="AA32" s="237">
        <f>J32*Z24</f>
        <v>0</v>
      </c>
    </row>
    <row r="33" spans="1:27" s="391" customFormat="1" ht="30" hidden="1" x14ac:dyDescent="0.25">
      <c r="A33" s="529">
        <f>'Du toan chi tiet'!A28</f>
        <v>0</v>
      </c>
      <c r="B33" s="76"/>
      <c r="C33" s="411" t="str">
        <f>'Du toan chi tiet'!C28</f>
        <v>AD.32531</v>
      </c>
      <c r="D33" s="411"/>
      <c r="E33" s="155" t="str">
        <f>'Du toan chi tiet'!D28</f>
        <v>Lắp đặt cột và biển báo phản quang - Loại biển báo phản quang: Biển tam giác cạnh 70cm</v>
      </c>
      <c r="F33" s="76" t="str">
        <f>'Du toan chi tiet'!E28</f>
        <v>cái</v>
      </c>
      <c r="G33" s="381">
        <f>'Du toan chi tiet'!M28</f>
        <v>1</v>
      </c>
      <c r="H33" s="381">
        <f>'Phan tich don gia'!G162</f>
        <v>0.62</v>
      </c>
      <c r="I33" s="381">
        <f>'Du toan chi tiet'!W28</f>
        <v>1</v>
      </c>
      <c r="J33" s="381">
        <f t="shared" si="1"/>
        <v>0.62</v>
      </c>
      <c r="K33" s="237"/>
      <c r="L33" s="237"/>
      <c r="M33" s="237"/>
      <c r="N33" s="237"/>
      <c r="O33" s="237"/>
      <c r="P33" s="237"/>
      <c r="Q33" s="237"/>
      <c r="R33" s="237"/>
      <c r="S33" s="237"/>
      <c r="T33" s="237"/>
      <c r="U33" s="237"/>
      <c r="V33" s="237"/>
      <c r="W33" s="237"/>
      <c r="X33" s="237"/>
      <c r="Y33" s="237"/>
      <c r="Z33" s="237"/>
      <c r="AA33" s="237">
        <f>J33*Z24</f>
        <v>0</v>
      </c>
    </row>
    <row r="34" spans="1:27" s="391" customFormat="1" ht="45" hidden="1" x14ac:dyDescent="0.25">
      <c r="A34" s="529">
        <f>'Du toan chi tiet'!A32</f>
        <v>0</v>
      </c>
      <c r="B34" s="76"/>
      <c r="C34" s="411" t="str">
        <f>'Du toan chi tiet'!C32</f>
        <v>AF.13413</v>
      </c>
      <c r="D34" s="411"/>
      <c r="E34" s="155" t="str">
        <f>'Du toan chi tiet'!D32</f>
        <v>Bê tông ống cống hình hộp SX bằng máy trộn, đổ bằng thủ công, bê tông M250, đá 1x2, PCB40</v>
      </c>
      <c r="F34" s="76" t="str">
        <f>'Du toan chi tiet'!E32</f>
        <v>m3</v>
      </c>
      <c r="G34" s="381">
        <f>'Du toan chi tiet'!M32</f>
        <v>2.63</v>
      </c>
      <c r="H34" s="381">
        <f>'Phan tich don gia'!G179</f>
        <v>2.21</v>
      </c>
      <c r="I34" s="381">
        <f>'Du toan chi tiet'!W32</f>
        <v>1</v>
      </c>
      <c r="J34" s="381">
        <f t="shared" si="1"/>
        <v>5.8122999999999996</v>
      </c>
      <c r="K34" s="237"/>
      <c r="L34" s="237"/>
      <c r="M34" s="237"/>
      <c r="N34" s="237"/>
      <c r="O34" s="237"/>
      <c r="P34" s="237"/>
      <c r="Q34" s="237"/>
      <c r="R34" s="237"/>
      <c r="S34" s="237"/>
      <c r="T34" s="237"/>
      <c r="U34" s="237"/>
      <c r="V34" s="237"/>
      <c r="W34" s="237"/>
      <c r="X34" s="237"/>
      <c r="Y34" s="237"/>
      <c r="Z34" s="237"/>
      <c r="AA34" s="237">
        <f>J34*Z24</f>
        <v>0</v>
      </c>
    </row>
    <row r="35" spans="1:27" s="391" customFormat="1" hidden="1" x14ac:dyDescent="0.25">
      <c r="A35" s="529">
        <f>'Du toan chi tiet'!A33</f>
        <v>0</v>
      </c>
      <c r="B35" s="76"/>
      <c r="C35" s="411" t="str">
        <f>'Du toan chi tiet'!C33</f>
        <v>AF.63310</v>
      </c>
      <c r="D35" s="411"/>
      <c r="E35" s="155" t="str">
        <f>'Du toan chi tiet'!D33</f>
        <v>Lắp dựng cốt thép cống, ĐK ≤10mm</v>
      </c>
      <c r="F35" s="76" t="str">
        <f>'Du toan chi tiet'!E33</f>
        <v>tấn</v>
      </c>
      <c r="G35" s="381">
        <f>'Du toan chi tiet'!M33</f>
        <v>0.23899999999999999</v>
      </c>
      <c r="H35" s="381">
        <f>'Phan tich don gia'!G188</f>
        <v>18.53</v>
      </c>
      <c r="I35" s="381">
        <f>'Du toan chi tiet'!W33</f>
        <v>1</v>
      </c>
      <c r="J35" s="381">
        <f t="shared" si="1"/>
        <v>4.4286700000000003</v>
      </c>
      <c r="K35" s="237"/>
      <c r="L35" s="237"/>
      <c r="M35" s="237"/>
      <c r="N35" s="237"/>
      <c r="O35" s="237"/>
      <c r="P35" s="237"/>
      <c r="Q35" s="237"/>
      <c r="R35" s="237"/>
      <c r="S35" s="237"/>
      <c r="T35" s="237"/>
      <c r="U35" s="237"/>
      <c r="V35" s="237"/>
      <c r="W35" s="237"/>
      <c r="X35" s="237"/>
      <c r="Y35" s="237"/>
      <c r="Z35" s="237"/>
      <c r="AA35" s="237">
        <f>J35*Z24</f>
        <v>0</v>
      </c>
    </row>
    <row r="36" spans="1:27" s="391" customFormat="1" hidden="1" x14ac:dyDescent="0.25">
      <c r="A36" s="529">
        <f>'Du toan chi tiet'!A34</f>
        <v>0</v>
      </c>
      <c r="B36" s="76"/>
      <c r="C36" s="411" t="str">
        <f>'Du toan chi tiet'!C34</f>
        <v>AF.63320</v>
      </c>
      <c r="D36" s="411"/>
      <c r="E36" s="155" t="str">
        <f>'Du toan chi tiet'!D34</f>
        <v>Lắp dựng cốt thép cống, ĐK ≤18mm</v>
      </c>
      <c r="F36" s="76" t="str">
        <f>'Du toan chi tiet'!E34</f>
        <v>tấn</v>
      </c>
      <c r="G36" s="381">
        <f>'Du toan chi tiet'!M34</f>
        <v>6.3E-2</v>
      </c>
      <c r="H36" s="381">
        <f>'Phan tich don gia'!G197</f>
        <v>14.54</v>
      </c>
      <c r="I36" s="381">
        <f>'Du toan chi tiet'!W34</f>
        <v>1</v>
      </c>
      <c r="J36" s="381">
        <f t="shared" si="1"/>
        <v>0.91601999999999995</v>
      </c>
      <c r="K36" s="237"/>
      <c r="L36" s="237"/>
      <c r="M36" s="237"/>
      <c r="N36" s="237"/>
      <c r="O36" s="237"/>
      <c r="P36" s="237"/>
      <c r="Q36" s="237"/>
      <c r="R36" s="237"/>
      <c r="S36" s="237"/>
      <c r="T36" s="237"/>
      <c r="U36" s="237"/>
      <c r="V36" s="237"/>
      <c r="W36" s="237"/>
      <c r="X36" s="237"/>
      <c r="Y36" s="237"/>
      <c r="Z36" s="237"/>
      <c r="AA36" s="237">
        <f>J36*Z24</f>
        <v>0</v>
      </c>
    </row>
    <row r="37" spans="1:27" s="391" customFormat="1" ht="45" hidden="1" x14ac:dyDescent="0.25">
      <c r="A37" s="529">
        <f>'Du toan chi tiet'!A38</f>
        <v>0</v>
      </c>
      <c r="B37" s="76"/>
      <c r="C37" s="411" t="str">
        <f>'Du toan chi tiet'!C38</f>
        <v>AF.12151</v>
      </c>
      <c r="D37" s="411"/>
      <c r="E37" s="155" t="str">
        <f>'Du toan chi tiet'!D38</f>
        <v>Bê tông tường cánh SX bằng máy trộn, đổ bằng thủ công - Chiều dày ≤45cm, chiều cao ≤6m, M150, đá 2x4, PCB40</v>
      </c>
      <c r="F37" s="76" t="str">
        <f>'Du toan chi tiet'!E38</f>
        <v>m3</v>
      </c>
      <c r="G37" s="381">
        <f>'Du toan chi tiet'!M38</f>
        <v>0.15</v>
      </c>
      <c r="H37" s="381">
        <f>'Phan tich don gia'!G243</f>
        <v>2.4900000000000002</v>
      </c>
      <c r="I37" s="381">
        <f>'Du toan chi tiet'!W38</f>
        <v>1</v>
      </c>
      <c r="J37" s="381">
        <f t="shared" si="1"/>
        <v>0.3735</v>
      </c>
      <c r="K37" s="237"/>
      <c r="L37" s="237"/>
      <c r="M37" s="237"/>
      <c r="N37" s="237"/>
      <c r="O37" s="237"/>
      <c r="P37" s="237"/>
      <c r="Q37" s="237"/>
      <c r="R37" s="237"/>
      <c r="S37" s="237"/>
      <c r="T37" s="237"/>
      <c r="U37" s="237"/>
      <c r="V37" s="237"/>
      <c r="W37" s="237"/>
      <c r="X37" s="237"/>
      <c r="Y37" s="237"/>
      <c r="Z37" s="237"/>
      <c r="AA37" s="237">
        <f>J37*Z24</f>
        <v>0</v>
      </c>
    </row>
    <row r="38" spans="1:27" s="391" customFormat="1" hidden="1" x14ac:dyDescent="0.25">
      <c r="A38" s="529">
        <f>'Du toan chi tiet'!A41</f>
        <v>0</v>
      </c>
      <c r="B38" s="76"/>
      <c r="C38" s="411" t="str">
        <f>'Du toan chi tiet'!C41</f>
        <v>AL.22112</v>
      </c>
      <c r="D38" s="411"/>
      <c r="E38" s="155" t="str">
        <f>'Du toan chi tiet'!D41</f>
        <v>Cắt mặt đường bê tông hiện có</v>
      </c>
      <c r="F38" s="76" t="str">
        <f>'Du toan chi tiet'!E41</f>
        <v>10m</v>
      </c>
      <c r="G38" s="381">
        <f>'Du toan chi tiet'!M41</f>
        <v>0.6</v>
      </c>
      <c r="H38" s="381">
        <f>'Phan tich don gia'!G268</f>
        <v>0.55000000000000004</v>
      </c>
      <c r="I38" s="381">
        <f>'Du toan chi tiet'!W41</f>
        <v>1</v>
      </c>
      <c r="J38" s="381">
        <f t="shared" si="1"/>
        <v>0.33</v>
      </c>
      <c r="K38" s="237"/>
      <c r="L38" s="237"/>
      <c r="M38" s="237"/>
      <c r="N38" s="237"/>
      <c r="O38" s="237"/>
      <c r="P38" s="237"/>
      <c r="Q38" s="237"/>
      <c r="R38" s="237"/>
      <c r="S38" s="237"/>
      <c r="T38" s="237"/>
      <c r="U38" s="237"/>
      <c r="V38" s="237"/>
      <c r="W38" s="237"/>
      <c r="X38" s="237"/>
      <c r="Y38" s="237"/>
      <c r="Z38" s="237"/>
      <c r="AA38" s="237">
        <f>J38*Z24</f>
        <v>0</v>
      </c>
    </row>
    <row r="39" spans="1:27" s="391" customFormat="1" ht="45" hidden="1" x14ac:dyDescent="0.25">
      <c r="A39" s="529">
        <f>'Du toan chi tiet'!A45</f>
        <v>0</v>
      </c>
      <c r="B39" s="76"/>
      <c r="C39" s="411" t="str">
        <f>'Du toan chi tiet'!C45</f>
        <v>AF.15433</v>
      </c>
      <c r="D39" s="411"/>
      <c r="E39" s="155" t="str">
        <f>'Du toan chi tiet'!D45</f>
        <v>Bê tông thương phẩm, bê tông hoàn trả mặt đường dày mặt đường ≤25cm, bê tông M250, đá 2x4, PCB40</v>
      </c>
      <c r="F39" s="76" t="str">
        <f>'Du toan chi tiet'!E45</f>
        <v>m3</v>
      </c>
      <c r="G39" s="381">
        <f>'Du toan chi tiet'!M45</f>
        <v>0.59</v>
      </c>
      <c r="H39" s="381">
        <f>'Phan tich don gia'!G294</f>
        <v>0.62</v>
      </c>
      <c r="I39" s="381">
        <f>'Du toan chi tiet'!W45</f>
        <v>1</v>
      </c>
      <c r="J39" s="381">
        <f t="shared" si="1"/>
        <v>0.36579999999999996</v>
      </c>
      <c r="K39" s="237"/>
      <c r="L39" s="237"/>
      <c r="M39" s="237"/>
      <c r="N39" s="237"/>
      <c r="O39" s="237"/>
      <c r="P39" s="237"/>
      <c r="Q39" s="237"/>
      <c r="R39" s="237"/>
      <c r="S39" s="237"/>
      <c r="T39" s="237"/>
      <c r="U39" s="237"/>
      <c r="V39" s="237"/>
      <c r="W39" s="237"/>
      <c r="X39" s="237"/>
      <c r="Y39" s="237"/>
      <c r="Z39" s="237"/>
      <c r="AA39" s="237">
        <f>J39*Z24</f>
        <v>0</v>
      </c>
    </row>
    <row r="40" spans="1:27" s="391" customFormat="1" hidden="1" x14ac:dyDescent="0.25">
      <c r="A40" s="529">
        <f>'Du toan chi tiet'!A47</f>
        <v>0</v>
      </c>
      <c r="B40" s="76"/>
      <c r="C40" s="411" t="str">
        <f>'Du toan chi tiet'!C47</f>
        <v>AL.16201</v>
      </c>
      <c r="D40" s="411"/>
      <c r="E40" s="155" t="str">
        <f>'Du toan chi tiet'!D47</f>
        <v>Lót bạc nilong sọc xanh đỏ</v>
      </c>
      <c r="F40" s="76" t="str">
        <f>'Du toan chi tiet'!E47</f>
        <v>m2</v>
      </c>
      <c r="G40" s="381">
        <f>'Du toan chi tiet'!M47</f>
        <v>3.3</v>
      </c>
      <c r="H40" s="381">
        <f>'Phan tich don gia'!G312</f>
        <v>1.5E-3</v>
      </c>
      <c r="I40" s="381">
        <f>'Du toan chi tiet'!W47</f>
        <v>1</v>
      </c>
      <c r="J40" s="381">
        <f t="shared" si="1"/>
        <v>4.9499999999999995E-3</v>
      </c>
      <c r="K40" s="237"/>
      <c r="L40" s="237"/>
      <c r="M40" s="237"/>
      <c r="N40" s="237"/>
      <c r="O40" s="237"/>
      <c r="P40" s="237"/>
      <c r="Q40" s="237"/>
      <c r="R40" s="237"/>
      <c r="S40" s="237"/>
      <c r="T40" s="237"/>
      <c r="U40" s="237"/>
      <c r="V40" s="237"/>
      <c r="W40" s="237"/>
      <c r="X40" s="237"/>
      <c r="Y40" s="237"/>
      <c r="Z40" s="237"/>
      <c r="AA40" s="237">
        <f>J40*Z24</f>
        <v>0</v>
      </c>
    </row>
    <row r="41" spans="1:27" s="391" customFormat="1" ht="45" hidden="1" x14ac:dyDescent="0.25">
      <c r="A41" s="529">
        <f>'Du toan chi tiet'!A49</f>
        <v>0</v>
      </c>
      <c r="B41" s="76"/>
      <c r="C41" s="411" t="str">
        <f>'Du toan chi tiet'!C49</f>
        <v>AD.23263</v>
      </c>
      <c r="D41" s="411"/>
      <c r="E41" s="155" t="str">
        <f>'Du toan chi tiet'!D49</f>
        <v>Rải thảm mặt đường Carboncor Asphalt, bằng phương pháp thủ cơ giới, chiều dày mặt đường đã lèn ép 3cm</v>
      </c>
      <c r="F41" s="76" t="str">
        <f>'Du toan chi tiet'!E49</f>
        <v>m2</v>
      </c>
      <c r="G41" s="381">
        <f>'Du toan chi tiet'!M49</f>
        <v>1.2</v>
      </c>
      <c r="H41" s="381">
        <f>'Phan tich don gia'!G328</f>
        <v>8.0000000000000002E-3</v>
      </c>
      <c r="I41" s="381">
        <f>'Du toan chi tiet'!W49</f>
        <v>1</v>
      </c>
      <c r="J41" s="381">
        <f t="shared" si="1"/>
        <v>9.5999999999999992E-3</v>
      </c>
      <c r="K41" s="237"/>
      <c r="L41" s="237"/>
      <c r="M41" s="237"/>
      <c r="N41" s="237"/>
      <c r="O41" s="237"/>
      <c r="P41" s="237"/>
      <c r="Q41" s="237"/>
      <c r="R41" s="237"/>
      <c r="S41" s="237"/>
      <c r="T41" s="237"/>
      <c r="U41" s="237"/>
      <c r="V41" s="237"/>
      <c r="W41" s="237"/>
      <c r="X41" s="237"/>
      <c r="Y41" s="237"/>
      <c r="Z41" s="237"/>
      <c r="AA41" s="237">
        <f>J41*Z24</f>
        <v>0</v>
      </c>
    </row>
    <row r="42" spans="1:27" s="391" customFormat="1" hidden="1" x14ac:dyDescent="0.25">
      <c r="A42" s="529" t="e">
        <f>'Du toan chi tiet'!#REF!</f>
        <v>#REF!</v>
      </c>
      <c r="B42" s="76"/>
      <c r="C42" s="411" t="e">
        <f>'Du toan chi tiet'!#REF!</f>
        <v>#REF!</v>
      </c>
      <c r="D42" s="411"/>
      <c r="E42" s="155" t="e">
        <f>'Du toan chi tiet'!#REF!</f>
        <v>#REF!</v>
      </c>
      <c r="F42" s="76" t="e">
        <f>'Du toan chi tiet'!#REF!</f>
        <v>#REF!</v>
      </c>
      <c r="G42" s="381" t="e">
        <f>'Du toan chi tiet'!#REF!</f>
        <v>#REF!</v>
      </c>
      <c r="H42" s="381" t="e">
        <f>'Phan tich don gia'!#REF!</f>
        <v>#REF!</v>
      </c>
      <c r="I42" s="381" t="e">
        <f>'Du toan chi tiet'!#REF!</f>
        <v>#REF!</v>
      </c>
      <c r="J42" s="381" t="e">
        <f t="shared" si="1"/>
        <v>#REF!</v>
      </c>
      <c r="K42" s="237"/>
      <c r="L42" s="237"/>
      <c r="M42" s="237"/>
      <c r="N42" s="237"/>
      <c r="O42" s="237"/>
      <c r="P42" s="237"/>
      <c r="Q42" s="237"/>
      <c r="R42" s="237"/>
      <c r="S42" s="237"/>
      <c r="T42" s="237"/>
      <c r="U42" s="237"/>
      <c r="V42" s="237"/>
      <c r="W42" s="237"/>
      <c r="X42" s="237"/>
      <c r="Y42" s="237"/>
      <c r="Z42" s="237"/>
      <c r="AA42" s="237" t="e">
        <f>J42*Z24</f>
        <v>#REF!</v>
      </c>
    </row>
    <row r="43" spans="1:27" x14ac:dyDescent="0.25">
      <c r="A43" s="159" t="s">
        <v>262</v>
      </c>
      <c r="B43" s="649">
        <v>5</v>
      </c>
      <c r="C43" s="214" t="s">
        <v>169</v>
      </c>
      <c r="D43" s="214">
        <f>'Giá NC'!D9</f>
        <v>0</v>
      </c>
      <c r="E43" s="720" t="str">
        <f>'Giá NC'!E9</f>
        <v>Nhân công bậc 4,0/7 - Nhóm 2</v>
      </c>
      <c r="F43" s="649" t="s">
        <v>434</v>
      </c>
      <c r="G43" s="176"/>
      <c r="H43" s="176"/>
      <c r="I43" s="176"/>
      <c r="J43" s="176">
        <f>SUM(J44:J51)</f>
        <v>20.746400000000001</v>
      </c>
      <c r="K43" s="10">
        <f>'Giá NC'!G9</f>
        <v>273770</v>
      </c>
      <c r="L43" s="10">
        <f>J43*K43</f>
        <v>5679741.9280000003</v>
      </c>
      <c r="M43" s="10">
        <f>'Giá NC'!H9</f>
        <v>273770</v>
      </c>
      <c r="N43" s="10">
        <f>J43*M43</f>
        <v>5679741.9280000003</v>
      </c>
      <c r="O43" s="10">
        <f>M43-K43</f>
        <v>0</v>
      </c>
      <c r="P43" s="10">
        <f>J43*O43</f>
        <v>0</v>
      </c>
      <c r="Q43" s="10">
        <v>1</v>
      </c>
      <c r="R43" s="10">
        <f>M43*Q43</f>
        <v>273770</v>
      </c>
      <c r="S43" s="10">
        <f>J43*R43</f>
        <v>5679741.9280000003</v>
      </c>
      <c r="T43" s="10">
        <v>0</v>
      </c>
      <c r="U43" s="10">
        <v>0</v>
      </c>
      <c r="V43" s="10">
        <v>0</v>
      </c>
      <c r="W43" s="10">
        <v>0</v>
      </c>
      <c r="X43" s="10">
        <f>'Giá NC'!K9</f>
        <v>273770</v>
      </c>
      <c r="Y43" s="10">
        <f>J43*X43</f>
        <v>5679741.9280000003</v>
      </c>
      <c r="Z43" s="10">
        <f>X43-K43</f>
        <v>0</v>
      </c>
      <c r="AA43" s="10">
        <f>J43*Z43</f>
        <v>0</v>
      </c>
    </row>
    <row r="44" spans="1:27" s="391" customFormat="1" hidden="1" x14ac:dyDescent="0.25">
      <c r="A44" s="529">
        <f>'Du toan chi tiet'!A13</f>
        <v>0</v>
      </c>
      <c r="B44" s="76"/>
      <c r="C44" s="411" t="str">
        <f>'Du toan chi tiet'!C13</f>
        <v>AF.82411</v>
      </c>
      <c r="D44" s="411"/>
      <c r="E44" s="155" t="str">
        <f>'Du toan chi tiet'!D13</f>
        <v>Ván khuôn thép mặt đường bê tông</v>
      </c>
      <c r="F44" s="76" t="str">
        <f>'Du toan chi tiet'!E13</f>
        <v>m2</v>
      </c>
      <c r="G44" s="381">
        <f>'Du toan chi tiet'!M13</f>
        <v>105.49</v>
      </c>
      <c r="H44" s="381">
        <f>'Phan tich don gia'!G60</f>
        <v>0.115</v>
      </c>
      <c r="I44" s="381">
        <f>'Du toan chi tiet'!W13</f>
        <v>1</v>
      </c>
      <c r="J44" s="381">
        <f t="shared" ref="J44:J51" si="2">PRODUCT(G44,H44,I44)</f>
        <v>12.131349999999999</v>
      </c>
      <c r="K44" s="237"/>
      <c r="L44" s="237"/>
      <c r="M44" s="237"/>
      <c r="N44" s="237"/>
      <c r="O44" s="237"/>
      <c r="P44" s="237"/>
      <c r="Q44" s="237"/>
      <c r="R44" s="237"/>
      <c r="S44" s="237"/>
      <c r="T44" s="237"/>
      <c r="U44" s="237"/>
      <c r="V44" s="237"/>
      <c r="W44" s="237"/>
      <c r="X44" s="237"/>
      <c r="Y44" s="237"/>
      <c r="Z44" s="237"/>
      <c r="AA44" s="237">
        <f>J44*Z43</f>
        <v>0</v>
      </c>
    </row>
    <row r="45" spans="1:27" s="391" customFormat="1" ht="30" hidden="1" x14ac:dyDescent="0.25">
      <c r="A45" s="529">
        <f>'Du toan chi tiet'!A14</f>
        <v>0</v>
      </c>
      <c r="B45" s="76"/>
      <c r="C45" s="411" t="str">
        <f>'Du toan chi tiet'!C14</f>
        <v>SE.11211</v>
      </c>
      <c r="D45" s="411"/>
      <c r="E45" s="155" t="str">
        <f>'Du toan chi tiet'!D14</f>
        <v>Cắt mặt đường bê tông Asphalt chiều dày lớp cắt ≤ 5cm</v>
      </c>
      <c r="F45" s="76" t="str">
        <f>'Du toan chi tiet'!E14</f>
        <v>m</v>
      </c>
      <c r="G45" s="381">
        <f>'Du toan chi tiet'!M14</f>
        <v>25</v>
      </c>
      <c r="H45" s="381">
        <f>'Phan tich don gia'!G69</f>
        <v>1.7600000000000001E-2</v>
      </c>
      <c r="I45" s="381">
        <f>'Du toan chi tiet'!W14</f>
        <v>1</v>
      </c>
      <c r="J45" s="381">
        <f t="shared" si="2"/>
        <v>0.44</v>
      </c>
      <c r="K45" s="237"/>
      <c r="L45" s="237"/>
      <c r="M45" s="237"/>
      <c r="N45" s="237"/>
      <c r="O45" s="237"/>
      <c r="P45" s="237"/>
      <c r="Q45" s="237"/>
      <c r="R45" s="237"/>
      <c r="S45" s="237"/>
      <c r="T45" s="237"/>
      <c r="U45" s="237"/>
      <c r="V45" s="237"/>
      <c r="W45" s="237"/>
      <c r="X45" s="237"/>
      <c r="Y45" s="237"/>
      <c r="Z45" s="237"/>
      <c r="AA45" s="237">
        <f>J45*Z43</f>
        <v>0</v>
      </c>
    </row>
    <row r="46" spans="1:27" s="391" customFormat="1" hidden="1" x14ac:dyDescent="0.25">
      <c r="A46" s="529">
        <f>'Du toan chi tiet'!A27</f>
        <v>0</v>
      </c>
      <c r="B46" s="76"/>
      <c r="C46" s="411" t="str">
        <f>'Du toan chi tiet'!C27</f>
        <v>SE.31330</v>
      </c>
      <c r="D46" s="411"/>
      <c r="E46" s="155" t="str">
        <f>'Du toan chi tiet'!D27</f>
        <v>Dán màng phản quang đầu dải phân cách</v>
      </c>
      <c r="F46" s="76" t="str">
        <f>'Du toan chi tiet'!E27</f>
        <v>m2</v>
      </c>
      <c r="G46" s="381">
        <f>'Du toan chi tiet'!M27</f>
        <v>0.38</v>
      </c>
      <c r="H46" s="381">
        <f>'Phan tich don gia'!G154</f>
        <v>0.4</v>
      </c>
      <c r="I46" s="381">
        <f>'Du toan chi tiet'!W27</f>
        <v>1</v>
      </c>
      <c r="J46" s="381">
        <f t="shared" si="2"/>
        <v>0.15200000000000002</v>
      </c>
      <c r="K46" s="237"/>
      <c r="L46" s="237"/>
      <c r="M46" s="237"/>
      <c r="N46" s="237"/>
      <c r="O46" s="237"/>
      <c r="P46" s="237"/>
      <c r="Q46" s="237"/>
      <c r="R46" s="237"/>
      <c r="S46" s="237"/>
      <c r="T46" s="237"/>
      <c r="U46" s="237"/>
      <c r="V46" s="237"/>
      <c r="W46" s="237"/>
      <c r="X46" s="237"/>
      <c r="Y46" s="237"/>
      <c r="Z46" s="237"/>
      <c r="AA46" s="237">
        <f>J46*Z43</f>
        <v>0</v>
      </c>
    </row>
    <row r="47" spans="1:27" s="391" customFormat="1" ht="30" hidden="1" x14ac:dyDescent="0.25">
      <c r="A47" s="529">
        <f>'Du toan chi tiet'!A35</f>
        <v>0</v>
      </c>
      <c r="B47" s="76"/>
      <c r="C47" s="411" t="str">
        <f>'Du toan chi tiet'!C35</f>
        <v>AF.86211</v>
      </c>
      <c r="D47" s="411"/>
      <c r="E47" s="155" t="str">
        <f>'Du toan chi tiet'!D35</f>
        <v>Ván khuôn thép, khung xương, cột chống giáo ống, tường, chiều cao ≤28m</v>
      </c>
      <c r="F47" s="76" t="str">
        <f>'Du toan chi tiet'!E35</f>
        <v>m2</v>
      </c>
      <c r="G47" s="381">
        <f>'Du toan chi tiet'!M35</f>
        <v>21.33</v>
      </c>
      <c r="H47" s="381">
        <f>'Phan tich don gia'!G208</f>
        <v>0.28499999999999998</v>
      </c>
      <c r="I47" s="381">
        <f>'Du toan chi tiet'!W35</f>
        <v>1</v>
      </c>
      <c r="J47" s="381">
        <f t="shared" si="2"/>
        <v>6.0790499999999987</v>
      </c>
      <c r="K47" s="237"/>
      <c r="L47" s="237"/>
      <c r="M47" s="237"/>
      <c r="N47" s="237"/>
      <c r="O47" s="237"/>
      <c r="P47" s="237"/>
      <c r="Q47" s="237"/>
      <c r="R47" s="237"/>
      <c r="S47" s="237"/>
      <c r="T47" s="237"/>
      <c r="U47" s="237"/>
      <c r="V47" s="237"/>
      <c r="W47" s="237"/>
      <c r="X47" s="237"/>
      <c r="Y47" s="237"/>
      <c r="Z47" s="237"/>
      <c r="AA47" s="237">
        <f>J47*Z43</f>
        <v>0</v>
      </c>
    </row>
    <row r="48" spans="1:27" s="391" customFormat="1" hidden="1" x14ac:dyDescent="0.25">
      <c r="A48" s="529">
        <f>'Du toan chi tiet'!A37</f>
        <v>0</v>
      </c>
      <c r="B48" s="76"/>
      <c r="C48" s="411" t="str">
        <f>'Du toan chi tiet'!C37</f>
        <v>AF.82511</v>
      </c>
      <c r="D48" s="411"/>
      <c r="E48" s="155" t="str">
        <f>'Du toan chi tiet'!D37</f>
        <v>Ván khuôn móng dài</v>
      </c>
      <c r="F48" s="76" t="str">
        <f>'Du toan chi tiet'!E37</f>
        <v>m2</v>
      </c>
      <c r="G48" s="381">
        <f>'Du toan chi tiet'!M37</f>
        <v>1.78</v>
      </c>
      <c r="H48" s="381">
        <f>'Phan tich don gia'!G231</f>
        <v>0.1225</v>
      </c>
      <c r="I48" s="381">
        <f>'Du toan chi tiet'!W37</f>
        <v>1</v>
      </c>
      <c r="J48" s="381">
        <f t="shared" si="2"/>
        <v>0.21804999999999999</v>
      </c>
      <c r="K48" s="237"/>
      <c r="L48" s="237"/>
      <c r="M48" s="237"/>
      <c r="N48" s="237"/>
      <c r="O48" s="237"/>
      <c r="P48" s="237"/>
      <c r="Q48" s="237"/>
      <c r="R48" s="237"/>
      <c r="S48" s="237"/>
      <c r="T48" s="237"/>
      <c r="U48" s="237"/>
      <c r="V48" s="237"/>
      <c r="W48" s="237"/>
      <c r="X48" s="237"/>
      <c r="Y48" s="237"/>
      <c r="Z48" s="237"/>
      <c r="AA48" s="237">
        <f>J48*Z43</f>
        <v>0</v>
      </c>
    </row>
    <row r="49" spans="1:27" s="391" customFormat="1" ht="30" hidden="1" x14ac:dyDescent="0.25">
      <c r="A49" s="529">
        <f>'Du toan chi tiet'!A39</f>
        <v>0</v>
      </c>
      <c r="B49" s="76"/>
      <c r="C49" s="411" t="str">
        <f>'Du toan chi tiet'!C39</f>
        <v>AF.86211</v>
      </c>
      <c r="D49" s="411"/>
      <c r="E49" s="155" t="str">
        <f>'Du toan chi tiet'!D39</f>
        <v>Ván khuôn thép, khung xương, cột chống giáo ống, tường cánh chiều cao ≤28m</v>
      </c>
      <c r="F49" s="76" t="str">
        <f>'Du toan chi tiet'!E39</f>
        <v>m2</v>
      </c>
      <c r="G49" s="381">
        <f>'Du toan chi tiet'!M39</f>
        <v>0.81</v>
      </c>
      <c r="H49" s="381">
        <f>'Phan tich don gia'!G254</f>
        <v>0.28499999999999998</v>
      </c>
      <c r="I49" s="381">
        <f>'Du toan chi tiet'!W39</f>
        <v>1</v>
      </c>
      <c r="J49" s="381">
        <f t="shared" si="2"/>
        <v>0.23085</v>
      </c>
      <c r="K49" s="237"/>
      <c r="L49" s="237"/>
      <c r="M49" s="237"/>
      <c r="N49" s="237"/>
      <c r="O49" s="237"/>
      <c r="P49" s="237"/>
      <c r="Q49" s="237"/>
      <c r="R49" s="237"/>
      <c r="S49" s="237"/>
      <c r="T49" s="237"/>
      <c r="U49" s="237"/>
      <c r="V49" s="237"/>
      <c r="W49" s="237"/>
      <c r="X49" s="237"/>
      <c r="Y49" s="237"/>
      <c r="Z49" s="237"/>
      <c r="AA49" s="237">
        <f>J49*Z43</f>
        <v>0</v>
      </c>
    </row>
    <row r="50" spans="1:27" s="391" customFormat="1" hidden="1" x14ac:dyDescent="0.25">
      <c r="A50" s="529">
        <f>'Du toan chi tiet'!A40</f>
        <v>0</v>
      </c>
      <c r="B50" s="76"/>
      <c r="C50" s="411" t="str">
        <f>'Du toan chi tiet'!C40</f>
        <v>AK.98110</v>
      </c>
      <c r="D50" s="411"/>
      <c r="E50" s="155" t="str">
        <f>'Du toan chi tiet'!D40</f>
        <v>Thi công lớp đá đệm móng, đá dăm 2x4</v>
      </c>
      <c r="F50" s="76" t="str">
        <f>'Du toan chi tiet'!E40</f>
        <v>m3</v>
      </c>
      <c r="G50" s="381">
        <f>'Du toan chi tiet'!M40</f>
        <v>0.76</v>
      </c>
      <c r="H50" s="381">
        <f>'Phan tich don gia'!G262</f>
        <v>1.48</v>
      </c>
      <c r="I50" s="381">
        <f>'Du toan chi tiet'!W40</f>
        <v>1</v>
      </c>
      <c r="J50" s="381">
        <f t="shared" si="2"/>
        <v>1.1248</v>
      </c>
      <c r="K50" s="237"/>
      <c r="L50" s="237"/>
      <c r="M50" s="237"/>
      <c r="N50" s="237"/>
      <c r="O50" s="237"/>
      <c r="P50" s="237"/>
      <c r="Q50" s="237"/>
      <c r="R50" s="237"/>
      <c r="S50" s="237"/>
      <c r="T50" s="237"/>
      <c r="U50" s="237"/>
      <c r="V50" s="237"/>
      <c r="W50" s="237"/>
      <c r="X50" s="237"/>
      <c r="Y50" s="237"/>
      <c r="Z50" s="237"/>
      <c r="AA50" s="237">
        <f>J50*Z43</f>
        <v>0</v>
      </c>
    </row>
    <row r="51" spans="1:27" s="391" customFormat="1" hidden="1" x14ac:dyDescent="0.25">
      <c r="A51" s="529">
        <f>'Du toan chi tiet'!A48</f>
        <v>0</v>
      </c>
      <c r="B51" s="76"/>
      <c r="C51" s="411" t="str">
        <f>'Du toan chi tiet'!C48</f>
        <v>AF.82411</v>
      </c>
      <c r="D51" s="411"/>
      <c r="E51" s="155" t="str">
        <f>'Du toan chi tiet'!D48</f>
        <v>Ván khuôn thép mặt đường bê tông</v>
      </c>
      <c r="F51" s="76" t="str">
        <f>'Du toan chi tiet'!E48</f>
        <v>m2</v>
      </c>
      <c r="G51" s="381">
        <f>'Du toan chi tiet'!M48</f>
        <v>3.22</v>
      </c>
      <c r="H51" s="381">
        <f>'Phan tich don gia'!G319</f>
        <v>0.115</v>
      </c>
      <c r="I51" s="381">
        <f>'Du toan chi tiet'!W48</f>
        <v>1</v>
      </c>
      <c r="J51" s="381">
        <f t="shared" si="2"/>
        <v>0.37030000000000002</v>
      </c>
      <c r="K51" s="237"/>
      <c r="L51" s="237"/>
      <c r="M51" s="237"/>
      <c r="N51" s="237"/>
      <c r="O51" s="237"/>
      <c r="P51" s="237"/>
      <c r="Q51" s="237"/>
      <c r="R51" s="237"/>
      <c r="S51" s="237"/>
      <c r="T51" s="237"/>
      <c r="U51" s="237"/>
      <c r="V51" s="237"/>
      <c r="W51" s="237"/>
      <c r="X51" s="237"/>
      <c r="Y51" s="237"/>
      <c r="Z51" s="237"/>
      <c r="AA51" s="237">
        <f>J51*Z43</f>
        <v>0</v>
      </c>
    </row>
    <row r="52" spans="1:27" x14ac:dyDescent="0.25">
      <c r="A52" s="446"/>
      <c r="B52" s="562"/>
      <c r="C52" s="108"/>
      <c r="D52" s="108"/>
      <c r="E52" s="629" t="s">
        <v>607</v>
      </c>
      <c r="F52" s="562"/>
      <c r="G52" s="70"/>
      <c r="H52" s="70"/>
      <c r="I52" s="70"/>
      <c r="J52" s="70"/>
      <c r="K52" s="689"/>
      <c r="L52" s="689" t="e">
        <f>SUMIF(A6:A51,"VT",L6:L51)</f>
        <v>#REF!</v>
      </c>
      <c r="M52" s="689"/>
      <c r="N52" s="689" t="e">
        <f>SUMIF(A6:A51,"VT",N6:N51)</f>
        <v>#REF!</v>
      </c>
      <c r="O52" s="689"/>
      <c r="P52" s="689" t="e">
        <f>SUMIF(A6:A51,"VT",P6:P51)</f>
        <v>#REF!</v>
      </c>
      <c r="Q52" s="689"/>
      <c r="R52" s="689"/>
      <c r="S52" s="689" t="e">
        <f>SUMIF(A6:A51,"VT",S6:S51)</f>
        <v>#REF!</v>
      </c>
      <c r="T52" s="689"/>
      <c r="U52" s="689">
        <f>SUMIF(A6:A51,"VT",U6:U51)</f>
        <v>0</v>
      </c>
      <c r="V52" s="689"/>
      <c r="W52" s="689">
        <f>SUMIF(A6:A51,"VT",W6:W51)</f>
        <v>0</v>
      </c>
      <c r="X52" s="689"/>
      <c r="Y52" s="689" t="e">
        <f>SUMIF(A6:A51,"VT",Y6:Y51)</f>
        <v>#REF!</v>
      </c>
      <c r="Z52" s="689"/>
      <c r="AA52" s="689" t="e">
        <f>SUMIF(A6:A51,"VT",AA6:AA51)</f>
        <v>#REF!</v>
      </c>
    </row>
    <row r="53" spans="1:27" x14ac:dyDescent="0.25">
      <c r="A53" s="749"/>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spans="1:27"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1:27"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row>
  </sheetData>
  <mergeCells count="28">
    <mergeCell ref="Z4:Z5"/>
    <mergeCell ref="AA4:AA5"/>
    <mergeCell ref="U4:U5"/>
    <mergeCell ref="V4:V5"/>
    <mergeCell ref="W4:W5"/>
    <mergeCell ref="X4:X5"/>
    <mergeCell ref="Y4:Y5"/>
    <mergeCell ref="P4:P5"/>
    <mergeCell ref="Q4:Q5"/>
    <mergeCell ref="R4:R5"/>
    <mergeCell ref="S4:S5"/>
    <mergeCell ref="T4:T5"/>
    <mergeCell ref="A1:AA1"/>
    <mergeCell ref="A2:AA2"/>
    <mergeCell ref="A3:AA3"/>
    <mergeCell ref="B4:B5"/>
    <mergeCell ref="C4:C5"/>
    <mergeCell ref="E4:E5"/>
    <mergeCell ref="F4:F5"/>
    <mergeCell ref="G4:G5"/>
    <mergeCell ref="H4:H5"/>
    <mergeCell ref="I4:I5"/>
    <mergeCell ref="J4:J5"/>
    <mergeCell ref="K4:K5"/>
    <mergeCell ref="L4:L5"/>
    <mergeCell ref="M4:M5"/>
    <mergeCell ref="N4:N5"/>
    <mergeCell ref="O4:O5"/>
  </mergeCells>
  <pageMargins left="0.75" right="0.75" top="0.79" bottom="0.79" header="0.3" footer="0.3"/>
  <pageSetup paperSize="9" orientation="landscape" useFirstPageNumber="1" horizontalDpi="65532"/>
  <headerFooter>
    <oddFooter>&amp;CTrang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15"/>
  <sheetViews>
    <sheetView showZeros="0" topLeftCell="B1" workbookViewId="0">
      <selection activeCell="D9" sqref="D9"/>
    </sheetView>
  </sheetViews>
  <sheetFormatPr defaultColWidth="9.140625" defaultRowHeight="15" x14ac:dyDescent="0.25"/>
  <cols>
    <col min="1" max="1" width="9.140625" style="751" hidden="1" customWidth="1"/>
    <col min="2" max="2" width="5" style="751" bestFit="1" customWidth="1"/>
    <col min="3" max="3" width="8.140625" style="751" customWidth="1"/>
    <col min="4" max="4" width="33.85546875" style="751" customWidth="1"/>
    <col min="5" max="5" width="10.7109375" style="751" customWidth="1"/>
    <col min="6" max="6" width="6.7109375" style="751" hidden="1" customWidth="1"/>
    <col min="7" max="7" width="9.5703125" style="751" hidden="1" customWidth="1"/>
    <col min="8" max="8" width="9.42578125" style="751" hidden="1" customWidth="1"/>
    <col min="9" max="9" width="9.140625" style="751" hidden="1" customWidth="1"/>
    <col min="10" max="10" width="9.42578125" style="751" hidden="1" customWidth="1"/>
    <col min="11" max="11" width="8.28515625" style="751" hidden="1" customWidth="1"/>
    <col min="12" max="12" width="8.42578125" style="751" hidden="1" customWidth="1"/>
    <col min="13" max="13" width="9.140625" style="751" hidden="1" customWidth="1"/>
    <col min="14" max="14" width="10.42578125" style="751" hidden="1" customWidth="1"/>
    <col min="15" max="15" width="8.140625" style="751" hidden="1" customWidth="1"/>
    <col min="16" max="16" width="12" style="751" hidden="1" customWidth="1"/>
    <col min="17" max="17" width="10.28515625" style="751" customWidth="1"/>
    <col min="18" max="22" width="9.140625" style="751" hidden="1" customWidth="1"/>
    <col min="23" max="23" width="9.140625" style="751" customWidth="1"/>
    <col min="24" max="16384" width="9.140625" style="751"/>
  </cols>
  <sheetData>
    <row r="1" spans="1:27" ht="18.75" x14ac:dyDescent="0.3">
      <c r="A1" s="978" t="s">
        <v>824</v>
      </c>
      <c r="B1" s="978" t="s">
        <v>824</v>
      </c>
      <c r="C1" s="978" t="s">
        <v>824</v>
      </c>
      <c r="D1" s="978" t="s">
        <v>824</v>
      </c>
      <c r="E1" s="978" t="s">
        <v>824</v>
      </c>
      <c r="F1" s="978" t="s">
        <v>824</v>
      </c>
      <c r="G1" s="978" t="s">
        <v>824</v>
      </c>
      <c r="H1" s="978" t="s">
        <v>824</v>
      </c>
      <c r="I1" s="978" t="s">
        <v>824</v>
      </c>
      <c r="J1" s="978" t="s">
        <v>824</v>
      </c>
      <c r="K1" s="978" t="s">
        <v>824</v>
      </c>
      <c r="L1" s="978" t="s">
        <v>824</v>
      </c>
      <c r="M1" s="978" t="s">
        <v>824</v>
      </c>
      <c r="N1" s="978" t="s">
        <v>824</v>
      </c>
      <c r="O1" s="978" t="s">
        <v>824</v>
      </c>
      <c r="P1" s="978" t="s">
        <v>824</v>
      </c>
      <c r="Q1" s="978" t="s">
        <v>824</v>
      </c>
    </row>
    <row r="2" spans="1:27" x14ac:dyDescent="0.25">
      <c r="A2" s="979" t="s">
        <v>315</v>
      </c>
      <c r="B2" s="979" t="s">
        <v>315</v>
      </c>
      <c r="C2" s="979" t="s">
        <v>315</v>
      </c>
      <c r="D2" s="979" t="s">
        <v>315</v>
      </c>
      <c r="E2" s="979" t="s">
        <v>315</v>
      </c>
      <c r="F2" s="979" t="s">
        <v>315</v>
      </c>
      <c r="G2" s="979" t="s">
        <v>315</v>
      </c>
      <c r="H2" s="979" t="s">
        <v>315</v>
      </c>
      <c r="I2" s="979" t="s">
        <v>315</v>
      </c>
      <c r="J2" s="979" t="s">
        <v>315</v>
      </c>
      <c r="K2" s="979" t="s">
        <v>315</v>
      </c>
      <c r="L2" s="979" t="s">
        <v>315</v>
      </c>
      <c r="M2" s="979" t="s">
        <v>315</v>
      </c>
      <c r="N2" s="979" t="s">
        <v>315</v>
      </c>
      <c r="O2" s="979" t="s">
        <v>315</v>
      </c>
      <c r="P2" s="979" t="s">
        <v>315</v>
      </c>
      <c r="Q2" s="979" t="s">
        <v>315</v>
      </c>
    </row>
    <row r="3" spans="1:27" x14ac:dyDescent="0.25">
      <c r="A3" s="981" t="s">
        <v>284</v>
      </c>
      <c r="B3" s="981" t="s">
        <v>284</v>
      </c>
      <c r="C3" s="981" t="s">
        <v>284</v>
      </c>
      <c r="D3" s="981" t="s">
        <v>284</v>
      </c>
      <c r="E3" s="981" t="s">
        <v>284</v>
      </c>
      <c r="F3" s="981" t="s">
        <v>284</v>
      </c>
      <c r="G3" s="981" t="s">
        <v>284</v>
      </c>
      <c r="H3" s="981" t="s">
        <v>284</v>
      </c>
      <c r="I3" s="981" t="s">
        <v>284</v>
      </c>
      <c r="J3" s="981" t="s">
        <v>284</v>
      </c>
      <c r="K3" s="981" t="s">
        <v>284</v>
      </c>
      <c r="L3" s="981" t="s">
        <v>284</v>
      </c>
      <c r="M3" s="981" t="s">
        <v>284</v>
      </c>
      <c r="N3" s="981" t="s">
        <v>284</v>
      </c>
      <c r="O3" s="981" t="s">
        <v>284</v>
      </c>
      <c r="P3" s="981" t="s">
        <v>284</v>
      </c>
      <c r="Q3" s="981" t="s">
        <v>284</v>
      </c>
    </row>
    <row r="4" spans="1:27" x14ac:dyDescent="0.25">
      <c r="B4" s="49"/>
      <c r="C4" s="351"/>
      <c r="D4" s="49"/>
      <c r="E4" s="49"/>
      <c r="F4" s="49"/>
      <c r="G4" s="49"/>
      <c r="H4" s="49"/>
      <c r="I4" s="49"/>
      <c r="J4" s="49"/>
      <c r="K4" s="49"/>
      <c r="L4" s="49"/>
      <c r="M4" s="49"/>
      <c r="N4" s="49"/>
      <c r="O4" s="49"/>
      <c r="P4" s="599"/>
      <c r="Q4" s="622">
        <v>0</v>
      </c>
      <c r="R4" s="49"/>
      <c r="S4" s="49"/>
      <c r="T4" s="49"/>
      <c r="U4" s="49"/>
      <c r="V4" s="49"/>
      <c r="W4" s="49"/>
      <c r="X4" s="49"/>
      <c r="Y4" s="49"/>
      <c r="Z4" s="49"/>
      <c r="AA4" s="49"/>
    </row>
    <row r="5" spans="1:27" x14ac:dyDescent="0.25">
      <c r="B5" s="554">
        <v>26</v>
      </c>
      <c r="C5" s="351"/>
      <c r="D5" s="49"/>
      <c r="E5" s="49"/>
      <c r="F5" s="49"/>
      <c r="G5" s="49"/>
      <c r="H5" s="49"/>
      <c r="I5" s="49"/>
      <c r="J5" s="49"/>
      <c r="K5" s="49"/>
      <c r="L5" s="49"/>
      <c r="M5" s="49"/>
      <c r="N5" s="49"/>
      <c r="O5" s="49"/>
      <c r="P5" s="599"/>
      <c r="Q5" s="622">
        <v>0</v>
      </c>
      <c r="R5" s="49"/>
      <c r="S5" s="49"/>
      <c r="T5" s="49"/>
      <c r="U5" s="49"/>
      <c r="V5" s="49"/>
      <c r="W5" s="49"/>
      <c r="X5" s="49"/>
      <c r="Y5" s="49"/>
      <c r="Z5" s="49"/>
      <c r="AA5" s="49"/>
    </row>
    <row r="6" spans="1:27" x14ac:dyDescent="0.25">
      <c r="B6" s="1015" t="s">
        <v>386</v>
      </c>
      <c r="C6" s="1018" t="s">
        <v>267</v>
      </c>
      <c r="D6" s="1015" t="s">
        <v>129</v>
      </c>
      <c r="E6" s="1015" t="s">
        <v>1136</v>
      </c>
      <c r="F6" s="1015" t="s">
        <v>890</v>
      </c>
      <c r="G6" s="1015" t="s">
        <v>1026</v>
      </c>
      <c r="H6" s="982" t="s">
        <v>587</v>
      </c>
      <c r="I6" s="982"/>
      <c r="J6" s="982"/>
      <c r="K6" s="982"/>
      <c r="L6" s="982"/>
      <c r="M6" s="982"/>
      <c r="N6" s="982"/>
      <c r="O6" s="982"/>
      <c r="P6" s="1015" t="s">
        <v>842</v>
      </c>
      <c r="Q6" s="1015" t="s">
        <v>1215</v>
      </c>
      <c r="R6" s="49"/>
      <c r="S6" s="49"/>
      <c r="T6" s="49"/>
      <c r="U6" s="49"/>
      <c r="V6" s="49"/>
      <c r="W6" s="49"/>
      <c r="X6" s="49"/>
      <c r="Y6" s="49"/>
      <c r="Z6" s="49"/>
      <c r="AA6" s="49"/>
    </row>
    <row r="7" spans="1:27" ht="29.25" customHeight="1" x14ac:dyDescent="0.25">
      <c r="B7" s="1016"/>
      <c r="C7" s="1019"/>
      <c r="D7" s="1016"/>
      <c r="E7" s="1016"/>
      <c r="F7" s="1016"/>
      <c r="G7" s="1016"/>
      <c r="H7" s="349" t="s">
        <v>540</v>
      </c>
      <c r="I7" s="349" t="s">
        <v>562</v>
      </c>
      <c r="J7" s="349" t="s">
        <v>726</v>
      </c>
      <c r="K7" s="349" t="s">
        <v>462</v>
      </c>
      <c r="L7" s="349" t="s">
        <v>66</v>
      </c>
      <c r="M7" s="349" t="s">
        <v>1133</v>
      </c>
      <c r="N7" s="349" t="s">
        <v>1064</v>
      </c>
      <c r="O7" s="349" t="s">
        <v>1227</v>
      </c>
      <c r="P7" s="1016"/>
      <c r="Q7" s="1016"/>
      <c r="R7" s="49"/>
      <c r="S7" s="49"/>
      <c r="T7" s="49"/>
      <c r="U7" s="49"/>
      <c r="V7" s="49"/>
      <c r="W7" s="49"/>
      <c r="X7" s="49"/>
      <c r="Y7" s="49"/>
      <c r="Z7" s="49"/>
      <c r="AA7" s="49"/>
    </row>
    <row r="8" spans="1:27" x14ac:dyDescent="0.25">
      <c r="B8" s="1017"/>
      <c r="C8" s="1020"/>
      <c r="D8" s="1017"/>
      <c r="E8" s="1017"/>
      <c r="F8" s="1017"/>
      <c r="G8" s="1017"/>
      <c r="H8" s="632"/>
      <c r="I8" s="632"/>
      <c r="J8" s="632"/>
      <c r="K8" s="632"/>
      <c r="L8" s="632"/>
      <c r="M8" s="632"/>
      <c r="N8" s="632"/>
      <c r="O8" s="632"/>
      <c r="P8" s="1017"/>
      <c r="Q8" s="1017"/>
      <c r="R8" s="49"/>
      <c r="S8" s="49"/>
      <c r="T8" s="49"/>
      <c r="U8" s="49"/>
      <c r="V8" s="49"/>
      <c r="W8" s="49"/>
      <c r="X8" s="49"/>
      <c r="Y8" s="49"/>
      <c r="Z8" s="49"/>
      <c r="AA8" s="49"/>
    </row>
    <row r="9" spans="1:27" x14ac:dyDescent="0.25">
      <c r="A9" s="426"/>
      <c r="B9" s="586">
        <v>1</v>
      </c>
      <c r="C9" s="754" t="s">
        <v>475</v>
      </c>
      <c r="D9" s="467" t="s">
        <v>1154</v>
      </c>
      <c r="E9" s="467" t="s">
        <v>434</v>
      </c>
      <c r="F9" s="334"/>
      <c r="G9" s="28">
        <f>F9*Q5</f>
        <v>0</v>
      </c>
      <c r="H9" s="28">
        <f>H8*Q4</f>
        <v>0</v>
      </c>
      <c r="I9" s="28">
        <f>I8*Q4</f>
        <v>0</v>
      </c>
      <c r="J9" s="28">
        <f>J8*Q4</f>
        <v>0</v>
      </c>
      <c r="K9" s="28">
        <f>K8*Q4</f>
        <v>0</v>
      </c>
      <c r="L9" s="28">
        <f>G9*L8</f>
        <v>0</v>
      </c>
      <c r="M9" s="28">
        <f>G9*M8</f>
        <v>0</v>
      </c>
      <c r="N9" s="28">
        <f>G9*N8</f>
        <v>0</v>
      </c>
      <c r="O9" s="28">
        <f>G9*O8</f>
        <v>0</v>
      </c>
      <c r="P9" s="28">
        <f t="shared" ref="P9:P13" si="0">SUM(G9:O9)</f>
        <v>0</v>
      </c>
      <c r="Q9" s="28">
        <f>ROUND(P9/B5,0)</f>
        <v>0</v>
      </c>
      <c r="R9" s="49"/>
      <c r="S9" s="49"/>
      <c r="T9" s="49"/>
      <c r="U9" s="49"/>
      <c r="V9" s="49"/>
      <c r="W9" s="49"/>
      <c r="X9" s="49"/>
      <c r="Y9" s="49"/>
      <c r="Z9" s="49"/>
      <c r="AA9" s="49"/>
    </row>
    <row r="10" spans="1:27" x14ac:dyDescent="0.25">
      <c r="A10" s="169"/>
      <c r="B10" s="346">
        <v>2</v>
      </c>
      <c r="C10" s="518" t="s">
        <v>49</v>
      </c>
      <c r="D10" s="221" t="s">
        <v>818</v>
      </c>
      <c r="E10" s="221" t="s">
        <v>434</v>
      </c>
      <c r="F10" s="52"/>
      <c r="G10" s="527">
        <f>F10*Q5</f>
        <v>0</v>
      </c>
      <c r="H10" s="527">
        <f>H8*Q4</f>
        <v>0</v>
      </c>
      <c r="I10" s="527">
        <f>I8*Q4</f>
        <v>0</v>
      </c>
      <c r="J10" s="527">
        <f>J8*Q4</f>
        <v>0</v>
      </c>
      <c r="K10" s="527">
        <f>K8*Q4</f>
        <v>0</v>
      </c>
      <c r="L10" s="527">
        <f>G10*L8</f>
        <v>0</v>
      </c>
      <c r="M10" s="527">
        <f>G10*M8</f>
        <v>0</v>
      </c>
      <c r="N10" s="527">
        <f>G10*N8</f>
        <v>0</v>
      </c>
      <c r="O10" s="527">
        <f>G10*O8</f>
        <v>0</v>
      </c>
      <c r="P10" s="527">
        <f t="shared" si="0"/>
        <v>0</v>
      </c>
      <c r="Q10" s="527">
        <f>ROUND(P10/B5,0)</f>
        <v>0</v>
      </c>
      <c r="R10" s="49"/>
      <c r="S10" s="49"/>
      <c r="T10" s="49"/>
      <c r="U10" s="49"/>
      <c r="V10" s="49"/>
      <c r="W10" s="49"/>
      <c r="X10" s="49"/>
      <c r="Y10" s="49"/>
      <c r="Z10" s="49"/>
      <c r="AA10" s="49"/>
    </row>
    <row r="11" spans="1:27" x14ac:dyDescent="0.25">
      <c r="A11" s="169"/>
      <c r="B11" s="346">
        <v>3</v>
      </c>
      <c r="C11" s="518" t="s">
        <v>1156</v>
      </c>
      <c r="D11" s="221" t="s">
        <v>213</v>
      </c>
      <c r="E11" s="221" t="s">
        <v>434</v>
      </c>
      <c r="F11" s="52"/>
      <c r="G11" s="527">
        <f>F11*Q5</f>
        <v>0</v>
      </c>
      <c r="H11" s="527">
        <f>H8*Q4</f>
        <v>0</v>
      </c>
      <c r="I11" s="527">
        <f>I8*Q4</f>
        <v>0</v>
      </c>
      <c r="J11" s="527">
        <f>J8*Q4</f>
        <v>0</v>
      </c>
      <c r="K11" s="527">
        <f>K8*Q4</f>
        <v>0</v>
      </c>
      <c r="L11" s="527">
        <f>G11*L8</f>
        <v>0</v>
      </c>
      <c r="M11" s="527">
        <f>G11*M8</f>
        <v>0</v>
      </c>
      <c r="N11" s="527">
        <f>G11*N8</f>
        <v>0</v>
      </c>
      <c r="O11" s="527">
        <f>G11*O8</f>
        <v>0</v>
      </c>
      <c r="P11" s="527">
        <f t="shared" si="0"/>
        <v>0</v>
      </c>
      <c r="Q11" s="527">
        <f>ROUND(P11/B5,0)</f>
        <v>0</v>
      </c>
      <c r="R11" s="49"/>
      <c r="S11" s="49"/>
      <c r="T11" s="49"/>
      <c r="U11" s="49"/>
      <c r="V11" s="49"/>
      <c r="W11" s="49"/>
      <c r="X11" s="49"/>
      <c r="Y11" s="49"/>
      <c r="Z11" s="49"/>
      <c r="AA11" s="49"/>
    </row>
    <row r="12" spans="1:27" x14ac:dyDescent="0.25">
      <c r="A12" s="169"/>
      <c r="B12" s="346">
        <v>4</v>
      </c>
      <c r="C12" s="518" t="s">
        <v>706</v>
      </c>
      <c r="D12" s="221" t="s">
        <v>1200</v>
      </c>
      <c r="E12" s="221" t="s">
        <v>434</v>
      </c>
      <c r="F12" s="52"/>
      <c r="G12" s="527">
        <f>F12*Q5</f>
        <v>0</v>
      </c>
      <c r="H12" s="527">
        <f>H8*Q4</f>
        <v>0</v>
      </c>
      <c r="I12" s="527">
        <f>I8*Q4</f>
        <v>0</v>
      </c>
      <c r="J12" s="527">
        <f>J8*Q4</f>
        <v>0</v>
      </c>
      <c r="K12" s="527">
        <f>K8*Q4</f>
        <v>0</v>
      </c>
      <c r="L12" s="527">
        <f>G12*L8</f>
        <v>0</v>
      </c>
      <c r="M12" s="527">
        <f>G12*M8</f>
        <v>0</v>
      </c>
      <c r="N12" s="527">
        <f>G12*N8</f>
        <v>0</v>
      </c>
      <c r="O12" s="527">
        <f>G12*O8</f>
        <v>0</v>
      </c>
      <c r="P12" s="527">
        <f t="shared" si="0"/>
        <v>0</v>
      </c>
      <c r="Q12" s="527">
        <f>ROUND(P12/B5,0)</f>
        <v>0</v>
      </c>
      <c r="R12" s="49"/>
      <c r="S12" s="49"/>
      <c r="T12" s="49"/>
      <c r="U12" s="49"/>
      <c r="V12" s="49"/>
      <c r="W12" s="49"/>
      <c r="X12" s="49"/>
      <c r="Y12" s="49"/>
      <c r="Z12" s="49"/>
      <c r="AA12" s="49"/>
    </row>
    <row r="13" spans="1:27" x14ac:dyDescent="0.25">
      <c r="A13" s="85"/>
      <c r="B13" s="283">
        <v>5</v>
      </c>
      <c r="C13" s="447" t="s">
        <v>169</v>
      </c>
      <c r="D13" s="134" t="s">
        <v>911</v>
      </c>
      <c r="E13" s="134" t="s">
        <v>434</v>
      </c>
      <c r="F13" s="15"/>
      <c r="G13" s="487">
        <f>F13*Q5</f>
        <v>0</v>
      </c>
      <c r="H13" s="487">
        <f>H8*Q4</f>
        <v>0</v>
      </c>
      <c r="I13" s="487">
        <f>I8*Q4</f>
        <v>0</v>
      </c>
      <c r="J13" s="487">
        <f>J8*Q4</f>
        <v>0</v>
      </c>
      <c r="K13" s="487">
        <f>K8*Q4</f>
        <v>0</v>
      </c>
      <c r="L13" s="487">
        <f>G13*L8</f>
        <v>0</v>
      </c>
      <c r="M13" s="487">
        <f>G13*M8</f>
        <v>0</v>
      </c>
      <c r="N13" s="487">
        <f>G13*N8</f>
        <v>0</v>
      </c>
      <c r="O13" s="487">
        <f>G13*O8</f>
        <v>0</v>
      </c>
      <c r="P13" s="487">
        <f t="shared" si="0"/>
        <v>0</v>
      </c>
      <c r="Q13" s="487">
        <f>ROUND(P13/B5,0)</f>
        <v>0</v>
      </c>
      <c r="R13" s="49"/>
      <c r="S13" s="49"/>
      <c r="T13" s="49"/>
      <c r="U13" s="49"/>
      <c r="V13" s="49"/>
      <c r="W13" s="49"/>
      <c r="X13" s="49"/>
      <c r="Y13" s="49"/>
      <c r="Z13" s="49"/>
      <c r="AA13" s="49"/>
    </row>
    <row r="14" spans="1:27" x14ac:dyDescent="0.2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x14ac:dyDescent="0.2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sheetData>
  <mergeCells count="12">
    <mergeCell ref="P6:P8"/>
    <mergeCell ref="Q6:Q8"/>
    <mergeCell ref="A1:Q1"/>
    <mergeCell ref="A2:Q2"/>
    <mergeCell ref="A3:Q3"/>
    <mergeCell ref="B6:B8"/>
    <mergeCell ref="C6:C8"/>
    <mergeCell ref="D6:D8"/>
    <mergeCell ref="E6:E8"/>
    <mergeCell ref="F6:F8"/>
    <mergeCell ref="G6:G8"/>
    <mergeCell ref="H6:O6"/>
  </mergeCells>
  <pageMargins left="1.18" right="0.59" top="0.79" bottom="0.79" header="0.3" footer="0.3"/>
  <pageSetup orientation="landscape" horizontalDpi="6553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X28"/>
  <sheetViews>
    <sheetView showZeros="0" topLeftCell="B1" workbookViewId="0">
      <selection sqref="A1:O26"/>
    </sheetView>
  </sheetViews>
  <sheetFormatPr defaultColWidth="9.140625" defaultRowHeight="15" x14ac:dyDescent="0.25"/>
  <cols>
    <col min="1" max="1" width="2.28515625" style="863" hidden="1" customWidth="1"/>
    <col min="2" max="2" width="4.7109375" style="863" bestFit="1" customWidth="1"/>
    <col min="3" max="3" width="7.7109375" style="863" bestFit="1" customWidth="1"/>
    <col min="4" max="4" width="9.42578125" style="863" hidden="1" customWidth="1"/>
    <col min="5" max="5" width="30.7109375" style="863" customWidth="1"/>
    <col min="6" max="6" width="8.42578125" style="863" bestFit="1" customWidth="1"/>
    <col min="7" max="7" width="11.140625" style="863" customWidth="1"/>
    <col min="8" max="8" width="8.85546875" style="863" customWidth="1"/>
    <col min="9" max="9" width="6.42578125" style="863" hidden="1" customWidth="1"/>
    <col min="10" max="10" width="11.85546875" style="863" hidden="1" customWidth="1"/>
    <col min="11" max="11" width="6.85546875" style="863" hidden="1" customWidth="1"/>
    <col min="12" max="12" width="6.7109375" style="863" hidden="1" customWidth="1"/>
    <col min="13" max="13" width="10.28515625" style="863" hidden="1" customWidth="1"/>
    <col min="14" max="14" width="8.85546875" style="863" hidden="1" customWidth="1"/>
    <col min="15" max="15" width="11.5703125" style="863" customWidth="1"/>
    <col min="16" max="16384" width="9.140625" style="863"/>
  </cols>
  <sheetData>
    <row r="1" spans="1:24" ht="18.75" x14ac:dyDescent="0.25">
      <c r="B1" s="1021" t="s">
        <v>857</v>
      </c>
      <c r="C1" s="1021"/>
      <c r="D1" s="1021"/>
      <c r="E1" s="1021"/>
      <c r="F1" s="1021"/>
      <c r="G1" s="1021"/>
      <c r="H1" s="1021"/>
      <c r="I1" s="1021"/>
      <c r="J1" s="1021"/>
      <c r="K1" s="1021"/>
      <c r="L1" s="1021"/>
      <c r="M1" s="1021"/>
      <c r="N1" s="1021"/>
      <c r="O1" s="1021"/>
    </row>
    <row r="2" spans="1:24" x14ac:dyDescent="0.25">
      <c r="B2" s="1022" t="s">
        <v>199</v>
      </c>
      <c r="C2" s="1022"/>
      <c r="D2" s="1022"/>
      <c r="E2" s="1022"/>
      <c r="F2" s="1022"/>
      <c r="G2" s="1022"/>
      <c r="H2" s="1022"/>
      <c r="I2" s="1022"/>
      <c r="J2" s="1022"/>
      <c r="K2" s="1022"/>
      <c r="L2" s="1022"/>
      <c r="M2" s="1022"/>
      <c r="N2" s="1022"/>
      <c r="O2" s="1022"/>
    </row>
    <row r="3" spans="1:24" x14ac:dyDescent="0.25">
      <c r="B3" s="1023" t="s">
        <v>440</v>
      </c>
      <c r="C3" s="1023"/>
      <c r="D3" s="1023"/>
      <c r="E3" s="1023"/>
      <c r="F3" s="1023"/>
      <c r="G3" s="1023"/>
      <c r="H3" s="1023"/>
      <c r="I3" s="1023"/>
      <c r="J3" s="1023"/>
      <c r="K3" s="1023"/>
      <c r="L3" s="1023"/>
      <c r="M3" s="1023"/>
      <c r="N3" s="1023"/>
      <c r="O3" s="1023"/>
    </row>
    <row r="4" spans="1:24" ht="20.25" customHeight="1" x14ac:dyDescent="0.25">
      <c r="B4" s="773" t="s">
        <v>386</v>
      </c>
      <c r="C4" s="773" t="s">
        <v>393</v>
      </c>
      <c r="D4" s="773"/>
      <c r="E4" s="773" t="s">
        <v>745</v>
      </c>
      <c r="F4" s="773" t="s">
        <v>441</v>
      </c>
      <c r="G4" s="773" t="s">
        <v>915</v>
      </c>
      <c r="H4" s="773" t="s">
        <v>541</v>
      </c>
      <c r="I4" s="773" t="s">
        <v>972</v>
      </c>
      <c r="J4" s="773" t="s">
        <v>568</v>
      </c>
      <c r="K4" s="773" t="s">
        <v>758</v>
      </c>
      <c r="L4" s="773" t="s">
        <v>1124</v>
      </c>
      <c r="M4" s="773" t="s">
        <v>236</v>
      </c>
      <c r="N4" s="773" t="s">
        <v>345</v>
      </c>
      <c r="O4" s="773" t="s">
        <v>848</v>
      </c>
      <c r="P4" s="864"/>
      <c r="Q4" s="864"/>
      <c r="R4" s="864"/>
      <c r="S4" s="864"/>
      <c r="T4" s="864"/>
      <c r="U4" s="864"/>
      <c r="V4" s="864"/>
      <c r="W4" s="864"/>
      <c r="X4" s="864"/>
    </row>
    <row r="5" spans="1:24" x14ac:dyDescent="0.25">
      <c r="A5" s="865"/>
      <c r="B5" s="886">
        <v>1</v>
      </c>
      <c r="C5" s="887" t="s">
        <v>1045</v>
      </c>
      <c r="D5" s="887"/>
      <c r="E5" s="887" t="s">
        <v>738</v>
      </c>
      <c r="F5" s="886" t="s">
        <v>717</v>
      </c>
      <c r="G5" s="888">
        <v>21147</v>
      </c>
      <c r="H5" s="889">
        <v>21147</v>
      </c>
      <c r="I5" s="890">
        <v>1</v>
      </c>
      <c r="J5" s="888">
        <f t="shared" ref="J5:J26" si="0">H5*I5</f>
        <v>21147</v>
      </c>
      <c r="K5" s="888">
        <v>0</v>
      </c>
      <c r="L5" s="888">
        <v>0</v>
      </c>
      <c r="M5" s="888">
        <v>0</v>
      </c>
      <c r="N5" s="888">
        <f>SUM(K5:M5)</f>
        <v>0</v>
      </c>
      <c r="O5" s="888">
        <f t="shared" ref="O5:O26" si="1">J5+N5</f>
        <v>21147</v>
      </c>
      <c r="P5" s="864"/>
      <c r="Q5" s="864"/>
      <c r="R5" s="864"/>
      <c r="S5" s="864"/>
      <c r="T5" s="864"/>
      <c r="U5" s="864"/>
      <c r="V5" s="864"/>
      <c r="W5" s="864"/>
      <c r="X5" s="864"/>
    </row>
    <row r="6" spans="1:24" x14ac:dyDescent="0.25">
      <c r="A6" s="866"/>
      <c r="B6" s="867">
        <v>3</v>
      </c>
      <c r="C6" s="868" t="s">
        <v>1101</v>
      </c>
      <c r="D6" s="868"/>
      <c r="E6" s="868" t="s">
        <v>632</v>
      </c>
      <c r="F6" s="867" t="s">
        <v>717</v>
      </c>
      <c r="G6" s="869">
        <v>908184.5</v>
      </c>
      <c r="H6" s="870">
        <f t="shared" ref="H6:H15" si="2">G6</f>
        <v>908184.5</v>
      </c>
      <c r="I6" s="871">
        <v>1</v>
      </c>
      <c r="J6" s="869">
        <f t="shared" si="0"/>
        <v>908184.5</v>
      </c>
      <c r="K6" s="869">
        <v>0</v>
      </c>
      <c r="L6" s="869">
        <f>'Bù giá CM'!M12</f>
        <v>0</v>
      </c>
      <c r="M6" s="869"/>
      <c r="N6" s="869"/>
      <c r="O6" s="869">
        <f t="shared" si="1"/>
        <v>908184.5</v>
      </c>
      <c r="P6" s="864"/>
      <c r="Q6" s="864"/>
      <c r="R6" s="864"/>
      <c r="S6" s="864"/>
      <c r="T6" s="864"/>
      <c r="U6" s="864"/>
      <c r="V6" s="864"/>
      <c r="W6" s="864"/>
      <c r="X6" s="864"/>
    </row>
    <row r="7" spans="1:24" x14ac:dyDescent="0.25">
      <c r="A7" s="866"/>
      <c r="B7" s="867">
        <v>4</v>
      </c>
      <c r="C7" s="868" t="s">
        <v>177</v>
      </c>
      <c r="D7" s="868"/>
      <c r="E7" s="868" t="s">
        <v>747</v>
      </c>
      <c r="F7" s="867" t="s">
        <v>717</v>
      </c>
      <c r="G7" s="869">
        <v>307653</v>
      </c>
      <c r="H7" s="870">
        <f t="shared" si="2"/>
        <v>307653</v>
      </c>
      <c r="I7" s="871">
        <v>1</v>
      </c>
      <c r="J7" s="869">
        <f t="shared" si="0"/>
        <v>307653</v>
      </c>
      <c r="K7" s="869">
        <v>0</v>
      </c>
      <c r="L7" s="869">
        <f>'Bù giá CM'!M15</f>
        <v>0</v>
      </c>
      <c r="M7" s="869"/>
      <c r="N7" s="869"/>
      <c r="O7" s="869">
        <f t="shared" si="1"/>
        <v>307653</v>
      </c>
      <c r="P7" s="864"/>
      <c r="Q7" s="864"/>
      <c r="R7" s="864"/>
      <c r="S7" s="864"/>
      <c r="T7" s="864"/>
      <c r="U7" s="864"/>
      <c r="V7" s="864"/>
      <c r="W7" s="864"/>
      <c r="X7" s="864"/>
    </row>
    <row r="8" spans="1:24" x14ac:dyDescent="0.25">
      <c r="A8" s="866"/>
      <c r="B8" s="867">
        <v>5</v>
      </c>
      <c r="C8" s="868" t="s">
        <v>750</v>
      </c>
      <c r="D8" s="868"/>
      <c r="E8" s="868" t="s">
        <v>76</v>
      </c>
      <c r="F8" s="867" t="s">
        <v>717</v>
      </c>
      <c r="G8" s="869">
        <v>507130.7</v>
      </c>
      <c r="H8" s="870">
        <f t="shared" si="2"/>
        <v>507130.7</v>
      </c>
      <c r="I8" s="871">
        <v>1</v>
      </c>
      <c r="J8" s="869">
        <f t="shared" si="0"/>
        <v>507130.7</v>
      </c>
      <c r="K8" s="869">
        <v>0</v>
      </c>
      <c r="L8" s="869">
        <f>'Bù giá CM'!M18</f>
        <v>0</v>
      </c>
      <c r="M8" s="869"/>
      <c r="N8" s="869"/>
      <c r="O8" s="869">
        <f t="shared" si="1"/>
        <v>507130.7</v>
      </c>
      <c r="P8" s="864"/>
      <c r="Q8" s="864"/>
      <c r="R8" s="864"/>
      <c r="S8" s="864"/>
      <c r="T8" s="864"/>
      <c r="U8" s="864"/>
      <c r="V8" s="864"/>
      <c r="W8" s="864"/>
      <c r="X8" s="864"/>
    </row>
    <row r="9" spans="1:24" x14ac:dyDescent="0.25">
      <c r="A9" s="866"/>
      <c r="B9" s="867">
        <v>6</v>
      </c>
      <c r="C9" s="868" t="s">
        <v>239</v>
      </c>
      <c r="D9" s="868"/>
      <c r="E9" s="868" t="s">
        <v>209</v>
      </c>
      <c r="F9" s="867" t="s">
        <v>717</v>
      </c>
      <c r="G9" s="869">
        <v>273726</v>
      </c>
      <c r="H9" s="870">
        <f t="shared" si="2"/>
        <v>273726</v>
      </c>
      <c r="I9" s="871">
        <v>1</v>
      </c>
      <c r="J9" s="869">
        <f t="shared" si="0"/>
        <v>273726</v>
      </c>
      <c r="K9" s="869">
        <v>0</v>
      </c>
      <c r="L9" s="869">
        <f>'Bù giá CM'!M21</f>
        <v>0</v>
      </c>
      <c r="M9" s="869"/>
      <c r="N9" s="869"/>
      <c r="O9" s="869">
        <f t="shared" si="1"/>
        <v>273726</v>
      </c>
      <c r="P9" s="864"/>
      <c r="Q9" s="864"/>
      <c r="R9" s="864"/>
      <c r="S9" s="864"/>
      <c r="T9" s="864"/>
      <c r="U9" s="864"/>
      <c r="V9" s="864"/>
      <c r="W9" s="864"/>
      <c r="X9" s="864"/>
    </row>
    <row r="10" spans="1:24" x14ac:dyDescent="0.25">
      <c r="A10" s="866"/>
      <c r="B10" s="867">
        <v>7</v>
      </c>
      <c r="C10" s="868" t="s">
        <v>201</v>
      </c>
      <c r="D10" s="868"/>
      <c r="E10" s="868" t="s">
        <v>202</v>
      </c>
      <c r="F10" s="867" t="s">
        <v>717</v>
      </c>
      <c r="G10" s="869">
        <v>257212</v>
      </c>
      <c r="H10" s="870">
        <f t="shared" si="2"/>
        <v>257212</v>
      </c>
      <c r="I10" s="871">
        <v>1</v>
      </c>
      <c r="J10" s="869">
        <f t="shared" si="0"/>
        <v>257212</v>
      </c>
      <c r="K10" s="869">
        <v>0</v>
      </c>
      <c r="L10" s="869">
        <f>'Bù giá CM'!M24</f>
        <v>0</v>
      </c>
      <c r="M10" s="869"/>
      <c r="N10" s="869"/>
      <c r="O10" s="869">
        <f t="shared" si="1"/>
        <v>257212</v>
      </c>
      <c r="P10" s="864"/>
      <c r="Q10" s="864"/>
      <c r="R10" s="864"/>
      <c r="S10" s="864"/>
      <c r="T10" s="864"/>
      <c r="U10" s="864"/>
      <c r="V10" s="864"/>
      <c r="W10" s="864"/>
      <c r="X10" s="864"/>
    </row>
    <row r="11" spans="1:24" x14ac:dyDescent="0.25">
      <c r="A11" s="866"/>
      <c r="B11" s="867">
        <v>8</v>
      </c>
      <c r="C11" s="868" t="s">
        <v>551</v>
      </c>
      <c r="D11" s="868"/>
      <c r="E11" s="868" t="s">
        <v>330</v>
      </c>
      <c r="F11" s="867" t="s">
        <v>717</v>
      </c>
      <c r="G11" s="869">
        <v>380951</v>
      </c>
      <c r="H11" s="870">
        <f t="shared" si="2"/>
        <v>380951</v>
      </c>
      <c r="I11" s="871">
        <v>1</v>
      </c>
      <c r="J11" s="869">
        <f t="shared" si="0"/>
        <v>380951</v>
      </c>
      <c r="K11" s="869">
        <v>0</v>
      </c>
      <c r="L11" s="869">
        <f>'Bù giá CM'!M27</f>
        <v>0</v>
      </c>
      <c r="M11" s="869"/>
      <c r="N11" s="869"/>
      <c r="O11" s="869">
        <f t="shared" si="1"/>
        <v>380951</v>
      </c>
      <c r="P11" s="864"/>
      <c r="Q11" s="864"/>
      <c r="R11" s="864"/>
      <c r="S11" s="864"/>
      <c r="T11" s="864"/>
      <c r="U11" s="864"/>
      <c r="V11" s="864"/>
      <c r="W11" s="864"/>
      <c r="X11" s="864"/>
    </row>
    <row r="12" spans="1:24" x14ac:dyDescent="0.25">
      <c r="A12" s="866"/>
      <c r="B12" s="867">
        <v>9</v>
      </c>
      <c r="C12" s="868" t="s">
        <v>194</v>
      </c>
      <c r="D12" s="868"/>
      <c r="E12" s="868" t="s">
        <v>1193</v>
      </c>
      <c r="F12" s="867" t="s">
        <v>717</v>
      </c>
      <c r="G12" s="869">
        <v>265153</v>
      </c>
      <c r="H12" s="870">
        <f t="shared" si="2"/>
        <v>265153</v>
      </c>
      <c r="I12" s="871">
        <v>1</v>
      </c>
      <c r="J12" s="869">
        <f t="shared" si="0"/>
        <v>265153</v>
      </c>
      <c r="K12" s="869">
        <v>0</v>
      </c>
      <c r="L12" s="869">
        <f>'Bù giá CM'!M30</f>
        <v>0</v>
      </c>
      <c r="M12" s="869"/>
      <c r="N12" s="869"/>
      <c r="O12" s="869">
        <f t="shared" si="1"/>
        <v>265153</v>
      </c>
      <c r="P12" s="864"/>
      <c r="Q12" s="864"/>
      <c r="R12" s="864"/>
      <c r="S12" s="864"/>
      <c r="T12" s="864"/>
      <c r="U12" s="864"/>
      <c r="V12" s="864"/>
      <c r="W12" s="864"/>
      <c r="X12" s="864"/>
    </row>
    <row r="13" spans="1:24" x14ac:dyDescent="0.25">
      <c r="A13" s="866"/>
      <c r="B13" s="867">
        <v>10</v>
      </c>
      <c r="C13" s="868" t="s">
        <v>1126</v>
      </c>
      <c r="D13" s="868"/>
      <c r="E13" s="868" t="s">
        <v>585</v>
      </c>
      <c r="F13" s="867" t="s">
        <v>717</v>
      </c>
      <c r="G13" s="869">
        <v>1941339.8</v>
      </c>
      <c r="H13" s="870">
        <f t="shared" si="2"/>
        <v>1941339.8</v>
      </c>
      <c r="I13" s="871">
        <v>1</v>
      </c>
      <c r="J13" s="869">
        <f t="shared" si="0"/>
        <v>1941339.8</v>
      </c>
      <c r="K13" s="869">
        <v>0</v>
      </c>
      <c r="L13" s="869">
        <f>'Bù giá CM'!M33</f>
        <v>0</v>
      </c>
      <c r="M13" s="869"/>
      <c r="N13" s="869"/>
      <c r="O13" s="869">
        <f t="shared" si="1"/>
        <v>1941339.8</v>
      </c>
      <c r="P13" s="864"/>
      <c r="Q13" s="864"/>
      <c r="R13" s="864"/>
      <c r="S13" s="864"/>
      <c r="T13" s="864"/>
      <c r="U13" s="864"/>
      <c r="V13" s="864"/>
      <c r="W13" s="864"/>
      <c r="X13" s="864"/>
    </row>
    <row r="14" spans="1:24" x14ac:dyDescent="0.25">
      <c r="A14" s="866"/>
      <c r="B14" s="867">
        <v>11</v>
      </c>
      <c r="C14" s="868" t="s">
        <v>759</v>
      </c>
      <c r="D14" s="868"/>
      <c r="E14" s="868" t="s">
        <v>42</v>
      </c>
      <c r="F14" s="867" t="s">
        <v>717</v>
      </c>
      <c r="G14" s="869">
        <v>3756595.3</v>
      </c>
      <c r="H14" s="870">
        <f t="shared" si="2"/>
        <v>3756595.3</v>
      </c>
      <c r="I14" s="871">
        <v>1</v>
      </c>
      <c r="J14" s="869">
        <f t="shared" si="0"/>
        <v>3756595.3</v>
      </c>
      <c r="K14" s="869">
        <v>0</v>
      </c>
      <c r="L14" s="869">
        <f>'Bù giá CM'!M36</f>
        <v>0</v>
      </c>
      <c r="M14" s="869"/>
      <c r="N14" s="869"/>
      <c r="O14" s="869">
        <f t="shared" si="1"/>
        <v>3756595.3</v>
      </c>
      <c r="P14" s="864"/>
      <c r="Q14" s="864"/>
      <c r="R14" s="864"/>
      <c r="S14" s="864"/>
      <c r="T14" s="864"/>
      <c r="U14" s="864"/>
      <c r="V14" s="864"/>
      <c r="W14" s="864"/>
      <c r="X14" s="864"/>
    </row>
    <row r="15" spans="1:24" x14ac:dyDescent="0.25">
      <c r="A15" s="866"/>
      <c r="B15" s="867">
        <v>12</v>
      </c>
      <c r="C15" s="868" t="s">
        <v>82</v>
      </c>
      <c r="D15" s="868"/>
      <c r="E15" s="868" t="s">
        <v>363</v>
      </c>
      <c r="F15" s="867" t="s">
        <v>717</v>
      </c>
      <c r="G15" s="869">
        <v>477927</v>
      </c>
      <c r="H15" s="870">
        <f t="shared" si="2"/>
        <v>477927</v>
      </c>
      <c r="I15" s="871">
        <v>1</v>
      </c>
      <c r="J15" s="869">
        <f t="shared" si="0"/>
        <v>477927</v>
      </c>
      <c r="K15" s="869">
        <v>0</v>
      </c>
      <c r="L15" s="869">
        <f>'Bù giá CM'!M39</f>
        <v>0</v>
      </c>
      <c r="M15" s="869"/>
      <c r="N15" s="869"/>
      <c r="O15" s="869">
        <f t="shared" si="1"/>
        <v>477927</v>
      </c>
      <c r="P15" s="864"/>
      <c r="Q15" s="864"/>
      <c r="R15" s="864"/>
      <c r="S15" s="864"/>
      <c r="T15" s="864"/>
      <c r="U15" s="864"/>
      <c r="V15" s="864"/>
      <c r="W15" s="864"/>
      <c r="X15" s="864"/>
    </row>
    <row r="16" spans="1:24" x14ac:dyDescent="0.25">
      <c r="A16" s="866"/>
      <c r="B16" s="867">
        <v>13</v>
      </c>
      <c r="C16" s="868" t="s">
        <v>5</v>
      </c>
      <c r="D16" s="868"/>
      <c r="E16" s="868" t="s">
        <v>1180</v>
      </c>
      <c r="F16" s="867" t="s">
        <v>717</v>
      </c>
      <c r="G16" s="869">
        <v>34285</v>
      </c>
      <c r="H16" s="870">
        <v>34285</v>
      </c>
      <c r="I16" s="871">
        <v>1</v>
      </c>
      <c r="J16" s="869">
        <f t="shared" si="0"/>
        <v>34285</v>
      </c>
      <c r="K16" s="869">
        <v>0</v>
      </c>
      <c r="L16" s="869">
        <v>0</v>
      </c>
      <c r="M16" s="869"/>
      <c r="N16" s="869"/>
      <c r="O16" s="869">
        <f t="shared" si="1"/>
        <v>34285</v>
      </c>
      <c r="P16" s="864"/>
      <c r="Q16" s="864"/>
      <c r="R16" s="864"/>
      <c r="S16" s="864"/>
      <c r="T16" s="864"/>
      <c r="U16" s="864"/>
      <c r="V16" s="864"/>
      <c r="W16" s="864"/>
      <c r="X16" s="864"/>
    </row>
    <row r="17" spans="1:24" x14ac:dyDescent="0.25">
      <c r="A17" s="866"/>
      <c r="B17" s="867">
        <v>14</v>
      </c>
      <c r="C17" s="868" t="s">
        <v>1024</v>
      </c>
      <c r="D17" s="868"/>
      <c r="E17" s="868" t="s">
        <v>128</v>
      </c>
      <c r="F17" s="867" t="s">
        <v>717</v>
      </c>
      <c r="G17" s="869">
        <v>1264509.6000000001</v>
      </c>
      <c r="H17" s="870">
        <f>G17</f>
        <v>1264509.6000000001</v>
      </c>
      <c r="I17" s="871">
        <v>1</v>
      </c>
      <c r="J17" s="869">
        <f t="shared" si="0"/>
        <v>1264509.6000000001</v>
      </c>
      <c r="K17" s="869">
        <v>0</v>
      </c>
      <c r="L17" s="869">
        <f>'Bù giá CM'!M44</f>
        <v>0</v>
      </c>
      <c r="M17" s="869"/>
      <c r="N17" s="869"/>
      <c r="O17" s="869">
        <f t="shared" si="1"/>
        <v>1264509.6000000001</v>
      </c>
      <c r="P17" s="864"/>
      <c r="Q17" s="864"/>
      <c r="R17" s="864"/>
      <c r="S17" s="864"/>
      <c r="T17" s="864"/>
      <c r="U17" s="864"/>
      <c r="V17" s="864"/>
      <c r="W17" s="864"/>
      <c r="X17" s="864"/>
    </row>
    <row r="18" spans="1:24" x14ac:dyDescent="0.25">
      <c r="A18" s="866"/>
      <c r="B18" s="867">
        <v>15</v>
      </c>
      <c r="C18" s="868" t="s">
        <v>1089</v>
      </c>
      <c r="D18" s="868"/>
      <c r="E18" s="868" t="s">
        <v>949</v>
      </c>
      <c r="F18" s="867" t="s">
        <v>717</v>
      </c>
      <c r="G18" s="869">
        <v>1703277.5</v>
      </c>
      <c r="H18" s="870">
        <f>G18</f>
        <v>1703277.5</v>
      </c>
      <c r="I18" s="871">
        <v>1</v>
      </c>
      <c r="J18" s="869">
        <f t="shared" si="0"/>
        <v>1703277.5</v>
      </c>
      <c r="K18" s="869">
        <v>0</v>
      </c>
      <c r="L18" s="869">
        <f>'Bù giá CM'!M47</f>
        <v>0</v>
      </c>
      <c r="M18" s="869"/>
      <c r="N18" s="869"/>
      <c r="O18" s="869">
        <f t="shared" si="1"/>
        <v>1703277.5</v>
      </c>
      <c r="P18" s="864"/>
      <c r="Q18" s="864"/>
      <c r="R18" s="864"/>
      <c r="S18" s="864"/>
      <c r="T18" s="864"/>
      <c r="U18" s="864"/>
      <c r="V18" s="864"/>
      <c r="W18" s="864"/>
      <c r="X18" s="864"/>
    </row>
    <row r="19" spans="1:24" ht="30" x14ac:dyDescent="0.25">
      <c r="A19" s="866"/>
      <c r="B19" s="867">
        <v>16</v>
      </c>
      <c r="C19" s="868" t="s">
        <v>1248</v>
      </c>
      <c r="D19" s="868"/>
      <c r="E19" s="872" t="s">
        <v>196</v>
      </c>
      <c r="F19" s="867" t="s">
        <v>717</v>
      </c>
      <c r="G19" s="869">
        <v>5455372</v>
      </c>
      <c r="H19" s="870">
        <f>G19</f>
        <v>5455372</v>
      </c>
      <c r="I19" s="871">
        <v>1</v>
      </c>
      <c r="J19" s="869">
        <f t="shared" si="0"/>
        <v>5455372</v>
      </c>
      <c r="K19" s="869">
        <v>0</v>
      </c>
      <c r="L19" s="869">
        <f>'Bù giá CM'!M54+'Bù giá CM'!M55</f>
        <v>0</v>
      </c>
      <c r="M19" s="869"/>
      <c r="N19" s="869"/>
      <c r="O19" s="869">
        <f t="shared" si="1"/>
        <v>5455372</v>
      </c>
      <c r="P19" s="864"/>
      <c r="Q19" s="864"/>
      <c r="R19" s="864"/>
      <c r="S19" s="864"/>
      <c r="T19" s="864"/>
      <c r="U19" s="864"/>
      <c r="V19" s="864"/>
      <c r="W19" s="864"/>
      <c r="X19" s="864"/>
    </row>
    <row r="20" spans="1:24" x14ac:dyDescent="0.25">
      <c r="A20" s="866"/>
      <c r="B20" s="867">
        <v>17</v>
      </c>
      <c r="C20" s="868" t="s">
        <v>113</v>
      </c>
      <c r="D20" s="868"/>
      <c r="E20" s="868" t="s">
        <v>94</v>
      </c>
      <c r="F20" s="867" t="s">
        <v>717</v>
      </c>
      <c r="G20" s="869">
        <v>317242</v>
      </c>
      <c r="H20" s="870">
        <f>G20</f>
        <v>317242</v>
      </c>
      <c r="I20" s="871">
        <v>1</v>
      </c>
      <c r="J20" s="869">
        <f t="shared" si="0"/>
        <v>317242</v>
      </c>
      <c r="K20" s="869">
        <v>0</v>
      </c>
      <c r="L20" s="869">
        <f>'Bù giá CM'!M58</f>
        <v>0</v>
      </c>
      <c r="M20" s="869"/>
      <c r="N20" s="869"/>
      <c r="O20" s="869">
        <f t="shared" si="1"/>
        <v>317242</v>
      </c>
      <c r="P20" s="864"/>
      <c r="Q20" s="864"/>
      <c r="R20" s="864"/>
      <c r="S20" s="864"/>
      <c r="T20" s="864"/>
      <c r="U20" s="864"/>
      <c r="V20" s="864"/>
      <c r="W20" s="864"/>
      <c r="X20" s="864"/>
    </row>
    <row r="21" spans="1:24" x14ac:dyDescent="0.25">
      <c r="A21" s="866"/>
      <c r="B21" s="867">
        <v>18</v>
      </c>
      <c r="C21" s="868" t="s">
        <v>1055</v>
      </c>
      <c r="D21" s="868"/>
      <c r="E21" s="868" t="s">
        <v>517</v>
      </c>
      <c r="F21" s="867" t="s">
        <v>717</v>
      </c>
      <c r="G21" s="869">
        <v>1960743.5</v>
      </c>
      <c r="H21" s="870">
        <f>G21</f>
        <v>1960743.5</v>
      </c>
      <c r="I21" s="871">
        <v>1</v>
      </c>
      <c r="J21" s="869">
        <f t="shared" si="0"/>
        <v>1960743.5</v>
      </c>
      <c r="K21" s="869">
        <v>0</v>
      </c>
      <c r="L21" s="869">
        <f>'Bù giá CM'!M61</f>
        <v>0</v>
      </c>
      <c r="M21" s="869"/>
      <c r="N21" s="869"/>
      <c r="O21" s="869">
        <f t="shared" si="1"/>
        <v>1960743.5</v>
      </c>
      <c r="P21" s="864"/>
      <c r="Q21" s="864"/>
      <c r="R21" s="864"/>
      <c r="S21" s="864"/>
      <c r="T21" s="864"/>
      <c r="U21" s="864"/>
      <c r="V21" s="864"/>
      <c r="W21" s="864"/>
      <c r="X21" s="864"/>
    </row>
    <row r="22" spans="1:24" x14ac:dyDescent="0.25">
      <c r="A22" s="866"/>
      <c r="B22" s="867">
        <v>19</v>
      </c>
      <c r="C22" s="868" t="s">
        <v>1060</v>
      </c>
      <c r="D22" s="868"/>
      <c r="E22" s="868" t="s">
        <v>790</v>
      </c>
      <c r="F22" s="867" t="s">
        <v>717</v>
      </c>
      <c r="G22" s="869">
        <v>752384</v>
      </c>
      <c r="H22" s="870">
        <v>752384</v>
      </c>
      <c r="I22" s="871">
        <v>1</v>
      </c>
      <c r="J22" s="869">
        <f t="shared" si="0"/>
        <v>752384</v>
      </c>
      <c r="K22" s="869">
        <v>0</v>
      </c>
      <c r="L22" s="869">
        <f>'Bù giá CM'!M67</f>
        <v>0</v>
      </c>
      <c r="M22" s="869"/>
      <c r="N22" s="869"/>
      <c r="O22" s="869">
        <f t="shared" si="1"/>
        <v>752384</v>
      </c>
      <c r="P22" s="864"/>
      <c r="Q22" s="864"/>
      <c r="R22" s="864"/>
      <c r="S22" s="864"/>
      <c r="T22" s="864"/>
      <c r="U22" s="864"/>
      <c r="V22" s="864"/>
      <c r="W22" s="864"/>
      <c r="X22" s="864"/>
    </row>
    <row r="23" spans="1:24" x14ac:dyDescent="0.25">
      <c r="A23" s="866"/>
      <c r="B23" s="867">
        <v>20</v>
      </c>
      <c r="C23" s="868" t="s">
        <v>970</v>
      </c>
      <c r="D23" s="868"/>
      <c r="E23" s="868" t="s">
        <v>1218</v>
      </c>
      <c r="F23" s="867" t="s">
        <v>717</v>
      </c>
      <c r="G23" s="869">
        <v>1202488</v>
      </c>
      <c r="H23" s="870">
        <f>G23</f>
        <v>1202488</v>
      </c>
      <c r="I23" s="871">
        <v>1</v>
      </c>
      <c r="J23" s="869">
        <f t="shared" si="0"/>
        <v>1202488</v>
      </c>
      <c r="K23" s="869">
        <v>0</v>
      </c>
      <c r="L23" s="869">
        <f>'Bù giá CM'!M70</f>
        <v>0</v>
      </c>
      <c r="M23" s="869"/>
      <c r="N23" s="869"/>
      <c r="O23" s="869">
        <f t="shared" si="1"/>
        <v>1202488</v>
      </c>
      <c r="P23" s="864"/>
      <c r="Q23" s="864"/>
      <c r="R23" s="864"/>
      <c r="S23" s="864"/>
      <c r="T23" s="864"/>
      <c r="U23" s="864"/>
      <c r="V23" s="864"/>
      <c r="W23" s="864"/>
      <c r="X23" s="864"/>
    </row>
    <row r="24" spans="1:24" x14ac:dyDescent="0.25">
      <c r="A24" s="866"/>
      <c r="B24" s="867">
        <v>21</v>
      </c>
      <c r="C24" s="868" t="s">
        <v>995</v>
      </c>
      <c r="D24" s="868"/>
      <c r="E24" s="868" t="s">
        <v>588</v>
      </c>
      <c r="F24" s="867" t="s">
        <v>717</v>
      </c>
      <c r="G24" s="869">
        <v>366617</v>
      </c>
      <c r="H24" s="870">
        <f>G24</f>
        <v>366617</v>
      </c>
      <c r="I24" s="871">
        <v>1</v>
      </c>
      <c r="J24" s="869">
        <f t="shared" si="0"/>
        <v>366617</v>
      </c>
      <c r="K24" s="869">
        <v>0</v>
      </c>
      <c r="L24" s="869">
        <f>'Bù giá CM'!M73</f>
        <v>0</v>
      </c>
      <c r="M24" s="869"/>
      <c r="N24" s="869"/>
      <c r="O24" s="869">
        <f t="shared" si="1"/>
        <v>366617</v>
      </c>
      <c r="P24" s="864"/>
      <c r="Q24" s="864"/>
      <c r="R24" s="864"/>
      <c r="S24" s="864"/>
      <c r="T24" s="864"/>
      <c r="U24" s="864"/>
      <c r="V24" s="864"/>
      <c r="W24" s="864"/>
      <c r="X24" s="864"/>
    </row>
    <row r="25" spans="1:24" x14ac:dyDescent="0.25">
      <c r="A25" s="873"/>
      <c r="B25" s="867">
        <v>22</v>
      </c>
      <c r="C25" s="868" t="s">
        <v>798</v>
      </c>
      <c r="D25" s="868"/>
      <c r="E25" s="868" t="s">
        <v>988</v>
      </c>
      <c r="F25" s="867" t="s">
        <v>717</v>
      </c>
      <c r="G25" s="869">
        <v>953819</v>
      </c>
      <c r="H25" s="870">
        <f>G25</f>
        <v>953819</v>
      </c>
      <c r="I25" s="871">
        <v>1</v>
      </c>
      <c r="J25" s="869">
        <f t="shared" si="0"/>
        <v>953819</v>
      </c>
      <c r="K25" s="869">
        <v>0</v>
      </c>
      <c r="L25" s="869">
        <f>'Bù giá CM'!M75</f>
        <v>0</v>
      </c>
      <c r="M25" s="869"/>
      <c r="N25" s="869"/>
      <c r="O25" s="869">
        <f t="shared" si="1"/>
        <v>953819</v>
      </c>
      <c r="P25" s="864"/>
      <c r="Q25" s="864"/>
      <c r="R25" s="864"/>
      <c r="S25" s="864"/>
      <c r="T25" s="864"/>
      <c r="U25" s="864"/>
      <c r="V25" s="864"/>
      <c r="W25" s="864"/>
      <c r="X25" s="864"/>
    </row>
    <row r="26" spans="1:24" x14ac:dyDescent="0.25">
      <c r="A26" s="873"/>
      <c r="B26" s="874">
        <v>23</v>
      </c>
      <c r="C26" s="875" t="s">
        <v>1393</v>
      </c>
      <c r="D26" s="875"/>
      <c r="E26" s="875" t="s">
        <v>1392</v>
      </c>
      <c r="F26" s="874" t="s">
        <v>717</v>
      </c>
      <c r="G26" s="876">
        <v>1485298</v>
      </c>
      <c r="H26" s="877">
        <f>G26</f>
        <v>1485298</v>
      </c>
      <c r="I26" s="878">
        <v>1</v>
      </c>
      <c r="J26" s="876">
        <f t="shared" si="0"/>
        <v>1485298</v>
      </c>
      <c r="K26" s="876">
        <v>0</v>
      </c>
      <c r="L26" s="876"/>
      <c r="M26" s="876"/>
      <c r="N26" s="876"/>
      <c r="O26" s="876">
        <f t="shared" si="1"/>
        <v>1485298</v>
      </c>
      <c r="P26" s="864"/>
      <c r="Q26" s="864"/>
      <c r="R26" s="864"/>
      <c r="S26" s="864"/>
      <c r="T26" s="864"/>
      <c r="U26" s="864"/>
      <c r="V26" s="864"/>
      <c r="W26" s="864"/>
      <c r="X26" s="864"/>
    </row>
    <row r="27" spans="1:24" x14ac:dyDescent="0.25">
      <c r="B27" s="864"/>
      <c r="C27" s="864"/>
      <c r="D27" s="864"/>
      <c r="E27" s="864"/>
      <c r="F27" s="864"/>
      <c r="G27" s="864"/>
      <c r="H27" s="864"/>
      <c r="I27" s="864"/>
      <c r="J27" s="864"/>
      <c r="K27" s="864"/>
      <c r="L27" s="864"/>
      <c r="M27" s="864"/>
      <c r="N27" s="864"/>
      <c r="O27" s="864"/>
      <c r="P27" s="864"/>
      <c r="Q27" s="864"/>
      <c r="R27" s="864"/>
      <c r="S27" s="864"/>
      <c r="T27" s="864"/>
      <c r="U27" s="864"/>
      <c r="V27" s="864"/>
      <c r="W27" s="864"/>
      <c r="X27" s="864"/>
    </row>
    <row r="28" spans="1:24" x14ac:dyDescent="0.25">
      <c r="B28" s="864"/>
      <c r="C28" s="864"/>
      <c r="D28" s="864"/>
      <c r="E28" s="864"/>
      <c r="F28" s="864"/>
      <c r="G28" s="864"/>
      <c r="H28" s="864"/>
      <c r="I28" s="864"/>
      <c r="J28" s="864"/>
      <c r="K28" s="864"/>
      <c r="L28" s="864"/>
      <c r="M28" s="864"/>
      <c r="N28" s="864"/>
      <c r="O28" s="864"/>
      <c r="P28" s="864"/>
      <c r="Q28" s="864"/>
      <c r="R28" s="864"/>
      <c r="S28" s="864"/>
      <c r="T28" s="864"/>
      <c r="U28" s="864"/>
      <c r="V28" s="864"/>
      <c r="W28" s="864"/>
      <c r="X28" s="864"/>
    </row>
  </sheetData>
  <mergeCells count="3">
    <mergeCell ref="B1:O1"/>
    <mergeCell ref="B2:O2"/>
    <mergeCell ref="B3:O3"/>
  </mergeCells>
  <conditionalFormatting sqref="G5:H25">
    <cfRule type="cellIs" dxfId="5" priority="4" stopIfTrue="1" operator="equal">
      <formula>0</formula>
    </cfRule>
  </conditionalFormatting>
  <conditionalFormatting sqref="I27 I5:I25">
    <cfRule type="cellIs" dxfId="4" priority="3" stopIfTrue="1" operator="equal">
      <formula>1</formula>
    </cfRule>
  </conditionalFormatting>
  <conditionalFormatting sqref="G26:H26">
    <cfRule type="cellIs" dxfId="3" priority="2" stopIfTrue="1" operator="equal">
      <formula>0</formula>
    </cfRule>
  </conditionalFormatting>
  <conditionalFormatting sqref="I26">
    <cfRule type="cellIs" dxfId="2" priority="1" stopIfTrue="1" operator="equal">
      <formula>1</formula>
    </cfRule>
  </conditionalFormatting>
  <pageMargins left="0.98425196850393704" right="0.59055118110236227" top="0.78740157480314965" bottom="0.78740157480314965" header="0.31496062992125984" footer="0.31496062992125984"/>
  <pageSetup paperSize="9" orientation="portrait" useFirstPageNumber="1" horizontalDpi="6553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0"/>
  <sheetViews>
    <sheetView showZeros="0" workbookViewId="0">
      <pane xSplit="1" ySplit="1" topLeftCell="B321" activePane="bottomRight" state="frozen"/>
      <selection sqref="A1:B1"/>
      <selection pane="topRight" sqref="A1:B1"/>
      <selection pane="bottomLeft" sqref="A1:B1"/>
      <selection pane="bottomRight" activeCell="C357" sqref="C357"/>
    </sheetView>
  </sheetViews>
  <sheetFormatPr defaultRowHeight="15" x14ac:dyDescent="0.25"/>
  <cols>
    <col min="1" max="1" width="8" customWidth="1"/>
    <col min="2" max="2" width="29" customWidth="1"/>
    <col min="3" max="6" width="9.140625" customWidth="1"/>
    <col min="7" max="7" width="10.140625" customWidth="1"/>
    <col min="8" max="8" width="9.140625" customWidth="1"/>
    <col min="9" max="9" width="11" customWidth="1"/>
    <col min="10" max="10" width="12.42578125" customWidth="1"/>
    <col min="11" max="11" width="9.7109375" customWidth="1"/>
    <col min="12" max="12" width="10.85546875" customWidth="1"/>
    <col min="13" max="13" width="9.140625" customWidth="1"/>
    <col min="14" max="14" width="9.85546875" customWidth="1"/>
    <col min="15" max="15" width="11.28515625" customWidth="1"/>
    <col min="16" max="16" width="10.28515625" customWidth="1"/>
    <col min="17" max="17" width="8.5703125" customWidth="1"/>
    <col min="18" max="18" width="21" customWidth="1"/>
    <col min="19" max="19" width="14" customWidth="1"/>
    <col min="20" max="20" width="41.140625" customWidth="1"/>
    <col min="21" max="23" width="9.140625" customWidth="1"/>
  </cols>
  <sheetData>
    <row r="1" spans="1:23" ht="15.4" customHeight="1" x14ac:dyDescent="0.25">
      <c r="A1" s="1027" t="s">
        <v>1070</v>
      </c>
      <c r="B1" s="1027"/>
      <c r="C1" s="1055">
        <v>873441780</v>
      </c>
      <c r="D1" s="1055"/>
      <c r="E1" s="65" t="s">
        <v>264</v>
      </c>
      <c r="F1" s="65"/>
      <c r="G1" s="65"/>
      <c r="H1" s="65"/>
      <c r="I1" s="65"/>
      <c r="J1" s="65"/>
      <c r="K1" s="65"/>
      <c r="L1" s="65"/>
      <c r="M1" s="65"/>
      <c r="N1" s="65"/>
      <c r="O1" s="65"/>
      <c r="P1" s="65"/>
      <c r="Q1" s="65"/>
      <c r="R1" s="65"/>
      <c r="S1" s="65"/>
      <c r="T1" s="65"/>
      <c r="U1" s="65"/>
      <c r="V1" s="65"/>
      <c r="W1" s="65"/>
    </row>
    <row r="2" spans="1:23" ht="15.4" customHeight="1" x14ac:dyDescent="0.25">
      <c r="A2" s="1027" t="s">
        <v>0</v>
      </c>
      <c r="B2" s="1027"/>
      <c r="C2" s="1055">
        <v>0</v>
      </c>
      <c r="D2" s="1055"/>
      <c r="E2" s="65" t="s">
        <v>264</v>
      </c>
      <c r="F2" s="65"/>
      <c r="G2" s="65"/>
      <c r="H2" s="65"/>
      <c r="I2" s="65"/>
      <c r="J2" s="65"/>
      <c r="K2" s="65"/>
      <c r="L2" s="65"/>
      <c r="M2" s="65"/>
      <c r="N2" s="65"/>
      <c r="O2" s="65"/>
      <c r="P2" s="65"/>
      <c r="Q2" s="65"/>
      <c r="R2" s="65"/>
      <c r="S2" s="65"/>
      <c r="T2" s="65"/>
      <c r="U2" s="65"/>
      <c r="V2" s="65"/>
      <c r="W2" s="65"/>
    </row>
    <row r="3" spans="1:23" ht="29.25" customHeight="1" x14ac:dyDescent="0.25">
      <c r="A3" s="1054" t="s">
        <v>1053</v>
      </c>
      <c r="B3" s="1054"/>
      <c r="C3" s="1055">
        <v>0</v>
      </c>
      <c r="D3" s="1055"/>
      <c r="E3" s="65" t="s">
        <v>264</v>
      </c>
      <c r="F3" s="65"/>
      <c r="G3" s="65"/>
      <c r="H3" s="65"/>
      <c r="I3" s="65"/>
      <c r="J3" s="65"/>
      <c r="K3" s="65"/>
      <c r="L3" s="65"/>
      <c r="M3" s="65"/>
      <c r="N3" s="65"/>
      <c r="O3" s="65"/>
      <c r="P3" s="65"/>
      <c r="Q3" s="65"/>
      <c r="R3" s="65"/>
      <c r="S3" s="65"/>
      <c r="T3" s="65"/>
      <c r="U3" s="65"/>
      <c r="V3" s="65"/>
      <c r="W3" s="65"/>
    </row>
    <row r="4" spans="1:23" ht="15.4" customHeight="1" x14ac:dyDescent="0.25">
      <c r="A4" s="1027" t="s">
        <v>81</v>
      </c>
      <c r="B4" s="1027"/>
      <c r="C4" s="1055">
        <v>26412879</v>
      </c>
      <c r="D4" s="1055"/>
      <c r="E4" s="65" t="s">
        <v>264</v>
      </c>
      <c r="F4" s="65"/>
      <c r="G4" s="65"/>
      <c r="H4" s="65"/>
      <c r="I4" s="65"/>
      <c r="J4" s="65"/>
      <c r="K4" s="65"/>
      <c r="L4" s="65"/>
      <c r="M4" s="65"/>
      <c r="N4" s="65"/>
      <c r="O4" s="65"/>
      <c r="P4" s="65"/>
      <c r="Q4" s="65"/>
      <c r="R4" s="65"/>
      <c r="S4" s="65"/>
      <c r="T4" s="65"/>
      <c r="U4" s="65"/>
      <c r="V4" s="65"/>
      <c r="W4" s="65"/>
    </row>
    <row r="5" spans="1:23" ht="16.350000000000001" customHeight="1" x14ac:dyDescent="0.25">
      <c r="A5" s="1054" t="s">
        <v>191</v>
      </c>
      <c r="B5" s="1054"/>
      <c r="C5" s="1055">
        <v>101265205</v>
      </c>
      <c r="D5" s="1055"/>
      <c r="E5" s="65" t="s">
        <v>264</v>
      </c>
      <c r="F5" s="65"/>
      <c r="G5" s="65"/>
      <c r="H5" s="65"/>
      <c r="I5" s="65"/>
      <c r="J5" s="65"/>
      <c r="K5" s="65"/>
      <c r="L5" s="65"/>
      <c r="M5" s="65"/>
      <c r="N5" s="65"/>
      <c r="O5" s="65"/>
      <c r="P5" s="65"/>
      <c r="Q5" s="65"/>
      <c r="R5" s="65"/>
      <c r="S5" s="65"/>
      <c r="T5" s="65"/>
      <c r="U5" s="65"/>
      <c r="V5" s="65"/>
      <c r="W5" s="65"/>
    </row>
    <row r="6" spans="1:23" ht="16.350000000000001" customHeight="1" x14ac:dyDescent="0.25">
      <c r="A6" s="1054" t="s">
        <v>458</v>
      </c>
      <c r="B6" s="1054"/>
      <c r="C6" s="1055">
        <f>C1+C2+C3+C4+C5</f>
        <v>1001119864</v>
      </c>
      <c r="D6" s="1055"/>
      <c r="E6" s="65" t="s">
        <v>264</v>
      </c>
      <c r="F6" s="65"/>
      <c r="G6" s="65"/>
      <c r="H6" s="65"/>
      <c r="I6" s="65"/>
      <c r="J6" s="65"/>
      <c r="K6" s="65"/>
      <c r="L6" s="65"/>
      <c r="M6" s="65"/>
      <c r="N6" s="65"/>
      <c r="O6" s="65"/>
      <c r="P6" s="65"/>
      <c r="Q6" s="65"/>
      <c r="R6" s="65"/>
      <c r="S6" s="65"/>
      <c r="T6" s="65"/>
      <c r="U6" s="65"/>
      <c r="V6" s="65"/>
      <c r="W6" s="65"/>
    </row>
    <row r="7" spans="1:23" ht="30" customHeight="1" x14ac:dyDescent="0.25">
      <c r="A7" s="1054" t="s">
        <v>426</v>
      </c>
      <c r="B7" s="1054"/>
      <c r="C7" s="1055">
        <f>C1+C2+C4+C5</f>
        <v>1001119864</v>
      </c>
      <c r="D7" s="1055"/>
      <c r="E7" s="65" t="s">
        <v>264</v>
      </c>
      <c r="F7" s="65"/>
      <c r="G7" s="65"/>
      <c r="H7" s="65"/>
      <c r="I7" s="65"/>
      <c r="J7" s="65"/>
      <c r="K7" s="65"/>
      <c r="L7" s="65"/>
      <c r="M7" s="65"/>
      <c r="N7" s="65"/>
      <c r="O7" s="65"/>
      <c r="P7" s="65"/>
      <c r="Q7" s="65"/>
      <c r="R7" s="65"/>
      <c r="S7" s="65"/>
      <c r="T7" s="65"/>
      <c r="U7" s="65"/>
      <c r="V7" s="65"/>
      <c r="W7" s="65"/>
    </row>
    <row r="8" spans="1:23" ht="15.4" customHeight="1" x14ac:dyDescent="0.25">
      <c r="A8" s="1027" t="s">
        <v>837</v>
      </c>
      <c r="B8" s="1027"/>
      <c r="C8" s="1055">
        <v>18285997</v>
      </c>
      <c r="D8" s="1055"/>
      <c r="E8" s="65" t="s">
        <v>264</v>
      </c>
      <c r="F8" s="65"/>
      <c r="G8" s="65"/>
      <c r="H8" s="65"/>
      <c r="I8" s="65"/>
      <c r="J8" s="65"/>
      <c r="K8" s="65"/>
      <c r="L8" s="65"/>
      <c r="M8" s="65"/>
      <c r="N8" s="65"/>
      <c r="O8" s="65"/>
      <c r="P8" s="65"/>
      <c r="Q8" s="65"/>
      <c r="R8" s="65"/>
      <c r="S8" s="65"/>
      <c r="T8" s="65"/>
      <c r="U8" s="65"/>
      <c r="V8" s="65"/>
      <c r="W8" s="65"/>
    </row>
    <row r="9" spans="1:23" ht="15.4" customHeight="1" x14ac:dyDescent="0.25">
      <c r="A9" s="65"/>
      <c r="B9" s="65"/>
      <c r="C9" s="65"/>
      <c r="D9" s="65"/>
      <c r="E9" s="65"/>
      <c r="F9" s="65"/>
      <c r="G9" s="65"/>
      <c r="H9" s="65"/>
      <c r="I9" s="65"/>
      <c r="J9" s="65"/>
      <c r="K9" s="65"/>
      <c r="L9" s="65"/>
      <c r="M9" s="65"/>
      <c r="N9" s="65"/>
      <c r="O9" s="65"/>
      <c r="P9" s="65"/>
      <c r="Q9" s="65"/>
      <c r="R9" s="65"/>
      <c r="S9" s="65"/>
      <c r="T9" s="65"/>
      <c r="U9" s="65"/>
      <c r="V9" s="65"/>
      <c r="W9" s="65"/>
    </row>
    <row r="10" spans="1:23" ht="15" hidden="1" customHeight="1" x14ac:dyDescent="0.25">
      <c r="A10" s="65" t="s">
        <v>17</v>
      </c>
      <c r="B10" s="65"/>
      <c r="C10" s="65"/>
      <c r="D10" s="65"/>
      <c r="E10" s="65"/>
      <c r="F10" s="65"/>
      <c r="G10" s="65"/>
      <c r="H10" s="65"/>
      <c r="I10" s="65"/>
      <c r="J10" s="65"/>
      <c r="K10" s="65"/>
      <c r="L10" s="65"/>
      <c r="M10" s="65"/>
      <c r="N10" s="65"/>
      <c r="O10" s="65"/>
      <c r="P10" s="65"/>
      <c r="Q10" s="65"/>
      <c r="R10" s="65"/>
      <c r="S10" s="65"/>
      <c r="T10" s="65"/>
      <c r="U10" s="65"/>
      <c r="V10" s="65"/>
      <c r="W10" s="65"/>
    </row>
    <row r="11" spans="1:23" ht="15.4" customHeight="1" x14ac:dyDescent="0.25">
      <c r="A11" s="1031" t="s">
        <v>796</v>
      </c>
      <c r="B11" s="1031"/>
      <c r="C11" s="1031"/>
      <c r="D11" s="1031"/>
      <c r="E11" s="1031"/>
      <c r="F11" s="1031"/>
      <c r="G11" s="1031"/>
      <c r="H11" s="1031"/>
      <c r="I11" s="1031"/>
      <c r="J11" s="1031"/>
      <c r="K11" s="1031"/>
      <c r="L11" s="1031"/>
      <c r="M11" s="1031"/>
      <c r="N11" s="1031"/>
      <c r="O11" s="65"/>
      <c r="P11" s="65"/>
      <c r="Q11" s="65"/>
      <c r="R11" s="65"/>
      <c r="S11" s="65"/>
      <c r="T11" s="65"/>
      <c r="U11" s="65"/>
      <c r="V11" s="65"/>
      <c r="W11" s="65"/>
    </row>
    <row r="12" spans="1:23" ht="15.4" customHeight="1" x14ac:dyDescent="0.25">
      <c r="A12" s="1031" t="s">
        <v>1187</v>
      </c>
      <c r="B12" s="1031"/>
      <c r="C12" s="1031"/>
      <c r="D12" s="1031"/>
      <c r="E12" s="1031"/>
      <c r="F12" s="1031"/>
      <c r="G12" s="1031"/>
      <c r="H12" s="1031"/>
      <c r="I12" s="1031"/>
      <c r="J12" s="1031"/>
      <c r="K12" s="1031"/>
      <c r="L12" s="1031"/>
      <c r="M12" s="1031"/>
      <c r="N12" s="1031"/>
      <c r="O12" s="65"/>
      <c r="P12" s="65"/>
      <c r="Q12" s="65"/>
      <c r="R12" s="65"/>
      <c r="S12" s="65"/>
      <c r="T12" s="65"/>
      <c r="U12" s="65"/>
      <c r="V12" s="65"/>
      <c r="W12" s="65"/>
    </row>
    <row r="13" spans="1:23" ht="15.4" customHeight="1" x14ac:dyDescent="0.25">
      <c r="A13" s="218"/>
      <c r="B13" s="218"/>
      <c r="C13" s="218"/>
      <c r="D13" s="218"/>
      <c r="E13" s="218"/>
      <c r="F13" s="218"/>
      <c r="G13" s="218"/>
      <c r="H13" s="218"/>
      <c r="I13" s="218"/>
      <c r="J13" s="218"/>
      <c r="K13" s="218"/>
      <c r="L13" s="218"/>
      <c r="M13" s="218"/>
      <c r="N13" s="218"/>
      <c r="O13" s="65"/>
      <c r="P13" s="65"/>
      <c r="Q13" s="65"/>
      <c r="R13" s="65"/>
      <c r="S13" s="65"/>
      <c r="T13" s="65"/>
      <c r="U13" s="65"/>
      <c r="V13" s="65"/>
      <c r="W13" s="65"/>
    </row>
    <row r="14" spans="1:23" ht="15.4" customHeight="1" x14ac:dyDescent="0.25">
      <c r="A14" s="1030" t="s">
        <v>1057</v>
      </c>
      <c r="B14" s="1030"/>
      <c r="C14" s="1030"/>
      <c r="D14" s="1030"/>
      <c r="E14" s="1030"/>
      <c r="F14" s="1030"/>
      <c r="G14" s="1030"/>
      <c r="H14" s="1030"/>
      <c r="I14" s="1030"/>
      <c r="J14" s="1030"/>
      <c r="K14" s="1030"/>
      <c r="L14" s="1030"/>
      <c r="M14" s="1030"/>
      <c r="N14" s="65"/>
      <c r="O14" s="65"/>
      <c r="P14" s="65"/>
      <c r="Q14" s="65"/>
      <c r="R14" s="65"/>
      <c r="S14" s="65"/>
      <c r="T14" s="65"/>
      <c r="U14" s="65"/>
      <c r="V14" s="65"/>
      <c r="W14" s="65"/>
    </row>
    <row r="15" spans="1:23" ht="15" hidden="1" customHeight="1" x14ac:dyDescent="0.25">
      <c r="A15" s="65" t="s">
        <v>361</v>
      </c>
      <c r="B15" s="65"/>
      <c r="C15" s="65"/>
      <c r="D15" s="65"/>
      <c r="E15" s="65"/>
      <c r="F15" s="65"/>
      <c r="G15" s="65"/>
      <c r="H15" s="65"/>
      <c r="I15" s="65"/>
      <c r="J15" s="65"/>
      <c r="K15" s="680"/>
      <c r="L15" s="65" t="s">
        <v>380</v>
      </c>
      <c r="M15" s="680"/>
      <c r="N15" s="65"/>
      <c r="O15" s="65"/>
      <c r="P15" s="65"/>
      <c r="Q15" s="65"/>
      <c r="R15" s="65"/>
      <c r="S15" s="65"/>
      <c r="T15" s="65"/>
      <c r="U15" s="65"/>
      <c r="V15" s="65"/>
      <c r="W15" s="65"/>
    </row>
    <row r="16" spans="1:23" ht="15.4" customHeight="1" x14ac:dyDescent="0.25">
      <c r="A16" s="65"/>
      <c r="B16" s="65"/>
      <c r="C16" s="65"/>
      <c r="D16" s="65"/>
      <c r="E16" s="65"/>
      <c r="F16" s="65"/>
      <c r="G16" s="65"/>
      <c r="H16" s="65"/>
      <c r="I16" s="65"/>
      <c r="J16" s="65"/>
      <c r="K16" s="65"/>
      <c r="L16" s="65"/>
      <c r="M16" s="42" t="s">
        <v>480</v>
      </c>
      <c r="N16" s="534" t="s">
        <v>33</v>
      </c>
      <c r="O16" s="369" t="s">
        <v>655</v>
      </c>
      <c r="P16" s="65"/>
      <c r="Q16" s="65"/>
      <c r="R16" s="65"/>
      <c r="S16" s="65"/>
      <c r="T16" s="65"/>
      <c r="U16" s="65"/>
      <c r="V16" s="65"/>
      <c r="W16" s="65"/>
    </row>
    <row r="17" spans="1:23" ht="30.75" customHeight="1" x14ac:dyDescent="0.25">
      <c r="A17" s="17" t="s">
        <v>881</v>
      </c>
      <c r="B17" s="308" t="s">
        <v>625</v>
      </c>
      <c r="C17" s="17" t="s">
        <v>296</v>
      </c>
      <c r="D17" s="17">
        <v>25</v>
      </c>
      <c r="E17" s="17">
        <v>50</v>
      </c>
      <c r="F17" s="17">
        <v>100</v>
      </c>
      <c r="G17" s="17">
        <v>200</v>
      </c>
      <c r="H17" s="17">
        <v>500</v>
      </c>
      <c r="I17" s="17">
        <v>1000</v>
      </c>
      <c r="J17" s="17">
        <v>2000</v>
      </c>
      <c r="K17" s="17">
        <v>5000</v>
      </c>
      <c r="L17" s="402">
        <v>10000</v>
      </c>
      <c r="M17" s="602">
        <f>$C$6</f>
        <v>1001119864</v>
      </c>
      <c r="N17" s="335">
        <f>IF(M17&lt;D17,15,IF(M17&gt;L17,L17,HLOOKUP(M17,D17:L17,1)))</f>
        <v>10000</v>
      </c>
      <c r="O17" s="152">
        <f>IF(M17&lt;15,15,IF(M17&lt;25,25,IF(M17&gt;L17,L17,INDEX(D17:L17,MATCH(M17,D17:L17,1)+1))))</f>
        <v>10000</v>
      </c>
      <c r="P17" s="65"/>
      <c r="Q17" s="65"/>
      <c r="R17" s="65"/>
      <c r="S17" s="65"/>
      <c r="T17" s="65"/>
      <c r="U17" s="65"/>
      <c r="V17" s="65"/>
      <c r="W17" s="65"/>
    </row>
    <row r="18" spans="1:23" ht="15.4" customHeight="1" x14ac:dyDescent="0.25">
      <c r="A18" s="409">
        <v>1</v>
      </c>
      <c r="B18" s="495" t="s">
        <v>160</v>
      </c>
      <c r="C18" s="224">
        <v>1.9E-2</v>
      </c>
      <c r="D18" s="224">
        <v>1.7000000000000001E-2</v>
      </c>
      <c r="E18" s="224">
        <v>1.4999999999999999E-2</v>
      </c>
      <c r="F18" s="224">
        <v>1.2500000000000001E-2</v>
      </c>
      <c r="G18" s="224">
        <v>0.01</v>
      </c>
      <c r="H18" s="224">
        <v>7.4999999999999997E-3</v>
      </c>
      <c r="I18" s="224">
        <v>4.7000000000000002E-3</v>
      </c>
      <c r="J18" s="224">
        <v>2.5000000000000001E-3</v>
      </c>
      <c r="K18" s="224">
        <v>2E-3</v>
      </c>
      <c r="L18" s="224">
        <v>1E-3</v>
      </c>
      <c r="M18" s="1">
        <f>IF(O$17=N$17,N18,ROUND(N18-((N18-O18)/(O$17-N$17))*(M$17-N$17),3))</f>
        <v>1E-3</v>
      </c>
      <c r="N18" s="491">
        <f>IF(N$17=15,C18,HLOOKUP($N$17,$D$17:$L$18,2,TRUE))</f>
        <v>1E-3</v>
      </c>
      <c r="O18" s="350">
        <f>IF(O$17=15,C18,HLOOKUP($O$17,$D$17:$L$18,2,TRUE))</f>
        <v>1E-3</v>
      </c>
      <c r="P18" s="65"/>
      <c r="Q18" s="65"/>
      <c r="R18" s="65"/>
      <c r="S18" s="65"/>
      <c r="T18" s="65"/>
      <c r="U18" s="65"/>
      <c r="V18" s="65"/>
      <c r="W18" s="65"/>
    </row>
    <row r="19" spans="1:23" ht="15" hidden="1" customHeight="1" x14ac:dyDescent="0.25">
      <c r="A19" s="65" t="s">
        <v>1253</v>
      </c>
      <c r="B19" s="65"/>
      <c r="C19" s="65"/>
      <c r="D19" s="65"/>
      <c r="E19" s="65"/>
      <c r="F19" s="65"/>
      <c r="G19" s="65"/>
      <c r="H19" s="65"/>
      <c r="I19" s="65"/>
      <c r="J19" s="65"/>
      <c r="K19" s="65"/>
      <c r="L19" s="65"/>
      <c r="M19" s="65"/>
      <c r="N19" s="65"/>
      <c r="O19" s="65"/>
      <c r="P19" s="65"/>
      <c r="Q19" s="65"/>
      <c r="R19" s="65"/>
      <c r="S19" s="65"/>
      <c r="T19" s="65"/>
      <c r="U19" s="65"/>
      <c r="V19" s="65"/>
      <c r="W19" s="65"/>
    </row>
    <row r="20" spans="1:23" ht="15.4" customHeight="1" x14ac:dyDescent="0.25">
      <c r="A20" s="65"/>
      <c r="B20" s="65"/>
      <c r="C20" s="65"/>
      <c r="D20" s="65"/>
      <c r="E20" s="65"/>
      <c r="F20" s="65"/>
      <c r="G20" s="65"/>
      <c r="H20" s="65"/>
      <c r="I20" s="65"/>
      <c r="J20" s="65"/>
      <c r="K20" s="65"/>
      <c r="L20" s="65"/>
      <c r="M20" s="65"/>
      <c r="N20" s="65"/>
      <c r="O20" s="65"/>
      <c r="P20" s="65"/>
      <c r="Q20" s="65"/>
      <c r="R20" s="65"/>
      <c r="S20" s="65"/>
      <c r="T20" s="65"/>
      <c r="U20" s="65"/>
      <c r="V20" s="65"/>
      <c r="W20" s="65"/>
    </row>
    <row r="21" spans="1:23" ht="15.4" customHeight="1" x14ac:dyDescent="0.25">
      <c r="A21" s="1031" t="s">
        <v>991</v>
      </c>
      <c r="B21" s="1031"/>
      <c r="C21" s="1031"/>
      <c r="D21" s="1031"/>
      <c r="E21" s="1031"/>
      <c r="F21" s="1031"/>
      <c r="G21" s="1031"/>
      <c r="H21" s="1031"/>
      <c r="I21" s="1031"/>
      <c r="J21" s="1031"/>
      <c r="K21" s="1031"/>
      <c r="L21" s="1031"/>
      <c r="M21" s="1031"/>
      <c r="N21" s="1031"/>
      <c r="O21" s="65"/>
      <c r="P21" s="65"/>
      <c r="Q21" s="65"/>
      <c r="R21" s="65"/>
      <c r="S21" s="65"/>
      <c r="T21" s="65"/>
      <c r="U21" s="65"/>
      <c r="V21" s="65"/>
      <c r="W21" s="65"/>
    </row>
    <row r="22" spans="1:23" ht="15.4" customHeight="1" x14ac:dyDescent="0.25">
      <c r="A22" s="1031" t="s">
        <v>1071</v>
      </c>
      <c r="B22" s="1031"/>
      <c r="C22" s="1031"/>
      <c r="D22" s="1031"/>
      <c r="E22" s="1031"/>
      <c r="F22" s="1031"/>
      <c r="G22" s="1031"/>
      <c r="H22" s="1031"/>
      <c r="I22" s="1031"/>
      <c r="J22" s="1031"/>
      <c r="K22" s="1031"/>
      <c r="L22" s="1031"/>
      <c r="M22" s="1031"/>
      <c r="N22" s="1031"/>
      <c r="O22" s="65"/>
      <c r="P22" s="65"/>
      <c r="Q22" s="65"/>
      <c r="R22" s="65"/>
      <c r="S22" s="65"/>
      <c r="T22" s="65"/>
      <c r="U22" s="65"/>
      <c r="V22" s="65"/>
      <c r="W22" s="65"/>
    </row>
    <row r="23" spans="1:23" ht="15.4" customHeight="1" x14ac:dyDescent="0.25">
      <c r="A23" s="65"/>
      <c r="B23" s="65"/>
      <c r="C23" s="65"/>
      <c r="D23" s="65"/>
      <c r="E23" s="65"/>
      <c r="F23" s="65"/>
      <c r="G23" s="65"/>
      <c r="H23" s="65"/>
      <c r="I23" s="65"/>
      <c r="J23" s="65"/>
      <c r="K23" s="65"/>
      <c r="L23" s="65"/>
      <c r="M23" s="65"/>
      <c r="N23" s="65"/>
      <c r="O23" s="65"/>
      <c r="P23" s="65"/>
      <c r="Q23" s="65"/>
      <c r="R23" s="65"/>
      <c r="S23" s="65"/>
      <c r="T23" s="65"/>
      <c r="U23" s="65"/>
      <c r="V23" s="65"/>
      <c r="W23" s="65"/>
    </row>
    <row r="24" spans="1:23" ht="15.4" customHeight="1" x14ac:dyDescent="0.25">
      <c r="A24" s="1030" t="s">
        <v>1092</v>
      </c>
      <c r="B24" s="1030"/>
      <c r="C24" s="1030"/>
      <c r="D24" s="1030"/>
      <c r="E24" s="1030"/>
      <c r="F24" s="1030"/>
      <c r="G24" s="1030"/>
      <c r="H24" s="1030"/>
      <c r="I24" s="1030"/>
      <c r="J24" s="1030"/>
      <c r="K24" s="1030"/>
      <c r="L24" s="1030"/>
      <c r="M24" s="1030"/>
      <c r="N24" s="65"/>
      <c r="O24" s="65"/>
      <c r="P24" s="65"/>
      <c r="Q24" s="65"/>
      <c r="R24" s="65"/>
      <c r="S24" s="65"/>
      <c r="T24" s="65"/>
      <c r="U24" s="65"/>
      <c r="V24" s="65"/>
      <c r="W24" s="65"/>
    </row>
    <row r="25" spans="1:23" ht="15" hidden="1" customHeight="1" x14ac:dyDescent="0.25">
      <c r="A25" s="65" t="s">
        <v>812</v>
      </c>
      <c r="B25" s="65"/>
      <c r="C25" s="65"/>
      <c r="D25" s="65"/>
      <c r="E25" s="65"/>
      <c r="F25" s="65"/>
      <c r="G25" s="65"/>
      <c r="H25" s="65"/>
      <c r="I25" s="65" t="s">
        <v>380</v>
      </c>
      <c r="J25" s="65"/>
      <c r="K25" s="680"/>
      <c r="L25" s="65"/>
      <c r="M25" s="680"/>
      <c r="N25" s="65"/>
      <c r="O25" s="65"/>
      <c r="P25" s="65"/>
      <c r="Q25" s="65"/>
      <c r="R25" s="65"/>
      <c r="S25" s="65"/>
      <c r="T25" s="65"/>
      <c r="U25" s="65"/>
      <c r="V25" s="65"/>
      <c r="W25" s="65"/>
    </row>
    <row r="26" spans="1:23" ht="15.4" customHeight="1" x14ac:dyDescent="0.25">
      <c r="A26" s="65"/>
      <c r="B26" s="65"/>
      <c r="C26" s="65"/>
      <c r="D26" s="65"/>
      <c r="E26" s="65"/>
      <c r="F26" s="65"/>
      <c r="G26" s="65"/>
      <c r="H26" s="65"/>
      <c r="I26" s="65"/>
      <c r="J26" s="42" t="s">
        <v>480</v>
      </c>
      <c r="K26" s="534" t="s">
        <v>33</v>
      </c>
      <c r="L26" s="369" t="s">
        <v>655</v>
      </c>
      <c r="M26" s="65"/>
      <c r="N26" s="65"/>
      <c r="O26" s="65"/>
      <c r="P26" s="65"/>
      <c r="Q26" s="65"/>
      <c r="R26" s="65"/>
      <c r="S26" s="65"/>
      <c r="T26" s="65"/>
      <c r="U26" s="65"/>
      <c r="V26" s="65"/>
      <c r="W26" s="65"/>
    </row>
    <row r="27" spans="1:23" ht="30.75" customHeight="1" x14ac:dyDescent="0.25">
      <c r="A27" s="17" t="s">
        <v>881</v>
      </c>
      <c r="B27" s="308" t="s">
        <v>277</v>
      </c>
      <c r="C27" s="17" t="s">
        <v>637</v>
      </c>
      <c r="D27" s="17">
        <v>10</v>
      </c>
      <c r="E27" s="17">
        <v>50</v>
      </c>
      <c r="F27" s="17">
        <v>100</v>
      </c>
      <c r="G27" s="17">
        <v>500</v>
      </c>
      <c r="H27" s="17">
        <v>1000</v>
      </c>
      <c r="I27" s="402">
        <v>10000</v>
      </c>
      <c r="J27" s="602">
        <f>$C$6</f>
        <v>1001119864</v>
      </c>
      <c r="K27" s="335">
        <f>IF(J27&lt;D27,5,IF(J27&gt;I27,I27,HLOOKUP(J27,D27:I27,1)))</f>
        <v>10000</v>
      </c>
      <c r="L27" s="152">
        <f>IF(J27&lt;5,5,IF(J27&lt;10,10,IF(J27&gt;I27,I27,INDEX(D27:I27,MATCH(J27,D27:I27,1)+1))))</f>
        <v>10000</v>
      </c>
      <c r="M27" s="226"/>
      <c r="N27" s="99"/>
      <c r="O27" s="65"/>
      <c r="P27" s="65"/>
      <c r="Q27" s="65"/>
      <c r="R27" s="65"/>
      <c r="S27" s="65"/>
      <c r="T27" s="65"/>
      <c r="U27" s="65"/>
      <c r="V27" s="65"/>
      <c r="W27" s="65"/>
    </row>
    <row r="28" spans="1:23" ht="15.4" customHeight="1" x14ac:dyDescent="0.25">
      <c r="A28" s="409">
        <v>1</v>
      </c>
      <c r="B28" s="495" t="s">
        <v>212</v>
      </c>
      <c r="C28" s="502">
        <v>0.38</v>
      </c>
      <c r="D28" s="502">
        <v>0.26</v>
      </c>
      <c r="E28" s="502">
        <v>0.19</v>
      </c>
      <c r="F28" s="502">
        <v>0.15</v>
      </c>
      <c r="G28" s="502">
        <v>0.09</v>
      </c>
      <c r="H28" s="502">
        <v>0.06</v>
      </c>
      <c r="I28" s="502">
        <v>3.2000000000000001E-2</v>
      </c>
      <c r="J28" s="1">
        <f>IF(L$27=K$27,K28,ROUND(K28-((K28-L28)/(L$27-K$27))*(J$27-K$27),3))</f>
        <v>3.2000000000000001E-2</v>
      </c>
      <c r="K28" s="491">
        <f>IF(K$27=5,C28,HLOOKUP($K$27,$D$27:$I$28,2,TRUE))</f>
        <v>3.2000000000000001E-2</v>
      </c>
      <c r="L28" s="350">
        <f>IF(L$27=5,C28,HLOOKUP($L$27,$D$27:$I$28,2,TRUE))</f>
        <v>3.2000000000000001E-2</v>
      </c>
      <c r="M28" s="215"/>
      <c r="N28" s="215"/>
      <c r="O28" s="65"/>
      <c r="P28" s="65"/>
      <c r="Q28" s="65"/>
      <c r="R28" s="65"/>
      <c r="S28" s="65"/>
      <c r="T28" s="65"/>
      <c r="U28" s="65"/>
      <c r="V28" s="65"/>
      <c r="W28" s="65"/>
    </row>
    <row r="29" spans="1:23" ht="15" hidden="1" customHeight="1" x14ac:dyDescent="0.25">
      <c r="A29" s="104" t="s">
        <v>1181</v>
      </c>
      <c r="B29" s="65"/>
      <c r="C29" s="65"/>
      <c r="D29" s="65"/>
      <c r="E29" s="65"/>
      <c r="F29" s="65"/>
      <c r="G29" s="65"/>
      <c r="H29" s="65"/>
      <c r="I29" s="65"/>
      <c r="J29" s="65"/>
      <c r="K29" s="65"/>
      <c r="L29" s="65"/>
      <c r="M29" s="65"/>
      <c r="N29" s="65"/>
      <c r="O29" s="65"/>
      <c r="P29" s="65"/>
      <c r="Q29" s="65"/>
      <c r="R29" s="65"/>
      <c r="S29" s="65"/>
      <c r="T29" s="65"/>
      <c r="U29" s="65"/>
      <c r="V29" s="65"/>
      <c r="W29" s="65"/>
    </row>
    <row r="30" spans="1:23" ht="15.4" customHeight="1" x14ac:dyDescent="0.25">
      <c r="A30" s="65"/>
      <c r="B30" s="65"/>
      <c r="C30" s="65"/>
      <c r="D30" s="65"/>
      <c r="E30" s="65"/>
      <c r="F30" s="65"/>
      <c r="G30" s="65"/>
      <c r="H30" s="65"/>
      <c r="I30" s="65"/>
      <c r="J30" s="65"/>
      <c r="K30" s="65"/>
      <c r="L30" s="65"/>
      <c r="M30" s="65"/>
      <c r="N30" s="65"/>
      <c r="O30" s="65"/>
      <c r="P30" s="65"/>
      <c r="Q30" s="65"/>
      <c r="R30" s="65"/>
      <c r="S30" s="65"/>
      <c r="T30" s="65"/>
      <c r="U30" s="65"/>
      <c r="V30" s="65"/>
      <c r="W30" s="65"/>
    </row>
    <row r="31" spans="1:23" ht="15.4" customHeight="1" x14ac:dyDescent="0.25">
      <c r="A31" s="1030" t="s">
        <v>654</v>
      </c>
      <c r="B31" s="1030"/>
      <c r="C31" s="1030"/>
      <c r="D31" s="1030"/>
      <c r="E31" s="1030"/>
      <c r="F31" s="1030"/>
      <c r="G31" s="1030"/>
      <c r="H31" s="1030"/>
      <c r="I31" s="1030"/>
      <c r="J31" s="1030"/>
      <c r="K31" s="1030"/>
      <c r="L31" s="1030"/>
      <c r="M31" s="1030"/>
      <c r="N31" s="65"/>
      <c r="O31" s="65"/>
      <c r="P31" s="65"/>
      <c r="Q31" s="65"/>
      <c r="R31" s="65"/>
      <c r="S31" s="65"/>
      <c r="T31" s="65"/>
      <c r="U31" s="65"/>
      <c r="V31" s="65"/>
      <c r="W31" s="65"/>
    </row>
    <row r="32" spans="1:23" ht="15" hidden="1" customHeight="1" x14ac:dyDescent="0.25">
      <c r="A32" s="65" t="s">
        <v>68</v>
      </c>
      <c r="B32" s="65"/>
      <c r="C32" s="65"/>
      <c r="D32" s="65"/>
      <c r="E32" s="65"/>
      <c r="F32" s="65"/>
      <c r="G32" s="65"/>
      <c r="H32" s="65"/>
      <c r="I32" s="65" t="s">
        <v>380</v>
      </c>
      <c r="J32" s="65"/>
      <c r="K32" s="680"/>
      <c r="L32" s="65"/>
      <c r="M32" s="680"/>
      <c r="N32" s="65"/>
      <c r="O32" s="65"/>
      <c r="P32" s="65"/>
      <c r="Q32" s="65"/>
      <c r="R32" s="65"/>
      <c r="S32" s="65"/>
      <c r="T32" s="65"/>
      <c r="U32" s="65"/>
      <c r="V32" s="65"/>
      <c r="W32" s="65"/>
    </row>
    <row r="33" spans="1:23" ht="15.4" customHeight="1" x14ac:dyDescent="0.25">
      <c r="A33" s="65"/>
      <c r="B33" s="65"/>
      <c r="C33" s="65"/>
      <c r="D33" s="65"/>
      <c r="E33" s="65"/>
      <c r="F33" s="65"/>
      <c r="G33" s="65"/>
      <c r="H33" s="65"/>
      <c r="I33" s="65"/>
      <c r="J33" s="42" t="s">
        <v>480</v>
      </c>
      <c r="K33" s="534" t="s">
        <v>33</v>
      </c>
      <c r="L33" s="369" t="s">
        <v>655</v>
      </c>
      <c r="M33" s="65"/>
      <c r="N33" s="65"/>
      <c r="O33" s="65"/>
      <c r="P33" s="65"/>
      <c r="Q33" s="65"/>
      <c r="R33" s="65"/>
      <c r="S33" s="65"/>
      <c r="T33" s="65"/>
      <c r="U33" s="65"/>
      <c r="V33" s="65"/>
      <c r="W33" s="65"/>
    </row>
    <row r="34" spans="1:23" ht="30.75" customHeight="1" x14ac:dyDescent="0.25">
      <c r="A34" s="17" t="s">
        <v>881</v>
      </c>
      <c r="B34" s="308" t="s">
        <v>277</v>
      </c>
      <c r="C34" s="17" t="s">
        <v>637</v>
      </c>
      <c r="D34" s="17">
        <v>10</v>
      </c>
      <c r="E34" s="17">
        <v>50</v>
      </c>
      <c r="F34" s="17">
        <v>100</v>
      </c>
      <c r="G34" s="17">
        <v>500</v>
      </c>
      <c r="H34" s="17">
        <v>1000</v>
      </c>
      <c r="I34" s="402">
        <v>10000</v>
      </c>
      <c r="J34" s="602">
        <f>$C$6</f>
        <v>1001119864</v>
      </c>
      <c r="K34" s="335">
        <f>IF(J34&lt;D34,5,IF(J34&gt;I34,I34,HLOOKUP(J34,D34:I34,1)))</f>
        <v>10000</v>
      </c>
      <c r="L34" s="152">
        <f>IF(J34&lt;5,5,IF(J34&lt;10,10,IF(J34&gt;I34,I34,INDEX(D34:I34,MATCH(J34,D34:I34,1)+1))))</f>
        <v>10000</v>
      </c>
      <c r="M34" s="226"/>
      <c r="N34" s="99"/>
      <c r="O34" s="65"/>
      <c r="P34" s="65"/>
      <c r="Q34" s="65"/>
      <c r="R34" s="65"/>
      <c r="S34" s="65"/>
      <c r="T34" s="65"/>
      <c r="U34" s="65"/>
      <c r="V34" s="65"/>
      <c r="W34" s="65"/>
    </row>
    <row r="35" spans="1:23" ht="15.4" customHeight="1" x14ac:dyDescent="0.25">
      <c r="A35" s="409">
        <v>1</v>
      </c>
      <c r="B35" s="495" t="s">
        <v>769</v>
      </c>
      <c r="C35" s="502">
        <v>0.64</v>
      </c>
      <c r="D35" s="502">
        <v>0.43</v>
      </c>
      <c r="E35" s="502">
        <v>0.3</v>
      </c>
      <c r="F35" s="502">
        <v>0.23</v>
      </c>
      <c r="G35" s="502">
        <v>0.13</v>
      </c>
      <c r="H35" s="502">
        <v>8.5999999999999993E-2</v>
      </c>
      <c r="I35" s="502">
        <v>4.5999999999999999E-2</v>
      </c>
      <c r="J35" s="1">
        <f>IF(L$34=K$34,K35,ROUND(K35-((K35-L35)/(L$34-K$34))*(J$34-K$34),3))</f>
        <v>4.5999999999999999E-2</v>
      </c>
      <c r="K35" s="491">
        <f>IF(K$34=5,C35,HLOOKUP($K$34,$D$34:$I$35,2,TRUE))</f>
        <v>4.5999999999999999E-2</v>
      </c>
      <c r="L35" s="350">
        <f>IF(L$34=5,C35,HLOOKUP($L$34,$D$34:$I$35,2,TRUE))</f>
        <v>4.5999999999999999E-2</v>
      </c>
      <c r="M35" s="65"/>
      <c r="N35" s="65"/>
      <c r="O35" s="65"/>
      <c r="P35" s="65"/>
      <c r="Q35" s="65"/>
      <c r="R35" s="65"/>
      <c r="S35" s="65"/>
      <c r="T35" s="65"/>
      <c r="U35" s="65"/>
      <c r="V35" s="65"/>
      <c r="W35" s="65"/>
    </row>
    <row r="36" spans="1:23" ht="15" hidden="1" customHeight="1" x14ac:dyDescent="0.25">
      <c r="A36" s="104" t="s">
        <v>935</v>
      </c>
      <c r="B36" s="65"/>
      <c r="C36" s="65"/>
      <c r="D36" s="65"/>
      <c r="E36" s="65"/>
      <c r="F36" s="65"/>
      <c r="G36" s="65"/>
      <c r="H36" s="65"/>
      <c r="I36" s="65"/>
      <c r="J36" s="65"/>
      <c r="K36" s="65"/>
      <c r="L36" s="65"/>
      <c r="M36" s="65"/>
      <c r="N36" s="65"/>
      <c r="O36" s="65"/>
      <c r="P36" s="65"/>
      <c r="Q36" s="65"/>
      <c r="R36" s="65"/>
      <c r="S36" s="65"/>
      <c r="T36" s="65"/>
      <c r="U36" s="65"/>
      <c r="V36" s="65"/>
      <c r="W36" s="65"/>
    </row>
    <row r="37" spans="1:23" ht="15.4" customHeight="1" x14ac:dyDescent="0.25">
      <c r="A37" s="65"/>
      <c r="B37" s="65"/>
      <c r="C37" s="65"/>
      <c r="D37" s="65"/>
      <c r="E37" s="65"/>
      <c r="F37" s="65"/>
      <c r="G37" s="65"/>
      <c r="H37" s="65"/>
      <c r="I37" s="65"/>
      <c r="J37" s="65"/>
      <c r="K37" s="65"/>
      <c r="L37" s="65"/>
      <c r="M37" s="65"/>
      <c r="N37" s="65"/>
      <c r="O37" s="65"/>
      <c r="P37" s="65"/>
      <c r="Q37" s="65"/>
      <c r="R37" s="65"/>
      <c r="S37" s="65"/>
      <c r="T37" s="65"/>
      <c r="U37" s="65"/>
      <c r="V37" s="65"/>
      <c r="W37" s="65"/>
    </row>
    <row r="38" spans="1:23" ht="15.4" customHeight="1" x14ac:dyDescent="0.25">
      <c r="A38" s="1031" t="s">
        <v>376</v>
      </c>
      <c r="B38" s="1031"/>
      <c r="C38" s="1031"/>
      <c r="D38" s="1031"/>
      <c r="E38" s="1031"/>
      <c r="F38" s="1031"/>
      <c r="G38" s="1031"/>
      <c r="H38" s="1031"/>
      <c r="I38" s="1031"/>
      <c r="J38" s="1031"/>
      <c r="K38" s="1031"/>
      <c r="L38" s="1031"/>
      <c r="M38" s="1031"/>
      <c r="N38" s="1031"/>
      <c r="O38" s="65"/>
      <c r="P38" s="65"/>
      <c r="Q38" s="65"/>
      <c r="R38" s="65"/>
      <c r="S38" s="65"/>
      <c r="T38" s="65"/>
      <c r="U38" s="65"/>
      <c r="V38" s="65"/>
      <c r="W38" s="65"/>
    </row>
    <row r="39" spans="1:23" ht="15.4" customHeight="1" x14ac:dyDescent="0.25">
      <c r="A39" s="1031" t="s">
        <v>133</v>
      </c>
      <c r="B39" s="1031"/>
      <c r="C39" s="1031"/>
      <c r="D39" s="1031"/>
      <c r="E39" s="1031"/>
      <c r="F39" s="1031"/>
      <c r="G39" s="1031"/>
      <c r="H39" s="1031"/>
      <c r="I39" s="1031"/>
      <c r="J39" s="1031"/>
      <c r="K39" s="1031"/>
      <c r="L39" s="1031"/>
      <c r="M39" s="1031"/>
      <c r="N39" s="1031"/>
      <c r="O39" s="65"/>
      <c r="P39" s="65"/>
      <c r="Q39" s="65"/>
      <c r="R39" s="65"/>
      <c r="S39" s="65"/>
      <c r="T39" s="65"/>
      <c r="U39" s="65"/>
      <c r="V39" s="65"/>
      <c r="W39" s="65"/>
    </row>
    <row r="40" spans="1:23" ht="15.4" customHeight="1" x14ac:dyDescent="0.25">
      <c r="A40" s="65"/>
      <c r="B40" s="65"/>
      <c r="C40" s="65"/>
      <c r="D40" s="65"/>
      <c r="E40" s="65"/>
      <c r="F40" s="65"/>
      <c r="G40" s="65"/>
      <c r="H40" s="65"/>
      <c r="I40" s="65"/>
      <c r="J40" s="65"/>
      <c r="K40" s="65"/>
      <c r="L40" s="65"/>
      <c r="M40" s="65"/>
      <c r="N40" s="65"/>
      <c r="O40" s="65"/>
      <c r="P40" s="65"/>
      <c r="Q40" s="65"/>
      <c r="R40" s="65"/>
      <c r="S40" s="65"/>
      <c r="T40" s="65"/>
      <c r="U40" s="65"/>
      <c r="V40" s="65"/>
      <c r="W40" s="65"/>
    </row>
    <row r="41" spans="1:23" ht="15.4" customHeight="1" x14ac:dyDescent="0.25">
      <c r="A41" s="1030"/>
      <c r="B41" s="1030"/>
      <c r="C41" s="1030"/>
      <c r="D41" s="1030"/>
      <c r="E41" s="1030"/>
      <c r="F41" s="1030"/>
      <c r="G41" s="1030"/>
      <c r="H41" s="1030"/>
      <c r="I41" s="1030"/>
      <c r="J41" s="1030"/>
      <c r="K41" s="1030"/>
      <c r="L41" s="1030"/>
      <c r="M41" s="1030"/>
      <c r="N41" s="1030"/>
      <c r="O41" s="1030"/>
      <c r="P41" s="65"/>
      <c r="Q41" s="65"/>
      <c r="R41" s="65"/>
      <c r="S41" s="65"/>
      <c r="T41" s="65"/>
      <c r="U41" s="65"/>
      <c r="V41" s="65"/>
      <c r="W41" s="65"/>
    </row>
    <row r="42" spans="1:23" ht="15.4" customHeight="1" x14ac:dyDescent="0.25">
      <c r="A42" s="1030" t="s">
        <v>159</v>
      </c>
      <c r="B42" s="1030"/>
      <c r="C42" s="126"/>
      <c r="D42" s="126"/>
      <c r="E42" s="126"/>
      <c r="F42" s="126"/>
      <c r="G42" s="126"/>
      <c r="H42" s="126"/>
      <c r="I42" s="126"/>
      <c r="J42" s="126"/>
      <c r="K42" s="126"/>
      <c r="L42" s="126"/>
      <c r="M42" s="126"/>
      <c r="N42" s="126"/>
      <c r="O42" s="126"/>
      <c r="P42" s="65"/>
      <c r="Q42" s="65"/>
      <c r="R42" s="65"/>
      <c r="S42" s="65"/>
      <c r="T42" s="65"/>
      <c r="U42" s="65"/>
      <c r="V42" s="65"/>
      <c r="W42" s="65"/>
    </row>
    <row r="43" spans="1:23" ht="15.4" customHeight="1" x14ac:dyDescent="0.25">
      <c r="A43" s="65"/>
      <c r="B43" s="65"/>
      <c r="C43" s="65"/>
      <c r="D43" s="65"/>
      <c r="E43" s="65"/>
      <c r="F43" s="65"/>
      <c r="G43" s="65"/>
      <c r="H43" s="65"/>
      <c r="I43" s="1031" t="s">
        <v>957</v>
      </c>
      <c r="J43" s="1031"/>
      <c r="K43" s="1031"/>
      <c r="L43" s="1031"/>
      <c r="M43" s="680"/>
      <c r="N43" s="680"/>
      <c r="O43" s="65"/>
      <c r="P43" s="65"/>
      <c r="Q43" s="65"/>
      <c r="R43" s="65"/>
      <c r="S43" s="65"/>
      <c r="T43" s="65"/>
      <c r="U43" s="65"/>
      <c r="V43" s="65"/>
      <c r="W43" s="65"/>
    </row>
    <row r="44" spans="1:23" ht="15" hidden="1" customHeight="1" x14ac:dyDescent="0.25">
      <c r="A44" s="65" t="s">
        <v>687</v>
      </c>
      <c r="B44" s="65"/>
      <c r="C44" s="65"/>
      <c r="D44" s="65"/>
      <c r="E44" s="65"/>
      <c r="F44" s="65"/>
      <c r="G44" s="65"/>
      <c r="H44" s="65"/>
      <c r="I44" s="65"/>
      <c r="J44" s="65"/>
      <c r="K44" s="65" t="s">
        <v>380</v>
      </c>
      <c r="L44" s="65"/>
      <c r="M44" s="65"/>
      <c r="N44" s="65"/>
      <c r="O44" s="65"/>
      <c r="P44" s="65"/>
      <c r="Q44" s="65"/>
      <c r="R44" s="65"/>
      <c r="S44" s="65"/>
      <c r="T44" s="65"/>
      <c r="U44" s="65"/>
      <c r="V44" s="65"/>
      <c r="W44" s="65"/>
    </row>
    <row r="45" spans="1:23" ht="33" customHeight="1" x14ac:dyDescent="0.25">
      <c r="A45" s="1032" t="s">
        <v>881</v>
      </c>
      <c r="B45" s="1032" t="s">
        <v>130</v>
      </c>
      <c r="C45" s="1033" t="s">
        <v>718</v>
      </c>
      <c r="D45" s="1034"/>
      <c r="E45" s="1034"/>
      <c r="F45" s="1034"/>
      <c r="G45" s="1034"/>
      <c r="H45" s="1034"/>
      <c r="I45" s="1034"/>
      <c r="J45" s="1034"/>
      <c r="K45" s="1034"/>
      <c r="L45" s="42" t="s">
        <v>480</v>
      </c>
      <c r="M45" s="534" t="s">
        <v>33</v>
      </c>
      <c r="N45" s="369" t="s">
        <v>655</v>
      </c>
      <c r="O45" s="65"/>
      <c r="P45" s="65"/>
      <c r="Q45" s="65"/>
      <c r="R45" s="65"/>
      <c r="S45" s="65"/>
      <c r="T45" s="65"/>
      <c r="U45" s="65"/>
      <c r="V45" s="65"/>
      <c r="W45" s="65"/>
    </row>
    <row r="46" spans="1:23" ht="15.4" customHeight="1" x14ac:dyDescent="0.25">
      <c r="A46" s="1032"/>
      <c r="B46" s="1032"/>
      <c r="C46" s="17" t="s">
        <v>391</v>
      </c>
      <c r="D46" s="17">
        <v>50</v>
      </c>
      <c r="E46" s="17">
        <v>100</v>
      </c>
      <c r="F46" s="17">
        <v>200</v>
      </c>
      <c r="G46" s="17">
        <v>500</v>
      </c>
      <c r="H46" s="402">
        <v>1000</v>
      </c>
      <c r="I46" s="402">
        <v>2000</v>
      </c>
      <c r="J46" s="402">
        <v>5000</v>
      </c>
      <c r="K46" s="402">
        <v>8000</v>
      </c>
      <c r="L46" s="42">
        <f>$C$1</f>
        <v>873441780</v>
      </c>
      <c r="M46" s="534">
        <f>IF(L46&lt;D46,15,IF(L46&gt;K46,K46,HLOOKUP(L46,D46:K46,1)))</f>
        <v>8000</v>
      </c>
      <c r="N46" s="369">
        <f>IF(L46&lt;15,15,IF(L46&lt;50,50,IF(L46&gt;K46,K46,INDEX(D46:K46,MATCH(L46,D46:K46,1)+1))))</f>
        <v>8000</v>
      </c>
      <c r="O46" s="65"/>
      <c r="P46" s="65"/>
      <c r="Q46" s="65"/>
      <c r="R46" s="65"/>
      <c r="S46" s="65"/>
      <c r="T46" s="65"/>
      <c r="U46" s="65"/>
      <c r="V46" s="65"/>
      <c r="W46" s="65"/>
    </row>
    <row r="47" spans="1:23" ht="30.75" customHeight="1" x14ac:dyDescent="0.25">
      <c r="A47" s="1047" t="s">
        <v>728</v>
      </c>
      <c r="B47" s="1048"/>
      <c r="C47" s="1048"/>
      <c r="D47" s="1048"/>
      <c r="E47" s="1048"/>
      <c r="F47" s="1048"/>
      <c r="G47" s="1048"/>
      <c r="H47" s="1048"/>
      <c r="I47" s="1048"/>
      <c r="J47" s="1048"/>
      <c r="K47" s="1049"/>
      <c r="L47" s="495"/>
      <c r="M47" s="495"/>
      <c r="N47" s="495"/>
      <c r="O47" s="65"/>
      <c r="P47" s="65"/>
      <c r="Q47" s="65"/>
      <c r="R47" s="65"/>
      <c r="S47" s="65"/>
      <c r="T47" s="65"/>
      <c r="U47" s="65"/>
      <c r="V47" s="65"/>
      <c r="W47" s="65"/>
    </row>
    <row r="48" spans="1:23" ht="15.4" customHeight="1" x14ac:dyDescent="0.25">
      <c r="A48" s="409" t="s">
        <v>951</v>
      </c>
      <c r="B48" s="495" t="s">
        <v>571</v>
      </c>
      <c r="C48" s="502">
        <v>0.16500000000000001</v>
      </c>
      <c r="D48" s="502">
        <v>0.11</v>
      </c>
      <c r="E48" s="502">
        <v>8.5000000000000006E-2</v>
      </c>
      <c r="F48" s="502">
        <v>6.5000000000000002E-2</v>
      </c>
      <c r="G48" s="502">
        <v>0.05</v>
      </c>
      <c r="H48" s="502">
        <v>4.1000000000000002E-2</v>
      </c>
      <c r="I48" s="502">
        <v>2.9000000000000001E-2</v>
      </c>
      <c r="J48" s="502">
        <v>2.1999999999999999E-2</v>
      </c>
      <c r="K48" s="502">
        <v>1.9E-2</v>
      </c>
      <c r="L48" s="1">
        <f t="shared" ref="L48:L52" si="0">IF(N$46=M$46,M48,ROUND(M48-((M48-N48)/(N$46-M$46))*(L$46-M$46),3))</f>
        <v>1.9E-2</v>
      </c>
      <c r="M48" s="491">
        <f>IF(M$46=15,C48,HLOOKUP($M$46,$D$46:$K$64,3,TRUE))</f>
        <v>1.9E-2</v>
      </c>
      <c r="N48" s="350">
        <f>IF(N$46=15,C48,HLOOKUP($N$46,$D$46:$K$64,3,TRUE))</f>
        <v>1.9E-2</v>
      </c>
      <c r="O48" s="65"/>
      <c r="P48" s="65"/>
      <c r="Q48" s="65"/>
      <c r="R48" s="65"/>
      <c r="S48" s="65"/>
      <c r="T48" s="65"/>
      <c r="U48" s="65"/>
      <c r="V48" s="65"/>
      <c r="W48" s="65"/>
    </row>
    <row r="49" spans="1:23" ht="15.4" customHeight="1" x14ac:dyDescent="0.25">
      <c r="A49" s="409" t="s">
        <v>46</v>
      </c>
      <c r="B49" s="495" t="s">
        <v>886</v>
      </c>
      <c r="C49" s="502">
        <v>0.19</v>
      </c>
      <c r="D49" s="502">
        <v>0.126</v>
      </c>
      <c r="E49" s="502">
        <v>9.7000000000000003E-2</v>
      </c>
      <c r="F49" s="502">
        <v>7.4999999999999997E-2</v>
      </c>
      <c r="G49" s="502">
        <v>5.8000000000000003E-2</v>
      </c>
      <c r="H49" s="502">
        <v>4.3999999999999997E-2</v>
      </c>
      <c r="I49" s="502">
        <v>3.5000000000000003E-2</v>
      </c>
      <c r="J49" s="502">
        <v>2.5999999999999999E-2</v>
      </c>
      <c r="K49" s="502">
        <v>2.1999999999999999E-2</v>
      </c>
      <c r="L49" s="1">
        <f t="shared" si="0"/>
        <v>2.1999999999999999E-2</v>
      </c>
      <c r="M49" s="491">
        <f>IF(M$46=15,C49,HLOOKUP($M$46,$D$46:$K$64,4,TRUE))</f>
        <v>2.1999999999999999E-2</v>
      </c>
      <c r="N49" s="350">
        <f>IF(N$46=15,C49,HLOOKUP($N$46,$D$46:$K$64,4,TRUE))</f>
        <v>2.1999999999999999E-2</v>
      </c>
      <c r="O49" s="65"/>
      <c r="P49" s="65"/>
      <c r="Q49" s="65"/>
      <c r="R49" s="65"/>
      <c r="S49" s="65"/>
      <c r="T49" s="65"/>
      <c r="U49" s="65"/>
      <c r="V49" s="65"/>
      <c r="W49" s="65"/>
    </row>
    <row r="50" spans="1:23" ht="15.4" customHeight="1" x14ac:dyDescent="0.25">
      <c r="A50" s="409" t="s">
        <v>404</v>
      </c>
      <c r="B50" s="495" t="s">
        <v>559</v>
      </c>
      <c r="C50" s="502">
        <v>0.109</v>
      </c>
      <c r="D50" s="502">
        <v>7.1999999999999995E-2</v>
      </c>
      <c r="E50" s="502">
        <v>5.5E-2</v>
      </c>
      <c r="F50" s="502">
        <v>4.2999999999999997E-2</v>
      </c>
      <c r="G50" s="502">
        <v>3.3000000000000002E-2</v>
      </c>
      <c r="H50" s="502">
        <v>2.5000000000000001E-2</v>
      </c>
      <c r="I50" s="502">
        <v>2.1000000000000001E-2</v>
      </c>
      <c r="J50" s="502">
        <v>1.6E-2</v>
      </c>
      <c r="K50" s="502">
        <v>1.4E-2</v>
      </c>
      <c r="L50" s="1">
        <f t="shared" si="0"/>
        <v>1.4E-2</v>
      </c>
      <c r="M50" s="491">
        <f>IF(M$46=15,C50,HLOOKUP($M$46,$D$46:$K$64,5,TRUE))</f>
        <v>1.4E-2</v>
      </c>
      <c r="N50" s="350">
        <f>IF(N$46=15,C50,HLOOKUP($N$46,$D$46:$K$64,5,TRUE))</f>
        <v>1.4E-2</v>
      </c>
      <c r="O50" s="65"/>
      <c r="P50" s="65"/>
      <c r="Q50" s="65"/>
      <c r="R50" s="65"/>
      <c r="S50" s="65"/>
      <c r="T50" s="65"/>
      <c r="U50" s="65"/>
      <c r="V50" s="65"/>
      <c r="W50" s="65"/>
    </row>
    <row r="51" spans="1:23" ht="30.6" customHeight="1" x14ac:dyDescent="0.25">
      <c r="A51" s="409" t="s">
        <v>776</v>
      </c>
      <c r="B51" s="681" t="s">
        <v>605</v>
      </c>
      <c r="C51" s="502">
        <v>0.121</v>
      </c>
      <c r="D51" s="502">
        <v>0.08</v>
      </c>
      <c r="E51" s="502">
        <v>6.0999999999999999E-2</v>
      </c>
      <c r="F51" s="502">
        <v>4.8000000000000001E-2</v>
      </c>
      <c r="G51" s="502">
        <v>3.6999999999999998E-2</v>
      </c>
      <c r="H51" s="502">
        <v>2.8000000000000001E-2</v>
      </c>
      <c r="I51" s="502">
        <v>2.3E-2</v>
      </c>
      <c r="J51" s="502">
        <v>1.7000000000000001E-2</v>
      </c>
      <c r="K51" s="502">
        <v>1.4999999999999999E-2</v>
      </c>
      <c r="L51" s="1">
        <f t="shared" si="0"/>
        <v>1.4999999999999999E-2</v>
      </c>
      <c r="M51" s="491">
        <f>IF(M$46=15,C51,HLOOKUP($M$46,$D$46:$K$64,6,TRUE))</f>
        <v>1.4999999999999999E-2</v>
      </c>
      <c r="N51" s="350">
        <f>IF(N$46=15,C51,HLOOKUP($N$46,$D$46:$K$64,6,TRUE))</f>
        <v>1.4999999999999999E-2</v>
      </c>
      <c r="O51" s="65"/>
      <c r="P51" s="65"/>
      <c r="Q51" s="65"/>
      <c r="R51" s="65"/>
      <c r="S51" s="65"/>
      <c r="T51" s="65"/>
      <c r="U51" s="65"/>
      <c r="V51" s="65"/>
      <c r="W51" s="65"/>
    </row>
    <row r="52" spans="1:23" ht="15.4" customHeight="1" x14ac:dyDescent="0.25">
      <c r="A52" s="409" t="s">
        <v>606</v>
      </c>
      <c r="B52" s="495" t="s">
        <v>362</v>
      </c>
      <c r="C52" s="502">
        <v>0.126</v>
      </c>
      <c r="D52" s="502">
        <v>8.5000000000000006E-2</v>
      </c>
      <c r="E52" s="502">
        <v>6.5000000000000002E-2</v>
      </c>
      <c r="F52" s="502">
        <v>0.05</v>
      </c>
      <c r="G52" s="502">
        <v>3.9E-2</v>
      </c>
      <c r="H52" s="502">
        <v>0.03</v>
      </c>
      <c r="I52" s="502">
        <v>2.5999999999999999E-2</v>
      </c>
      <c r="J52" s="502">
        <v>1.9E-2</v>
      </c>
      <c r="K52" s="502">
        <v>1.7000000000000001E-2</v>
      </c>
      <c r="L52" s="1">
        <f t="shared" si="0"/>
        <v>1.7000000000000001E-2</v>
      </c>
      <c r="M52" s="491">
        <f>IF(M$46=15,C52,HLOOKUP($M$46,$D$46:$K$64,7,TRUE))</f>
        <v>1.7000000000000001E-2</v>
      </c>
      <c r="N52" s="350">
        <f>IF(N$46=15,C52,HLOOKUP($N$46,$D$46:$K$64,7,TRUE))</f>
        <v>1.7000000000000001E-2</v>
      </c>
      <c r="O52" s="65"/>
      <c r="P52" s="65"/>
      <c r="Q52" s="65"/>
      <c r="R52" s="65"/>
      <c r="S52" s="65"/>
      <c r="T52" s="65"/>
      <c r="U52" s="65"/>
      <c r="V52" s="65"/>
      <c r="W52" s="65"/>
    </row>
    <row r="53" spans="1:23" ht="31.5" customHeight="1" x14ac:dyDescent="0.25">
      <c r="A53" s="1053" t="s">
        <v>1157</v>
      </c>
      <c r="B53" s="1053"/>
      <c r="C53" s="1053"/>
      <c r="D53" s="1053"/>
      <c r="E53" s="1053"/>
      <c r="F53" s="1053"/>
      <c r="G53" s="1053"/>
      <c r="H53" s="1053"/>
      <c r="I53" s="1053"/>
      <c r="J53" s="1053"/>
      <c r="K53" s="1053"/>
      <c r="L53" s="495"/>
      <c r="M53" s="495"/>
      <c r="N53" s="495"/>
      <c r="O53" s="65"/>
      <c r="P53" s="65"/>
      <c r="Q53" s="65"/>
      <c r="R53" s="65"/>
      <c r="S53" s="65"/>
      <c r="T53" s="65"/>
      <c r="U53" s="65"/>
      <c r="V53" s="65"/>
      <c r="W53" s="65"/>
    </row>
    <row r="54" spans="1:23" ht="15.4" customHeight="1" x14ac:dyDescent="0.25">
      <c r="A54" s="409" t="s">
        <v>1271</v>
      </c>
      <c r="B54" s="495" t="str">
        <f t="shared" ref="B54:B58" si="1">B48</f>
        <v>Công trình dân dụng</v>
      </c>
      <c r="C54" s="224">
        <v>4.9500000000000002E-2</v>
      </c>
      <c r="D54" s="224">
        <v>3.3000000000000002E-2</v>
      </c>
      <c r="E54" s="224">
        <v>2.5499999999999998E-2</v>
      </c>
      <c r="F54" s="224">
        <v>1.95E-2</v>
      </c>
      <c r="G54" s="224">
        <v>1.4999999999999999E-2</v>
      </c>
      <c r="H54" s="224">
        <v>1.23E-2</v>
      </c>
      <c r="I54" s="224">
        <v>8.6999999999999994E-3</v>
      </c>
      <c r="J54" s="224">
        <v>6.6E-3</v>
      </c>
      <c r="K54" s="224">
        <v>5.7000000000000002E-3</v>
      </c>
      <c r="L54" s="488">
        <f t="shared" ref="L54:L58" si="2">IF(N$46=M$46,M54,ROUND(M54-((M54-N54)/(N$46-M$46))*(L$46-M$46),4))</f>
        <v>5.7000000000000002E-3</v>
      </c>
      <c r="M54" s="205">
        <f>IF(M$46=15,C54,HLOOKUP($M$46,$D$46:$K$64,9,TRUE))</f>
        <v>5.7000000000000002E-3</v>
      </c>
      <c r="N54" s="43">
        <f>IF(N$46=15,C54,HLOOKUP($N$46,$D$46:$K$64,9,TRUE))</f>
        <v>5.7000000000000002E-3</v>
      </c>
      <c r="O54" s="65"/>
      <c r="P54" s="65"/>
      <c r="Q54" s="65"/>
      <c r="R54" s="65"/>
      <c r="S54" s="65"/>
      <c r="T54" s="65"/>
      <c r="U54" s="65"/>
      <c r="V54" s="65"/>
      <c r="W54" s="65"/>
    </row>
    <row r="55" spans="1:23" ht="15.4" customHeight="1" x14ac:dyDescent="0.25">
      <c r="A55" s="409" t="s">
        <v>354</v>
      </c>
      <c r="B55" s="495" t="str">
        <f t="shared" si="1"/>
        <v>Công trình công nghiệp</v>
      </c>
      <c r="C55" s="224">
        <v>5.7000000000000002E-2</v>
      </c>
      <c r="D55" s="224">
        <v>3.78E-2</v>
      </c>
      <c r="E55" s="224">
        <v>2.9100000000000001E-2</v>
      </c>
      <c r="F55" s="224">
        <v>2.5499999999999998E-2</v>
      </c>
      <c r="G55" s="224">
        <v>1.7399999999999999E-2</v>
      </c>
      <c r="H55" s="224">
        <v>1.32E-2</v>
      </c>
      <c r="I55" s="224">
        <v>1.0500000000000001E-2</v>
      </c>
      <c r="J55" s="224">
        <v>7.7999999999999996E-3</v>
      </c>
      <c r="K55" s="224">
        <v>6.6E-3</v>
      </c>
      <c r="L55" s="488">
        <f t="shared" si="2"/>
        <v>6.6E-3</v>
      </c>
      <c r="M55" s="205">
        <f>IF(M$46=15,C55,HLOOKUP($M$46,$D$46:$K$64,10,TRUE))</f>
        <v>6.6E-3</v>
      </c>
      <c r="N55" s="43">
        <f>IF(N$46=15,C55,HLOOKUP($N$46,$D$46:$K$64,10,TRUE))</f>
        <v>6.6E-3</v>
      </c>
      <c r="O55" s="65"/>
      <c r="P55" s="65"/>
      <c r="Q55" s="65"/>
      <c r="R55" s="65"/>
      <c r="S55" s="65"/>
      <c r="T55" s="65"/>
      <c r="U55" s="65"/>
      <c r="V55" s="65"/>
      <c r="W55" s="65"/>
    </row>
    <row r="56" spans="1:23" ht="15.4" customHeight="1" x14ac:dyDescent="0.25">
      <c r="A56" s="409" t="s">
        <v>184</v>
      </c>
      <c r="B56" s="495" t="str">
        <f t="shared" si="1"/>
        <v>Công trình giao thông</v>
      </c>
      <c r="C56" s="224">
        <v>3.27E-2</v>
      </c>
      <c r="D56" s="224">
        <v>2.1600000000000001E-2</v>
      </c>
      <c r="E56" s="224">
        <v>1.6500000000000001E-2</v>
      </c>
      <c r="F56" s="224">
        <v>1.29E-2</v>
      </c>
      <c r="G56" s="224">
        <v>9.9000000000000008E-3</v>
      </c>
      <c r="H56" s="224">
        <v>7.4999999999999997E-3</v>
      </c>
      <c r="I56" s="224">
        <v>6.3E-3</v>
      </c>
      <c r="J56" s="224">
        <v>4.7999999999999996E-3</v>
      </c>
      <c r="K56" s="224">
        <v>4.1999999999999997E-3</v>
      </c>
      <c r="L56" s="488">
        <f t="shared" si="2"/>
        <v>4.1999999999999997E-3</v>
      </c>
      <c r="M56" s="205">
        <f>IF(M$46=15,C56,HLOOKUP($M$46,$D$46:$K$64,11,TRUE))</f>
        <v>4.1999999999999997E-3</v>
      </c>
      <c r="N56" s="43">
        <f>IF(N$46=15,C56,HLOOKUP($N$46,$D$46:$K$64,11,TRUE))</f>
        <v>4.1999999999999997E-3</v>
      </c>
      <c r="O56" s="65"/>
      <c r="P56" s="65"/>
      <c r="Q56" s="65"/>
      <c r="R56" s="65"/>
      <c r="S56" s="65"/>
      <c r="T56" s="65"/>
      <c r="U56" s="65"/>
      <c r="V56" s="65"/>
      <c r="W56" s="65"/>
    </row>
    <row r="57" spans="1:23" ht="30.6" customHeight="1" x14ac:dyDescent="0.25">
      <c r="A57" s="409" t="s">
        <v>554</v>
      </c>
      <c r="B57" s="681" t="str">
        <f t="shared" si="1"/>
        <v>Công trình nông nghiệp và phát triển nông thôn</v>
      </c>
      <c r="C57" s="224">
        <v>3.6299999999999999E-2</v>
      </c>
      <c r="D57" s="224">
        <v>2.4E-2</v>
      </c>
      <c r="E57" s="224">
        <v>1.83E-2</v>
      </c>
      <c r="F57" s="224">
        <v>1.44E-2</v>
      </c>
      <c r="G57" s="224">
        <v>1.11E-2</v>
      </c>
      <c r="H57" s="224">
        <v>8.3999999999999995E-3</v>
      </c>
      <c r="I57" s="224">
        <v>6.8999999999999999E-3</v>
      </c>
      <c r="J57" s="224">
        <v>5.1000000000000004E-3</v>
      </c>
      <c r="K57" s="224">
        <v>4.3E-3</v>
      </c>
      <c r="L57" s="488">
        <f t="shared" si="2"/>
        <v>4.3E-3</v>
      </c>
      <c r="M57" s="205">
        <f>IF(M$46=15,C57,HLOOKUP($M$46,$D$46:$K$64,12,TRUE))</f>
        <v>4.3E-3</v>
      </c>
      <c r="N57" s="43">
        <f>IF(N$46=15,C57,HLOOKUP($N$46,$D$46:$K$64,12,TRUE))</f>
        <v>4.3E-3</v>
      </c>
      <c r="O57" s="65"/>
      <c r="P57" s="65"/>
      <c r="Q57" s="65"/>
      <c r="R57" s="65"/>
      <c r="S57" s="65"/>
      <c r="T57" s="65"/>
      <c r="U57" s="65"/>
      <c r="V57" s="65"/>
      <c r="W57" s="65"/>
    </row>
    <row r="58" spans="1:23" ht="15.4" customHeight="1" x14ac:dyDescent="0.25">
      <c r="A58" s="409" t="s">
        <v>904</v>
      </c>
      <c r="B58" s="495" t="str">
        <f t="shared" si="1"/>
        <v>Công trình hạ tầng kỹ thuật</v>
      </c>
      <c r="C58" s="224">
        <v>3.78E-2</v>
      </c>
      <c r="D58" s="224">
        <v>2.5499999999999998E-2</v>
      </c>
      <c r="E58" s="224">
        <v>1.95E-2</v>
      </c>
      <c r="F58" s="224">
        <v>1.4999999999999999E-2</v>
      </c>
      <c r="G58" s="224">
        <v>1.17E-2</v>
      </c>
      <c r="H58" s="224">
        <v>8.9999999999999993E-3</v>
      </c>
      <c r="I58" s="224">
        <v>7.8E-2</v>
      </c>
      <c r="J58" s="224">
        <v>5.7000000000000002E-3</v>
      </c>
      <c r="K58" s="224">
        <v>5.1000000000000004E-3</v>
      </c>
      <c r="L58" s="488">
        <f t="shared" si="2"/>
        <v>5.1000000000000004E-3</v>
      </c>
      <c r="M58" s="205">
        <f>IF(M$46=15,C58,HLOOKUP($M$46,$D$46:$K$64,13,TRUE))</f>
        <v>5.1000000000000004E-3</v>
      </c>
      <c r="N58" s="43">
        <f>IF(N$46=15,C58,HLOOKUP($N$46,$D$46:$K$64,13,TRUE))</f>
        <v>5.1000000000000004E-3</v>
      </c>
      <c r="O58" s="65"/>
      <c r="P58" s="65"/>
      <c r="Q58" s="65"/>
      <c r="R58" s="65"/>
      <c r="S58" s="65"/>
      <c r="T58" s="65"/>
      <c r="U58" s="65"/>
      <c r="V58" s="65"/>
      <c r="W58" s="65"/>
    </row>
    <row r="59" spans="1:23" ht="16.350000000000001" customHeight="1" x14ac:dyDescent="0.25">
      <c r="A59" s="1053" t="s">
        <v>433</v>
      </c>
      <c r="B59" s="1053"/>
      <c r="C59" s="1053"/>
      <c r="D59" s="1053"/>
      <c r="E59" s="1053"/>
      <c r="F59" s="1053"/>
      <c r="G59" s="1053"/>
      <c r="H59" s="1053"/>
      <c r="I59" s="1053"/>
      <c r="J59" s="1053"/>
      <c r="K59" s="1053"/>
      <c r="L59" s="495"/>
      <c r="M59" s="495"/>
      <c r="N59" s="495"/>
      <c r="O59" s="65"/>
      <c r="P59" s="65"/>
      <c r="Q59" s="65"/>
      <c r="R59" s="65"/>
      <c r="S59" s="65"/>
      <c r="T59" s="65"/>
      <c r="U59" s="65"/>
      <c r="V59" s="65"/>
      <c r="W59" s="65"/>
    </row>
    <row r="60" spans="1:23" ht="15.4" customHeight="1" x14ac:dyDescent="0.25">
      <c r="A60" s="409" t="s">
        <v>1061</v>
      </c>
      <c r="B60" s="495" t="str">
        <f t="shared" ref="B60:B64" si="3">B48</f>
        <v>Công trình dân dụng</v>
      </c>
      <c r="C60" s="502">
        <v>9.9000000000000005E-2</v>
      </c>
      <c r="D60" s="502">
        <v>6.6000000000000003E-2</v>
      </c>
      <c r="E60" s="502">
        <v>5.0999999999999997E-2</v>
      </c>
      <c r="F60" s="502">
        <v>3.9E-2</v>
      </c>
      <c r="G60" s="502">
        <v>0.03</v>
      </c>
      <c r="H60" s="502">
        <v>2.4E-2</v>
      </c>
      <c r="I60" s="502">
        <v>1.7000000000000001E-2</v>
      </c>
      <c r="J60" s="502">
        <v>1.2999999999999999E-2</v>
      </c>
      <c r="K60" s="502">
        <v>1.2E-2</v>
      </c>
      <c r="L60" s="488">
        <f t="shared" ref="L60:L64" si="4">IF(N$46=M$46,M60,ROUND(M60-((M60-N60)/(N$46-M$46))*(L$46-M$46),4))</f>
        <v>1.2E-2</v>
      </c>
      <c r="M60" s="205">
        <f>IF(M$46=15,C60,HLOOKUP($M$46,$D$46:$K$64,15,TRUE))</f>
        <v>1.2E-2</v>
      </c>
      <c r="N60" s="43">
        <f>IF(N$46=15,C60,HLOOKUP($N$46,$D$46:$K$64,15,TRUE))</f>
        <v>1.2E-2</v>
      </c>
      <c r="O60" s="65"/>
      <c r="P60" s="65"/>
      <c r="Q60" s="65"/>
      <c r="R60" s="65"/>
      <c r="S60" s="65"/>
      <c r="T60" s="65"/>
      <c r="U60" s="65"/>
      <c r="V60" s="65"/>
      <c r="W60" s="65"/>
    </row>
    <row r="61" spans="1:23" ht="15.4" customHeight="1" x14ac:dyDescent="0.25">
      <c r="A61" s="409" t="s">
        <v>136</v>
      </c>
      <c r="B61" s="495" t="str">
        <f t="shared" si="3"/>
        <v>Công trình công nghiệp</v>
      </c>
      <c r="C61" s="502">
        <v>0.114</v>
      </c>
      <c r="D61" s="502">
        <v>7.5999999999999998E-2</v>
      </c>
      <c r="E61" s="502">
        <v>5.8000000000000003E-2</v>
      </c>
      <c r="F61" s="502">
        <v>4.4999999999999998E-2</v>
      </c>
      <c r="G61" s="502">
        <v>3.5000000000000003E-2</v>
      </c>
      <c r="H61" s="502">
        <v>2.5999999999999999E-2</v>
      </c>
      <c r="I61" s="502">
        <v>2.1000000000000001E-2</v>
      </c>
      <c r="J61" s="502">
        <v>1.6E-2</v>
      </c>
      <c r="K61" s="502">
        <v>1.2999999999999999E-2</v>
      </c>
      <c r="L61" s="488">
        <f t="shared" si="4"/>
        <v>1.2999999999999999E-2</v>
      </c>
      <c r="M61" s="205">
        <f>IF(M$46=15,C61,HLOOKUP($M$46,$D$46:$K$64,16,TRUE))</f>
        <v>1.2999999999999999E-2</v>
      </c>
      <c r="N61" s="43">
        <f>IF(N$46=15,C61,HLOOKUP($N$46,$D$46:$K$64,16,TRUE))</f>
        <v>1.2999999999999999E-2</v>
      </c>
      <c r="O61" s="65"/>
      <c r="P61" s="65"/>
      <c r="Q61" s="65"/>
      <c r="R61" s="65"/>
      <c r="S61" s="65"/>
      <c r="T61" s="65"/>
      <c r="U61" s="65"/>
      <c r="V61" s="65"/>
      <c r="W61" s="65"/>
    </row>
    <row r="62" spans="1:23" ht="15.4" customHeight="1" x14ac:dyDescent="0.25">
      <c r="A62" s="409" t="s">
        <v>502</v>
      </c>
      <c r="B62" s="495" t="str">
        <f t="shared" si="3"/>
        <v>Công trình giao thông</v>
      </c>
      <c r="C62" s="502">
        <v>6.5000000000000002E-2</v>
      </c>
      <c r="D62" s="502">
        <v>4.2999999999999997E-2</v>
      </c>
      <c r="E62" s="502">
        <v>3.3000000000000002E-2</v>
      </c>
      <c r="F62" s="502">
        <v>2.5999999999999999E-2</v>
      </c>
      <c r="G62" s="502">
        <v>0.02</v>
      </c>
      <c r="H62" s="502">
        <v>1.4999999999999999E-2</v>
      </c>
      <c r="I62" s="502">
        <v>1.2E-2</v>
      </c>
      <c r="J62" s="502">
        <v>0.01</v>
      </c>
      <c r="K62" s="502">
        <v>8.0000000000000002E-3</v>
      </c>
      <c r="L62" s="488">
        <f t="shared" si="4"/>
        <v>8.0000000000000002E-3</v>
      </c>
      <c r="M62" s="205">
        <f>IF(M$46=15,C62,HLOOKUP($M$46,$D$46:$K$64,17,TRUE))</f>
        <v>8.0000000000000002E-3</v>
      </c>
      <c r="N62" s="43">
        <f>IF(N$46=15,C62,HLOOKUP($N$46,$D$46:$K$64,17,TRUE))</f>
        <v>8.0000000000000002E-3</v>
      </c>
      <c r="O62" s="65"/>
      <c r="P62" s="65"/>
      <c r="Q62" s="65"/>
      <c r="R62" s="65"/>
      <c r="S62" s="65"/>
      <c r="T62" s="65"/>
      <c r="U62" s="65"/>
      <c r="V62" s="65"/>
      <c r="W62" s="65"/>
    </row>
    <row r="63" spans="1:23" ht="30.6" customHeight="1" x14ac:dyDescent="0.25">
      <c r="A63" s="409" t="s">
        <v>854</v>
      </c>
      <c r="B63" s="681" t="str">
        <f t="shared" si="3"/>
        <v>Công trình nông nghiệp và phát triển nông thôn</v>
      </c>
      <c r="C63" s="502">
        <v>7.1999999999999995E-2</v>
      </c>
      <c r="D63" s="502">
        <v>4.8000000000000001E-2</v>
      </c>
      <c r="E63" s="502">
        <v>3.5999999999999997E-2</v>
      </c>
      <c r="F63" s="502">
        <v>2.9000000000000001E-2</v>
      </c>
      <c r="G63" s="502">
        <v>2.1999999999999999E-2</v>
      </c>
      <c r="H63" s="502">
        <v>1.7000000000000001E-2</v>
      </c>
      <c r="I63" s="502">
        <v>1.4E-2</v>
      </c>
      <c r="J63" s="502">
        <v>0.01</v>
      </c>
      <c r="K63" s="502">
        <v>8.9999999999999993E-3</v>
      </c>
      <c r="L63" s="488">
        <f t="shared" si="4"/>
        <v>8.9999999999999993E-3</v>
      </c>
      <c r="M63" s="205">
        <f>IF(M$46=15,C63,HLOOKUP($M$46,$D$46:$K$64,18,TRUE))</f>
        <v>8.9999999999999993E-3</v>
      </c>
      <c r="N63" s="43">
        <f>IF(N$46=15,C63,HLOOKUP($N$46,$D$46:$K$64,18,TRUE))</f>
        <v>8.9999999999999993E-3</v>
      </c>
      <c r="O63" s="65"/>
      <c r="P63" s="65"/>
      <c r="Q63" s="65"/>
      <c r="R63" s="65"/>
      <c r="S63" s="65"/>
      <c r="T63" s="65"/>
      <c r="U63" s="65"/>
      <c r="V63" s="65"/>
      <c r="W63" s="65"/>
    </row>
    <row r="64" spans="1:23" ht="15.4" customHeight="1" x14ac:dyDescent="0.25">
      <c r="A64" s="409" t="s">
        <v>704</v>
      </c>
      <c r="B64" s="495" t="str">
        <f t="shared" si="3"/>
        <v>Công trình hạ tầng kỹ thuật</v>
      </c>
      <c r="C64" s="502">
        <v>7.5999999999999998E-2</v>
      </c>
      <c r="D64" s="502">
        <v>5.0999999999999997E-2</v>
      </c>
      <c r="E64" s="502">
        <v>3.9E-2</v>
      </c>
      <c r="F64" s="502">
        <v>0.03</v>
      </c>
      <c r="G64" s="502">
        <v>2.4E-2</v>
      </c>
      <c r="H64" s="502">
        <v>1.7999999999999999E-2</v>
      </c>
      <c r="I64" s="502">
        <v>1.6E-2</v>
      </c>
      <c r="J64" s="502">
        <v>1.2E-2</v>
      </c>
      <c r="K64" s="502">
        <v>0.01</v>
      </c>
      <c r="L64" s="488">
        <f t="shared" si="4"/>
        <v>0.01</v>
      </c>
      <c r="M64" s="205">
        <f>IF(M$46=15,C64,HLOOKUP($M$46,$D$46:$K$64,19,TRUE))</f>
        <v>0.01</v>
      </c>
      <c r="N64" s="43">
        <f>IF(N$46=15,C64,HLOOKUP($N$46,$D$46:$K$64,19,TRUE))</f>
        <v>0.01</v>
      </c>
      <c r="O64" s="65"/>
      <c r="P64" s="65"/>
      <c r="Q64" s="65"/>
      <c r="R64" s="65"/>
      <c r="S64" s="65"/>
      <c r="T64" s="65"/>
      <c r="U64" s="65"/>
      <c r="V64" s="65"/>
      <c r="W64" s="65"/>
    </row>
    <row r="65" spans="1:23" ht="15" hidden="1" customHeight="1" x14ac:dyDescent="0.25">
      <c r="A65" s="65" t="s">
        <v>282</v>
      </c>
      <c r="B65" s="65"/>
      <c r="C65" s="65"/>
      <c r="D65" s="65"/>
      <c r="E65" s="65"/>
      <c r="F65" s="65"/>
      <c r="G65" s="65"/>
      <c r="H65" s="65"/>
      <c r="I65" s="65"/>
      <c r="J65" s="65"/>
      <c r="K65" s="65"/>
      <c r="L65" s="1">
        <f>IF(N$46=M$46,M65,ROUND(M65-((M65-N65)/(N$46-M$46))*(L$46-M$46),3))</f>
        <v>1.4999999999999999E-2</v>
      </c>
      <c r="M65" s="491">
        <f>IF(M$46=15,C65,HLOOKUP($M$46,$D$46:$K$52,6,TRUE))</f>
        <v>1.4999999999999999E-2</v>
      </c>
      <c r="N65" s="65"/>
      <c r="O65" s="65"/>
      <c r="P65" s="65"/>
      <c r="Q65" s="65"/>
      <c r="R65" s="65"/>
      <c r="S65" s="65"/>
      <c r="T65" s="65"/>
      <c r="U65" s="65"/>
      <c r="V65" s="65"/>
      <c r="W65" s="65"/>
    </row>
    <row r="66" spans="1:23" ht="15.4" customHeight="1" x14ac:dyDescent="0.25">
      <c r="A66" s="65"/>
      <c r="B66" s="65"/>
      <c r="C66" s="65"/>
      <c r="D66" s="65"/>
      <c r="E66" s="65"/>
      <c r="F66" s="65"/>
      <c r="G66" s="65"/>
      <c r="H66" s="65"/>
      <c r="I66" s="65"/>
      <c r="J66" s="65"/>
      <c r="K66" s="65"/>
      <c r="L66" s="65"/>
      <c r="M66" s="65"/>
      <c r="N66" s="65"/>
      <c r="O66" s="65"/>
      <c r="P66" s="65"/>
      <c r="Q66" s="65"/>
      <c r="R66" s="65"/>
      <c r="S66" s="65"/>
      <c r="T66" s="65"/>
      <c r="U66" s="65"/>
      <c r="V66" s="65"/>
      <c r="W66" s="65"/>
    </row>
    <row r="67" spans="1:23" ht="15.4" customHeight="1" x14ac:dyDescent="0.25">
      <c r="A67" s="1030" t="s">
        <v>983</v>
      </c>
      <c r="B67" s="1030"/>
      <c r="C67" s="126"/>
      <c r="D67" s="126"/>
      <c r="E67" s="126"/>
      <c r="F67" s="126"/>
      <c r="G67" s="126"/>
      <c r="H67" s="126"/>
      <c r="I67" s="126"/>
      <c r="J67" s="126"/>
      <c r="K67" s="126"/>
      <c r="L67" s="126"/>
      <c r="M67" s="126"/>
      <c r="N67" s="126"/>
      <c r="O67" s="126"/>
      <c r="P67" s="65"/>
      <c r="Q67" s="65"/>
      <c r="R67" s="65"/>
      <c r="S67" s="65"/>
      <c r="T67" s="65"/>
      <c r="U67" s="65"/>
      <c r="V67" s="65"/>
      <c r="W67" s="65"/>
    </row>
    <row r="68" spans="1:23" ht="15.4" customHeight="1" x14ac:dyDescent="0.25">
      <c r="A68" s="65"/>
      <c r="B68" s="65"/>
      <c r="C68" s="65"/>
      <c r="D68" s="65"/>
      <c r="E68" s="65"/>
      <c r="F68" s="65"/>
      <c r="G68" s="65"/>
      <c r="H68" s="65"/>
      <c r="I68" s="1031" t="s">
        <v>957</v>
      </c>
      <c r="J68" s="1031"/>
      <c r="K68" s="1031"/>
      <c r="L68" s="1031"/>
      <c r="M68" s="680"/>
      <c r="N68" s="680"/>
      <c r="O68" s="65"/>
      <c r="P68" s="65"/>
      <c r="Q68" s="65"/>
      <c r="R68" s="65"/>
      <c r="S68" s="65"/>
      <c r="T68" s="65"/>
      <c r="U68" s="65"/>
      <c r="V68" s="65"/>
      <c r="W68" s="65"/>
    </row>
    <row r="69" spans="1:23" ht="15" hidden="1" customHeight="1" x14ac:dyDescent="0.25">
      <c r="A69" s="65" t="s">
        <v>542</v>
      </c>
      <c r="B69" s="65"/>
      <c r="C69" s="65"/>
      <c r="D69" s="65"/>
      <c r="E69" s="65"/>
      <c r="F69" s="65"/>
      <c r="G69" s="65"/>
      <c r="H69" s="65"/>
      <c r="I69" s="65"/>
      <c r="J69" s="65"/>
      <c r="K69" s="65" t="s">
        <v>380</v>
      </c>
      <c r="L69" s="65"/>
      <c r="M69" s="65"/>
      <c r="N69" s="65"/>
      <c r="O69" s="65"/>
      <c r="P69" s="65"/>
      <c r="Q69" s="65"/>
      <c r="R69" s="65"/>
      <c r="S69" s="65"/>
      <c r="T69" s="65"/>
      <c r="U69" s="65"/>
      <c r="V69" s="65"/>
      <c r="W69" s="65"/>
    </row>
    <row r="70" spans="1:23" ht="33" customHeight="1" x14ac:dyDescent="0.25">
      <c r="A70" s="1032" t="s">
        <v>881</v>
      </c>
      <c r="B70" s="1032" t="s">
        <v>130</v>
      </c>
      <c r="C70" s="1033" t="s">
        <v>718</v>
      </c>
      <c r="D70" s="1034"/>
      <c r="E70" s="1034"/>
      <c r="F70" s="1034"/>
      <c r="G70" s="1034"/>
      <c r="H70" s="1034"/>
      <c r="I70" s="1034"/>
      <c r="J70" s="1034"/>
      <c r="K70" s="1034"/>
      <c r="L70" s="42" t="s">
        <v>480</v>
      </c>
      <c r="M70" s="534" t="s">
        <v>33</v>
      </c>
      <c r="N70" s="369" t="s">
        <v>655</v>
      </c>
      <c r="O70" s="65"/>
      <c r="P70" s="65"/>
      <c r="Q70" s="65"/>
      <c r="R70" s="65"/>
      <c r="S70" s="65"/>
      <c r="T70" s="65"/>
      <c r="U70" s="65"/>
      <c r="V70" s="65"/>
      <c r="W70" s="65"/>
    </row>
    <row r="71" spans="1:23" ht="15.4" customHeight="1" x14ac:dyDescent="0.25">
      <c r="A71" s="1032"/>
      <c r="B71" s="1032"/>
      <c r="C71" s="17" t="s">
        <v>391</v>
      </c>
      <c r="D71" s="17">
        <v>50</v>
      </c>
      <c r="E71" s="17">
        <v>100</v>
      </c>
      <c r="F71" s="17">
        <v>200</v>
      </c>
      <c r="G71" s="17">
        <v>500</v>
      </c>
      <c r="H71" s="402">
        <v>1000</v>
      </c>
      <c r="I71" s="402">
        <v>2000</v>
      </c>
      <c r="J71" s="402">
        <v>5000</v>
      </c>
      <c r="K71" s="402">
        <v>8000</v>
      </c>
      <c r="L71" s="42">
        <f>$C$1</f>
        <v>873441780</v>
      </c>
      <c r="M71" s="534">
        <f>IF(L71&lt;D71,15,IF(L71&gt;K71,K71,HLOOKUP(L71,D71:K71,1)))</f>
        <v>8000</v>
      </c>
      <c r="N71" s="369">
        <f>IF(L71&lt;15,15,IF(L71&lt;50,50,IF(L71&gt;K71,K71,INDEX(D71:K71,MATCH(L71,D71:K71,1)+1))))</f>
        <v>8000</v>
      </c>
      <c r="O71" s="65"/>
      <c r="P71" s="65"/>
      <c r="Q71" s="65"/>
      <c r="R71" s="65"/>
      <c r="S71" s="65"/>
      <c r="T71" s="65"/>
      <c r="U71" s="65"/>
      <c r="V71" s="65"/>
      <c r="W71" s="65"/>
    </row>
    <row r="72" spans="1:23" ht="32.25" customHeight="1" x14ac:dyDescent="0.25">
      <c r="A72" s="1047" t="s">
        <v>728</v>
      </c>
      <c r="B72" s="1048"/>
      <c r="C72" s="1048"/>
      <c r="D72" s="1048"/>
      <c r="E72" s="1048"/>
      <c r="F72" s="1048"/>
      <c r="G72" s="1048"/>
      <c r="H72" s="1048"/>
      <c r="I72" s="1048"/>
      <c r="J72" s="1048"/>
      <c r="K72" s="1049"/>
      <c r="L72" s="495"/>
      <c r="M72" s="495"/>
      <c r="N72" s="495"/>
      <c r="O72" s="65"/>
      <c r="P72" s="65"/>
      <c r="Q72" s="65"/>
      <c r="R72" s="65"/>
      <c r="S72" s="65"/>
      <c r="T72" s="65"/>
      <c r="U72" s="65"/>
      <c r="V72" s="65"/>
      <c r="W72" s="65"/>
    </row>
    <row r="73" spans="1:23" ht="15.4" customHeight="1" x14ac:dyDescent="0.25">
      <c r="A73" s="409" t="s">
        <v>951</v>
      </c>
      <c r="B73" s="495" t="str">
        <f t="shared" ref="B73:B77" si="5">B48</f>
        <v>Công trình dân dụng</v>
      </c>
      <c r="C73" s="502">
        <v>0.16</v>
      </c>
      <c r="D73" s="502">
        <v>0.106</v>
      </c>
      <c r="E73" s="502">
        <v>8.3000000000000004E-2</v>
      </c>
      <c r="F73" s="502">
        <v>6.2E-2</v>
      </c>
      <c r="G73" s="502">
        <v>4.5999999999999999E-2</v>
      </c>
      <c r="H73" s="502">
        <v>3.7999999999999999E-2</v>
      </c>
      <c r="I73" s="502">
        <v>2.8000000000000001E-2</v>
      </c>
      <c r="J73" s="502">
        <v>2.1000000000000001E-2</v>
      </c>
      <c r="K73" s="502">
        <v>1.7999999999999999E-2</v>
      </c>
      <c r="L73" s="1">
        <f t="shared" ref="L73:L77" si="6">IF(N$71=M$71,M73,ROUND(M73-((M73-N73)/(N$71-M$71))*(L$71-M$71),3))</f>
        <v>1.7999999999999999E-2</v>
      </c>
      <c r="M73" s="491">
        <f>IF(M$71=15,C73,HLOOKUP($M$71,$D$71:$K$83,3,TRUE))</f>
        <v>1.7999999999999999E-2</v>
      </c>
      <c r="N73" s="350">
        <f>IF(N$71=15,C73,HLOOKUP($N$71,$D$71:$K$83,3,TRUE))</f>
        <v>1.7999999999999999E-2</v>
      </c>
      <c r="O73" s="65"/>
      <c r="P73" s="65"/>
      <c r="Q73" s="65"/>
      <c r="R73" s="65"/>
      <c r="S73" s="65"/>
      <c r="T73" s="65"/>
      <c r="U73" s="65"/>
      <c r="V73" s="65"/>
      <c r="W73" s="65"/>
    </row>
    <row r="74" spans="1:23" ht="15.4" customHeight="1" x14ac:dyDescent="0.25">
      <c r="A74" s="409" t="s">
        <v>46</v>
      </c>
      <c r="B74" s="495" t="str">
        <f t="shared" si="5"/>
        <v>Công trình công nghiệp</v>
      </c>
      <c r="C74" s="502">
        <v>0.185</v>
      </c>
      <c r="D74" s="502">
        <v>0.121</v>
      </c>
      <c r="E74" s="502">
        <v>9.4E-2</v>
      </c>
      <c r="F74" s="502">
        <v>7.1999999999999995E-2</v>
      </c>
      <c r="G74" s="502">
        <v>5.5E-2</v>
      </c>
      <c r="H74" s="502">
        <v>4.1000000000000002E-2</v>
      </c>
      <c r="I74" s="502">
        <v>3.3000000000000002E-2</v>
      </c>
      <c r="J74" s="502">
        <v>2.3E-2</v>
      </c>
      <c r="K74" s="502">
        <v>0.02</v>
      </c>
      <c r="L74" s="1">
        <f t="shared" si="6"/>
        <v>0.02</v>
      </c>
      <c r="M74" s="491">
        <f>IF(M$71=15,C74,HLOOKUP($M$71,$D$71:$K$83,4,TRUE))</f>
        <v>0.02</v>
      </c>
      <c r="N74" s="350">
        <f>IF(N$71=15,C74,HLOOKUP($N$71,$D$71:$K$83,4,TRUE))</f>
        <v>0.02</v>
      </c>
      <c r="O74" s="65"/>
      <c r="P74" s="65"/>
      <c r="Q74" s="65"/>
      <c r="R74" s="65"/>
      <c r="S74" s="65"/>
      <c r="T74" s="65"/>
      <c r="U74" s="65"/>
      <c r="V74" s="65"/>
      <c r="W74" s="65"/>
    </row>
    <row r="75" spans="1:23" ht="15.4" customHeight="1" x14ac:dyDescent="0.25">
      <c r="A75" s="409" t="s">
        <v>404</v>
      </c>
      <c r="B75" s="495" t="str">
        <f t="shared" si="5"/>
        <v>Công trình giao thông</v>
      </c>
      <c r="C75" s="502">
        <v>0.106</v>
      </c>
      <c r="D75" s="502">
        <v>6.8000000000000005E-2</v>
      </c>
      <c r="E75" s="502">
        <v>5.3999999999999999E-2</v>
      </c>
      <c r="F75" s="502">
        <v>4.1000000000000002E-2</v>
      </c>
      <c r="G75" s="502">
        <v>3.1E-2</v>
      </c>
      <c r="H75" s="502">
        <v>2.4E-2</v>
      </c>
      <c r="I75" s="502">
        <v>0.02</v>
      </c>
      <c r="J75" s="502">
        <v>1.4E-2</v>
      </c>
      <c r="K75" s="502">
        <v>1.2E-2</v>
      </c>
      <c r="L75" s="1">
        <f t="shared" si="6"/>
        <v>1.2E-2</v>
      </c>
      <c r="M75" s="491">
        <f>IF(M$71=15,C75,HLOOKUP($M$71,$D$71:$K$83,5,TRUE))</f>
        <v>1.2E-2</v>
      </c>
      <c r="N75" s="350">
        <f>IF(N$71=15,C75,HLOOKUP($N$71,$D$71:$K$83,5,TRUE))</f>
        <v>1.2E-2</v>
      </c>
      <c r="O75" s="65"/>
      <c r="P75" s="65"/>
      <c r="Q75" s="65"/>
      <c r="R75" s="65"/>
      <c r="S75" s="65"/>
      <c r="T75" s="65"/>
      <c r="U75" s="65"/>
      <c r="V75" s="65"/>
      <c r="W75" s="65"/>
    </row>
    <row r="76" spans="1:23" ht="30.6" customHeight="1" x14ac:dyDescent="0.25">
      <c r="A76" s="409" t="s">
        <v>776</v>
      </c>
      <c r="B76" s="681" t="str">
        <f t="shared" si="5"/>
        <v>Công trình nông nghiệp và phát triển nông thôn</v>
      </c>
      <c r="C76" s="502">
        <v>0.11700000000000001</v>
      </c>
      <c r="D76" s="502">
        <v>7.5999999999999998E-2</v>
      </c>
      <c r="E76" s="502">
        <v>0.06</v>
      </c>
      <c r="F76" s="502">
        <v>4.5999999999999999E-2</v>
      </c>
      <c r="G76" s="502">
        <v>3.5000000000000003E-2</v>
      </c>
      <c r="H76" s="502">
        <v>2.5999999999999999E-2</v>
      </c>
      <c r="I76" s="502">
        <v>2.1999999999999999E-2</v>
      </c>
      <c r="J76" s="502">
        <v>1.6E-2</v>
      </c>
      <c r="K76" s="502">
        <v>1.4E-2</v>
      </c>
      <c r="L76" s="555">
        <f t="shared" si="6"/>
        <v>1.4E-2</v>
      </c>
      <c r="M76" s="491">
        <f>IF(M$71=15,C76,HLOOKUP($M$71,$D$71:$K$83,6,TRUE))</f>
        <v>1.4E-2</v>
      </c>
      <c r="N76" s="350">
        <f>IF(N$71=15,C76,HLOOKUP($N$71,$D$71:$K$83,6,TRUE))</f>
        <v>1.4E-2</v>
      </c>
      <c r="O76" s="65"/>
      <c r="P76" s="65"/>
      <c r="Q76" s="65"/>
      <c r="R76" s="65"/>
      <c r="S76" s="65"/>
      <c r="T76" s="65"/>
      <c r="U76" s="65"/>
      <c r="V76" s="65"/>
      <c r="W76" s="65"/>
    </row>
    <row r="77" spans="1:23" ht="15.4" customHeight="1" x14ac:dyDescent="0.25">
      <c r="A77" s="409" t="s">
        <v>606</v>
      </c>
      <c r="B77" s="495" t="str">
        <f t="shared" si="5"/>
        <v>Công trình hạ tầng kỹ thuật</v>
      </c>
      <c r="C77" s="502">
        <v>0.122</v>
      </c>
      <c r="D77" s="502">
        <v>8.2000000000000003E-2</v>
      </c>
      <c r="E77" s="502">
        <v>6.2E-2</v>
      </c>
      <c r="F77" s="502">
        <v>4.7E-2</v>
      </c>
      <c r="G77" s="502">
        <v>3.6999999999999998E-2</v>
      </c>
      <c r="H77" s="502">
        <v>2.9000000000000001E-2</v>
      </c>
      <c r="I77" s="502">
        <v>2.4E-2</v>
      </c>
      <c r="J77" s="502">
        <v>1.7000000000000001E-2</v>
      </c>
      <c r="K77" s="502">
        <v>1.4999999999999999E-2</v>
      </c>
      <c r="L77" s="1">
        <f t="shared" si="6"/>
        <v>1.4999999999999999E-2</v>
      </c>
      <c r="M77" s="491">
        <f>IF(M$71=15,C77,HLOOKUP($M$71,$D$71:$K$83,7,TRUE))</f>
        <v>1.4999999999999999E-2</v>
      </c>
      <c r="N77" s="350">
        <f>IF(N$71=15,C77,HLOOKUP($N$71,$D$71:$K$83,7,TRUE))</f>
        <v>1.4999999999999999E-2</v>
      </c>
      <c r="O77" s="65"/>
      <c r="P77" s="65"/>
      <c r="Q77" s="65"/>
      <c r="R77" s="65"/>
      <c r="S77" s="65"/>
      <c r="T77" s="65"/>
      <c r="U77" s="65"/>
      <c r="V77" s="65"/>
      <c r="W77" s="65"/>
    </row>
    <row r="78" spans="1:23" ht="33.75" customHeight="1" x14ac:dyDescent="0.25">
      <c r="A78" s="1053" t="s">
        <v>1157</v>
      </c>
      <c r="B78" s="1053"/>
      <c r="C78" s="1053"/>
      <c r="D78" s="1053"/>
      <c r="E78" s="1053"/>
      <c r="F78" s="1053"/>
      <c r="G78" s="1053"/>
      <c r="H78" s="1053"/>
      <c r="I78" s="1053"/>
      <c r="J78" s="1053"/>
      <c r="K78" s="1053"/>
      <c r="L78" s="495"/>
      <c r="M78" s="495"/>
      <c r="N78" s="495"/>
      <c r="O78" s="65"/>
      <c r="P78" s="65"/>
      <c r="Q78" s="65"/>
      <c r="R78" s="65"/>
      <c r="S78" s="65"/>
      <c r="T78" s="65"/>
      <c r="U78" s="65"/>
      <c r="V78" s="65"/>
      <c r="W78" s="65"/>
    </row>
    <row r="79" spans="1:23" ht="15.4" customHeight="1" x14ac:dyDescent="0.25">
      <c r="A79" s="409" t="s">
        <v>1271</v>
      </c>
      <c r="B79" s="495" t="str">
        <f t="shared" ref="B79:B83" si="7">B48</f>
        <v>Công trình dân dụng</v>
      </c>
      <c r="C79" s="224">
        <v>4.8000000000000001E-2</v>
      </c>
      <c r="D79" s="224">
        <v>3.1800000000000002E-2</v>
      </c>
      <c r="E79" s="224">
        <v>2.4899999999999999E-2</v>
      </c>
      <c r="F79" s="224">
        <v>1.8599999999999998E-2</v>
      </c>
      <c r="G79" s="224">
        <v>1.38E-2</v>
      </c>
      <c r="H79" s="224">
        <v>1.14E-2</v>
      </c>
      <c r="I79" s="224">
        <v>8.3999999999999995E-3</v>
      </c>
      <c r="J79" s="224">
        <v>6.3E-3</v>
      </c>
      <c r="K79" s="224">
        <v>5.4000000000000003E-3</v>
      </c>
      <c r="L79" s="488">
        <f t="shared" ref="L79:L83" si="8">IF(N$71=M$71,M79,ROUND(M79-((M79-N79)/(N$71-M$71))*(L$71-M$71),4))</f>
        <v>5.4000000000000003E-3</v>
      </c>
      <c r="M79" s="205">
        <f>IF(M$71=15,C79,HLOOKUP($M$71,$D$71:$K$83,9,TRUE))</f>
        <v>5.4000000000000003E-3</v>
      </c>
      <c r="N79" s="43">
        <f>IF(N$71=15,C79,HLOOKUP($N$71,$D$71:$K$83,9,TRUE))</f>
        <v>5.4000000000000003E-3</v>
      </c>
      <c r="O79" s="65"/>
      <c r="P79" s="65"/>
      <c r="Q79" s="65"/>
      <c r="R79" s="65"/>
      <c r="S79" s="65"/>
      <c r="T79" s="65"/>
      <c r="U79" s="65"/>
      <c r="V79" s="65"/>
      <c r="W79" s="65"/>
    </row>
    <row r="80" spans="1:23" ht="15.4" customHeight="1" x14ac:dyDescent="0.25">
      <c r="A80" s="409" t="s">
        <v>354</v>
      </c>
      <c r="B80" s="495" t="str">
        <f t="shared" si="7"/>
        <v>Công trình công nghiệp</v>
      </c>
      <c r="C80" s="224">
        <v>5.5500000000000001E-2</v>
      </c>
      <c r="D80" s="224">
        <v>3.6299999999999999E-2</v>
      </c>
      <c r="E80" s="224">
        <v>2.8199999999999999E-2</v>
      </c>
      <c r="F80" s="224">
        <v>2.1600000000000001E-2</v>
      </c>
      <c r="G80" s="224">
        <v>1.6500000000000001E-2</v>
      </c>
      <c r="H80" s="224">
        <v>1.23E-2</v>
      </c>
      <c r="I80" s="224">
        <v>9.9000000000000008E-3</v>
      </c>
      <c r="J80" s="224">
        <v>6.8999999999999999E-3</v>
      </c>
      <c r="K80" s="224">
        <v>6.0000000000000001E-3</v>
      </c>
      <c r="L80" s="488">
        <f t="shared" si="8"/>
        <v>6.0000000000000001E-3</v>
      </c>
      <c r="M80" s="205">
        <f>IF(M$71=15,C80,HLOOKUP($M$71,$D$71:$K$83,10,TRUE))</f>
        <v>6.0000000000000001E-3</v>
      </c>
      <c r="N80" s="43">
        <f>IF(N$71=15,C80,HLOOKUP($N$71,$D$71:$K$83,10,TRUE))</f>
        <v>6.0000000000000001E-3</v>
      </c>
      <c r="O80" s="65"/>
      <c r="P80" s="65"/>
      <c r="Q80" s="65"/>
      <c r="R80" s="65"/>
      <c r="S80" s="65"/>
      <c r="T80" s="65"/>
      <c r="U80" s="65"/>
      <c r="V80" s="65"/>
      <c r="W80" s="65"/>
    </row>
    <row r="81" spans="1:23" ht="15.4" customHeight="1" x14ac:dyDescent="0.25">
      <c r="A81" s="409" t="s">
        <v>184</v>
      </c>
      <c r="B81" s="495" t="str">
        <f t="shared" si="7"/>
        <v>Công trình giao thông</v>
      </c>
      <c r="C81" s="224">
        <v>3.1800000000000002E-2</v>
      </c>
      <c r="D81" s="224">
        <v>2.0400000000000001E-2</v>
      </c>
      <c r="E81" s="224">
        <v>1.6199999999999999E-2</v>
      </c>
      <c r="F81" s="224">
        <v>1.23E-2</v>
      </c>
      <c r="G81" s="224">
        <v>9.2999999999999992E-3</v>
      </c>
      <c r="H81" s="224">
        <v>7.1999999999999998E-3</v>
      </c>
      <c r="I81" s="224">
        <v>6.0000000000000001E-3</v>
      </c>
      <c r="J81" s="224">
        <v>4.1999999999999997E-3</v>
      </c>
      <c r="K81" s="224">
        <v>3.5999999999999999E-3</v>
      </c>
      <c r="L81" s="488">
        <f t="shared" si="8"/>
        <v>3.5999999999999999E-3</v>
      </c>
      <c r="M81" s="205">
        <f>IF(M$71=15,C81,HLOOKUP($M$71,$D$71:$K$83,11,TRUE))</f>
        <v>3.5999999999999999E-3</v>
      </c>
      <c r="N81" s="43">
        <f>IF(N$71=15,C81,HLOOKUP($N$71,$D$71:$K$83,11,TRUE))</f>
        <v>3.5999999999999999E-3</v>
      </c>
      <c r="O81" s="65"/>
      <c r="P81" s="65"/>
      <c r="Q81" s="65"/>
      <c r="R81" s="65"/>
      <c r="S81" s="65"/>
      <c r="T81" s="65"/>
      <c r="U81" s="65"/>
      <c r="V81" s="65"/>
      <c r="W81" s="65"/>
    </row>
    <row r="82" spans="1:23" ht="30.6" customHeight="1" x14ac:dyDescent="0.25">
      <c r="A82" s="409" t="s">
        <v>554</v>
      </c>
      <c r="B82" s="681" t="str">
        <f t="shared" si="7"/>
        <v>Công trình nông nghiệp và phát triển nông thôn</v>
      </c>
      <c r="C82" s="224">
        <v>3.5099999999999999E-2</v>
      </c>
      <c r="D82" s="224">
        <v>2.2800000000000001E-2</v>
      </c>
      <c r="E82" s="224">
        <v>1.7999999999999999E-2</v>
      </c>
      <c r="F82" s="224">
        <v>1.38E-2</v>
      </c>
      <c r="G82" s="224">
        <v>1.0500000000000001E-2</v>
      </c>
      <c r="H82" s="224">
        <v>7.7999999999999996E-3</v>
      </c>
      <c r="I82" s="224">
        <v>6.6E-3</v>
      </c>
      <c r="J82" s="224">
        <v>4.7999999999999996E-3</v>
      </c>
      <c r="K82" s="224">
        <v>4.1999999999999997E-3</v>
      </c>
      <c r="L82" s="488">
        <f t="shared" si="8"/>
        <v>4.1999999999999997E-3</v>
      </c>
      <c r="M82" s="205">
        <f>IF(M$71=15,C82,HLOOKUP($M$71,$D$71:$K$83,12,TRUE))</f>
        <v>4.1999999999999997E-3</v>
      </c>
      <c r="N82" s="43">
        <f>IF(N$71=15,C82,HLOOKUP($N$71,$D$71:$K$83,12,TRUE))</f>
        <v>4.1999999999999997E-3</v>
      </c>
      <c r="O82" s="65"/>
      <c r="P82" s="65"/>
      <c r="Q82" s="65"/>
      <c r="R82" s="65"/>
      <c r="S82" s="65"/>
      <c r="T82" s="65"/>
      <c r="U82" s="65"/>
      <c r="V82" s="65"/>
      <c r="W82" s="65"/>
    </row>
    <row r="83" spans="1:23" ht="15.4" customHeight="1" x14ac:dyDescent="0.25">
      <c r="A83" s="409" t="s">
        <v>904</v>
      </c>
      <c r="B83" s="495" t="str">
        <f t="shared" si="7"/>
        <v>Công trình hạ tầng kỹ thuật</v>
      </c>
      <c r="C83" s="224">
        <v>3.6600000000000001E-2</v>
      </c>
      <c r="D83" s="224">
        <v>2.46E-2</v>
      </c>
      <c r="E83" s="224">
        <v>1.8599999999999998E-2</v>
      </c>
      <c r="F83" s="224">
        <v>1.41E-2</v>
      </c>
      <c r="G83" s="224">
        <v>1.11E-2</v>
      </c>
      <c r="H83" s="224">
        <v>8.6999999999999994E-3</v>
      </c>
      <c r="I83" s="224">
        <v>7.1999999999999998E-3</v>
      </c>
      <c r="J83" s="224">
        <v>5.1000000000000004E-3</v>
      </c>
      <c r="K83" s="224">
        <v>4.3E-3</v>
      </c>
      <c r="L83" s="488">
        <f t="shared" si="8"/>
        <v>4.3E-3</v>
      </c>
      <c r="M83" s="205">
        <f>IF(M$71=15,C83,HLOOKUP($M$71,$D$71:$K$83,13,TRUE))</f>
        <v>4.3E-3</v>
      </c>
      <c r="N83" s="43">
        <f>IF(N$71=15,C83,HLOOKUP($N$71,$D$71:$K$83,13,TRUE))</f>
        <v>4.3E-3</v>
      </c>
      <c r="O83" s="65"/>
      <c r="P83" s="65"/>
      <c r="Q83" s="65"/>
      <c r="R83" s="65"/>
      <c r="S83" s="65"/>
      <c r="T83" s="65"/>
      <c r="U83" s="65"/>
      <c r="V83" s="65"/>
      <c r="W83" s="65"/>
    </row>
    <row r="84" spans="1:23" ht="15" hidden="1" customHeight="1" x14ac:dyDescent="0.25">
      <c r="A84" s="65" t="s">
        <v>144</v>
      </c>
      <c r="B84" s="65"/>
      <c r="C84" s="65"/>
      <c r="D84" s="65"/>
      <c r="E84" s="65"/>
      <c r="F84" s="65"/>
      <c r="G84" s="65"/>
      <c r="H84" s="65"/>
      <c r="I84" s="65"/>
      <c r="J84" s="65"/>
      <c r="K84" s="65"/>
      <c r="L84" s="65"/>
      <c r="M84" s="491">
        <f>IF(M$71=15,C84,HLOOKUP($M$71,$D$71:$K$83,2,TRUE))</f>
        <v>0</v>
      </c>
      <c r="N84" s="65"/>
      <c r="O84" s="65"/>
      <c r="P84" s="65"/>
      <c r="Q84" s="65"/>
      <c r="R84" s="65"/>
      <c r="S84" s="65"/>
      <c r="T84" s="65"/>
      <c r="U84" s="65"/>
      <c r="V84" s="65"/>
      <c r="W84" s="65"/>
    </row>
    <row r="85" spans="1:23" ht="15.4" customHeight="1" x14ac:dyDescent="0.25">
      <c r="A85" s="65"/>
      <c r="B85" s="65"/>
      <c r="C85" s="65"/>
      <c r="D85" s="65"/>
      <c r="E85" s="65"/>
      <c r="F85" s="65"/>
      <c r="G85" s="65"/>
      <c r="H85" s="65"/>
      <c r="I85" s="65"/>
      <c r="J85" s="65"/>
      <c r="K85" s="65"/>
      <c r="L85" s="65"/>
      <c r="M85" s="65"/>
      <c r="N85" s="65"/>
      <c r="O85" s="65"/>
      <c r="P85" s="65"/>
      <c r="Q85" s="65"/>
      <c r="R85" s="65"/>
      <c r="S85" s="65"/>
      <c r="T85" s="65"/>
      <c r="U85" s="65"/>
      <c r="V85" s="65"/>
      <c r="W85" s="65"/>
    </row>
    <row r="86" spans="1:23" ht="15.4" customHeight="1" x14ac:dyDescent="0.25">
      <c r="A86" s="1031" t="s">
        <v>780</v>
      </c>
      <c r="B86" s="1031"/>
      <c r="C86" s="1031"/>
      <c r="D86" s="1031"/>
      <c r="E86" s="1031"/>
      <c r="F86" s="1031"/>
      <c r="G86" s="1031"/>
      <c r="H86" s="1031"/>
      <c r="I86" s="1031"/>
      <c r="J86" s="1031"/>
      <c r="K86" s="1031"/>
      <c r="L86" s="1031"/>
      <c r="M86" s="1031"/>
      <c r="N86" s="1031"/>
      <c r="O86" s="65"/>
      <c r="P86" s="65"/>
      <c r="Q86" s="65"/>
      <c r="R86" s="65"/>
      <c r="S86" s="65"/>
      <c r="T86" s="65"/>
      <c r="U86" s="65"/>
      <c r="V86" s="65"/>
      <c r="W86" s="65"/>
    </row>
    <row r="87" spans="1:23" ht="15.4" customHeight="1" x14ac:dyDescent="0.25">
      <c r="A87" s="1031" t="s">
        <v>1249</v>
      </c>
      <c r="B87" s="1031"/>
      <c r="C87" s="1031"/>
      <c r="D87" s="1031"/>
      <c r="E87" s="1031"/>
      <c r="F87" s="1031"/>
      <c r="G87" s="1031"/>
      <c r="H87" s="1031"/>
      <c r="I87" s="1031"/>
      <c r="J87" s="1031"/>
      <c r="K87" s="1031"/>
      <c r="L87" s="1031"/>
      <c r="M87" s="1031"/>
      <c r="N87" s="1031"/>
      <c r="O87" s="65"/>
      <c r="P87" s="65"/>
      <c r="Q87" s="65"/>
      <c r="R87" s="65"/>
      <c r="S87" s="65"/>
      <c r="T87" s="65"/>
      <c r="U87" s="65"/>
      <c r="V87" s="65"/>
      <c r="W87" s="65"/>
    </row>
    <row r="88" spans="1:23" ht="15.4" customHeight="1" x14ac:dyDescent="0.25">
      <c r="A88" s="65"/>
      <c r="B88" s="65"/>
      <c r="C88" s="65"/>
      <c r="D88" s="65"/>
      <c r="E88" s="65"/>
      <c r="F88" s="65"/>
      <c r="G88" s="65"/>
      <c r="H88" s="65"/>
      <c r="I88" s="65"/>
      <c r="J88" s="65"/>
      <c r="K88" s="65"/>
      <c r="L88" s="65"/>
      <c r="M88" s="65"/>
      <c r="N88" s="65"/>
      <c r="O88" s="65"/>
      <c r="P88" s="65"/>
      <c r="Q88" s="65"/>
      <c r="R88" s="65"/>
      <c r="S88" s="65"/>
      <c r="T88" s="65"/>
      <c r="U88" s="65"/>
      <c r="V88" s="65"/>
      <c r="W88" s="65"/>
    </row>
    <row r="89" spans="1:23" ht="15.4" customHeight="1" x14ac:dyDescent="0.25">
      <c r="A89" s="1030"/>
      <c r="B89" s="1030"/>
      <c r="C89" s="1030"/>
      <c r="D89" s="1030"/>
      <c r="E89" s="1030"/>
      <c r="F89" s="1030"/>
      <c r="G89" s="1030"/>
      <c r="H89" s="1030"/>
      <c r="I89" s="1030"/>
      <c r="J89" s="1030"/>
      <c r="K89" s="1030"/>
      <c r="L89" s="1030"/>
      <c r="M89" s="1030"/>
      <c r="N89" s="1030"/>
      <c r="O89" s="1030"/>
      <c r="P89" s="65"/>
      <c r="Q89" s="65"/>
      <c r="R89" s="65"/>
      <c r="S89" s="65"/>
      <c r="T89" s="65"/>
      <c r="U89" s="65"/>
      <c r="V89" s="65"/>
      <c r="W89" s="65"/>
    </row>
    <row r="90" spans="1:23" ht="15.4" customHeight="1" x14ac:dyDescent="0.25">
      <c r="A90" s="1036" t="s">
        <v>934</v>
      </c>
      <c r="B90" s="1036"/>
      <c r="C90" s="1036"/>
      <c r="D90" s="1036"/>
      <c r="E90" s="1036"/>
      <c r="F90" s="1036"/>
      <c r="G90" s="1036"/>
      <c r="H90" s="1036"/>
      <c r="I90" s="1036"/>
      <c r="J90" s="1036"/>
      <c r="K90" s="1036"/>
      <c r="L90" s="1036"/>
      <c r="M90" s="1036"/>
      <c r="N90" s="1036"/>
      <c r="O90" s="126"/>
      <c r="P90" s="65"/>
      <c r="Q90" s="65"/>
      <c r="R90" s="65"/>
      <c r="S90" s="65"/>
      <c r="T90" s="65"/>
      <c r="U90" s="65"/>
      <c r="V90" s="65"/>
      <c r="W90" s="65"/>
    </row>
    <row r="91" spans="1:23" ht="15.4" customHeight="1" x14ac:dyDescent="0.25">
      <c r="A91" s="65"/>
      <c r="B91" s="65"/>
      <c r="C91" s="65"/>
      <c r="D91" s="65"/>
      <c r="E91" s="65"/>
      <c r="F91" s="65"/>
      <c r="G91" s="65"/>
      <c r="H91" s="65"/>
      <c r="I91" s="1031" t="s">
        <v>957</v>
      </c>
      <c r="J91" s="1031"/>
      <c r="K91" s="1031"/>
      <c r="L91" s="1031"/>
      <c r="M91" s="680"/>
      <c r="N91" s="680"/>
      <c r="O91" s="65"/>
      <c r="P91" s="65"/>
      <c r="Q91" s="65"/>
      <c r="R91" s="65"/>
      <c r="S91" s="65"/>
      <c r="T91" s="65"/>
      <c r="U91" s="65"/>
      <c r="V91" s="65"/>
      <c r="W91" s="65"/>
    </row>
    <row r="92" spans="1:23" ht="15" hidden="1" customHeight="1" x14ac:dyDescent="0.25">
      <c r="A92" s="65" t="s">
        <v>121</v>
      </c>
      <c r="B92" s="65"/>
      <c r="C92" s="65"/>
      <c r="D92" s="65"/>
      <c r="E92" s="65"/>
      <c r="F92" s="65"/>
      <c r="G92" s="65"/>
      <c r="H92" s="65"/>
      <c r="I92" s="65" t="s">
        <v>380</v>
      </c>
      <c r="J92" s="65"/>
      <c r="K92" s="65"/>
      <c r="L92" s="65"/>
      <c r="M92" s="65"/>
      <c r="N92" s="65"/>
      <c r="O92" s="65"/>
      <c r="P92" s="65"/>
      <c r="Q92" s="65"/>
      <c r="R92" s="65"/>
      <c r="S92" s="65"/>
      <c r="T92" s="65"/>
      <c r="U92" s="65"/>
      <c r="V92" s="65"/>
      <c r="W92" s="65"/>
    </row>
    <row r="93" spans="1:23" ht="46.5" customHeight="1" x14ac:dyDescent="0.25">
      <c r="A93" s="1032" t="s">
        <v>881</v>
      </c>
      <c r="B93" s="1032" t="s">
        <v>130</v>
      </c>
      <c r="C93" s="1033" t="s">
        <v>1158</v>
      </c>
      <c r="D93" s="1034"/>
      <c r="E93" s="1034"/>
      <c r="F93" s="1034"/>
      <c r="G93" s="1034"/>
      <c r="H93" s="1034"/>
      <c r="I93" s="1034"/>
      <c r="J93" s="42" t="s">
        <v>480</v>
      </c>
      <c r="K93" s="534" t="s">
        <v>33</v>
      </c>
      <c r="L93" s="369" t="s">
        <v>655</v>
      </c>
      <c r="M93" s="65"/>
      <c r="N93" s="65"/>
      <c r="O93" s="65"/>
      <c r="P93" s="65"/>
      <c r="Q93" s="65"/>
      <c r="R93" s="65"/>
      <c r="S93" s="65"/>
      <c r="T93" s="65"/>
      <c r="U93" s="65"/>
      <c r="V93" s="65"/>
      <c r="W93" s="65"/>
    </row>
    <row r="94" spans="1:23" ht="15.4" customHeight="1" x14ac:dyDescent="0.25">
      <c r="A94" s="1032"/>
      <c r="B94" s="1032"/>
      <c r="C94" s="17" t="s">
        <v>296</v>
      </c>
      <c r="D94" s="17">
        <v>50</v>
      </c>
      <c r="E94" s="17">
        <v>100</v>
      </c>
      <c r="F94" s="17">
        <v>500</v>
      </c>
      <c r="G94" s="402">
        <v>1000</v>
      </c>
      <c r="H94" s="402">
        <v>5000</v>
      </c>
      <c r="I94" s="402">
        <v>10000</v>
      </c>
      <c r="J94" s="602">
        <f>$C$7</f>
        <v>1001119864</v>
      </c>
      <c r="K94" s="335">
        <f>IF(J94&lt;D94,15,IF(J94&gt;I94,I94,HLOOKUP(J94,D94:I94,1)))</f>
        <v>10000</v>
      </c>
      <c r="L94" s="152">
        <f>IF(J94&lt;15,15,IF(J94&lt;50,50,IF(J94&gt;I94,I94,INDEX(D94:I94,MATCH(J94,D94:I94,1)+1))))</f>
        <v>10000</v>
      </c>
      <c r="M94" s="65"/>
      <c r="N94" s="65"/>
      <c r="O94" s="65"/>
      <c r="P94" s="65"/>
      <c r="Q94" s="65"/>
      <c r="R94" s="65"/>
      <c r="S94" s="65"/>
      <c r="T94" s="65"/>
      <c r="U94" s="65"/>
      <c r="V94" s="65"/>
      <c r="W94" s="65"/>
    </row>
    <row r="95" spans="1:23" ht="15.4" customHeight="1" x14ac:dyDescent="0.25">
      <c r="A95" s="409">
        <v>1</v>
      </c>
      <c r="B95" s="495" t="str">
        <f t="shared" ref="B95:B97" si="9">B48</f>
        <v>Công trình dân dụng</v>
      </c>
      <c r="C95" s="627">
        <v>0.12278</v>
      </c>
      <c r="D95" s="627">
        <v>5.4239999999999997E-2</v>
      </c>
      <c r="E95" s="627">
        <v>3.7569999999999999E-2</v>
      </c>
      <c r="F95" s="627">
        <v>9.5999999999999992E-3</v>
      </c>
      <c r="G95" s="627">
        <v>5.9800000000000001E-3</v>
      </c>
      <c r="H95" s="627">
        <v>1.4400000000000001E-3</v>
      </c>
      <c r="I95" s="627">
        <v>7.6999999999999996E-4</v>
      </c>
      <c r="J95" s="132">
        <f t="shared" ref="J95:J98" si="10">IF(L$94=K$94,K95,ROUND(K95-((K95-L95)/(L$94-K$94))*(J$94-K$94),5))</f>
        <v>7.6999999999999996E-4</v>
      </c>
      <c r="K95" s="615">
        <f>IF(K$94=15,C95,HLOOKUP($K$94,$D$94:$I$98,2,TRUE))</f>
        <v>7.6999999999999996E-4</v>
      </c>
      <c r="L95" s="454">
        <f>IF(L$94=15,C95,HLOOKUP($L$94,$D$94:$I$98,2,TRUE))</f>
        <v>7.6999999999999996E-4</v>
      </c>
      <c r="M95" s="65"/>
      <c r="N95" s="65"/>
      <c r="O95" s="65"/>
      <c r="P95" s="65"/>
      <c r="Q95" s="65"/>
      <c r="R95" s="65"/>
      <c r="S95" s="65"/>
      <c r="T95" s="65"/>
      <c r="U95" s="65"/>
      <c r="V95" s="65"/>
      <c r="W95" s="65"/>
    </row>
    <row r="96" spans="1:23" ht="15.4" customHeight="1" x14ac:dyDescent="0.25">
      <c r="A96" s="409">
        <v>2</v>
      </c>
      <c r="B96" s="495" t="str">
        <f t="shared" si="9"/>
        <v>Công trình công nghiệp</v>
      </c>
      <c r="C96" s="627">
        <v>0.11401</v>
      </c>
      <c r="D96" s="627">
        <v>5.0369999999999998E-2</v>
      </c>
      <c r="E96" s="627">
        <v>3.4889999999999997E-2</v>
      </c>
      <c r="F96" s="627">
        <v>8.9200000000000008E-3</v>
      </c>
      <c r="G96" s="627">
        <v>5.5500000000000002E-3</v>
      </c>
      <c r="H96" s="627">
        <v>1.34E-3</v>
      </c>
      <c r="I96" s="627">
        <v>7.2000000000000005E-4</v>
      </c>
      <c r="J96" s="132">
        <f t="shared" si="10"/>
        <v>7.2000000000000005E-4</v>
      </c>
      <c r="K96" s="615">
        <f>IF(K$94=15,C96,HLOOKUP($K$94,$D$94:$I$98,3,TRUE))</f>
        <v>7.2000000000000005E-4</v>
      </c>
      <c r="L96" s="454">
        <f>IF(L$94=15,C96,HLOOKUP($L$94,$D$94:$I$98,3,TRUE))</f>
        <v>7.2000000000000005E-4</v>
      </c>
      <c r="M96" s="65"/>
      <c r="N96" s="65"/>
      <c r="O96" s="65"/>
      <c r="P96" s="65"/>
      <c r="Q96" s="65"/>
      <c r="R96" s="65"/>
      <c r="S96" s="65"/>
      <c r="T96" s="65"/>
      <c r="U96" s="65"/>
      <c r="V96" s="65"/>
      <c r="W96" s="65"/>
    </row>
    <row r="97" spans="1:23" ht="15.4" customHeight="1" x14ac:dyDescent="0.25">
      <c r="A97" s="409">
        <v>3</v>
      </c>
      <c r="B97" s="495" t="str">
        <f t="shared" si="9"/>
        <v>Công trình giao thông</v>
      </c>
      <c r="C97" s="627">
        <v>9.647E-2</v>
      </c>
      <c r="D97" s="627">
        <v>4.2619999999999998E-2</v>
      </c>
      <c r="E97" s="627">
        <v>2.9520000000000001E-2</v>
      </c>
      <c r="F97" s="627">
        <v>7.5500000000000003E-3</v>
      </c>
      <c r="G97" s="627">
        <v>4.7000000000000002E-3</v>
      </c>
      <c r="H97" s="627">
        <v>1.1299999999999999E-3</v>
      </c>
      <c r="I97" s="627">
        <v>6.0999999999999997E-4</v>
      </c>
      <c r="J97" s="132">
        <f t="shared" si="10"/>
        <v>6.0999999999999997E-4</v>
      </c>
      <c r="K97" s="615">
        <f>IF(K$94=15,C97,HLOOKUP($K$94,$D$94:$I$98,4,TRUE))</f>
        <v>6.0999999999999997E-4</v>
      </c>
      <c r="L97" s="454">
        <f>IF(L$94=15,C97,HLOOKUP($L$94,$D$94:$I$98,4,TRUE))</f>
        <v>6.0999999999999997E-4</v>
      </c>
      <c r="M97" s="65"/>
      <c r="N97" s="65"/>
      <c r="O97" s="65"/>
      <c r="P97" s="65"/>
      <c r="Q97" s="65"/>
      <c r="R97" s="65"/>
      <c r="S97" s="65"/>
      <c r="T97" s="65"/>
      <c r="U97" s="65"/>
      <c r="V97" s="65"/>
      <c r="W97" s="65"/>
    </row>
    <row r="98" spans="1:23" ht="15.4" customHeight="1" x14ac:dyDescent="0.25">
      <c r="A98" s="409">
        <v>5</v>
      </c>
      <c r="B98" s="495" t="str">
        <f>B52</f>
        <v>Công trình hạ tầng kỹ thuật</v>
      </c>
      <c r="C98" s="627">
        <v>8.77E-2</v>
      </c>
      <c r="D98" s="627">
        <v>3.8739999999999997E-2</v>
      </c>
      <c r="E98" s="627">
        <v>2.6839999999999999E-2</v>
      </c>
      <c r="F98" s="627">
        <v>6.8599999999999998E-3</v>
      </c>
      <c r="G98" s="627">
        <v>4.2700000000000004E-3</v>
      </c>
      <c r="H98" s="627">
        <v>1.0300000000000001E-3</v>
      </c>
      <c r="I98" s="627">
        <v>5.5000000000000003E-4</v>
      </c>
      <c r="J98" s="132">
        <f t="shared" si="10"/>
        <v>5.5000000000000003E-4</v>
      </c>
      <c r="K98" s="615">
        <f>IF(K$94=15,C98,HLOOKUP($K$94,$D$94:$I$98,5,TRUE))</f>
        <v>5.5000000000000003E-4</v>
      </c>
      <c r="L98" s="454">
        <f>IF(L$94=15,C98,HLOOKUP($L$94,$D$94:$I$98,5,TRUE))</f>
        <v>5.5000000000000003E-4</v>
      </c>
      <c r="M98" s="65"/>
      <c r="N98" s="65"/>
      <c r="O98" s="65"/>
      <c r="P98" s="65"/>
      <c r="Q98" s="65"/>
      <c r="R98" s="65"/>
      <c r="S98" s="65"/>
      <c r="T98" s="65"/>
      <c r="U98" s="65"/>
      <c r="V98" s="65"/>
      <c r="W98" s="65"/>
    </row>
    <row r="99" spans="1:23" ht="15" hidden="1" customHeight="1" x14ac:dyDescent="0.25">
      <c r="A99" s="65" t="s">
        <v>1010</v>
      </c>
      <c r="B99" s="65"/>
      <c r="C99" s="65"/>
      <c r="D99" s="65"/>
      <c r="E99" s="65"/>
      <c r="F99" s="65"/>
      <c r="G99" s="65"/>
      <c r="H99" s="65"/>
      <c r="I99" s="65"/>
      <c r="J99" s="65"/>
      <c r="K99" s="65"/>
      <c r="L99" s="65"/>
      <c r="M99" s="65"/>
      <c r="N99" s="65"/>
      <c r="O99" s="65"/>
      <c r="P99" s="65"/>
      <c r="Q99" s="65"/>
      <c r="R99" s="65"/>
      <c r="S99" s="65"/>
      <c r="T99" s="65"/>
      <c r="U99" s="65"/>
      <c r="V99" s="65"/>
      <c r="W99" s="65"/>
    </row>
    <row r="100" spans="1:23" ht="15.4" customHeight="1" x14ac:dyDescent="0.25">
      <c r="A100" s="65"/>
      <c r="B100" s="65"/>
      <c r="C100" s="65"/>
      <c r="D100" s="65"/>
      <c r="E100" s="65"/>
      <c r="F100" s="65"/>
      <c r="G100" s="65"/>
      <c r="H100" s="65"/>
      <c r="I100" s="65"/>
      <c r="J100" s="65"/>
      <c r="K100" s="65"/>
      <c r="L100" s="65"/>
      <c r="M100" s="65"/>
      <c r="N100" s="65"/>
      <c r="O100" s="65"/>
      <c r="P100" s="65"/>
      <c r="Q100" s="65"/>
      <c r="R100" s="65"/>
      <c r="S100" s="65"/>
      <c r="T100" s="65"/>
      <c r="U100" s="65"/>
      <c r="V100" s="65"/>
      <c r="W100" s="65"/>
    </row>
    <row r="101" spans="1:23" ht="15.4" customHeight="1" x14ac:dyDescent="0.25">
      <c r="A101" s="1031" t="s">
        <v>183</v>
      </c>
      <c r="B101" s="1031"/>
      <c r="C101" s="1031"/>
      <c r="D101" s="1031"/>
      <c r="E101" s="1031"/>
      <c r="F101" s="1031"/>
      <c r="G101" s="1031"/>
      <c r="H101" s="1031"/>
      <c r="I101" s="1031"/>
      <c r="J101" s="1031"/>
      <c r="K101" s="1031"/>
      <c r="L101" s="1031"/>
      <c r="M101" s="1031"/>
      <c r="N101" s="1031"/>
      <c r="O101" s="65"/>
      <c r="P101" s="65"/>
      <c r="Q101" s="65"/>
      <c r="R101" s="65"/>
      <c r="S101" s="65"/>
      <c r="T101" s="65"/>
      <c r="U101" s="65"/>
      <c r="V101" s="65"/>
      <c r="W101" s="65"/>
    </row>
    <row r="102" spans="1:23" ht="15.4" customHeight="1" x14ac:dyDescent="0.25">
      <c r="A102" s="1031" t="s">
        <v>1071</v>
      </c>
      <c r="B102" s="1031"/>
      <c r="C102" s="1031"/>
      <c r="D102" s="1031"/>
      <c r="E102" s="1031"/>
      <c r="F102" s="1031"/>
      <c r="G102" s="1031"/>
      <c r="H102" s="1031"/>
      <c r="I102" s="1031"/>
      <c r="J102" s="1031"/>
      <c r="K102" s="1031"/>
      <c r="L102" s="1031"/>
      <c r="M102" s="1031"/>
      <c r="N102" s="1031"/>
      <c r="O102" s="65"/>
      <c r="P102" s="65"/>
      <c r="Q102" s="65"/>
      <c r="R102" s="65"/>
      <c r="S102" s="65"/>
      <c r="T102" s="65"/>
      <c r="U102" s="65"/>
      <c r="V102" s="65"/>
      <c r="W102" s="65"/>
    </row>
    <row r="103" spans="1:23" ht="15.4" customHeight="1" x14ac:dyDescent="0.25">
      <c r="A103" s="65"/>
      <c r="B103" s="65"/>
      <c r="C103" s="65"/>
      <c r="D103" s="65"/>
      <c r="E103" s="65"/>
      <c r="F103" s="65"/>
      <c r="G103" s="65"/>
      <c r="H103" s="65"/>
      <c r="I103" s="65"/>
      <c r="J103" s="65"/>
      <c r="K103" s="65"/>
      <c r="L103" s="65"/>
      <c r="M103" s="65"/>
      <c r="N103" s="65"/>
      <c r="O103" s="65"/>
      <c r="P103" s="65"/>
      <c r="Q103" s="65"/>
      <c r="R103" s="65"/>
      <c r="S103" s="65"/>
      <c r="T103" s="65"/>
      <c r="U103" s="65"/>
      <c r="V103" s="65"/>
      <c r="W103" s="65"/>
    </row>
    <row r="104" spans="1:23" ht="15.4" customHeight="1" x14ac:dyDescent="0.25">
      <c r="A104" s="1030" t="s">
        <v>1092</v>
      </c>
      <c r="B104" s="1030"/>
      <c r="C104" s="1030"/>
      <c r="D104" s="1030"/>
      <c r="E104" s="1030"/>
      <c r="F104" s="1030"/>
      <c r="G104" s="1030"/>
      <c r="H104" s="1030"/>
      <c r="I104" s="1030"/>
      <c r="J104" s="1030"/>
      <c r="K104" s="1030"/>
      <c r="L104" s="1030"/>
      <c r="M104" s="1030"/>
      <c r="N104" s="65"/>
      <c r="O104" s="65"/>
      <c r="P104" s="65"/>
      <c r="Q104" s="65"/>
      <c r="R104" s="65"/>
      <c r="S104" s="65"/>
      <c r="T104" s="65"/>
      <c r="U104" s="65"/>
      <c r="V104" s="65"/>
      <c r="W104" s="65"/>
    </row>
    <row r="105" spans="1:23" ht="15" hidden="1" customHeight="1" x14ac:dyDescent="0.25">
      <c r="A105" s="65" t="s">
        <v>663</v>
      </c>
      <c r="B105" s="65"/>
      <c r="C105" s="65"/>
      <c r="D105" s="65"/>
      <c r="E105" s="65"/>
      <c r="F105" s="65"/>
      <c r="G105" s="65"/>
      <c r="H105" s="65"/>
      <c r="I105" s="65" t="s">
        <v>380</v>
      </c>
      <c r="J105" s="65"/>
      <c r="K105" s="680"/>
      <c r="L105" s="65"/>
      <c r="M105" s="680"/>
      <c r="N105" s="65"/>
      <c r="O105" s="65"/>
      <c r="P105" s="65"/>
      <c r="Q105" s="65"/>
      <c r="R105" s="65"/>
      <c r="S105" s="65"/>
      <c r="T105" s="65"/>
      <c r="U105" s="65"/>
      <c r="V105" s="65"/>
      <c r="W105" s="65"/>
    </row>
    <row r="106" spans="1:23" ht="15.4" customHeight="1" x14ac:dyDescent="0.25">
      <c r="A106" s="65"/>
      <c r="B106" s="65"/>
      <c r="C106" s="65"/>
      <c r="D106" s="65"/>
      <c r="E106" s="65"/>
      <c r="F106" s="65"/>
      <c r="G106" s="65"/>
      <c r="H106" s="65"/>
      <c r="I106" s="65"/>
      <c r="J106" s="42" t="s">
        <v>480</v>
      </c>
      <c r="K106" s="534" t="s">
        <v>33</v>
      </c>
      <c r="L106" s="369" t="s">
        <v>655</v>
      </c>
      <c r="M106" s="65"/>
      <c r="N106" s="65"/>
      <c r="O106" s="65"/>
      <c r="P106" s="65"/>
      <c r="Q106" s="65"/>
      <c r="R106" s="65"/>
      <c r="S106" s="65"/>
      <c r="T106" s="65"/>
      <c r="U106" s="65"/>
      <c r="V106" s="65"/>
      <c r="W106" s="65"/>
    </row>
    <row r="107" spans="1:23" ht="30.75" customHeight="1" x14ac:dyDescent="0.25">
      <c r="A107" s="17" t="s">
        <v>881</v>
      </c>
      <c r="B107" s="308" t="s">
        <v>277</v>
      </c>
      <c r="C107" s="17" t="s">
        <v>637</v>
      </c>
      <c r="D107" s="17">
        <v>10</v>
      </c>
      <c r="E107" s="17">
        <v>50</v>
      </c>
      <c r="F107" s="17">
        <v>100</v>
      </c>
      <c r="G107" s="17">
        <v>500</v>
      </c>
      <c r="H107" s="17">
        <v>1000</v>
      </c>
      <c r="I107" s="402">
        <v>10000</v>
      </c>
      <c r="J107" s="602">
        <f>$C$6</f>
        <v>1001119864</v>
      </c>
      <c r="K107" s="335">
        <f>IF(J107&lt;D107,5,IF(J107&gt;I107,I107,HLOOKUP(J107,D107:I107,1)))</f>
        <v>10000</v>
      </c>
      <c r="L107" s="152">
        <f>IF(J107&lt;5,5,IF(J107&lt;10,10,IF(J107&gt;I107,I107,INDEX(D107:I107,MATCH(J107,D107:I107,1)+1))))</f>
        <v>10000</v>
      </c>
      <c r="M107" s="226"/>
      <c r="N107" s="99"/>
      <c r="O107" s="65"/>
      <c r="P107" s="65"/>
      <c r="Q107" s="65"/>
      <c r="R107" s="65"/>
      <c r="S107" s="65"/>
      <c r="T107" s="65"/>
      <c r="U107" s="65"/>
      <c r="V107" s="65"/>
      <c r="W107" s="65"/>
    </row>
    <row r="108" spans="1:23" ht="15.4" customHeight="1" x14ac:dyDescent="0.25">
      <c r="A108" s="409">
        <v>1</v>
      </c>
      <c r="B108" s="495" t="s">
        <v>212</v>
      </c>
      <c r="C108" s="502">
        <v>0.95</v>
      </c>
      <c r="D108" s="502">
        <v>0.65</v>
      </c>
      <c r="E108" s="502">
        <v>0.47499999999999998</v>
      </c>
      <c r="F108" s="502">
        <v>0.375</v>
      </c>
      <c r="G108" s="502">
        <v>0.22500000000000001</v>
      </c>
      <c r="H108" s="502">
        <v>0.15</v>
      </c>
      <c r="I108" s="502">
        <v>0.08</v>
      </c>
      <c r="J108" s="1">
        <f>IF(L$107=K$107,K108,ROUND(K108-((K108-L108)/(L$107-K$107))*(J$107-K$107),3))</f>
        <v>0.08</v>
      </c>
      <c r="K108" s="491">
        <f>IF(K$107=5,C108,HLOOKUP($K$107,$D$107:$I$108,2,TRUE))</f>
        <v>0.08</v>
      </c>
      <c r="L108" s="350">
        <f>IF(L$107=5,C108,HLOOKUP($L$107,$D$107:$I$108,2,TRUE))</f>
        <v>0.08</v>
      </c>
      <c r="M108" s="215"/>
      <c r="N108" s="215"/>
      <c r="O108" s="65"/>
      <c r="P108" s="65"/>
      <c r="Q108" s="65"/>
      <c r="R108" s="65"/>
      <c r="S108" s="65"/>
      <c r="T108" s="65"/>
      <c r="U108" s="65"/>
      <c r="V108" s="65"/>
      <c r="W108" s="65"/>
    </row>
    <row r="109" spans="1:23" ht="15" hidden="1" customHeight="1" x14ac:dyDescent="0.25">
      <c r="A109" s="104" t="s">
        <v>266</v>
      </c>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23" ht="15.4" customHeight="1" x14ac:dyDescent="0.2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23" ht="15.4" customHeight="1" x14ac:dyDescent="0.25">
      <c r="A111" s="1030" t="s">
        <v>654</v>
      </c>
      <c r="B111" s="1030"/>
      <c r="C111" s="1030"/>
      <c r="D111" s="1030"/>
      <c r="E111" s="1030"/>
      <c r="F111" s="1030"/>
      <c r="G111" s="1030"/>
      <c r="H111" s="1030"/>
      <c r="I111" s="1030"/>
      <c r="J111" s="1030"/>
      <c r="K111" s="1030"/>
      <c r="L111" s="1030"/>
      <c r="M111" s="1030"/>
      <c r="N111" s="65"/>
      <c r="O111" s="65"/>
      <c r="P111" s="65"/>
      <c r="Q111" s="65"/>
      <c r="R111" s="65"/>
      <c r="S111" s="65"/>
      <c r="T111" s="65"/>
      <c r="U111" s="65"/>
      <c r="V111" s="65"/>
      <c r="W111" s="65"/>
    </row>
    <row r="112" spans="1:23" ht="15" hidden="1" customHeight="1" x14ac:dyDescent="0.25">
      <c r="A112" s="65" t="s">
        <v>1161</v>
      </c>
      <c r="B112" s="65"/>
      <c r="C112" s="65"/>
      <c r="D112" s="65"/>
      <c r="E112" s="65"/>
      <c r="F112" s="65"/>
      <c r="G112" s="65"/>
      <c r="H112" s="65"/>
      <c r="I112" s="65" t="s">
        <v>380</v>
      </c>
      <c r="J112" s="65"/>
      <c r="K112" s="680"/>
      <c r="L112" s="65"/>
      <c r="M112" s="680"/>
      <c r="N112" s="65"/>
      <c r="O112" s="65"/>
      <c r="P112" s="65"/>
      <c r="Q112" s="65"/>
      <c r="R112" s="65"/>
      <c r="S112" s="65"/>
      <c r="T112" s="65"/>
      <c r="U112" s="65"/>
      <c r="V112" s="65"/>
      <c r="W112" s="65"/>
    </row>
    <row r="113" spans="1:23" ht="15.4" customHeight="1" x14ac:dyDescent="0.25">
      <c r="A113" s="65"/>
      <c r="B113" s="65"/>
      <c r="C113" s="65"/>
      <c r="D113" s="65"/>
      <c r="E113" s="65"/>
      <c r="F113" s="65"/>
      <c r="G113" s="65"/>
      <c r="H113" s="65"/>
      <c r="I113" s="65"/>
      <c r="J113" s="42" t="s">
        <v>480</v>
      </c>
      <c r="K113" s="534" t="s">
        <v>33</v>
      </c>
      <c r="L113" s="369" t="s">
        <v>655</v>
      </c>
      <c r="M113" s="65"/>
      <c r="N113" s="65"/>
      <c r="O113" s="65"/>
      <c r="P113" s="65"/>
      <c r="Q113" s="65"/>
      <c r="R113" s="65"/>
      <c r="S113" s="65"/>
      <c r="T113" s="65"/>
      <c r="U113" s="65"/>
      <c r="V113" s="65"/>
      <c r="W113" s="65"/>
    </row>
    <row r="114" spans="1:23" ht="30.75" customHeight="1" x14ac:dyDescent="0.25">
      <c r="A114" s="17" t="s">
        <v>881</v>
      </c>
      <c r="B114" s="308" t="s">
        <v>277</v>
      </c>
      <c r="C114" s="17" t="s">
        <v>637</v>
      </c>
      <c r="D114" s="17">
        <v>10</v>
      </c>
      <c r="E114" s="17">
        <v>50</v>
      </c>
      <c r="F114" s="17">
        <v>100</v>
      </c>
      <c r="G114" s="17">
        <v>500</v>
      </c>
      <c r="H114" s="17">
        <v>1000</v>
      </c>
      <c r="I114" s="402">
        <v>10000</v>
      </c>
      <c r="J114" s="602">
        <f>$C$6</f>
        <v>1001119864</v>
      </c>
      <c r="K114" s="335">
        <f>IF(J114&lt;D114,5,IF(J114&gt;I114,I114,HLOOKUP(J114,D114:I114,1)))</f>
        <v>10000</v>
      </c>
      <c r="L114" s="152">
        <f>IF(J114&lt;5,5,IF(J114&lt;10,10,IF(J114&gt;I114,I114,INDEX(D114:I114,MATCH(J114,D114:I114,1)+1))))</f>
        <v>10000</v>
      </c>
      <c r="M114" s="226"/>
      <c r="N114" s="99"/>
      <c r="O114" s="65"/>
      <c r="P114" s="65"/>
      <c r="Q114" s="65"/>
      <c r="R114" s="65"/>
      <c r="S114" s="65"/>
      <c r="T114" s="65"/>
      <c r="U114" s="65"/>
      <c r="V114" s="65"/>
      <c r="W114" s="65"/>
    </row>
    <row r="115" spans="1:23" ht="15.4" customHeight="1" x14ac:dyDescent="0.25">
      <c r="A115" s="409">
        <v>1</v>
      </c>
      <c r="B115" s="495" t="s">
        <v>769</v>
      </c>
      <c r="C115" s="502">
        <v>1.6</v>
      </c>
      <c r="D115" s="502">
        <v>1.075</v>
      </c>
      <c r="E115" s="502">
        <v>0.75</v>
      </c>
      <c r="F115" s="502">
        <v>0.57499999999999996</v>
      </c>
      <c r="G115" s="502">
        <v>0.32500000000000001</v>
      </c>
      <c r="H115" s="502">
        <v>0.215</v>
      </c>
      <c r="I115" s="502">
        <v>0.115</v>
      </c>
      <c r="J115" s="1">
        <f>IF(L$114=K$114,K115,ROUND(K115-((K115-L115)/(L$114-K$114))*(J$114-K$114),3))</f>
        <v>0.115</v>
      </c>
      <c r="K115" s="491">
        <f>IF(K$114=5,C115,HLOOKUP($K$114,$D$114:$I$115,2,TRUE))</f>
        <v>0.115</v>
      </c>
      <c r="L115" s="350">
        <f>IF(L$114=5,C115,HLOOKUP($L$114,$D$114:$I$115,2,TRUE))</f>
        <v>0.115</v>
      </c>
      <c r="M115" s="65"/>
      <c r="N115" s="65"/>
      <c r="O115" s="65"/>
      <c r="P115" s="65"/>
      <c r="Q115" s="65"/>
      <c r="R115" s="65"/>
      <c r="S115" s="65"/>
      <c r="T115" s="65"/>
      <c r="U115" s="65"/>
      <c r="V115" s="65"/>
      <c r="W115" s="65"/>
    </row>
    <row r="116" spans="1:23" ht="15" hidden="1" customHeight="1" x14ac:dyDescent="0.25">
      <c r="A116" s="104" t="s">
        <v>753</v>
      </c>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ht="15.4" customHeight="1" x14ac:dyDescent="0.2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ht="34.9" customHeight="1" x14ac:dyDescent="0.25">
      <c r="A118" s="1045" t="s">
        <v>781</v>
      </c>
      <c r="B118" s="1046"/>
      <c r="C118" s="1046"/>
      <c r="D118" s="1046"/>
      <c r="E118" s="1046"/>
      <c r="F118" s="1046"/>
      <c r="G118" s="1046"/>
      <c r="H118" s="1046"/>
      <c r="I118" s="1046"/>
      <c r="J118" s="1046"/>
      <c r="K118" s="1046"/>
      <c r="L118" s="1046"/>
      <c r="M118" s="1046"/>
      <c r="N118" s="1046"/>
      <c r="O118" s="65"/>
      <c r="P118" s="65"/>
      <c r="Q118" s="65"/>
      <c r="R118" s="65"/>
      <c r="S118" s="65"/>
      <c r="T118" s="65"/>
      <c r="U118" s="65"/>
      <c r="V118" s="65"/>
      <c r="W118" s="65"/>
    </row>
    <row r="119" spans="1:23" ht="44.25" customHeight="1" x14ac:dyDescent="0.25">
      <c r="A119" s="1035" t="s">
        <v>739</v>
      </c>
      <c r="B119" s="1035"/>
      <c r="C119" s="1035"/>
      <c r="D119" s="1035"/>
      <c r="E119" s="1035"/>
      <c r="F119" s="1035"/>
      <c r="G119" s="1035"/>
      <c r="H119" s="1035"/>
      <c r="I119" s="1035"/>
      <c r="J119" s="1035"/>
      <c r="K119" s="1035"/>
      <c r="L119" s="1035"/>
      <c r="M119" s="1035"/>
      <c r="N119" s="1035"/>
      <c r="O119" s="65"/>
      <c r="P119" s="65"/>
      <c r="Q119" s="65"/>
      <c r="R119" s="65"/>
      <c r="S119" s="65"/>
      <c r="T119" s="65"/>
      <c r="U119" s="65"/>
      <c r="V119" s="65"/>
      <c r="W119" s="65"/>
    </row>
    <row r="120" spans="1:23" ht="15.4" customHeight="1" x14ac:dyDescent="0.25">
      <c r="A120" s="218"/>
      <c r="B120" s="218"/>
      <c r="C120" s="218"/>
      <c r="D120" s="218"/>
      <c r="E120" s="218"/>
      <c r="F120" s="218"/>
      <c r="G120" s="218"/>
      <c r="H120" s="218"/>
      <c r="I120" s="218"/>
      <c r="J120" s="218"/>
      <c r="K120" s="218"/>
      <c r="L120" s="218"/>
      <c r="M120" s="218"/>
      <c r="N120" s="218"/>
      <c r="O120" s="65"/>
      <c r="P120" s="65"/>
      <c r="Q120" s="65"/>
      <c r="R120" s="65"/>
      <c r="S120" s="65"/>
      <c r="T120" s="65"/>
      <c r="U120" s="65"/>
      <c r="V120" s="65"/>
      <c r="W120" s="65"/>
    </row>
    <row r="121" spans="1:23" ht="15.4" customHeight="1" x14ac:dyDescent="0.25">
      <c r="A121" s="1030" t="s">
        <v>1057</v>
      </c>
      <c r="B121" s="1030"/>
      <c r="C121" s="1030"/>
      <c r="D121" s="1030"/>
      <c r="E121" s="1030"/>
      <c r="F121" s="1030"/>
      <c r="G121" s="1030"/>
      <c r="H121" s="1030"/>
      <c r="I121" s="1030"/>
      <c r="J121" s="1030"/>
      <c r="K121" s="1030"/>
      <c r="L121" s="1030"/>
      <c r="M121" s="1030"/>
      <c r="N121" s="65"/>
      <c r="O121" s="65"/>
      <c r="P121" s="65"/>
      <c r="Q121" s="65"/>
      <c r="R121" s="65"/>
      <c r="S121" s="65"/>
      <c r="T121" s="65"/>
      <c r="U121" s="65"/>
      <c r="V121" s="65"/>
      <c r="W121" s="65"/>
    </row>
    <row r="122" spans="1:23" ht="15" hidden="1" customHeight="1" x14ac:dyDescent="0.25">
      <c r="A122" s="65" t="s">
        <v>1078</v>
      </c>
      <c r="B122" s="65"/>
      <c r="C122" s="65"/>
      <c r="D122" s="65"/>
      <c r="E122" s="65"/>
      <c r="F122" s="65"/>
      <c r="G122" s="65"/>
      <c r="H122" s="65"/>
      <c r="I122" s="65"/>
      <c r="J122" s="65"/>
      <c r="K122" s="680"/>
      <c r="L122" s="65" t="s">
        <v>380</v>
      </c>
      <c r="M122" s="680"/>
      <c r="N122" s="65"/>
      <c r="O122" s="65"/>
      <c r="P122" s="65"/>
      <c r="Q122" s="65"/>
      <c r="R122" s="65"/>
      <c r="S122" s="65"/>
      <c r="T122" s="65"/>
      <c r="U122" s="65"/>
      <c r="V122" s="65"/>
      <c r="W122" s="65"/>
    </row>
    <row r="123" spans="1:23" ht="15.4" customHeight="1" x14ac:dyDescent="0.25">
      <c r="A123" s="65"/>
      <c r="B123" s="65"/>
      <c r="C123" s="65"/>
      <c r="D123" s="65"/>
      <c r="E123" s="65"/>
      <c r="F123" s="65"/>
      <c r="G123" s="65"/>
      <c r="H123" s="65"/>
      <c r="I123" s="65"/>
      <c r="J123" s="65"/>
      <c r="K123" s="65"/>
      <c r="L123" s="65"/>
      <c r="M123" s="42" t="s">
        <v>480</v>
      </c>
      <c r="N123" s="534" t="s">
        <v>33</v>
      </c>
      <c r="O123" s="369" t="s">
        <v>655</v>
      </c>
      <c r="P123" s="65"/>
      <c r="Q123" s="65"/>
      <c r="R123" s="65"/>
      <c r="S123" s="65"/>
      <c r="T123" s="65"/>
      <c r="U123" s="65"/>
      <c r="V123" s="65"/>
      <c r="W123" s="65"/>
    </row>
    <row r="124" spans="1:23" ht="30.6" customHeight="1" x14ac:dyDescent="0.25">
      <c r="A124" s="17" t="s">
        <v>881</v>
      </c>
      <c r="B124" s="308" t="s">
        <v>625</v>
      </c>
      <c r="C124" s="17" t="s">
        <v>296</v>
      </c>
      <c r="D124" s="17">
        <v>25</v>
      </c>
      <c r="E124" s="17">
        <v>50</v>
      </c>
      <c r="F124" s="17">
        <v>100</v>
      </c>
      <c r="G124" s="17">
        <v>200</v>
      </c>
      <c r="H124" s="17">
        <v>500</v>
      </c>
      <c r="I124" s="17">
        <v>1000</v>
      </c>
      <c r="J124" s="17">
        <v>2000</v>
      </c>
      <c r="K124" s="17">
        <v>5000</v>
      </c>
      <c r="L124" s="402">
        <v>10000</v>
      </c>
      <c r="M124" s="602">
        <f>$C$6</f>
        <v>1001119864</v>
      </c>
      <c r="N124" s="335">
        <f>IF(M124&lt;D124,15,IF(M124&gt;L124,L124,HLOOKUP(M124,D124:L124,1)))</f>
        <v>10000</v>
      </c>
      <c r="O124" s="152">
        <f>IF(M124&lt;15,15,IF(M124&lt;25,25,IF(M124&gt;L124,L124,INDEX(D124:L124,MATCH(M124,D124:L124,1)+1))))</f>
        <v>10000</v>
      </c>
      <c r="P124" s="65"/>
      <c r="Q124" s="65"/>
      <c r="R124" s="65"/>
      <c r="S124" s="65"/>
      <c r="T124" s="65"/>
      <c r="U124" s="65"/>
      <c r="V124" s="65"/>
      <c r="W124" s="65"/>
    </row>
    <row r="125" spans="1:23" ht="15.4" customHeight="1" x14ac:dyDescent="0.25">
      <c r="A125" s="409">
        <v>1</v>
      </c>
      <c r="B125" s="495" t="s">
        <v>160</v>
      </c>
      <c r="C125" s="224">
        <v>1.9E-2</v>
      </c>
      <c r="D125" s="224">
        <v>1.7000000000000001E-2</v>
      </c>
      <c r="E125" s="224">
        <v>1.4999999999999999E-2</v>
      </c>
      <c r="F125" s="224">
        <v>1.2500000000000001E-2</v>
      </c>
      <c r="G125" s="224">
        <v>0.01</v>
      </c>
      <c r="H125" s="224">
        <v>7.4999999999999997E-3</v>
      </c>
      <c r="I125" s="224">
        <v>4.7000000000000002E-3</v>
      </c>
      <c r="J125" s="224">
        <v>2.5000000000000001E-3</v>
      </c>
      <c r="K125" s="224">
        <v>2E-3</v>
      </c>
      <c r="L125" s="224">
        <v>1E-3</v>
      </c>
      <c r="M125" s="1">
        <f>IF(O$17=N$17,N125,ROUND(N125-((N125-O125)/(O$17-N$17))*(M$17-N$17),3))</f>
        <v>1E-3</v>
      </c>
      <c r="N125" s="491">
        <f>IF(N$17=15,C125,HLOOKUP($N$17,$D$17:$L$18,2,TRUE))</f>
        <v>1E-3</v>
      </c>
      <c r="O125" s="350">
        <f>IF(O$17=15,C125,HLOOKUP($O$17,$D$17:$L$18,2,TRUE))</f>
        <v>1E-3</v>
      </c>
      <c r="P125" s="65"/>
      <c r="Q125" s="65"/>
      <c r="R125" s="65"/>
      <c r="S125" s="65"/>
      <c r="T125" s="65"/>
      <c r="U125" s="65"/>
      <c r="V125" s="65"/>
      <c r="W125" s="65"/>
    </row>
    <row r="126" spans="1:23" ht="15" hidden="1" customHeight="1" x14ac:dyDescent="0.25">
      <c r="A126" s="65" t="s">
        <v>669</v>
      </c>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1:23" ht="15.4" customHeight="1" x14ac:dyDescent="0.25">
      <c r="A127" s="65"/>
      <c r="B127" s="65"/>
      <c r="C127" s="65"/>
      <c r="D127" s="65"/>
      <c r="E127" s="65"/>
      <c r="F127" s="65"/>
      <c r="G127" s="65"/>
      <c r="H127" s="65"/>
      <c r="I127" s="65"/>
      <c r="J127" s="65"/>
      <c r="K127" s="65"/>
      <c r="L127" s="65"/>
      <c r="M127" s="65"/>
      <c r="N127" s="65"/>
      <c r="O127" s="65"/>
      <c r="P127" s="65"/>
      <c r="Q127" s="65"/>
      <c r="R127" s="65"/>
      <c r="S127" s="65"/>
      <c r="T127" s="65"/>
      <c r="U127" s="65"/>
      <c r="V127" s="65"/>
      <c r="W127" s="65"/>
    </row>
    <row r="128" spans="1:23" ht="34.9" customHeight="1" x14ac:dyDescent="0.25">
      <c r="A128" s="1045" t="s">
        <v>699</v>
      </c>
      <c r="B128" s="1046"/>
      <c r="C128" s="1046"/>
      <c r="D128" s="1046"/>
      <c r="E128" s="1046"/>
      <c r="F128" s="1046"/>
      <c r="G128" s="1046"/>
      <c r="H128" s="1046"/>
      <c r="I128" s="1046"/>
      <c r="J128" s="1046"/>
      <c r="K128" s="1046"/>
      <c r="L128" s="1046"/>
      <c r="M128" s="1046"/>
      <c r="N128" s="1046"/>
      <c r="O128" s="65"/>
      <c r="P128" s="65"/>
      <c r="Q128" s="65"/>
      <c r="R128" s="65"/>
      <c r="S128" s="65"/>
      <c r="T128" s="65"/>
      <c r="U128" s="65"/>
      <c r="V128" s="65"/>
      <c r="W128" s="65"/>
    </row>
    <row r="129" spans="1:23" ht="16.350000000000001" customHeight="1" x14ac:dyDescent="0.25">
      <c r="A129" s="1035" t="s">
        <v>452</v>
      </c>
      <c r="B129" s="1035"/>
      <c r="C129" s="1035"/>
      <c r="D129" s="1035"/>
      <c r="E129" s="1035"/>
      <c r="F129" s="1035"/>
      <c r="G129" s="1035"/>
      <c r="H129" s="1035"/>
      <c r="I129" s="1035"/>
      <c r="J129" s="1035"/>
      <c r="K129" s="1035"/>
      <c r="L129" s="1035"/>
      <c r="M129" s="1035"/>
      <c r="N129" s="1035"/>
      <c r="O129" s="65"/>
      <c r="P129" s="65"/>
      <c r="Q129" s="65"/>
      <c r="R129" s="65"/>
      <c r="S129" s="65"/>
      <c r="T129" s="65"/>
      <c r="U129" s="65"/>
      <c r="V129" s="65"/>
      <c r="W129" s="65"/>
    </row>
    <row r="130" spans="1:23" ht="15.4" customHeight="1" x14ac:dyDescent="0.25">
      <c r="A130" s="65"/>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1:23" ht="15.4" customHeight="1" x14ac:dyDescent="0.25">
      <c r="A131" s="1030"/>
      <c r="B131" s="1030"/>
      <c r="C131" s="1030"/>
      <c r="D131" s="1030"/>
      <c r="E131" s="1030"/>
      <c r="F131" s="1030"/>
      <c r="G131" s="1030"/>
      <c r="H131" s="1030"/>
      <c r="I131" s="1030"/>
      <c r="J131" s="1030"/>
      <c r="K131" s="1030"/>
      <c r="L131" s="1030"/>
      <c r="M131" s="1030"/>
      <c r="N131" s="1030"/>
      <c r="O131" s="1030"/>
      <c r="P131" s="65"/>
      <c r="Q131" s="65"/>
      <c r="R131" s="65"/>
      <c r="S131" s="65"/>
      <c r="T131" s="65"/>
      <c r="U131" s="65"/>
      <c r="V131" s="65"/>
      <c r="W131" s="65"/>
    </row>
    <row r="132" spans="1:23" ht="15.4" customHeight="1" x14ac:dyDescent="0.25">
      <c r="A132" s="1030" t="s">
        <v>1131</v>
      </c>
      <c r="B132" s="1030"/>
      <c r="C132" s="126"/>
      <c r="D132" s="126"/>
      <c r="E132" s="126"/>
      <c r="F132" s="126"/>
      <c r="G132" s="126"/>
      <c r="H132" s="126"/>
      <c r="I132" s="126"/>
      <c r="J132" s="126"/>
      <c r="K132" s="126"/>
      <c r="L132" s="126"/>
      <c r="M132" s="126"/>
      <c r="N132" s="126"/>
      <c r="O132" s="126"/>
      <c r="P132" s="65"/>
      <c r="Q132" s="65"/>
      <c r="R132" s="65"/>
      <c r="S132" s="65"/>
      <c r="T132" s="65"/>
      <c r="U132" s="65"/>
      <c r="V132" s="65"/>
      <c r="W132" s="65"/>
    </row>
    <row r="133" spans="1:23" ht="15.4" customHeight="1" x14ac:dyDescent="0.25">
      <c r="A133" s="65"/>
      <c r="B133" s="65"/>
      <c r="C133" s="65"/>
      <c r="D133" s="65"/>
      <c r="E133" s="65"/>
      <c r="F133" s="65"/>
      <c r="G133" s="65"/>
      <c r="H133" s="65"/>
      <c r="I133" s="1031" t="s">
        <v>957</v>
      </c>
      <c r="J133" s="1031"/>
      <c r="K133" s="1031"/>
      <c r="L133" s="1031"/>
      <c r="M133" s="680"/>
      <c r="N133" s="680"/>
      <c r="O133" s="65"/>
      <c r="P133" s="65"/>
      <c r="Q133" s="65"/>
      <c r="R133" s="65"/>
      <c r="S133" s="65"/>
      <c r="T133" s="65"/>
      <c r="U133" s="65"/>
      <c r="V133" s="65"/>
      <c r="W133" s="65"/>
    </row>
    <row r="134" spans="1:23" ht="15" hidden="1" customHeight="1" x14ac:dyDescent="0.25">
      <c r="A134" s="65" t="s">
        <v>673</v>
      </c>
      <c r="B134" s="65"/>
      <c r="C134" s="65"/>
      <c r="D134" s="65"/>
      <c r="E134" s="65"/>
      <c r="F134" s="65"/>
      <c r="G134" s="65"/>
      <c r="H134" s="65"/>
      <c r="I134" s="65"/>
      <c r="J134" s="65"/>
      <c r="K134" s="65" t="s">
        <v>380</v>
      </c>
      <c r="L134" s="65"/>
      <c r="M134" s="65"/>
      <c r="N134" s="65"/>
      <c r="O134" s="65"/>
      <c r="P134" s="65"/>
      <c r="Q134" s="65"/>
      <c r="R134" s="65"/>
      <c r="S134" s="65"/>
      <c r="T134" s="65"/>
      <c r="U134" s="65"/>
      <c r="V134" s="65"/>
      <c r="W134" s="65"/>
    </row>
    <row r="135" spans="1:23" ht="33" customHeight="1" x14ac:dyDescent="0.25">
      <c r="A135" s="1032" t="s">
        <v>881</v>
      </c>
      <c r="B135" s="1032" t="s">
        <v>130</v>
      </c>
      <c r="C135" s="1033" t="s">
        <v>718</v>
      </c>
      <c r="D135" s="1034"/>
      <c r="E135" s="1034"/>
      <c r="F135" s="1034"/>
      <c r="G135" s="1034"/>
      <c r="H135" s="1034"/>
      <c r="I135" s="1034"/>
      <c r="J135" s="1034"/>
      <c r="K135" s="1034"/>
      <c r="L135" s="42" t="s">
        <v>480</v>
      </c>
      <c r="M135" s="534" t="s">
        <v>33</v>
      </c>
      <c r="N135" s="369" t="s">
        <v>655</v>
      </c>
      <c r="O135" s="65"/>
      <c r="P135" s="65"/>
      <c r="Q135" s="65"/>
      <c r="R135" s="65"/>
      <c r="S135" s="65"/>
      <c r="T135" s="65"/>
      <c r="U135" s="65"/>
      <c r="V135" s="65"/>
      <c r="W135" s="65"/>
    </row>
    <row r="136" spans="1:23" ht="15.4" customHeight="1" x14ac:dyDescent="0.25">
      <c r="A136" s="1032"/>
      <c r="B136" s="1032"/>
      <c r="C136" s="17" t="s">
        <v>391</v>
      </c>
      <c r="D136" s="17">
        <v>50</v>
      </c>
      <c r="E136" s="17">
        <v>100</v>
      </c>
      <c r="F136" s="17">
        <v>200</v>
      </c>
      <c r="G136" s="17">
        <v>500</v>
      </c>
      <c r="H136" s="402">
        <v>1000</v>
      </c>
      <c r="I136" s="402">
        <v>2000</v>
      </c>
      <c r="J136" s="402">
        <v>5000</v>
      </c>
      <c r="K136" s="402">
        <v>8000</v>
      </c>
      <c r="L136" s="42">
        <f>$C$1</f>
        <v>873441780</v>
      </c>
      <c r="M136" s="534">
        <f>IF(L136&lt;D136,15,IF(L136&gt;K136,K136,HLOOKUP(L136,D136:K136,1)))</f>
        <v>8000</v>
      </c>
      <c r="N136" s="369">
        <f>IF(L136&lt;15,15,IF(L136&lt;50,50,IF(L136&gt;K136,K136,INDEX(D136:K136,MATCH(L136,D136:K136,1)+1))))</f>
        <v>8000</v>
      </c>
      <c r="O136" s="65"/>
      <c r="P136" s="65"/>
      <c r="Q136" s="65"/>
      <c r="R136" s="65"/>
      <c r="S136" s="65"/>
      <c r="T136" s="65"/>
      <c r="U136" s="65"/>
      <c r="V136" s="65"/>
      <c r="W136" s="65"/>
    </row>
    <row r="137" spans="1:23" ht="16.350000000000001" customHeight="1" x14ac:dyDescent="0.25">
      <c r="A137" s="1050" t="s">
        <v>867</v>
      </c>
      <c r="B137" s="1051"/>
      <c r="C137" s="1051"/>
      <c r="D137" s="1051"/>
      <c r="E137" s="1051"/>
      <c r="F137" s="1051"/>
      <c r="G137" s="1051"/>
      <c r="H137" s="1051"/>
      <c r="I137" s="1051"/>
      <c r="J137" s="1051"/>
      <c r="K137" s="1052"/>
      <c r="L137" s="495"/>
      <c r="M137" s="495"/>
      <c r="N137" s="495"/>
      <c r="O137" s="65"/>
      <c r="P137" s="65"/>
      <c r="Q137" s="65"/>
      <c r="R137" s="65"/>
      <c r="S137" s="65"/>
      <c r="T137" s="65"/>
      <c r="U137" s="65"/>
      <c r="V137" s="65"/>
      <c r="W137" s="65"/>
    </row>
    <row r="138" spans="1:23" ht="15.4" customHeight="1" x14ac:dyDescent="0.25">
      <c r="A138" s="409" t="s">
        <v>951</v>
      </c>
      <c r="B138" s="495" t="str">
        <f t="shared" ref="B138:B142" si="11">B48</f>
        <v>Công trình dân dụng</v>
      </c>
      <c r="C138" s="502">
        <v>0.16500000000000001</v>
      </c>
      <c r="D138" s="502">
        <v>0.11</v>
      </c>
      <c r="E138" s="502">
        <v>8.5000000000000006E-2</v>
      </c>
      <c r="F138" s="502">
        <v>6.5000000000000002E-2</v>
      </c>
      <c r="G138" s="502">
        <v>0.05</v>
      </c>
      <c r="H138" s="502">
        <v>4.1000000000000002E-2</v>
      </c>
      <c r="I138" s="502">
        <v>2.9000000000000001E-2</v>
      </c>
      <c r="J138" s="502">
        <v>2.1999999999999999E-2</v>
      </c>
      <c r="K138" s="502">
        <v>1.9E-2</v>
      </c>
      <c r="L138" s="1">
        <f t="shared" ref="L138:L142" si="12">IF(N$46=M$46,M138,ROUND(M138-((M138-N138)/(N$46-M$46))*(L$46-M$46),3))</f>
        <v>1.9E-2</v>
      </c>
      <c r="M138" s="491">
        <f>IF(M$46=15,C138,HLOOKUP($M$46,$D$46:$K$64,3,TRUE))</f>
        <v>1.9E-2</v>
      </c>
      <c r="N138" s="350">
        <f>IF(N$46=15,C138,HLOOKUP($N$46,$D$46:$K$64,3,TRUE))</f>
        <v>1.9E-2</v>
      </c>
      <c r="O138" s="65"/>
      <c r="P138" s="65"/>
      <c r="Q138" s="65"/>
      <c r="R138" s="65"/>
      <c r="S138" s="65"/>
      <c r="T138" s="65"/>
      <c r="U138" s="65"/>
      <c r="V138" s="65"/>
      <c r="W138" s="65"/>
    </row>
    <row r="139" spans="1:23" ht="15.4" customHeight="1" x14ac:dyDescent="0.25">
      <c r="A139" s="409" t="s">
        <v>46</v>
      </c>
      <c r="B139" s="495" t="str">
        <f t="shared" si="11"/>
        <v>Công trình công nghiệp</v>
      </c>
      <c r="C139" s="502">
        <v>0.19</v>
      </c>
      <c r="D139" s="502">
        <v>0.126</v>
      </c>
      <c r="E139" s="502">
        <v>9.7000000000000003E-2</v>
      </c>
      <c r="F139" s="502">
        <v>7.4999999999999997E-2</v>
      </c>
      <c r="G139" s="502">
        <v>5.8000000000000003E-2</v>
      </c>
      <c r="H139" s="502">
        <v>4.3999999999999997E-2</v>
      </c>
      <c r="I139" s="502">
        <v>3.5000000000000003E-2</v>
      </c>
      <c r="J139" s="502">
        <v>2.5999999999999999E-2</v>
      </c>
      <c r="K139" s="502">
        <v>2.1999999999999999E-2</v>
      </c>
      <c r="L139" s="1">
        <f t="shared" si="12"/>
        <v>2.1999999999999999E-2</v>
      </c>
      <c r="M139" s="491">
        <f>IF(M$46=15,C139,HLOOKUP($M$46,$D$46:$K$64,4,TRUE))</f>
        <v>2.1999999999999999E-2</v>
      </c>
      <c r="N139" s="350">
        <f>IF(N$46=15,C139,HLOOKUP($N$46,$D$46:$K$64,4,TRUE))</f>
        <v>2.1999999999999999E-2</v>
      </c>
      <c r="O139" s="65"/>
      <c r="P139" s="65"/>
      <c r="Q139" s="65"/>
      <c r="R139" s="65"/>
      <c r="S139" s="65"/>
      <c r="T139" s="65"/>
      <c r="U139" s="65"/>
      <c r="V139" s="65"/>
      <c r="W139" s="65"/>
    </row>
    <row r="140" spans="1:23" ht="15.4" customHeight="1" x14ac:dyDescent="0.25">
      <c r="A140" s="409" t="s">
        <v>404</v>
      </c>
      <c r="B140" s="495" t="str">
        <f t="shared" si="11"/>
        <v>Công trình giao thông</v>
      </c>
      <c r="C140" s="502">
        <v>0.109</v>
      </c>
      <c r="D140" s="502">
        <v>7.1999999999999995E-2</v>
      </c>
      <c r="E140" s="502">
        <v>5.5E-2</v>
      </c>
      <c r="F140" s="502">
        <v>4.2999999999999997E-2</v>
      </c>
      <c r="G140" s="502">
        <v>3.3000000000000002E-2</v>
      </c>
      <c r="H140" s="502">
        <v>2.5000000000000001E-2</v>
      </c>
      <c r="I140" s="502">
        <v>2.1000000000000001E-2</v>
      </c>
      <c r="J140" s="502">
        <v>1.6E-2</v>
      </c>
      <c r="K140" s="502">
        <v>1.4E-2</v>
      </c>
      <c r="L140" s="1">
        <f t="shared" si="12"/>
        <v>1.4E-2</v>
      </c>
      <c r="M140" s="491">
        <f>IF(M$46=15,C140,HLOOKUP($M$46,$D$46:$K$64,5,TRUE))</f>
        <v>1.4E-2</v>
      </c>
      <c r="N140" s="350">
        <f>IF(N$46=15,C140,HLOOKUP($N$46,$D$46:$K$64,5,TRUE))</f>
        <v>1.4E-2</v>
      </c>
      <c r="O140" s="65"/>
      <c r="P140" s="65"/>
      <c r="Q140" s="65"/>
      <c r="R140" s="65"/>
      <c r="S140" s="65"/>
      <c r="T140" s="65"/>
      <c r="U140" s="65"/>
      <c r="V140" s="65"/>
      <c r="W140" s="65"/>
    </row>
    <row r="141" spans="1:23" ht="30.6" customHeight="1" x14ac:dyDescent="0.25">
      <c r="A141" s="409" t="s">
        <v>776</v>
      </c>
      <c r="B141" s="681" t="str">
        <f t="shared" si="11"/>
        <v>Công trình nông nghiệp và phát triển nông thôn</v>
      </c>
      <c r="C141" s="502">
        <v>0.121</v>
      </c>
      <c r="D141" s="502">
        <v>0.08</v>
      </c>
      <c r="E141" s="502">
        <v>6.0999999999999999E-2</v>
      </c>
      <c r="F141" s="502">
        <v>4.8000000000000001E-2</v>
      </c>
      <c r="G141" s="502">
        <v>3.6999999999999998E-2</v>
      </c>
      <c r="H141" s="502">
        <v>2.8000000000000001E-2</v>
      </c>
      <c r="I141" s="502">
        <v>2.3E-2</v>
      </c>
      <c r="J141" s="502">
        <v>1.7000000000000001E-2</v>
      </c>
      <c r="K141" s="502">
        <v>1.4E-2</v>
      </c>
      <c r="L141" s="1">
        <f t="shared" si="12"/>
        <v>1.4999999999999999E-2</v>
      </c>
      <c r="M141" s="491">
        <f>IF(M$46=15,C141,HLOOKUP($M$46,$D$46:$K$64,6,TRUE))</f>
        <v>1.4999999999999999E-2</v>
      </c>
      <c r="N141" s="350">
        <f>IF(N$46=15,C141,HLOOKUP($N$46,$D$46:$K$64,6,TRUE))</f>
        <v>1.4999999999999999E-2</v>
      </c>
      <c r="O141" s="65"/>
      <c r="P141" s="65"/>
      <c r="Q141" s="65"/>
      <c r="R141" s="65"/>
      <c r="S141" s="65"/>
      <c r="T141" s="65"/>
      <c r="U141" s="65"/>
      <c r="V141" s="65"/>
      <c r="W141" s="65"/>
    </row>
    <row r="142" spans="1:23" ht="15.4" customHeight="1" x14ac:dyDescent="0.25">
      <c r="A142" s="409" t="s">
        <v>606</v>
      </c>
      <c r="B142" s="495" t="str">
        <f t="shared" si="11"/>
        <v>Công trình hạ tầng kỹ thuật</v>
      </c>
      <c r="C142" s="502">
        <v>0.126</v>
      </c>
      <c r="D142" s="502">
        <v>8.5000000000000006E-2</v>
      </c>
      <c r="E142" s="502">
        <v>6.5000000000000002E-2</v>
      </c>
      <c r="F142" s="502">
        <v>0.05</v>
      </c>
      <c r="G142" s="502">
        <v>3.9E-2</v>
      </c>
      <c r="H142" s="502">
        <v>0.03</v>
      </c>
      <c r="I142" s="502">
        <v>2.5999999999999999E-2</v>
      </c>
      <c r="J142" s="502">
        <v>1.9E-2</v>
      </c>
      <c r="K142" s="502">
        <v>1.7000000000000001E-2</v>
      </c>
      <c r="L142" s="1">
        <f t="shared" si="12"/>
        <v>1.7000000000000001E-2</v>
      </c>
      <c r="M142" s="491">
        <f>IF(M$46=15,C142,HLOOKUP($M$46,$D$46:$K$64,7,TRUE))</f>
        <v>1.7000000000000001E-2</v>
      </c>
      <c r="N142" s="350">
        <f>IF(N$46=15,C142,HLOOKUP($N$46,$D$46:$K$64,7,TRUE))</f>
        <v>1.7000000000000001E-2</v>
      </c>
      <c r="O142" s="65"/>
      <c r="P142" s="65"/>
      <c r="Q142" s="65"/>
      <c r="R142" s="65"/>
      <c r="S142" s="65"/>
      <c r="T142" s="65"/>
      <c r="U142" s="65"/>
      <c r="V142" s="65"/>
      <c r="W142" s="65"/>
    </row>
    <row r="143" spans="1:23" ht="60" customHeight="1" x14ac:dyDescent="0.25">
      <c r="A143" s="1047" t="s">
        <v>203</v>
      </c>
      <c r="B143" s="1048"/>
      <c r="C143" s="1048"/>
      <c r="D143" s="1048"/>
      <c r="E143" s="1048"/>
      <c r="F143" s="1048"/>
      <c r="G143" s="1048"/>
      <c r="H143" s="1048"/>
      <c r="I143" s="1048"/>
      <c r="J143" s="1048"/>
      <c r="K143" s="1049"/>
      <c r="L143" s="495"/>
      <c r="M143" s="495"/>
      <c r="N143" s="495"/>
      <c r="O143" s="65"/>
      <c r="P143" s="65"/>
      <c r="Q143" s="65"/>
      <c r="R143" s="65"/>
      <c r="S143" s="65"/>
      <c r="T143" s="65"/>
      <c r="U143" s="65"/>
      <c r="V143" s="65"/>
      <c r="W143" s="65"/>
    </row>
    <row r="144" spans="1:23" ht="15.4" customHeight="1" x14ac:dyDescent="0.25">
      <c r="A144" s="409" t="s">
        <v>1271</v>
      </c>
      <c r="B144" s="495" t="str">
        <f t="shared" ref="B144:B148" si="13">B48</f>
        <v>Công trình dân dụng</v>
      </c>
      <c r="C144" s="224">
        <v>4.9500000000000002E-2</v>
      </c>
      <c r="D144" s="224">
        <v>3.3000000000000002E-2</v>
      </c>
      <c r="E144" s="224">
        <v>2.5499999999999998E-2</v>
      </c>
      <c r="F144" s="224">
        <v>1.95E-2</v>
      </c>
      <c r="G144" s="224">
        <v>1.4999999999999999E-2</v>
      </c>
      <c r="H144" s="224">
        <v>1.23E-2</v>
      </c>
      <c r="I144" s="224">
        <v>8.6999999999999994E-3</v>
      </c>
      <c r="J144" s="224">
        <v>6.6E-3</v>
      </c>
      <c r="K144" s="224">
        <v>5.7000000000000002E-3</v>
      </c>
      <c r="L144" s="488">
        <f t="shared" ref="L144:L148" si="14">IF(N$46=M$46,M144,ROUND(M144-((M144-N144)/(N$46-M$46))*(L$46-M$46),4))</f>
        <v>5.7000000000000002E-3</v>
      </c>
      <c r="M144" s="205">
        <f>IF(M$46=15,C144,HLOOKUP($M$46,$D$46:$K$64,9,TRUE))</f>
        <v>5.7000000000000002E-3</v>
      </c>
      <c r="N144" s="43">
        <f>IF(N$46=15,C144,HLOOKUP($N$46,$D$46:$K$64,9,TRUE))</f>
        <v>5.7000000000000002E-3</v>
      </c>
      <c r="O144" s="65"/>
      <c r="P144" s="65"/>
      <c r="Q144" s="65"/>
      <c r="R144" s="65"/>
      <c r="S144" s="65"/>
      <c r="T144" s="65"/>
      <c r="U144" s="65"/>
      <c r="V144" s="65"/>
      <c r="W144" s="65"/>
    </row>
    <row r="145" spans="1:23" ht="15.4" customHeight="1" x14ac:dyDescent="0.25">
      <c r="A145" s="409" t="s">
        <v>354</v>
      </c>
      <c r="B145" s="495" t="str">
        <f t="shared" si="13"/>
        <v>Công trình công nghiệp</v>
      </c>
      <c r="C145" s="224">
        <v>5.7000000000000002E-2</v>
      </c>
      <c r="D145" s="224">
        <v>3.78E-2</v>
      </c>
      <c r="E145" s="224">
        <v>2.9100000000000001E-2</v>
      </c>
      <c r="F145" s="224">
        <v>2.5499999999999998E-2</v>
      </c>
      <c r="G145" s="224">
        <v>1.7399999999999999E-2</v>
      </c>
      <c r="H145" s="224">
        <v>1.32E-2</v>
      </c>
      <c r="I145" s="224">
        <v>1.0500000000000001E-2</v>
      </c>
      <c r="J145" s="224">
        <v>7.7999999999999996E-3</v>
      </c>
      <c r="K145" s="224">
        <v>6.6E-3</v>
      </c>
      <c r="L145" s="488">
        <f t="shared" si="14"/>
        <v>6.6E-3</v>
      </c>
      <c r="M145" s="205">
        <f>IF(M$46=15,C145,HLOOKUP($M$46,$D$46:$K$64,10,TRUE))</f>
        <v>6.6E-3</v>
      </c>
      <c r="N145" s="43">
        <f>IF(N$46=15,C145,HLOOKUP($N$46,$D$46:$K$64,10,TRUE))</f>
        <v>6.6E-3</v>
      </c>
      <c r="O145" s="65"/>
      <c r="P145" s="65"/>
      <c r="Q145" s="65"/>
      <c r="R145" s="65"/>
      <c r="S145" s="65"/>
      <c r="T145" s="65"/>
      <c r="U145" s="65"/>
      <c r="V145" s="65"/>
      <c r="W145" s="65"/>
    </row>
    <row r="146" spans="1:23" ht="15.4" customHeight="1" x14ac:dyDescent="0.25">
      <c r="A146" s="409" t="s">
        <v>184</v>
      </c>
      <c r="B146" s="495" t="str">
        <f t="shared" si="13"/>
        <v>Công trình giao thông</v>
      </c>
      <c r="C146" s="224">
        <v>3.27E-2</v>
      </c>
      <c r="D146" s="224">
        <v>2.1600000000000001E-2</v>
      </c>
      <c r="E146" s="224">
        <v>1.6500000000000001E-2</v>
      </c>
      <c r="F146" s="224">
        <v>1.29E-2</v>
      </c>
      <c r="G146" s="224">
        <v>9.9000000000000008E-3</v>
      </c>
      <c r="H146" s="224">
        <v>7.4999999999999997E-3</v>
      </c>
      <c r="I146" s="224">
        <v>6.3E-3</v>
      </c>
      <c r="J146" s="224">
        <v>4.7999999999999996E-3</v>
      </c>
      <c r="K146" s="224">
        <v>4.1999999999999997E-3</v>
      </c>
      <c r="L146" s="488">
        <f t="shared" si="14"/>
        <v>4.1999999999999997E-3</v>
      </c>
      <c r="M146" s="205">
        <f>IF(M$46=15,C146,HLOOKUP($M$46,$D$46:$K$64,11,TRUE))</f>
        <v>4.1999999999999997E-3</v>
      </c>
      <c r="N146" s="43">
        <f>IF(N$46=15,C146,HLOOKUP($N$46,$D$46:$K$64,11,TRUE))</f>
        <v>4.1999999999999997E-3</v>
      </c>
      <c r="O146" s="65"/>
      <c r="P146" s="65"/>
      <c r="Q146" s="65"/>
      <c r="R146" s="65"/>
      <c r="S146" s="65"/>
      <c r="T146" s="65"/>
      <c r="U146" s="65"/>
      <c r="V146" s="65"/>
      <c r="W146" s="65"/>
    </row>
    <row r="147" spans="1:23" ht="30.6" customHeight="1" x14ac:dyDescent="0.25">
      <c r="A147" s="409" t="s">
        <v>554</v>
      </c>
      <c r="B147" s="681" t="str">
        <f t="shared" si="13"/>
        <v>Công trình nông nghiệp và phát triển nông thôn</v>
      </c>
      <c r="C147" s="224">
        <v>3.6299999999999999E-2</v>
      </c>
      <c r="D147" s="224">
        <v>2.4E-2</v>
      </c>
      <c r="E147" s="224">
        <v>1.83E-2</v>
      </c>
      <c r="F147" s="224">
        <v>1.44E-2</v>
      </c>
      <c r="G147" s="224">
        <v>1.11E-2</v>
      </c>
      <c r="H147" s="224">
        <v>8.3999999999999995E-3</v>
      </c>
      <c r="I147" s="224">
        <v>6.8999999999999999E-3</v>
      </c>
      <c r="J147" s="224">
        <v>5.1000000000000004E-3</v>
      </c>
      <c r="K147" s="224">
        <v>4.1999999999999997E-3</v>
      </c>
      <c r="L147" s="488">
        <f t="shared" si="14"/>
        <v>4.3E-3</v>
      </c>
      <c r="M147" s="205">
        <f>IF(M$46=15,C147,HLOOKUP($M$46,$D$46:$K$64,12,TRUE))</f>
        <v>4.3E-3</v>
      </c>
      <c r="N147" s="43">
        <f>IF(N$46=15,C147,HLOOKUP($N$46,$D$46:$K$64,12,TRUE))</f>
        <v>4.3E-3</v>
      </c>
      <c r="O147" s="65"/>
      <c r="P147" s="65"/>
      <c r="Q147" s="65"/>
      <c r="R147" s="65"/>
      <c r="S147" s="65"/>
      <c r="T147" s="65"/>
      <c r="U147" s="65"/>
      <c r="V147" s="65"/>
      <c r="W147" s="65"/>
    </row>
    <row r="148" spans="1:23" ht="15.4" customHeight="1" x14ac:dyDescent="0.25">
      <c r="A148" s="409" t="s">
        <v>904</v>
      </c>
      <c r="B148" s="495" t="str">
        <f t="shared" si="13"/>
        <v>Công trình hạ tầng kỹ thuật</v>
      </c>
      <c r="C148" s="224">
        <v>3.78E-2</v>
      </c>
      <c r="D148" s="224">
        <v>2.5499999999999998E-2</v>
      </c>
      <c r="E148" s="224">
        <v>1.95E-2</v>
      </c>
      <c r="F148" s="224">
        <v>1.4999999999999999E-2</v>
      </c>
      <c r="G148" s="224">
        <v>1.17E-2</v>
      </c>
      <c r="H148" s="224">
        <v>8.9999999999999993E-3</v>
      </c>
      <c r="I148" s="224">
        <v>7.8E-2</v>
      </c>
      <c r="J148" s="224">
        <v>5.7000000000000002E-3</v>
      </c>
      <c r="K148" s="224">
        <v>5.1000000000000004E-3</v>
      </c>
      <c r="L148" s="488">
        <f t="shared" si="14"/>
        <v>5.1000000000000004E-3</v>
      </c>
      <c r="M148" s="205">
        <f>IF(M$46=15,C148,HLOOKUP($M$46,$D$46:$K$64,13,TRUE))</f>
        <v>5.1000000000000004E-3</v>
      </c>
      <c r="N148" s="43">
        <f>IF(N$46=15,C148,HLOOKUP($N$46,$D$46:$K$64,13,TRUE))</f>
        <v>5.1000000000000004E-3</v>
      </c>
      <c r="O148" s="65"/>
      <c r="P148" s="65"/>
      <c r="Q148" s="65"/>
      <c r="R148" s="65"/>
      <c r="S148" s="65"/>
      <c r="T148" s="65"/>
      <c r="U148" s="65"/>
      <c r="V148" s="65"/>
      <c r="W148" s="65"/>
    </row>
    <row r="149" spans="1:23" ht="15" hidden="1" customHeight="1" x14ac:dyDescent="0.25">
      <c r="A149" s="65" t="s">
        <v>276</v>
      </c>
      <c r="B149" s="65"/>
      <c r="C149" s="65"/>
      <c r="D149" s="65"/>
      <c r="E149" s="65"/>
      <c r="F149" s="65"/>
      <c r="G149" s="65"/>
      <c r="H149" s="65"/>
      <c r="I149" s="65"/>
      <c r="J149" s="65"/>
      <c r="K149" s="65"/>
      <c r="L149" s="1">
        <f>IF(N$46=M$46,M149,ROUND(M149-((M149-N149)/(N$46-M$46))*(L$46-M$46),3))</f>
        <v>1.4999999999999999E-2</v>
      </c>
      <c r="M149" s="491">
        <f>IF(M$46=15,C149,HLOOKUP($M$46,$D$46:$K$52,6,TRUE))</f>
        <v>1.4999999999999999E-2</v>
      </c>
      <c r="N149" s="65"/>
      <c r="O149" s="65"/>
      <c r="P149" s="65"/>
      <c r="Q149" s="65"/>
      <c r="R149" s="65"/>
      <c r="S149" s="65"/>
      <c r="T149" s="65"/>
      <c r="U149" s="65"/>
      <c r="V149" s="65"/>
      <c r="W149" s="65"/>
    </row>
    <row r="150" spans="1:23" ht="15.4" customHeight="1" x14ac:dyDescent="0.25">
      <c r="A150" s="65"/>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1:23" ht="15.4" customHeight="1" x14ac:dyDescent="0.25">
      <c r="A151" s="1030" t="s">
        <v>1104</v>
      </c>
      <c r="B151" s="1030"/>
      <c r="C151" s="126"/>
      <c r="D151" s="126"/>
      <c r="E151" s="126"/>
      <c r="F151" s="126"/>
      <c r="G151" s="126"/>
      <c r="H151" s="126"/>
      <c r="I151" s="126"/>
      <c r="J151" s="126"/>
      <c r="K151" s="126"/>
      <c r="L151" s="126"/>
      <c r="M151" s="126"/>
      <c r="N151" s="126"/>
      <c r="O151" s="126"/>
      <c r="P151" s="65"/>
      <c r="Q151" s="65"/>
      <c r="R151" s="65"/>
      <c r="S151" s="65"/>
      <c r="T151" s="65"/>
      <c r="U151" s="65"/>
      <c r="V151" s="65"/>
      <c r="W151" s="65"/>
    </row>
    <row r="152" spans="1:23" ht="15.4" customHeight="1" x14ac:dyDescent="0.25">
      <c r="A152" s="65"/>
      <c r="B152" s="65"/>
      <c r="C152" s="65"/>
      <c r="D152" s="65"/>
      <c r="E152" s="65"/>
      <c r="F152" s="65"/>
      <c r="G152" s="65"/>
      <c r="H152" s="65"/>
      <c r="I152" s="1031" t="s">
        <v>957</v>
      </c>
      <c r="J152" s="1031"/>
      <c r="K152" s="1031"/>
      <c r="L152" s="1031"/>
      <c r="M152" s="680"/>
      <c r="N152" s="680"/>
      <c r="O152" s="65"/>
      <c r="P152" s="65"/>
      <c r="Q152" s="65"/>
      <c r="R152" s="65"/>
      <c r="S152" s="65"/>
      <c r="T152" s="65"/>
      <c r="U152" s="65"/>
      <c r="V152" s="65"/>
      <c r="W152" s="65"/>
    </row>
    <row r="153" spans="1:23" ht="15" hidden="1" customHeight="1" x14ac:dyDescent="0.25">
      <c r="A153" s="65" t="s">
        <v>905</v>
      </c>
      <c r="B153" s="65"/>
      <c r="C153" s="65"/>
      <c r="D153" s="65"/>
      <c r="E153" s="65"/>
      <c r="F153" s="65"/>
      <c r="G153" s="65"/>
      <c r="H153" s="65"/>
      <c r="I153" s="65"/>
      <c r="J153" s="65"/>
      <c r="K153" s="65" t="s">
        <v>380</v>
      </c>
      <c r="L153" s="65"/>
      <c r="M153" s="65"/>
      <c r="N153" s="65"/>
      <c r="O153" s="65"/>
      <c r="P153" s="65"/>
      <c r="Q153" s="65"/>
      <c r="R153" s="65"/>
      <c r="S153" s="65"/>
      <c r="T153" s="65"/>
      <c r="U153" s="65"/>
      <c r="V153" s="65"/>
      <c r="W153" s="65"/>
    </row>
    <row r="154" spans="1:23" ht="33" customHeight="1" x14ac:dyDescent="0.25">
      <c r="A154" s="1032" t="s">
        <v>881</v>
      </c>
      <c r="B154" s="1032" t="s">
        <v>130</v>
      </c>
      <c r="C154" s="1033" t="s">
        <v>718</v>
      </c>
      <c r="D154" s="1034"/>
      <c r="E154" s="1034"/>
      <c r="F154" s="1034"/>
      <c r="G154" s="1034"/>
      <c r="H154" s="1034"/>
      <c r="I154" s="1034"/>
      <c r="J154" s="1034"/>
      <c r="K154" s="1034"/>
      <c r="L154" s="42" t="s">
        <v>480</v>
      </c>
      <c r="M154" s="534" t="s">
        <v>33</v>
      </c>
      <c r="N154" s="369" t="s">
        <v>655</v>
      </c>
      <c r="O154" s="65"/>
      <c r="P154" s="65"/>
      <c r="Q154" s="65"/>
      <c r="R154" s="65"/>
      <c r="S154" s="65"/>
      <c r="T154" s="65"/>
      <c r="U154" s="65"/>
      <c r="V154" s="65"/>
      <c r="W154" s="65"/>
    </row>
    <row r="155" spans="1:23" ht="15.4" customHeight="1" x14ac:dyDescent="0.25">
      <c r="A155" s="1032"/>
      <c r="B155" s="1032"/>
      <c r="C155" s="17" t="s">
        <v>391</v>
      </c>
      <c r="D155" s="17">
        <v>50</v>
      </c>
      <c r="E155" s="17">
        <v>100</v>
      </c>
      <c r="F155" s="17">
        <v>200</v>
      </c>
      <c r="G155" s="17">
        <v>500</v>
      </c>
      <c r="H155" s="402">
        <v>1000</v>
      </c>
      <c r="I155" s="402">
        <v>2000</v>
      </c>
      <c r="J155" s="402">
        <v>5000</v>
      </c>
      <c r="K155" s="402">
        <v>8000</v>
      </c>
      <c r="L155" s="42">
        <f>$C$1</f>
        <v>873441780</v>
      </c>
      <c r="M155" s="534">
        <f>IF(L155&lt;D155,15,IF(L155&gt;K155,K155,HLOOKUP(L155,D155:K155,1)))</f>
        <v>8000</v>
      </c>
      <c r="N155" s="369">
        <f>IF(L155&lt;15,15,IF(L155&lt;50,50,IF(L155&gt;K155,K155,INDEX(D155:K155,MATCH(L155,D155:K155,1)+1))))</f>
        <v>8000</v>
      </c>
      <c r="O155" s="65"/>
      <c r="P155" s="65"/>
      <c r="Q155" s="65"/>
      <c r="R155" s="65"/>
      <c r="S155" s="65"/>
      <c r="T155" s="65"/>
      <c r="U155" s="65"/>
      <c r="V155" s="65"/>
      <c r="W155" s="65"/>
    </row>
    <row r="156" spans="1:23" ht="16.350000000000001" customHeight="1" x14ac:dyDescent="0.25">
      <c r="A156" s="1047" t="s">
        <v>1022</v>
      </c>
      <c r="B156" s="1048"/>
      <c r="C156" s="1048"/>
      <c r="D156" s="1048"/>
      <c r="E156" s="1048"/>
      <c r="F156" s="1048"/>
      <c r="G156" s="1048"/>
      <c r="H156" s="1048"/>
      <c r="I156" s="1048"/>
      <c r="J156" s="1048"/>
      <c r="K156" s="1049"/>
      <c r="L156" s="495"/>
      <c r="M156" s="495"/>
      <c r="N156" s="495"/>
      <c r="O156" s="65"/>
      <c r="P156" s="65"/>
      <c r="Q156" s="65"/>
      <c r="R156" s="65"/>
      <c r="S156" s="65"/>
      <c r="T156" s="65"/>
      <c r="U156" s="65"/>
      <c r="V156" s="65"/>
      <c r="W156" s="65"/>
    </row>
    <row r="157" spans="1:23" ht="15.4" customHeight="1" x14ac:dyDescent="0.25">
      <c r="A157" s="409" t="s">
        <v>951</v>
      </c>
      <c r="B157" s="495" t="str">
        <f t="shared" ref="B157:B161" si="15">B48</f>
        <v>Công trình dân dụng</v>
      </c>
      <c r="C157" s="502">
        <v>0.16</v>
      </c>
      <c r="D157" s="502">
        <v>0.106</v>
      </c>
      <c r="E157" s="502">
        <v>8.3000000000000004E-2</v>
      </c>
      <c r="F157" s="502">
        <v>6.2E-2</v>
      </c>
      <c r="G157" s="502">
        <v>4.5999999999999999E-2</v>
      </c>
      <c r="H157" s="502">
        <v>3.7999999999999999E-2</v>
      </c>
      <c r="I157" s="502">
        <v>2.8000000000000001E-2</v>
      </c>
      <c r="J157" s="502">
        <v>2.1000000000000001E-2</v>
      </c>
      <c r="K157" s="502">
        <v>1.7999999999999999E-2</v>
      </c>
      <c r="L157" s="1">
        <f t="shared" ref="L157:L161" si="16">IF(N$71=M$71,M157,ROUND(M157-((M157-N157)/(N$71-M$71))*(L$71-M$71),3))</f>
        <v>1.7999999999999999E-2</v>
      </c>
      <c r="M157" s="491">
        <f>IF(M$71=15,C157,HLOOKUP($M$71,$D$71:$K$83,3,TRUE))</f>
        <v>1.7999999999999999E-2</v>
      </c>
      <c r="N157" s="350">
        <f>IF(N$71=15,C157,HLOOKUP($N$71,$D$71:$K$83,3,TRUE))</f>
        <v>1.7999999999999999E-2</v>
      </c>
      <c r="O157" s="65"/>
      <c r="P157" s="65"/>
      <c r="Q157" s="65"/>
      <c r="R157" s="65"/>
      <c r="S157" s="65"/>
      <c r="T157" s="65"/>
      <c r="U157" s="65"/>
      <c r="V157" s="65"/>
      <c r="W157" s="65"/>
    </row>
    <row r="158" spans="1:23" ht="15.4" customHeight="1" x14ac:dyDescent="0.25">
      <c r="A158" s="409" t="s">
        <v>46</v>
      </c>
      <c r="B158" s="495" t="str">
        <f t="shared" si="15"/>
        <v>Công trình công nghiệp</v>
      </c>
      <c r="C158" s="502">
        <v>0.185</v>
      </c>
      <c r="D158" s="502">
        <v>0.121</v>
      </c>
      <c r="E158" s="502">
        <v>9.4E-2</v>
      </c>
      <c r="F158" s="502">
        <v>7.1999999999999995E-2</v>
      </c>
      <c r="G158" s="502">
        <v>5.5E-2</v>
      </c>
      <c r="H158" s="502">
        <v>4.1000000000000002E-2</v>
      </c>
      <c r="I158" s="502">
        <v>3.3000000000000002E-2</v>
      </c>
      <c r="J158" s="502">
        <v>2.3E-2</v>
      </c>
      <c r="K158" s="502">
        <v>0.02</v>
      </c>
      <c r="L158" s="1">
        <f t="shared" si="16"/>
        <v>0.02</v>
      </c>
      <c r="M158" s="491">
        <f>IF(M$71=15,C158,HLOOKUP($M$71,$D$71:$K$83,4,TRUE))</f>
        <v>0.02</v>
      </c>
      <c r="N158" s="350">
        <f>IF(N$71=15,C158,HLOOKUP($N$71,$D$71:$K$83,4,TRUE))</f>
        <v>0.02</v>
      </c>
      <c r="O158" s="65"/>
      <c r="P158" s="65"/>
      <c r="Q158" s="65"/>
      <c r="R158" s="65"/>
      <c r="S158" s="65"/>
      <c r="T158" s="65"/>
      <c r="U158" s="65"/>
      <c r="V158" s="65"/>
      <c r="W158" s="65"/>
    </row>
    <row r="159" spans="1:23" ht="15.4" customHeight="1" x14ac:dyDescent="0.25">
      <c r="A159" s="409" t="s">
        <v>404</v>
      </c>
      <c r="B159" s="495" t="str">
        <f t="shared" si="15"/>
        <v>Công trình giao thông</v>
      </c>
      <c r="C159" s="502">
        <v>0.106</v>
      </c>
      <c r="D159" s="502">
        <v>6.8000000000000005E-2</v>
      </c>
      <c r="E159" s="502">
        <v>5.3999999999999999E-2</v>
      </c>
      <c r="F159" s="502">
        <v>4.1000000000000002E-2</v>
      </c>
      <c r="G159" s="502">
        <v>3.1E-2</v>
      </c>
      <c r="H159" s="502">
        <v>2.4E-2</v>
      </c>
      <c r="I159" s="502">
        <v>0.02</v>
      </c>
      <c r="J159" s="502">
        <v>1.4E-2</v>
      </c>
      <c r="K159" s="502">
        <v>1.2E-2</v>
      </c>
      <c r="L159" s="1">
        <f t="shared" si="16"/>
        <v>1.2E-2</v>
      </c>
      <c r="M159" s="491">
        <f>IF(M$71=15,C159,HLOOKUP($M$71,$D$71:$K$83,5,TRUE))</f>
        <v>1.2E-2</v>
      </c>
      <c r="N159" s="350">
        <f>IF(N$71=15,C159,HLOOKUP($N$71,$D$71:$K$83,5,TRUE))</f>
        <v>1.2E-2</v>
      </c>
      <c r="O159" s="65"/>
      <c r="P159" s="65"/>
      <c r="Q159" s="65"/>
      <c r="R159" s="65"/>
      <c r="S159" s="65"/>
      <c r="T159" s="65"/>
      <c r="U159" s="65"/>
      <c r="V159" s="65"/>
      <c r="W159" s="65"/>
    </row>
    <row r="160" spans="1:23" ht="30.6" customHeight="1" x14ac:dyDescent="0.25">
      <c r="A160" s="409" t="s">
        <v>776</v>
      </c>
      <c r="B160" s="681" t="str">
        <f t="shared" si="15"/>
        <v>Công trình nông nghiệp và phát triển nông thôn</v>
      </c>
      <c r="C160" s="502">
        <v>0.11700000000000001</v>
      </c>
      <c r="D160" s="502">
        <v>7.5999999999999998E-2</v>
      </c>
      <c r="E160" s="502">
        <v>0.06</v>
      </c>
      <c r="F160" s="502">
        <v>4.5999999999999999E-2</v>
      </c>
      <c r="G160" s="502">
        <v>3.5000000000000003E-2</v>
      </c>
      <c r="H160" s="502">
        <v>2.5999999999999999E-2</v>
      </c>
      <c r="I160" s="502">
        <v>2.1999999999999999E-2</v>
      </c>
      <c r="J160" s="502">
        <v>1.6E-2</v>
      </c>
      <c r="K160" s="502">
        <v>1.4E-2</v>
      </c>
      <c r="L160" s="555">
        <f t="shared" si="16"/>
        <v>1.4E-2</v>
      </c>
      <c r="M160" s="491">
        <f>IF(M$71=15,C160,HLOOKUP($M$71,$D$71:$K$83,6,TRUE))</f>
        <v>1.4E-2</v>
      </c>
      <c r="N160" s="350">
        <f>IF(N$71=15,C160,HLOOKUP($N$71,$D$71:$K$83,6,TRUE))</f>
        <v>1.4E-2</v>
      </c>
      <c r="O160" s="65"/>
      <c r="P160" s="65"/>
      <c r="Q160" s="65"/>
      <c r="R160" s="65"/>
      <c r="S160" s="65"/>
      <c r="T160" s="65"/>
      <c r="U160" s="65"/>
      <c r="V160" s="65"/>
      <c r="W160" s="65"/>
    </row>
    <row r="161" spans="1:23" ht="15.4" customHeight="1" x14ac:dyDescent="0.25">
      <c r="A161" s="409" t="s">
        <v>606</v>
      </c>
      <c r="B161" s="495" t="str">
        <f t="shared" si="15"/>
        <v>Công trình hạ tầng kỹ thuật</v>
      </c>
      <c r="C161" s="502">
        <v>0.122</v>
      </c>
      <c r="D161" s="502">
        <v>8.2000000000000003E-2</v>
      </c>
      <c r="E161" s="502">
        <v>6.2E-2</v>
      </c>
      <c r="F161" s="502">
        <v>4.7E-2</v>
      </c>
      <c r="G161" s="502">
        <v>3.6999999999999998E-2</v>
      </c>
      <c r="H161" s="502">
        <v>2.9000000000000001E-2</v>
      </c>
      <c r="I161" s="502">
        <v>2.4E-2</v>
      </c>
      <c r="J161" s="502">
        <v>1.7000000000000001E-2</v>
      </c>
      <c r="K161" s="502">
        <v>1.4E-2</v>
      </c>
      <c r="L161" s="1">
        <f t="shared" si="16"/>
        <v>1.4999999999999999E-2</v>
      </c>
      <c r="M161" s="491">
        <f>IF(M$71=15,C161,HLOOKUP($M$71,$D$71:$K$83,7,TRUE))</f>
        <v>1.4999999999999999E-2</v>
      </c>
      <c r="N161" s="350">
        <f>IF(N$71=15,C161,HLOOKUP($N$71,$D$71:$K$83,7,TRUE))</f>
        <v>1.4999999999999999E-2</v>
      </c>
      <c r="O161" s="65"/>
      <c r="P161" s="65"/>
      <c r="Q161" s="65"/>
      <c r="R161" s="65"/>
      <c r="S161" s="65"/>
      <c r="T161" s="65"/>
      <c r="U161" s="65"/>
      <c r="V161" s="65"/>
      <c r="W161" s="65"/>
    </row>
    <row r="162" spans="1:23" ht="72" customHeight="1" x14ac:dyDescent="0.25">
      <c r="A162" s="1047" t="s">
        <v>853</v>
      </c>
      <c r="B162" s="1048"/>
      <c r="C162" s="1048"/>
      <c r="D162" s="1048"/>
      <c r="E162" s="1048"/>
      <c r="F162" s="1048"/>
      <c r="G162" s="1048"/>
      <c r="H162" s="1048"/>
      <c r="I162" s="1048"/>
      <c r="J162" s="1048"/>
      <c r="K162" s="1049"/>
      <c r="L162" s="495"/>
      <c r="M162" s="495"/>
      <c r="N162" s="495"/>
      <c r="O162" s="65"/>
      <c r="P162" s="65"/>
      <c r="Q162" s="65"/>
      <c r="R162" s="65"/>
      <c r="S162" s="65"/>
      <c r="T162" s="65"/>
      <c r="U162" s="65"/>
      <c r="V162" s="65"/>
      <c r="W162" s="65"/>
    </row>
    <row r="163" spans="1:23" ht="15.4" customHeight="1" x14ac:dyDescent="0.25">
      <c r="A163" s="409" t="s">
        <v>1271</v>
      </c>
      <c r="B163" s="495" t="str">
        <f t="shared" ref="B163:B167" si="17">B48</f>
        <v>Công trình dân dụng</v>
      </c>
      <c r="C163" s="224">
        <v>4.8000000000000001E-2</v>
      </c>
      <c r="D163" s="224">
        <v>3.1800000000000002E-2</v>
      </c>
      <c r="E163" s="224">
        <v>2.4899999999999999E-2</v>
      </c>
      <c r="F163" s="224">
        <v>1.8599999999999998E-2</v>
      </c>
      <c r="G163" s="224">
        <v>1.38E-2</v>
      </c>
      <c r="H163" s="224">
        <v>1.14E-2</v>
      </c>
      <c r="I163" s="224">
        <v>8.3999999999999995E-3</v>
      </c>
      <c r="J163" s="224">
        <v>6.3E-3</v>
      </c>
      <c r="K163" s="224">
        <v>5.4000000000000003E-3</v>
      </c>
      <c r="L163" s="488">
        <f t="shared" ref="L163:L167" si="18">IF(N$71=M$71,M163,ROUND(M163-((M163-N163)/(N$71-M$71))*(L$71-M$71),4))</f>
        <v>5.4000000000000003E-3</v>
      </c>
      <c r="M163" s="205">
        <f>IF(M$71=15,C163,HLOOKUP($M$71,$D$71:$K$83,9,TRUE))</f>
        <v>5.4000000000000003E-3</v>
      </c>
      <c r="N163" s="43">
        <f>IF(N$71=15,C163,HLOOKUP($N$71,$D$71:$K$83,9,TRUE))</f>
        <v>5.4000000000000003E-3</v>
      </c>
      <c r="O163" s="65"/>
      <c r="P163" s="65"/>
      <c r="Q163" s="65"/>
      <c r="R163" s="65"/>
      <c r="S163" s="65"/>
      <c r="T163" s="65"/>
      <c r="U163" s="65"/>
      <c r="V163" s="65"/>
      <c r="W163" s="65"/>
    </row>
    <row r="164" spans="1:23" ht="15.4" customHeight="1" x14ac:dyDescent="0.25">
      <c r="A164" s="409" t="s">
        <v>354</v>
      </c>
      <c r="B164" s="495" t="str">
        <f t="shared" si="17"/>
        <v>Công trình công nghiệp</v>
      </c>
      <c r="C164" s="224">
        <v>5.5500000000000001E-2</v>
      </c>
      <c r="D164" s="224">
        <v>3.6299999999999999E-2</v>
      </c>
      <c r="E164" s="224">
        <v>2.8199999999999999E-2</v>
      </c>
      <c r="F164" s="224">
        <v>2.1600000000000001E-2</v>
      </c>
      <c r="G164" s="224">
        <v>1.6500000000000001E-2</v>
      </c>
      <c r="H164" s="224">
        <v>1.23E-2</v>
      </c>
      <c r="I164" s="224">
        <v>9.9000000000000008E-3</v>
      </c>
      <c r="J164" s="224">
        <v>6.8999999999999999E-3</v>
      </c>
      <c r="K164" s="224">
        <v>6.0000000000000001E-3</v>
      </c>
      <c r="L164" s="488">
        <f t="shared" si="18"/>
        <v>6.0000000000000001E-3</v>
      </c>
      <c r="M164" s="205">
        <f>IF(M$71=15,C164,HLOOKUP($M$71,$D$71:$K$83,10,TRUE))</f>
        <v>6.0000000000000001E-3</v>
      </c>
      <c r="N164" s="43">
        <f>IF(N$71=15,C164,HLOOKUP($N$71,$D$71:$K$83,10,TRUE))</f>
        <v>6.0000000000000001E-3</v>
      </c>
      <c r="O164" s="65"/>
      <c r="P164" s="65"/>
      <c r="Q164" s="65"/>
      <c r="R164" s="65"/>
      <c r="S164" s="65"/>
      <c r="T164" s="65"/>
      <c r="U164" s="65"/>
      <c r="V164" s="65"/>
      <c r="W164" s="65"/>
    </row>
    <row r="165" spans="1:23" ht="15.4" customHeight="1" x14ac:dyDescent="0.25">
      <c r="A165" s="409" t="s">
        <v>184</v>
      </c>
      <c r="B165" s="495" t="str">
        <f t="shared" si="17"/>
        <v>Công trình giao thông</v>
      </c>
      <c r="C165" s="224">
        <v>3.1800000000000002E-2</v>
      </c>
      <c r="D165" s="224">
        <v>2.0400000000000001E-2</v>
      </c>
      <c r="E165" s="224">
        <v>1.6199999999999999E-2</v>
      </c>
      <c r="F165" s="224">
        <v>1.23E-2</v>
      </c>
      <c r="G165" s="224">
        <v>9.2999999999999992E-3</v>
      </c>
      <c r="H165" s="224">
        <v>7.1999999999999998E-3</v>
      </c>
      <c r="I165" s="224">
        <v>6.0000000000000001E-3</v>
      </c>
      <c r="J165" s="224">
        <v>4.1999999999999997E-3</v>
      </c>
      <c r="K165" s="224">
        <v>3.5999999999999999E-3</v>
      </c>
      <c r="L165" s="488">
        <f t="shared" si="18"/>
        <v>3.5999999999999999E-3</v>
      </c>
      <c r="M165" s="205">
        <f>IF(M$71=15,C165,HLOOKUP($M$71,$D$71:$K$83,11,TRUE))</f>
        <v>3.5999999999999999E-3</v>
      </c>
      <c r="N165" s="43">
        <f>IF(N$71=15,C165,HLOOKUP($N$71,$D$71:$K$83,11,TRUE))</f>
        <v>3.5999999999999999E-3</v>
      </c>
      <c r="O165" s="65"/>
      <c r="P165" s="65"/>
      <c r="Q165" s="65"/>
      <c r="R165" s="65"/>
      <c r="S165" s="65"/>
      <c r="T165" s="65"/>
      <c r="U165" s="65"/>
      <c r="V165" s="65"/>
      <c r="W165" s="65"/>
    </row>
    <row r="166" spans="1:23" ht="30.6" customHeight="1" x14ac:dyDescent="0.25">
      <c r="A166" s="409" t="s">
        <v>554</v>
      </c>
      <c r="B166" s="681" t="str">
        <f t="shared" si="17"/>
        <v>Công trình nông nghiệp và phát triển nông thôn</v>
      </c>
      <c r="C166" s="224">
        <v>3.5099999999999999E-2</v>
      </c>
      <c r="D166" s="224">
        <v>2.2800000000000001E-2</v>
      </c>
      <c r="E166" s="224">
        <v>1.7999999999999999E-2</v>
      </c>
      <c r="F166" s="224">
        <v>1.38E-2</v>
      </c>
      <c r="G166" s="224">
        <v>1.0500000000000001E-2</v>
      </c>
      <c r="H166" s="224">
        <v>7.7999999999999996E-3</v>
      </c>
      <c r="I166" s="224">
        <v>6.6E-3</v>
      </c>
      <c r="J166" s="224">
        <v>4.7999999999999996E-3</v>
      </c>
      <c r="K166" s="224">
        <v>4.1999999999999997E-3</v>
      </c>
      <c r="L166" s="488">
        <f t="shared" si="18"/>
        <v>4.1999999999999997E-3</v>
      </c>
      <c r="M166" s="205">
        <f>IF(M$71=15,C166,HLOOKUP($M$71,$D$71:$K$83,12,TRUE))</f>
        <v>4.1999999999999997E-3</v>
      </c>
      <c r="N166" s="43">
        <f>IF(N$71=15,C166,HLOOKUP($N$71,$D$71:$K$83,12,TRUE))</f>
        <v>4.1999999999999997E-3</v>
      </c>
      <c r="O166" s="65"/>
      <c r="P166" s="65"/>
      <c r="Q166" s="65"/>
      <c r="R166" s="65"/>
      <c r="S166" s="65"/>
      <c r="T166" s="65"/>
      <c r="U166" s="65"/>
      <c r="V166" s="65"/>
      <c r="W166" s="65"/>
    </row>
    <row r="167" spans="1:23" ht="15.4" customHeight="1" x14ac:dyDescent="0.25">
      <c r="A167" s="409" t="s">
        <v>904</v>
      </c>
      <c r="B167" s="495" t="str">
        <f t="shared" si="17"/>
        <v>Công trình hạ tầng kỹ thuật</v>
      </c>
      <c r="C167" s="224">
        <v>3.6600000000000001E-2</v>
      </c>
      <c r="D167" s="224">
        <v>2.46E-2</v>
      </c>
      <c r="E167" s="224">
        <v>1.8599999999999998E-2</v>
      </c>
      <c r="F167" s="224">
        <v>1.41E-2</v>
      </c>
      <c r="G167" s="224">
        <v>1.11E-2</v>
      </c>
      <c r="H167" s="224">
        <v>8.6999999999999994E-3</v>
      </c>
      <c r="I167" s="224">
        <v>7.1999999999999998E-3</v>
      </c>
      <c r="J167" s="224">
        <v>5.1000000000000004E-3</v>
      </c>
      <c r="K167" s="224">
        <v>4.1999999999999997E-3</v>
      </c>
      <c r="L167" s="488">
        <f t="shared" si="18"/>
        <v>4.3E-3</v>
      </c>
      <c r="M167" s="205">
        <f>IF(M$71=15,C167,HLOOKUP($M$71,$D$71:$K$83,13,TRUE))</f>
        <v>4.3E-3</v>
      </c>
      <c r="N167" s="43">
        <f>IF(N$71=15,C167,HLOOKUP($N$71,$D$71:$K$83,13,TRUE))</f>
        <v>4.3E-3</v>
      </c>
      <c r="O167" s="65"/>
      <c r="P167" s="65"/>
      <c r="Q167" s="65"/>
      <c r="R167" s="65"/>
      <c r="S167" s="65"/>
      <c r="T167" s="65"/>
      <c r="U167" s="65"/>
      <c r="V167" s="65"/>
      <c r="W167" s="65"/>
    </row>
    <row r="168" spans="1:23" ht="15" hidden="1" customHeight="1" x14ac:dyDescent="0.25">
      <c r="A168" s="65" t="s">
        <v>515</v>
      </c>
      <c r="B168" s="65"/>
      <c r="C168" s="65"/>
      <c r="D168" s="65"/>
      <c r="E168" s="65"/>
      <c r="F168" s="65"/>
      <c r="G168" s="65"/>
      <c r="H168" s="65"/>
      <c r="I168" s="65"/>
      <c r="J168" s="65"/>
      <c r="K168" s="65"/>
      <c r="L168" s="65"/>
      <c r="M168" s="491">
        <f>IF(M$71=15,C168,HLOOKUP($M$71,$D$71:$K$83,2,TRUE))</f>
        <v>0</v>
      </c>
      <c r="N168" s="65"/>
      <c r="O168" s="65"/>
      <c r="P168" s="65"/>
      <c r="Q168" s="65"/>
      <c r="R168" s="65"/>
      <c r="S168" s="65"/>
      <c r="T168" s="65"/>
      <c r="U168" s="65"/>
      <c r="V168" s="65"/>
      <c r="W168" s="65"/>
    </row>
    <row r="169" spans="1:23" ht="15.4" customHeight="1" x14ac:dyDescent="0.25">
      <c r="A169" s="65"/>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1:23" ht="15.4" customHeight="1" x14ac:dyDescent="0.25">
      <c r="A170" s="65"/>
      <c r="B170" s="65"/>
      <c r="C170" s="65"/>
      <c r="D170" s="65"/>
      <c r="E170" s="65"/>
      <c r="F170" s="65"/>
      <c r="G170" s="65"/>
      <c r="H170" s="65"/>
      <c r="I170" s="65"/>
      <c r="J170" s="65"/>
      <c r="K170" s="65"/>
      <c r="L170" s="65"/>
      <c r="M170" s="65"/>
      <c r="N170" s="65"/>
      <c r="O170" s="65"/>
      <c r="P170" s="65"/>
      <c r="Q170" s="65"/>
      <c r="R170" s="65"/>
      <c r="S170" s="65"/>
      <c r="T170" s="65"/>
      <c r="U170" s="65"/>
      <c r="V170" s="65"/>
      <c r="W170" s="65"/>
    </row>
    <row r="171" spans="1:23" ht="15.4" customHeight="1" x14ac:dyDescent="0.25">
      <c r="A171" s="1031" t="s">
        <v>1174</v>
      </c>
      <c r="B171" s="1031"/>
      <c r="C171" s="1031"/>
      <c r="D171" s="1031"/>
      <c r="E171" s="1031"/>
      <c r="F171" s="1031"/>
      <c r="G171" s="1031"/>
      <c r="H171" s="1031"/>
      <c r="I171" s="1031"/>
      <c r="J171" s="1031"/>
      <c r="K171" s="1031"/>
      <c r="L171" s="1031"/>
      <c r="M171" s="1031"/>
      <c r="N171" s="1031"/>
      <c r="O171" s="65"/>
      <c r="P171" s="65"/>
      <c r="Q171" s="65"/>
      <c r="R171" s="65"/>
      <c r="S171" s="65"/>
      <c r="T171" s="65"/>
      <c r="U171" s="65"/>
      <c r="V171" s="65"/>
      <c r="W171" s="65"/>
    </row>
    <row r="172" spans="1:23" ht="15.4" customHeight="1" x14ac:dyDescent="0.25">
      <c r="A172" s="1031" t="s">
        <v>1096</v>
      </c>
      <c r="B172" s="1031"/>
      <c r="C172" s="1031"/>
      <c r="D172" s="1031"/>
      <c r="E172" s="1031"/>
      <c r="F172" s="1031"/>
      <c r="G172" s="1031"/>
      <c r="H172" s="1031"/>
      <c r="I172" s="1031"/>
      <c r="J172" s="1031"/>
      <c r="K172" s="1031"/>
      <c r="L172" s="1031"/>
      <c r="M172" s="1031"/>
      <c r="N172" s="1031"/>
      <c r="O172" s="65"/>
      <c r="P172" s="65"/>
      <c r="Q172" s="65"/>
      <c r="R172" s="65"/>
      <c r="S172" s="65"/>
      <c r="T172" s="65"/>
      <c r="U172" s="65"/>
      <c r="V172" s="65"/>
      <c r="W172" s="65"/>
    </row>
    <row r="173" spans="1:23" ht="15.4" customHeight="1" x14ac:dyDescent="0.25">
      <c r="A173" s="65"/>
      <c r="B173" s="65"/>
      <c r="C173" s="65"/>
      <c r="D173" s="65"/>
      <c r="E173" s="65"/>
      <c r="F173" s="65"/>
      <c r="G173" s="65"/>
      <c r="H173" s="65"/>
      <c r="I173" s="65"/>
      <c r="J173" s="65"/>
      <c r="K173" s="65"/>
      <c r="L173" s="65"/>
      <c r="M173" s="65"/>
      <c r="N173" s="65"/>
      <c r="O173" s="65"/>
      <c r="P173" s="65"/>
      <c r="Q173" s="65"/>
      <c r="R173" s="65"/>
      <c r="S173" s="65"/>
      <c r="T173" s="65"/>
      <c r="U173" s="65"/>
      <c r="V173" s="65"/>
      <c r="W173" s="65"/>
    </row>
    <row r="174" spans="1:23" ht="15.4" customHeight="1" x14ac:dyDescent="0.25">
      <c r="A174" s="1030" t="s">
        <v>1209</v>
      </c>
      <c r="B174" s="1030"/>
      <c r="C174" s="1030"/>
      <c r="D174" s="1030"/>
      <c r="E174" s="1030"/>
      <c r="F174" s="1030"/>
      <c r="G174" s="1030"/>
      <c r="H174" s="65"/>
      <c r="I174" s="65"/>
      <c r="J174" s="65"/>
      <c r="K174" s="65"/>
      <c r="L174" s="65"/>
      <c r="M174" s="65"/>
      <c r="N174" s="65"/>
      <c r="O174" s="65"/>
      <c r="P174" s="65"/>
      <c r="Q174" s="65"/>
      <c r="R174" s="65"/>
      <c r="S174" s="65"/>
      <c r="T174" s="65"/>
      <c r="U174" s="65"/>
      <c r="V174" s="65"/>
      <c r="W174" s="65"/>
    </row>
    <row r="175" spans="1:23" ht="15.4" customHeight="1" x14ac:dyDescent="0.25">
      <c r="A175" s="65"/>
      <c r="B175" s="65"/>
      <c r="C175" s="65"/>
      <c r="D175" s="65"/>
      <c r="E175" s="65"/>
      <c r="F175" s="65"/>
      <c r="G175" s="65"/>
      <c r="H175" s="65"/>
      <c r="I175" s="65"/>
      <c r="J175" s="65"/>
      <c r="K175" s="1027" t="s">
        <v>957</v>
      </c>
      <c r="L175" s="1027"/>
      <c r="M175" s="1027"/>
      <c r="N175" s="1027"/>
      <c r="O175" s="65"/>
      <c r="P175" s="65"/>
      <c r="Q175" s="65"/>
      <c r="R175" s="65"/>
      <c r="S175" s="65"/>
      <c r="T175" s="65"/>
      <c r="U175" s="65"/>
      <c r="V175" s="65"/>
      <c r="W175" s="65"/>
    </row>
    <row r="176" spans="1:23" ht="15" hidden="1" customHeight="1" x14ac:dyDescent="0.25">
      <c r="A176" s="65" t="s">
        <v>628</v>
      </c>
      <c r="B176" s="65"/>
      <c r="C176" s="65"/>
      <c r="D176" s="65"/>
      <c r="E176" s="65"/>
      <c r="F176" s="65"/>
      <c r="G176" s="65"/>
      <c r="H176" s="65"/>
      <c r="I176" s="65"/>
      <c r="J176" s="65"/>
      <c r="K176" s="65"/>
      <c r="L176" s="65"/>
      <c r="M176" s="65"/>
      <c r="N176" s="65" t="s">
        <v>380</v>
      </c>
      <c r="O176" s="65"/>
      <c r="P176" s="65"/>
      <c r="Q176" s="65"/>
      <c r="R176" s="65"/>
      <c r="S176" s="65"/>
      <c r="T176" s="65"/>
      <c r="U176" s="65"/>
      <c r="V176" s="65"/>
      <c r="W176" s="65"/>
    </row>
    <row r="177" spans="1:23" ht="15.4" customHeight="1" x14ac:dyDescent="0.25">
      <c r="A177" s="1028" t="s">
        <v>881</v>
      </c>
      <c r="B177" s="1028" t="s">
        <v>130</v>
      </c>
      <c r="C177" s="1028" t="s">
        <v>1262</v>
      </c>
      <c r="D177" s="1028"/>
      <c r="E177" s="1028"/>
      <c r="F177" s="1028"/>
      <c r="G177" s="1028"/>
      <c r="H177" s="1028"/>
      <c r="I177" s="1028"/>
      <c r="J177" s="1028"/>
      <c r="K177" s="1028"/>
      <c r="L177" s="1028"/>
      <c r="M177" s="1028"/>
      <c r="N177" s="1028"/>
      <c r="O177" s="740" t="s">
        <v>480</v>
      </c>
      <c r="P177" s="466" t="s">
        <v>33</v>
      </c>
      <c r="Q177" s="309" t="s">
        <v>655</v>
      </c>
      <c r="R177" s="111"/>
      <c r="S177" s="111"/>
      <c r="T177" s="111"/>
      <c r="U177" s="111"/>
      <c r="V177" s="111"/>
      <c r="W177" s="111"/>
    </row>
    <row r="178" spans="1:23" ht="15.4" customHeight="1" x14ac:dyDescent="0.25">
      <c r="A178" s="1028"/>
      <c r="B178" s="1028"/>
      <c r="C178" s="482" t="s">
        <v>379</v>
      </c>
      <c r="D178" s="482">
        <v>20</v>
      </c>
      <c r="E178" s="482">
        <v>50</v>
      </c>
      <c r="F178" s="482">
        <v>100</v>
      </c>
      <c r="G178" s="482">
        <v>200</v>
      </c>
      <c r="H178" s="482">
        <v>500</v>
      </c>
      <c r="I178" s="342">
        <v>1000</v>
      </c>
      <c r="J178" s="342">
        <v>2000</v>
      </c>
      <c r="K178" s="342">
        <v>5000</v>
      </c>
      <c r="L178" s="342">
        <v>10000</v>
      </c>
      <c r="M178" s="342">
        <v>20000</v>
      </c>
      <c r="N178" s="342">
        <v>30000</v>
      </c>
      <c r="O178" s="740">
        <f>$C$1+$C$2</f>
        <v>873441780</v>
      </c>
      <c r="P178" s="466">
        <f>IF(O178&lt;D178,10,IF(O178&gt;N178,N178,HLOOKUP(O178,D178:N178,1)))</f>
        <v>30000</v>
      </c>
      <c r="Q178" s="309">
        <f>IF(O178&lt;10,10,IF(O178&lt;20,20,IF(O178&gt;N178,N178,INDEX(D178:N178,MATCH(O178,D178:N178,1)+1))))</f>
        <v>30000</v>
      </c>
      <c r="R178" s="111"/>
      <c r="S178" s="111"/>
      <c r="T178" s="111"/>
      <c r="U178" s="111"/>
      <c r="V178" s="111"/>
      <c r="W178" s="111"/>
    </row>
    <row r="179" spans="1:23" ht="15.4" customHeight="1" x14ac:dyDescent="0.25">
      <c r="A179" s="185">
        <v>1</v>
      </c>
      <c r="B179" s="297" t="str">
        <f t="shared" ref="B179:B183" si="19">B48</f>
        <v>Công trình dân dụng</v>
      </c>
      <c r="C179" s="303">
        <v>3.4460000000000002</v>
      </c>
      <c r="D179" s="303">
        <v>2.923</v>
      </c>
      <c r="E179" s="303">
        <v>2.61</v>
      </c>
      <c r="F179" s="303">
        <v>2.0169999999999999</v>
      </c>
      <c r="G179" s="303">
        <v>1.8859999999999999</v>
      </c>
      <c r="H179" s="303">
        <v>1.514</v>
      </c>
      <c r="I179" s="303">
        <v>1.2390000000000001</v>
      </c>
      <c r="J179" s="303">
        <v>0.95799999999999996</v>
      </c>
      <c r="K179" s="303">
        <v>0.71099999999999997</v>
      </c>
      <c r="L179" s="303">
        <v>0.51</v>
      </c>
      <c r="M179" s="303">
        <v>0.38100000000000001</v>
      </c>
      <c r="N179" s="303">
        <v>0.30499999999999999</v>
      </c>
      <c r="O179" s="567">
        <f t="shared" ref="O179:O183" si="20">IF(Q$178=P$178,P179,ROUND(P179-((P179-Q179)/(Q$178-P$178))*(O$178-P$178),3))</f>
        <v>0.30499999999999999</v>
      </c>
      <c r="P179" s="289">
        <f>IF(P$178=10,C179,HLOOKUP($P$178,$D$178:$N$183,2,TRUE))</f>
        <v>0.30499999999999999</v>
      </c>
      <c r="Q179" s="105">
        <f>IF(Q$178=10,C179,HLOOKUP($Q$178,$D$178:$N$183,2,TRUE))</f>
        <v>0.30499999999999999</v>
      </c>
      <c r="R179" s="111"/>
      <c r="S179" s="111"/>
      <c r="T179" s="111"/>
      <c r="U179" s="111"/>
      <c r="V179" s="111"/>
      <c r="W179" s="111"/>
    </row>
    <row r="180" spans="1:23" ht="15.4" customHeight="1" x14ac:dyDescent="0.25">
      <c r="A180" s="185">
        <v>2</v>
      </c>
      <c r="B180" s="297" t="str">
        <f t="shared" si="19"/>
        <v>Công trình công nghiệp</v>
      </c>
      <c r="C180" s="303">
        <v>3.5569999999999999</v>
      </c>
      <c r="D180" s="303">
        <v>3.0179999999999998</v>
      </c>
      <c r="E180" s="303">
        <v>2.694</v>
      </c>
      <c r="F180" s="303">
        <v>2.0819999999999999</v>
      </c>
      <c r="G180" s="303">
        <v>1.9470000000000001</v>
      </c>
      <c r="H180" s="303">
        <v>1.5640000000000001</v>
      </c>
      <c r="I180" s="303">
        <v>1.2789999999999999</v>
      </c>
      <c r="J180" s="303">
        <v>1.103</v>
      </c>
      <c r="K180" s="303">
        <v>0.73399999999999999</v>
      </c>
      <c r="L180" s="303">
        <v>0.52700000000000002</v>
      </c>
      <c r="M180" s="303">
        <v>0.39300000000000002</v>
      </c>
      <c r="N180" s="303">
        <v>0.314</v>
      </c>
      <c r="O180" s="567">
        <f t="shared" si="20"/>
        <v>0.314</v>
      </c>
      <c r="P180" s="289">
        <f>IF(P$178=10,C180,HLOOKUP($P$178,$D$178:$N$183,3,TRUE))</f>
        <v>0.314</v>
      </c>
      <c r="Q180" s="105">
        <f>IF(Q$178=10,C180,HLOOKUP($Q$178,$D$178:$N$183,3,TRUE))</f>
        <v>0.314</v>
      </c>
      <c r="R180" s="111"/>
      <c r="S180" s="111"/>
      <c r="T180" s="111"/>
      <c r="U180" s="111"/>
      <c r="V180" s="111"/>
      <c r="W180" s="111"/>
    </row>
    <row r="181" spans="1:23" ht="15.4" customHeight="1" x14ac:dyDescent="0.25">
      <c r="A181" s="185">
        <v>3</v>
      </c>
      <c r="B181" s="297" t="str">
        <f t="shared" si="19"/>
        <v>Công trình giao thông</v>
      </c>
      <c r="C181" s="303">
        <v>3.024</v>
      </c>
      <c r="D181" s="303">
        <v>2.5659999999999998</v>
      </c>
      <c r="E181" s="303">
        <v>2.2919999999999998</v>
      </c>
      <c r="F181" s="303">
        <v>1.7709999999999999</v>
      </c>
      <c r="G181" s="303">
        <v>1.655</v>
      </c>
      <c r="H181" s="303">
        <v>1.329</v>
      </c>
      <c r="I181" s="303">
        <v>1.0880000000000001</v>
      </c>
      <c r="J181" s="303">
        <v>0.93700000000000006</v>
      </c>
      <c r="K181" s="303">
        <v>0.624</v>
      </c>
      <c r="L181" s="303">
        <v>0.44800000000000001</v>
      </c>
      <c r="M181" s="303">
        <v>0.33500000000000002</v>
      </c>
      <c r="N181" s="303">
        <v>0.26800000000000002</v>
      </c>
      <c r="O181" s="567">
        <f t="shared" si="20"/>
        <v>0.26800000000000002</v>
      </c>
      <c r="P181" s="289">
        <f>IF(P$178=10,C181,HLOOKUP($P$178,$D$178:$N$183,4,TRUE))</f>
        <v>0.26800000000000002</v>
      </c>
      <c r="Q181" s="105">
        <f>IF(Q$178=10,C181,HLOOKUP($Q$178,$D$178:$N$183,4,TRUE))</f>
        <v>0.26800000000000002</v>
      </c>
      <c r="R181" s="111"/>
      <c r="S181" s="111"/>
      <c r="T181" s="111"/>
      <c r="U181" s="111"/>
      <c r="V181" s="111"/>
      <c r="W181" s="111"/>
    </row>
    <row r="182" spans="1:23" ht="15.4" customHeight="1" x14ac:dyDescent="0.25">
      <c r="A182" s="185">
        <v>4</v>
      </c>
      <c r="B182" s="297" t="str">
        <f t="shared" si="19"/>
        <v>Công trình nông nghiệp và phát triển nông thôn</v>
      </c>
      <c r="C182" s="303">
        <v>3.2629999999999999</v>
      </c>
      <c r="D182" s="303">
        <v>2.7690000000000001</v>
      </c>
      <c r="E182" s="303">
        <v>2.4729999999999999</v>
      </c>
      <c r="F182" s="303">
        <v>1.91</v>
      </c>
      <c r="G182" s="303">
        <v>1.786</v>
      </c>
      <c r="H182" s="303">
        <v>1.4339999999999999</v>
      </c>
      <c r="I182" s="303">
        <v>1.1739999999999999</v>
      </c>
      <c r="J182" s="303">
        <v>1.012</v>
      </c>
      <c r="K182" s="303">
        <v>0.67400000000000004</v>
      </c>
      <c r="L182" s="303">
        <v>0.48399999999999999</v>
      </c>
      <c r="M182" s="303">
        <v>0.36099999999999999</v>
      </c>
      <c r="N182" s="303">
        <v>0.28899999999999998</v>
      </c>
      <c r="O182" s="567">
        <f t="shared" si="20"/>
        <v>0.28899999999999998</v>
      </c>
      <c r="P182" s="289">
        <f>IF(P$178=10,C182,HLOOKUP($P$178,$D$178:$N$183,5,TRUE))</f>
        <v>0.28899999999999998</v>
      </c>
      <c r="Q182" s="105">
        <f>IF(Q$178=10,C182,HLOOKUP($Q$178,$D$178:$N$183,5,TRUE))</f>
        <v>0.28899999999999998</v>
      </c>
      <c r="R182" s="111"/>
      <c r="S182" s="111"/>
      <c r="T182" s="111"/>
      <c r="U182" s="111"/>
      <c r="V182" s="111"/>
      <c r="W182" s="111"/>
    </row>
    <row r="183" spans="1:23" ht="15.4" customHeight="1" x14ac:dyDescent="0.25">
      <c r="A183" s="185">
        <v>5</v>
      </c>
      <c r="B183" s="297" t="str">
        <f t="shared" si="19"/>
        <v>Công trình hạ tầng kỹ thuật</v>
      </c>
      <c r="C183" s="303">
        <v>2.9009999999999998</v>
      </c>
      <c r="D183" s="303">
        <v>2.4609999999999999</v>
      </c>
      <c r="E183" s="303">
        <v>2.198</v>
      </c>
      <c r="F183" s="303">
        <v>1.593</v>
      </c>
      <c r="G183" s="303">
        <v>1.56</v>
      </c>
      <c r="H183" s="303">
        <v>1.2749999999999999</v>
      </c>
      <c r="I183" s="303">
        <v>1.071</v>
      </c>
      <c r="J183" s="303">
        <v>0.89900000000000002</v>
      </c>
      <c r="K183" s="303">
        <v>0.59899999999999998</v>
      </c>
      <c r="L183" s="303">
        <v>0.42899999999999999</v>
      </c>
      <c r="M183" s="303">
        <v>0.32100000000000001</v>
      </c>
      <c r="N183" s="303">
        <v>0.25700000000000001</v>
      </c>
      <c r="O183" s="567">
        <f t="shared" si="20"/>
        <v>0.25700000000000001</v>
      </c>
      <c r="P183" s="289">
        <f>IF(P$178=10,C183,HLOOKUP($P$178,$D$178:$N$183,6,TRUE))</f>
        <v>0.25700000000000001</v>
      </c>
      <c r="Q183" s="105">
        <f>IF(Q$178=10,C183,HLOOKUP($Q$178,$D$178:$N$183,6,TRUE))</f>
        <v>0.25700000000000001</v>
      </c>
      <c r="R183" s="111"/>
      <c r="S183" s="111"/>
      <c r="T183" s="111"/>
      <c r="U183" s="111"/>
      <c r="V183" s="111"/>
      <c r="W183" s="111"/>
    </row>
    <row r="184" spans="1:23" ht="15" hidden="1" customHeight="1" x14ac:dyDescent="0.25">
      <c r="A184" s="65" t="s">
        <v>221</v>
      </c>
      <c r="B184" s="65"/>
      <c r="C184" s="65"/>
      <c r="D184" s="65"/>
      <c r="E184" s="65"/>
      <c r="F184" s="65"/>
      <c r="G184" s="65"/>
      <c r="H184" s="65"/>
      <c r="I184" s="65"/>
      <c r="J184" s="65"/>
      <c r="K184" s="65"/>
      <c r="L184" s="65"/>
      <c r="M184" s="65"/>
      <c r="N184" s="65"/>
      <c r="O184" s="65"/>
      <c r="P184" s="65"/>
      <c r="Q184" s="244"/>
      <c r="R184" s="65"/>
      <c r="S184" s="65"/>
      <c r="T184" s="65"/>
      <c r="U184" s="65"/>
      <c r="V184" s="65"/>
      <c r="W184" s="65"/>
    </row>
    <row r="185" spans="1:23" ht="15.4" customHeight="1" x14ac:dyDescent="0.25">
      <c r="A185" s="65"/>
      <c r="B185" s="65"/>
      <c r="C185" s="65"/>
      <c r="D185" s="65"/>
      <c r="E185" s="65"/>
      <c r="F185" s="65"/>
      <c r="G185" s="65"/>
      <c r="H185" s="65"/>
      <c r="I185" s="65"/>
      <c r="J185" s="65"/>
      <c r="K185" s="65"/>
      <c r="L185" s="65"/>
      <c r="M185" s="65"/>
      <c r="N185" s="65"/>
      <c r="O185" s="65"/>
      <c r="P185" s="65"/>
      <c r="Q185" s="65"/>
      <c r="R185" s="65"/>
      <c r="S185" s="65"/>
      <c r="T185" s="65"/>
      <c r="U185" s="65"/>
      <c r="V185" s="65"/>
      <c r="W185" s="65"/>
    </row>
    <row r="186" spans="1:23" ht="15.4" customHeight="1" x14ac:dyDescent="0.25">
      <c r="A186" s="1026" t="s">
        <v>432</v>
      </c>
      <c r="B186" s="1026"/>
      <c r="C186" s="1026"/>
      <c r="D186" s="1026"/>
      <c r="E186" s="1026"/>
      <c r="F186" s="1026"/>
      <c r="G186" s="1026"/>
      <c r="H186" s="65"/>
      <c r="I186" s="65"/>
      <c r="J186" s="65"/>
      <c r="K186" s="65"/>
      <c r="L186" s="65"/>
      <c r="M186" s="65"/>
      <c r="N186" s="65"/>
      <c r="O186" s="65"/>
      <c r="P186" s="65"/>
      <c r="Q186" s="65"/>
      <c r="R186" s="65"/>
      <c r="S186" s="65"/>
      <c r="T186" s="65"/>
      <c r="U186" s="65"/>
      <c r="V186" s="65"/>
      <c r="W186" s="65"/>
    </row>
    <row r="187" spans="1:23" ht="15.4" customHeight="1" x14ac:dyDescent="0.25">
      <c r="A187" s="65"/>
      <c r="B187" s="65"/>
      <c r="C187" s="65"/>
      <c r="D187" s="65"/>
      <c r="E187" s="65"/>
      <c r="F187" s="65"/>
      <c r="G187" s="65"/>
      <c r="H187" s="65"/>
      <c r="I187" s="65"/>
      <c r="J187" s="65"/>
      <c r="K187" s="1027" t="s">
        <v>957</v>
      </c>
      <c r="L187" s="1027"/>
      <c r="M187" s="1027"/>
      <c r="N187" s="1027"/>
      <c r="O187" s="65"/>
      <c r="P187" s="65"/>
      <c r="Q187" s="65"/>
      <c r="R187" s="65"/>
      <c r="S187" s="65"/>
      <c r="T187" s="65"/>
      <c r="U187" s="65"/>
      <c r="V187" s="65"/>
      <c r="W187" s="65"/>
    </row>
    <row r="188" spans="1:23" ht="15" hidden="1" customHeight="1" x14ac:dyDescent="0.25">
      <c r="A188" s="65" t="s">
        <v>19</v>
      </c>
      <c r="B188" s="65"/>
      <c r="C188" s="65"/>
      <c r="D188" s="65"/>
      <c r="E188" s="65"/>
      <c r="F188" s="65"/>
      <c r="G188" s="65"/>
      <c r="H188" s="65"/>
      <c r="I188" s="65"/>
      <c r="J188" s="65"/>
      <c r="K188" s="65"/>
      <c r="L188" s="65"/>
      <c r="M188" s="65"/>
      <c r="N188" s="65" t="s">
        <v>380</v>
      </c>
      <c r="O188" s="65"/>
      <c r="P188" s="65"/>
      <c r="Q188" s="65"/>
      <c r="R188" s="65"/>
      <c r="S188" s="65"/>
      <c r="T188" s="65"/>
      <c r="U188" s="65"/>
      <c r="V188" s="65"/>
      <c r="W188" s="65"/>
    </row>
    <row r="189" spans="1:23" ht="15.4" customHeight="1" x14ac:dyDescent="0.25">
      <c r="A189" s="1028" t="s">
        <v>881</v>
      </c>
      <c r="B189" s="1028" t="s">
        <v>130</v>
      </c>
      <c r="C189" s="1028" t="s">
        <v>1262</v>
      </c>
      <c r="D189" s="1028"/>
      <c r="E189" s="1028"/>
      <c r="F189" s="1028"/>
      <c r="G189" s="1028"/>
      <c r="H189" s="1028"/>
      <c r="I189" s="1028"/>
      <c r="J189" s="1028"/>
      <c r="K189" s="1028"/>
      <c r="L189" s="1028"/>
      <c r="M189" s="1028"/>
      <c r="N189" s="1028"/>
      <c r="O189" s="740" t="s">
        <v>480</v>
      </c>
      <c r="P189" s="466" t="s">
        <v>33</v>
      </c>
      <c r="Q189" s="309" t="s">
        <v>655</v>
      </c>
      <c r="R189" s="111"/>
      <c r="S189" s="111"/>
      <c r="T189" s="111"/>
      <c r="U189" s="111"/>
      <c r="V189" s="111"/>
      <c r="W189" s="111"/>
    </row>
    <row r="190" spans="1:23" ht="15.4" customHeight="1" x14ac:dyDescent="0.25">
      <c r="A190" s="1028"/>
      <c r="B190" s="1028"/>
      <c r="C190" s="482" t="s">
        <v>391</v>
      </c>
      <c r="D190" s="482">
        <v>20</v>
      </c>
      <c r="E190" s="482">
        <v>50</v>
      </c>
      <c r="F190" s="482">
        <v>100</v>
      </c>
      <c r="G190" s="482">
        <v>200</v>
      </c>
      <c r="H190" s="482">
        <v>500</v>
      </c>
      <c r="I190" s="342">
        <v>1000</v>
      </c>
      <c r="J190" s="342">
        <v>2000</v>
      </c>
      <c r="K190" s="342">
        <v>5000</v>
      </c>
      <c r="L190" s="342">
        <v>10000</v>
      </c>
      <c r="M190" s="342">
        <v>20000</v>
      </c>
      <c r="N190" s="342">
        <v>30000</v>
      </c>
      <c r="O190" s="740">
        <f>$C$1+$C$2</f>
        <v>873441780</v>
      </c>
      <c r="P190" s="466">
        <f>IF(O190&lt;D190,15,IF(O190&gt;N190,N190,HLOOKUP(O190,D190:N190,1)))</f>
        <v>30000</v>
      </c>
      <c r="Q190" s="309">
        <f>IF(O190&lt;15,15,IF(O190&lt;20,20,IF(O190&gt;N190,N190,INDEX(D190:N190,MATCH(O190,D190:N190,1)+1))))</f>
        <v>30000</v>
      </c>
      <c r="R190" s="111"/>
      <c r="S190" s="111"/>
      <c r="T190" s="111"/>
      <c r="U190" s="111"/>
      <c r="V190" s="111"/>
      <c r="W190" s="111"/>
    </row>
    <row r="191" spans="1:23" ht="15.4" customHeight="1" x14ac:dyDescent="0.25">
      <c r="A191" s="185">
        <v>1</v>
      </c>
      <c r="B191" s="297" t="str">
        <f t="shared" ref="B191:B195" si="21">B48</f>
        <v>Công trình dân dụng</v>
      </c>
      <c r="C191" s="303">
        <v>0.66800000000000004</v>
      </c>
      <c r="D191" s="303">
        <v>0.503</v>
      </c>
      <c r="E191" s="303">
        <v>0.376</v>
      </c>
      <c r="F191" s="303">
        <v>0.24</v>
      </c>
      <c r="G191" s="303">
        <v>0.161</v>
      </c>
      <c r="H191" s="303">
        <v>0.1</v>
      </c>
      <c r="I191" s="303">
        <v>8.5999999999999993E-2</v>
      </c>
      <c r="J191" s="303">
        <v>7.2999999999999995E-2</v>
      </c>
      <c r="K191" s="303">
        <v>0.05</v>
      </c>
      <c r="L191" s="303">
        <v>0.04</v>
      </c>
      <c r="M191" s="303">
        <v>2.5999999999999999E-2</v>
      </c>
      <c r="N191" s="303">
        <v>2.1999999999999999E-2</v>
      </c>
      <c r="O191" s="510">
        <f t="shared" ref="O191:O195" si="22">IF(Q$190=P$190,P191,ROUND(P191-((P191-Q191)/(Q$190-P$190))*(O$190-P$190),3))</f>
        <v>2.1999999999999999E-2</v>
      </c>
      <c r="P191" s="510">
        <f>IF(P$190=0,0,IF(P$190=15,C191,HLOOKUP($P$190,$D$190:$N$195,2,TRUE)))</f>
        <v>2.1999999999999999E-2</v>
      </c>
      <c r="Q191" s="510">
        <f>IF(Q$190=0,0,IF(Q$190=15,C191,HLOOKUP($Q$190,$D$190:$N$195,2,TRUE)))</f>
        <v>2.1999999999999999E-2</v>
      </c>
      <c r="R191" s="111"/>
      <c r="S191" s="111"/>
      <c r="T191" s="111"/>
      <c r="U191" s="111"/>
      <c r="V191" s="111"/>
      <c r="W191" s="111"/>
    </row>
    <row r="192" spans="1:23" ht="15.4" customHeight="1" x14ac:dyDescent="0.25">
      <c r="A192" s="185">
        <v>2</v>
      </c>
      <c r="B192" s="297" t="str">
        <f t="shared" si="21"/>
        <v>Công trình công nghiệp</v>
      </c>
      <c r="C192" s="303">
        <v>0.75700000000000001</v>
      </c>
      <c r="D192" s="303">
        <v>0.61199999999999999</v>
      </c>
      <c r="E192" s="303">
        <v>0.441</v>
      </c>
      <c r="F192" s="303">
        <v>0.29399999999999998</v>
      </c>
      <c r="G192" s="303">
        <v>0.20599999999999999</v>
      </c>
      <c r="H192" s="303">
        <v>0.16300000000000001</v>
      </c>
      <c r="I192" s="303">
        <v>0.14099999999999999</v>
      </c>
      <c r="J192" s="303">
        <v>0.11</v>
      </c>
      <c r="K192" s="303">
        <v>7.3999999999999996E-2</v>
      </c>
      <c r="L192" s="303">
        <v>5.7000000000000002E-2</v>
      </c>
      <c r="M192" s="303">
        <v>3.4000000000000002E-2</v>
      </c>
      <c r="N192" s="303">
        <v>2.7E-2</v>
      </c>
      <c r="O192" s="567">
        <f t="shared" si="22"/>
        <v>2.7E-2</v>
      </c>
      <c r="P192" s="289">
        <f>IF(P$190=0,0,IF(P$190=15,C192,HLOOKUP($P$190,$D$190:$N$195,3,TRUE)))</f>
        <v>2.7E-2</v>
      </c>
      <c r="Q192" s="105">
        <f>IF(Q$190=0,0,IF(Q$190=15,C192,HLOOKUP($Q$190,$D$190:$N$195,3,TRUE)))</f>
        <v>2.7E-2</v>
      </c>
      <c r="R192" s="111"/>
      <c r="S192" s="111"/>
      <c r="T192" s="111"/>
      <c r="U192" s="111"/>
      <c r="V192" s="111"/>
      <c r="W192" s="111"/>
    </row>
    <row r="193" spans="1:23" ht="15.4" customHeight="1" x14ac:dyDescent="0.25">
      <c r="A193" s="185">
        <v>3</v>
      </c>
      <c r="B193" s="297" t="str">
        <f t="shared" si="21"/>
        <v>Công trình giao thông</v>
      </c>
      <c r="C193" s="303">
        <v>0.41299999999999998</v>
      </c>
      <c r="D193" s="303">
        <v>0.34499999999999997</v>
      </c>
      <c r="E193" s="303">
        <v>0.251</v>
      </c>
      <c r="F193" s="303">
        <v>0.17699999999999999</v>
      </c>
      <c r="G193" s="303">
        <v>0.108</v>
      </c>
      <c r="H193" s="303">
        <v>7.0999999999999994E-2</v>
      </c>
      <c r="I193" s="303">
        <v>6.2E-2</v>
      </c>
      <c r="J193" s="303">
        <v>5.2999999999999999E-2</v>
      </c>
      <c r="K193" s="303">
        <v>3.5999999999999997E-2</v>
      </c>
      <c r="L193" s="303">
        <v>2.9000000000000001E-2</v>
      </c>
      <c r="M193" s="303">
        <v>1.9E-2</v>
      </c>
      <c r="N193" s="303">
        <v>1.6E-2</v>
      </c>
      <c r="O193" s="567">
        <f t="shared" si="22"/>
        <v>1.6E-2</v>
      </c>
      <c r="P193" s="289">
        <f>IF(P$190=0,0,IF(P$190=15,C193,HLOOKUP($P$190,$D$190:$N$195,4,TRUE)))</f>
        <v>1.6E-2</v>
      </c>
      <c r="Q193" s="105">
        <f>IF(Q$190=0,0,IF(Q$190=15,C193,HLOOKUP($Q$190,$D$190:$N$195,4,TRUE)))</f>
        <v>1.6E-2</v>
      </c>
      <c r="R193" s="111"/>
      <c r="S193" s="111"/>
      <c r="T193" s="111"/>
      <c r="U193" s="111"/>
      <c r="V193" s="111"/>
      <c r="W193" s="111"/>
    </row>
    <row r="194" spans="1:23" ht="15.4" customHeight="1" x14ac:dyDescent="0.25">
      <c r="A194" s="185">
        <v>4</v>
      </c>
      <c r="B194" s="297" t="str">
        <f t="shared" si="21"/>
        <v>Công trình nông nghiệp và phát triển nông thôn</v>
      </c>
      <c r="C194" s="303">
        <v>0.56599999999999995</v>
      </c>
      <c r="D194" s="303">
        <v>0.47199999999999998</v>
      </c>
      <c r="E194" s="303">
        <v>0.34300000000000003</v>
      </c>
      <c r="F194" s="303">
        <v>0.216</v>
      </c>
      <c r="G194" s="303">
        <v>0.14399999999999999</v>
      </c>
      <c r="H194" s="303">
        <v>9.6000000000000002E-2</v>
      </c>
      <c r="I194" s="303">
        <v>8.2000000000000003E-2</v>
      </c>
      <c r="J194" s="303">
        <v>7.0000000000000007E-2</v>
      </c>
      <c r="K194" s="303">
        <v>4.8000000000000001E-2</v>
      </c>
      <c r="L194" s="303">
        <v>3.9E-2</v>
      </c>
      <c r="M194" s="303">
        <v>2.5000000000000001E-2</v>
      </c>
      <c r="N194" s="303">
        <v>2.1000000000000001E-2</v>
      </c>
      <c r="O194" s="567">
        <f t="shared" si="22"/>
        <v>2.1000000000000001E-2</v>
      </c>
      <c r="P194" s="289">
        <f>IF(P$190=0,0,IF(P$190=15,C194,HLOOKUP($P$190,$D$190:$N$195,5,TRUE)))</f>
        <v>2.1000000000000001E-2</v>
      </c>
      <c r="Q194" s="105">
        <f>IF(Q$190=0,0,IF(Q$190=15,C194,HLOOKUP($Q$190,$D$190:$N$195,5,TRUE)))</f>
        <v>2.1000000000000001E-2</v>
      </c>
      <c r="R194" s="111"/>
      <c r="S194" s="111"/>
      <c r="T194" s="111"/>
      <c r="U194" s="111"/>
      <c r="V194" s="111"/>
      <c r="W194" s="111"/>
    </row>
    <row r="195" spans="1:23" ht="15.4" customHeight="1" x14ac:dyDescent="0.25">
      <c r="A195" s="185">
        <v>5</v>
      </c>
      <c r="B195" s="297" t="str">
        <f t="shared" si="21"/>
        <v>Công trình hạ tầng kỹ thuật</v>
      </c>
      <c r="C195" s="303">
        <v>0.43099999999999999</v>
      </c>
      <c r="D195" s="303">
        <v>0.36</v>
      </c>
      <c r="E195" s="303">
        <v>0.26200000000000001</v>
      </c>
      <c r="F195" s="303">
        <v>0.183</v>
      </c>
      <c r="G195" s="303">
        <v>0.112</v>
      </c>
      <c r="H195" s="303">
        <v>7.3999999999999996E-2</v>
      </c>
      <c r="I195" s="303">
        <v>6.5000000000000002E-2</v>
      </c>
      <c r="J195" s="303">
        <v>5.5E-2</v>
      </c>
      <c r="K195" s="303">
        <v>3.7999999999999999E-2</v>
      </c>
      <c r="L195" s="303">
        <v>0.03</v>
      </c>
      <c r="M195" s="303">
        <v>0.02</v>
      </c>
      <c r="N195" s="303">
        <v>1.7000000000000001E-2</v>
      </c>
      <c r="O195" s="567">
        <f t="shared" si="22"/>
        <v>1.7000000000000001E-2</v>
      </c>
      <c r="P195" s="289">
        <f>IF(P$190=0,0,IF(P$190=15,C195,HLOOKUP($P$190,$D$190:$N$195,6,TRUE)))</f>
        <v>1.7000000000000001E-2</v>
      </c>
      <c r="Q195" s="105">
        <f>IF(Q$190=0,0,IF(Q$190=15,C195,HLOOKUP($Q$190,$D$190:$N$195,6,TRUE)))</f>
        <v>1.7000000000000001E-2</v>
      </c>
      <c r="R195" s="111"/>
      <c r="S195" s="111"/>
      <c r="T195" s="111"/>
      <c r="U195" s="111"/>
      <c r="V195" s="111"/>
      <c r="W195" s="111"/>
    </row>
    <row r="196" spans="1:23" ht="15" hidden="1" customHeight="1" x14ac:dyDescent="0.25">
      <c r="A196" s="65" t="s">
        <v>887</v>
      </c>
      <c r="B196" s="65"/>
      <c r="C196" s="65"/>
      <c r="D196" s="65"/>
      <c r="E196" s="65"/>
      <c r="F196" s="65"/>
      <c r="G196" s="65"/>
      <c r="H196" s="65"/>
      <c r="I196" s="65"/>
      <c r="J196" s="65"/>
      <c r="K196" s="65"/>
      <c r="L196" s="65"/>
      <c r="M196" s="65"/>
      <c r="N196" s="65"/>
      <c r="O196" s="65"/>
      <c r="P196" s="65"/>
      <c r="Q196" s="350"/>
      <c r="R196" s="65"/>
      <c r="S196" s="65"/>
      <c r="T196" s="65"/>
      <c r="U196" s="65"/>
      <c r="V196" s="65"/>
      <c r="W196" s="65"/>
    </row>
    <row r="197" spans="1:23" ht="15.4" customHeight="1" x14ac:dyDescent="0.25">
      <c r="A197" s="65"/>
      <c r="B197" s="65"/>
      <c r="C197" s="65"/>
      <c r="D197" s="65"/>
      <c r="E197" s="65"/>
      <c r="F197" s="65"/>
      <c r="G197" s="65"/>
      <c r="H197" s="65"/>
      <c r="I197" s="65"/>
      <c r="J197" s="65"/>
      <c r="K197" s="65"/>
      <c r="L197" s="65"/>
      <c r="M197" s="65"/>
      <c r="N197" s="65"/>
      <c r="O197" s="65"/>
      <c r="P197" s="65"/>
      <c r="Q197" s="36"/>
      <c r="R197" s="65"/>
      <c r="S197" s="65"/>
      <c r="T197" s="65"/>
      <c r="U197" s="65"/>
      <c r="V197" s="65"/>
      <c r="W197" s="65"/>
    </row>
    <row r="198" spans="1:23" ht="15.4" customHeight="1" x14ac:dyDescent="0.25">
      <c r="A198" s="1026" t="s">
        <v>526</v>
      </c>
      <c r="B198" s="1026"/>
      <c r="C198" s="1026"/>
      <c r="D198" s="1026"/>
      <c r="E198" s="1026"/>
      <c r="F198" s="1026"/>
      <c r="G198" s="1026"/>
      <c r="H198" s="65"/>
      <c r="I198" s="65"/>
      <c r="J198" s="65"/>
      <c r="K198" s="65"/>
      <c r="L198" s="65"/>
      <c r="M198" s="65"/>
      <c r="N198" s="65"/>
      <c r="O198" s="65"/>
      <c r="P198" s="65"/>
      <c r="Q198" s="65"/>
      <c r="R198" s="65"/>
      <c r="S198" s="65"/>
      <c r="T198" s="65"/>
      <c r="U198" s="65"/>
      <c r="V198" s="65"/>
      <c r="W198" s="65"/>
    </row>
    <row r="199" spans="1:23" ht="15.4" customHeight="1" x14ac:dyDescent="0.25">
      <c r="A199" s="65"/>
      <c r="B199" s="65"/>
      <c r="C199" s="65"/>
      <c r="D199" s="65"/>
      <c r="E199" s="65"/>
      <c r="F199" s="65"/>
      <c r="G199" s="65"/>
      <c r="H199" s="65"/>
      <c r="I199" s="65"/>
      <c r="J199" s="65"/>
      <c r="K199" s="1027" t="s">
        <v>957</v>
      </c>
      <c r="L199" s="1027"/>
      <c r="M199" s="1027"/>
      <c r="N199" s="1027"/>
      <c r="O199" s="65"/>
      <c r="P199" s="65"/>
      <c r="Q199" s="65"/>
      <c r="R199" s="65"/>
      <c r="S199" s="65"/>
      <c r="T199" s="65"/>
      <c r="U199" s="65"/>
      <c r="V199" s="65"/>
      <c r="W199" s="65"/>
    </row>
    <row r="200" spans="1:23" ht="15" hidden="1" customHeight="1" x14ac:dyDescent="0.25">
      <c r="A200" s="65" t="s">
        <v>24</v>
      </c>
      <c r="B200" s="65"/>
      <c r="C200" s="65"/>
      <c r="D200" s="65"/>
      <c r="E200" s="65"/>
      <c r="F200" s="65"/>
      <c r="G200" s="65"/>
      <c r="H200" s="65"/>
      <c r="I200" s="65"/>
      <c r="J200" s="65"/>
      <c r="K200" s="65"/>
      <c r="L200" s="65"/>
      <c r="M200" s="65"/>
      <c r="N200" s="65" t="s">
        <v>380</v>
      </c>
      <c r="O200" s="65"/>
      <c r="P200" s="65"/>
      <c r="Q200" s="65"/>
      <c r="R200" s="65"/>
      <c r="S200" s="65"/>
      <c r="T200" s="65"/>
      <c r="U200" s="65"/>
      <c r="V200" s="65"/>
      <c r="W200" s="65"/>
    </row>
    <row r="201" spans="1:23" ht="15.4" customHeight="1" x14ac:dyDescent="0.25">
      <c r="A201" s="1028" t="s">
        <v>881</v>
      </c>
      <c r="B201" s="1028" t="s">
        <v>130</v>
      </c>
      <c r="C201" s="1028" t="s">
        <v>1262</v>
      </c>
      <c r="D201" s="1028"/>
      <c r="E201" s="1028"/>
      <c r="F201" s="1028"/>
      <c r="G201" s="1028"/>
      <c r="H201" s="1028"/>
      <c r="I201" s="1028"/>
      <c r="J201" s="1028"/>
      <c r="K201" s="1028"/>
      <c r="L201" s="1028"/>
      <c r="M201" s="1028"/>
      <c r="N201" s="1028"/>
      <c r="O201" s="740" t="s">
        <v>480</v>
      </c>
      <c r="P201" s="466" t="s">
        <v>33</v>
      </c>
      <c r="Q201" s="309" t="s">
        <v>655</v>
      </c>
      <c r="R201" s="111"/>
      <c r="S201" s="111"/>
      <c r="T201" s="111"/>
      <c r="U201" s="111"/>
      <c r="V201" s="111"/>
      <c r="W201" s="111"/>
    </row>
    <row r="202" spans="1:23" ht="15.4" customHeight="1" x14ac:dyDescent="0.25">
      <c r="A202" s="1028"/>
      <c r="B202" s="1028"/>
      <c r="C202" s="482" t="s">
        <v>391</v>
      </c>
      <c r="D202" s="482">
        <v>20</v>
      </c>
      <c r="E202" s="482">
        <v>50</v>
      </c>
      <c r="F202" s="482">
        <v>100</v>
      </c>
      <c r="G202" s="482">
        <v>200</v>
      </c>
      <c r="H202" s="482">
        <v>500</v>
      </c>
      <c r="I202" s="342">
        <v>1000</v>
      </c>
      <c r="J202" s="342">
        <v>2000</v>
      </c>
      <c r="K202" s="342">
        <v>5000</v>
      </c>
      <c r="L202" s="342">
        <v>10000</v>
      </c>
      <c r="M202" s="342">
        <v>20000</v>
      </c>
      <c r="N202" s="342">
        <v>30000</v>
      </c>
      <c r="O202" s="740">
        <f>$C$1+$C$2</f>
        <v>873441780</v>
      </c>
      <c r="P202" s="466">
        <f>IF(O202&lt;D202,15,IF(O202&gt;N202,N202,HLOOKUP(O202,D202:N202,1)))</f>
        <v>30000</v>
      </c>
      <c r="Q202" s="309">
        <f>IF(O202&lt;15,15,IF(O202&lt;20,20,IF(O202&gt;N202,N202,INDEX(D202:N202,MATCH(O202,D202:N202,1)+1))))</f>
        <v>30000</v>
      </c>
      <c r="R202" s="111"/>
      <c r="S202" s="111"/>
      <c r="T202" s="111"/>
      <c r="U202" s="111"/>
      <c r="V202" s="111"/>
      <c r="W202" s="111"/>
    </row>
    <row r="203" spans="1:23" ht="15.4" customHeight="1" x14ac:dyDescent="0.25">
      <c r="A203" s="185">
        <v>1</v>
      </c>
      <c r="B203" s="297" t="str">
        <f t="shared" ref="B203:B207" si="23">B48</f>
        <v>Công trình dân dụng</v>
      </c>
      <c r="C203" s="303">
        <v>1.1140000000000001</v>
      </c>
      <c r="D203" s="303">
        <v>0.91400000000000003</v>
      </c>
      <c r="E203" s="303">
        <v>0.751</v>
      </c>
      <c r="F203" s="303">
        <v>0.53400000000000003</v>
      </c>
      <c r="G203" s="303">
        <v>0.40200000000000002</v>
      </c>
      <c r="H203" s="303">
        <v>0.28699999999999998</v>
      </c>
      <c r="I203" s="303">
        <v>0.246</v>
      </c>
      <c r="J203" s="303">
        <v>0.20899999999999999</v>
      </c>
      <c r="K203" s="303">
        <v>0.16700000000000001</v>
      </c>
      <c r="L203" s="303">
        <v>0.13400000000000001</v>
      </c>
      <c r="M203" s="303">
        <v>0.10199999999999999</v>
      </c>
      <c r="N203" s="303">
        <v>8.5999999999999993E-2</v>
      </c>
      <c r="O203" s="567">
        <f t="shared" ref="O203:O207" si="24">IF(Q$202=P$202,P203,ROUND(P203-((P203-Q203)/(Q$202-P$202))*(O$202-P$202),3))</f>
        <v>8.5999999999999993E-2</v>
      </c>
      <c r="P203" s="289">
        <f>IF(P$202=0,0,IF(P$202=15,C203,HLOOKUP($P$202,$D$202:$N$207,2,TRUE)))</f>
        <v>8.5999999999999993E-2</v>
      </c>
      <c r="Q203" s="105">
        <f>IF(Q$202=0,0,IF(Q$202=15,C203,HLOOKUP($Q$202,$D$202:$N$207,2,TRUE)))</f>
        <v>8.5999999999999993E-2</v>
      </c>
      <c r="R203" s="111"/>
      <c r="S203" s="111"/>
      <c r="T203" s="111"/>
      <c r="U203" s="111"/>
      <c r="V203" s="111"/>
      <c r="W203" s="111"/>
    </row>
    <row r="204" spans="1:23" ht="15.4" customHeight="1" x14ac:dyDescent="0.25">
      <c r="A204" s="185">
        <v>2</v>
      </c>
      <c r="B204" s="297" t="str">
        <f t="shared" si="23"/>
        <v>Công trình công nghiệp</v>
      </c>
      <c r="C204" s="303">
        <v>1.2609999999999999</v>
      </c>
      <c r="D204" s="303">
        <v>1.1120000000000001</v>
      </c>
      <c r="E204" s="303">
        <v>0.88200000000000001</v>
      </c>
      <c r="F204" s="303">
        <v>0.65400000000000003</v>
      </c>
      <c r="G204" s="303">
        <v>0.51500000000000001</v>
      </c>
      <c r="H204" s="303">
        <v>0.46600000000000003</v>
      </c>
      <c r="I204" s="303">
        <v>0.40400000000000003</v>
      </c>
      <c r="J204" s="303">
        <v>0.315</v>
      </c>
      <c r="K204" s="303">
        <v>0.248</v>
      </c>
      <c r="L204" s="303">
        <v>0.189</v>
      </c>
      <c r="M204" s="303">
        <v>0.13500000000000001</v>
      </c>
      <c r="N204" s="303">
        <v>0.107</v>
      </c>
      <c r="O204" s="567">
        <f t="shared" si="24"/>
        <v>0.107</v>
      </c>
      <c r="P204" s="289">
        <f>IF(P$202=0,0,IF(P$202=15,C204,HLOOKUP($P$202,$D$202:$N$207,3,TRUE)))</f>
        <v>0.107</v>
      </c>
      <c r="Q204" s="105">
        <f>IF(Q$202=0,0,IF(Q$202=15,C204,HLOOKUP($Q$202,$D$202:$N$207,3,TRUE)))</f>
        <v>0.107</v>
      </c>
      <c r="R204" s="111"/>
      <c r="S204" s="111"/>
      <c r="T204" s="111"/>
      <c r="U204" s="111"/>
      <c r="V204" s="111"/>
      <c r="W204" s="111"/>
    </row>
    <row r="205" spans="1:23" ht="15.4" customHeight="1" x14ac:dyDescent="0.25">
      <c r="A205" s="185">
        <v>3</v>
      </c>
      <c r="B205" s="297" t="str">
        <f t="shared" si="23"/>
        <v>Công trình giao thông</v>
      </c>
      <c r="C205" s="303">
        <v>0.68899999999999995</v>
      </c>
      <c r="D205" s="303">
        <v>0.628</v>
      </c>
      <c r="E205" s="303">
        <v>0.501</v>
      </c>
      <c r="F205" s="303">
        <v>0.39300000000000002</v>
      </c>
      <c r="G205" s="303">
        <v>0.27100000000000002</v>
      </c>
      <c r="H205" s="303">
        <v>0.20300000000000001</v>
      </c>
      <c r="I205" s="303">
        <v>0.17699999999999999</v>
      </c>
      <c r="J205" s="303">
        <v>0.151</v>
      </c>
      <c r="K205" s="303">
        <v>0.12</v>
      </c>
      <c r="L205" s="303">
        <v>9.7000000000000003E-2</v>
      </c>
      <c r="M205" s="303">
        <v>7.4999999999999997E-2</v>
      </c>
      <c r="N205" s="303">
        <v>6.3E-2</v>
      </c>
      <c r="O205" s="567">
        <f t="shared" si="24"/>
        <v>6.3E-2</v>
      </c>
      <c r="P205" s="289">
        <f>IF(P$202=0,0,IF(P$202=15,C205,HLOOKUP($P$202,$D$202:$N$207,4,TRUE)))</f>
        <v>6.3E-2</v>
      </c>
      <c r="Q205" s="105">
        <f>IF(Q$202=0,0,IF(Q$202=15,C205,HLOOKUP($Q$202,$D$202:$N$207,4,TRUE)))</f>
        <v>6.3E-2</v>
      </c>
      <c r="R205" s="111"/>
      <c r="S205" s="111"/>
      <c r="T205" s="111"/>
      <c r="U205" s="111"/>
      <c r="V205" s="111"/>
      <c r="W205" s="111"/>
    </row>
    <row r="206" spans="1:23" ht="15.4" customHeight="1" x14ac:dyDescent="0.25">
      <c r="A206" s="185">
        <v>4</v>
      </c>
      <c r="B206" s="297" t="str">
        <f t="shared" si="23"/>
        <v>Công trình nông nghiệp và phát triển nông thôn</v>
      </c>
      <c r="C206" s="303">
        <v>0.94299999999999995</v>
      </c>
      <c r="D206" s="303">
        <v>0.85799999999999998</v>
      </c>
      <c r="E206" s="303">
        <v>0.68500000000000005</v>
      </c>
      <c r="F206" s="303">
        <v>0.48</v>
      </c>
      <c r="G206" s="303">
        <v>0.36099999999999999</v>
      </c>
      <c r="H206" s="303">
        <v>0.27300000000000002</v>
      </c>
      <c r="I206" s="303">
        <v>0.23400000000000001</v>
      </c>
      <c r="J206" s="303">
        <v>0.20100000000000001</v>
      </c>
      <c r="K206" s="303">
        <v>0.161</v>
      </c>
      <c r="L206" s="303">
        <v>0.129</v>
      </c>
      <c r="M206" s="303">
        <v>0.1</v>
      </c>
      <c r="N206" s="303">
        <v>8.4000000000000005E-2</v>
      </c>
      <c r="O206" s="567">
        <f t="shared" si="24"/>
        <v>8.4000000000000005E-2</v>
      </c>
      <c r="P206" s="289">
        <f>IF(P$202=0,0,IF(P$202=15,C206,HLOOKUP($P$202,$D$202:$N$207,5,TRUE)))</f>
        <v>8.4000000000000005E-2</v>
      </c>
      <c r="Q206" s="105">
        <f>IF(Q$202=0,0,IF(Q$202=15,C206,HLOOKUP($Q$202,$D$202:$N$207,5,TRUE)))</f>
        <v>8.4000000000000005E-2</v>
      </c>
      <c r="R206" s="111"/>
      <c r="S206" s="111"/>
      <c r="T206" s="111"/>
      <c r="U206" s="111"/>
      <c r="V206" s="111"/>
      <c r="W206" s="111"/>
    </row>
    <row r="207" spans="1:23" ht="15.4" customHeight="1" x14ac:dyDescent="0.25">
      <c r="A207" s="185">
        <v>5</v>
      </c>
      <c r="B207" s="297" t="str">
        <f t="shared" si="23"/>
        <v>Công trình hạ tầng kỹ thuật</v>
      </c>
      <c r="C207" s="303">
        <v>0.71899999999999997</v>
      </c>
      <c r="D207" s="303">
        <v>0.65400000000000003</v>
      </c>
      <c r="E207" s="303">
        <v>0.52400000000000002</v>
      </c>
      <c r="F207" s="303">
        <v>0.40699999999999997</v>
      </c>
      <c r="G207" s="303">
        <v>0.28000000000000003</v>
      </c>
      <c r="H207" s="303">
        <v>0.21099999999999999</v>
      </c>
      <c r="I207" s="303">
        <v>0.185</v>
      </c>
      <c r="J207" s="303">
        <v>0.158</v>
      </c>
      <c r="K207" s="303">
        <v>0.127</v>
      </c>
      <c r="L207" s="303">
        <v>0.10100000000000001</v>
      </c>
      <c r="M207" s="303">
        <v>7.8E-2</v>
      </c>
      <c r="N207" s="303">
        <v>6.5000000000000002E-2</v>
      </c>
      <c r="O207" s="567">
        <f t="shared" si="24"/>
        <v>6.5000000000000002E-2</v>
      </c>
      <c r="P207" s="289">
        <f>IF(P$202=0,0,IF(P$202=15,C207,HLOOKUP($P$202,$D$202:$N$207,6,TRUE)))</f>
        <v>6.5000000000000002E-2</v>
      </c>
      <c r="Q207" s="105">
        <f>IF(Q$202=0,0,IF(Q$202=15,C207,HLOOKUP($Q$202,$D$202:$N$207,6,TRUE)))</f>
        <v>6.5000000000000002E-2</v>
      </c>
      <c r="R207" s="111"/>
      <c r="S207" s="111"/>
      <c r="T207" s="111"/>
      <c r="U207" s="111"/>
      <c r="V207" s="111"/>
      <c r="W207" s="111"/>
    </row>
    <row r="208" spans="1:23" ht="15" hidden="1" customHeight="1" x14ac:dyDescent="0.25">
      <c r="A208" s="65" t="s">
        <v>892</v>
      </c>
      <c r="B208" s="65"/>
      <c r="C208" s="65"/>
      <c r="D208" s="65"/>
      <c r="E208" s="65"/>
      <c r="F208" s="65"/>
      <c r="G208" s="65"/>
      <c r="H208" s="65"/>
      <c r="I208" s="65"/>
      <c r="J208" s="65"/>
      <c r="K208" s="65"/>
      <c r="L208" s="65"/>
      <c r="M208" s="65"/>
      <c r="N208" s="65"/>
      <c r="O208" s="65"/>
      <c r="P208" s="65"/>
      <c r="Q208" s="350"/>
      <c r="R208" s="65"/>
      <c r="S208" s="65"/>
      <c r="T208" s="65"/>
      <c r="U208" s="65"/>
      <c r="V208" s="65"/>
      <c r="W208" s="65"/>
    </row>
    <row r="209" spans="1:23" ht="15.4" customHeight="1" x14ac:dyDescent="0.25">
      <c r="A209" s="65"/>
      <c r="B209" s="65"/>
      <c r="C209" s="65"/>
      <c r="D209" s="65"/>
      <c r="E209" s="65"/>
      <c r="F209" s="65"/>
      <c r="G209" s="65"/>
      <c r="H209" s="65"/>
      <c r="I209" s="65"/>
      <c r="J209" s="65"/>
      <c r="K209" s="65"/>
      <c r="L209" s="65"/>
      <c r="M209" s="65"/>
      <c r="N209" s="65"/>
      <c r="O209" s="65"/>
      <c r="P209" s="65"/>
      <c r="Q209" s="65"/>
      <c r="R209" s="65"/>
      <c r="S209" s="65"/>
      <c r="T209" s="65"/>
      <c r="U209" s="65"/>
      <c r="V209" s="65"/>
      <c r="W209" s="65"/>
    </row>
    <row r="210" spans="1:23" ht="15.4" customHeight="1" x14ac:dyDescent="0.25">
      <c r="A210" s="1026" t="s">
        <v>227</v>
      </c>
      <c r="B210" s="1026"/>
      <c r="C210" s="1026"/>
      <c r="D210" s="1026"/>
      <c r="E210" s="1026"/>
      <c r="F210" s="1026"/>
      <c r="G210" s="1026"/>
      <c r="H210" s="65"/>
      <c r="I210" s="65"/>
      <c r="J210" s="65"/>
      <c r="K210" s="65"/>
      <c r="L210" s="65"/>
      <c r="M210" s="65"/>
      <c r="N210" s="65"/>
      <c r="O210" s="65"/>
      <c r="P210" s="65"/>
      <c r="Q210" s="65"/>
      <c r="R210" s="65"/>
      <c r="S210" s="65"/>
      <c r="T210" s="65"/>
      <c r="U210" s="65"/>
      <c r="V210" s="65"/>
      <c r="W210" s="65"/>
    </row>
    <row r="211" spans="1:23" ht="15.4" customHeight="1" x14ac:dyDescent="0.25">
      <c r="A211" s="65"/>
      <c r="B211" s="65"/>
      <c r="C211" s="1027" t="s">
        <v>957</v>
      </c>
      <c r="D211" s="1027"/>
      <c r="E211" s="1027"/>
      <c r="F211" s="1027"/>
      <c r="G211" s="65"/>
      <c r="H211" s="65"/>
      <c r="I211" s="65"/>
      <c r="J211" s="65"/>
      <c r="K211" s="65"/>
      <c r="L211" s="65"/>
      <c r="M211" s="65"/>
      <c r="N211" s="65"/>
      <c r="O211" s="65"/>
      <c r="P211" s="65"/>
      <c r="Q211" s="65"/>
      <c r="R211" s="65"/>
      <c r="S211" s="65"/>
      <c r="T211" s="65"/>
      <c r="U211" s="65"/>
      <c r="V211" s="65"/>
      <c r="W211" s="65"/>
    </row>
    <row r="212" spans="1:23" ht="15" hidden="1" customHeight="1" x14ac:dyDescent="0.25">
      <c r="A212" s="65" t="s">
        <v>1212</v>
      </c>
      <c r="B212" s="65"/>
      <c r="C212" s="65"/>
      <c r="D212" s="65"/>
      <c r="E212" s="65"/>
      <c r="F212" s="65" t="s">
        <v>380</v>
      </c>
      <c r="G212" s="65"/>
      <c r="H212" s="65"/>
      <c r="I212" s="65"/>
      <c r="J212" s="65"/>
      <c r="K212" s="65"/>
      <c r="L212" s="65"/>
      <c r="M212" s="65"/>
      <c r="N212" s="65"/>
      <c r="O212" s="65"/>
      <c r="P212" s="65"/>
      <c r="Q212" s="65"/>
      <c r="R212" s="65"/>
      <c r="S212" s="65"/>
      <c r="T212" s="65"/>
      <c r="U212" s="65"/>
      <c r="V212" s="65"/>
      <c r="W212" s="65"/>
    </row>
    <row r="213" spans="1:23" ht="45.75" customHeight="1" x14ac:dyDescent="0.25">
      <c r="A213" s="1032" t="s">
        <v>881</v>
      </c>
      <c r="B213" s="1032" t="s">
        <v>130</v>
      </c>
      <c r="C213" s="1037" t="s">
        <v>1262</v>
      </c>
      <c r="D213" s="1037"/>
      <c r="E213" s="1037"/>
      <c r="F213" s="1037"/>
      <c r="G213" s="42" t="s">
        <v>480</v>
      </c>
      <c r="H213" s="534" t="s">
        <v>33</v>
      </c>
      <c r="I213" s="369" t="s">
        <v>655</v>
      </c>
      <c r="J213" s="574"/>
      <c r="K213" s="574"/>
      <c r="L213" s="574"/>
      <c r="M213" s="574"/>
      <c r="N213" s="574"/>
      <c r="O213" s="65"/>
      <c r="P213" s="65"/>
      <c r="Q213" s="65"/>
      <c r="R213" s="65"/>
      <c r="S213" s="65"/>
      <c r="T213" s="65"/>
      <c r="U213" s="65"/>
      <c r="V213" s="65"/>
      <c r="W213" s="65"/>
    </row>
    <row r="214" spans="1:23" ht="15.4" customHeight="1" x14ac:dyDescent="0.25">
      <c r="A214" s="1032"/>
      <c r="B214" s="1032"/>
      <c r="C214" s="17" t="s">
        <v>18</v>
      </c>
      <c r="D214" s="17">
        <v>3</v>
      </c>
      <c r="E214" s="17">
        <v>7</v>
      </c>
      <c r="F214" s="17" t="s">
        <v>1206</v>
      </c>
      <c r="G214" s="42">
        <f>$C$1+$C$2</f>
        <v>873441780</v>
      </c>
      <c r="H214" s="534">
        <f>IF(G214&lt;D214,1,IF(G214&gt;=15,0,HLOOKUP(G214,D214:E214,1)))</f>
        <v>0</v>
      </c>
      <c r="I214" s="369">
        <f>IF(G214&lt;1,1,IF(G214&lt;3,3,IF(G214&lt;7,7,IF(G214&gt;=15,0,IF(G214&gt;=7,15,0)))))</f>
        <v>0</v>
      </c>
      <c r="J214" s="65"/>
      <c r="K214" s="65"/>
      <c r="L214" s="65"/>
      <c r="M214" s="65"/>
      <c r="N214" s="65"/>
      <c r="O214" s="65"/>
      <c r="P214" s="65"/>
      <c r="Q214" s="65"/>
      <c r="R214" s="65"/>
      <c r="S214" s="65"/>
      <c r="T214" s="65"/>
      <c r="U214" s="65"/>
      <c r="V214" s="65"/>
      <c r="W214" s="65"/>
    </row>
    <row r="215" spans="1:23" ht="15.4" customHeight="1" x14ac:dyDescent="0.25">
      <c r="A215" s="185">
        <v>1</v>
      </c>
      <c r="B215" s="297" t="str">
        <f t="shared" ref="B215:B219" si="25">B48</f>
        <v>Công trình dân dụng</v>
      </c>
      <c r="C215" s="262">
        <v>6.5</v>
      </c>
      <c r="D215" s="262">
        <v>4.7</v>
      </c>
      <c r="E215" s="262">
        <v>4.2</v>
      </c>
      <c r="F215" s="462">
        <v>3.6</v>
      </c>
      <c r="G215" s="524">
        <f t="shared" ref="G215:G219" si="26">IF(I$214=H$214,H215,ROUND(H215-((H215-I215)/(I$214-H$214))*(G$214-H$214),3))</f>
        <v>0</v>
      </c>
      <c r="H215" s="249">
        <f t="shared" ref="H215:H219" si="27">IF(H$214=1,C215,IF(H$214=3,D215,IF(H$214=7,E215,IF(H$214=15,F215,0))))</f>
        <v>0</v>
      </c>
      <c r="I215" s="55">
        <f t="shared" ref="I215:I219" si="28">IF(I$214=1,C215,IF(I$214=3,D215,IF(I$214=7,E215,IF(I$214=15,F215,0))))</f>
        <v>0</v>
      </c>
      <c r="J215" s="111"/>
      <c r="K215" s="111"/>
      <c r="L215" s="111"/>
      <c r="M215" s="111"/>
      <c r="N215" s="111"/>
      <c r="O215" s="111"/>
      <c r="P215" s="111"/>
      <c r="Q215" s="111"/>
      <c r="R215" s="111"/>
      <c r="S215" s="111"/>
      <c r="T215" s="111"/>
      <c r="U215" s="111"/>
      <c r="V215" s="111"/>
      <c r="W215" s="111"/>
    </row>
    <row r="216" spans="1:23" ht="15.4" customHeight="1" x14ac:dyDescent="0.25">
      <c r="A216" s="185">
        <v>2</v>
      </c>
      <c r="B216" s="297" t="str">
        <f t="shared" si="25"/>
        <v>Công trình công nghiệp</v>
      </c>
      <c r="C216" s="262">
        <v>6.7</v>
      </c>
      <c r="D216" s="262">
        <v>4.8</v>
      </c>
      <c r="E216" s="262">
        <v>4.3</v>
      </c>
      <c r="F216" s="462">
        <v>3.8</v>
      </c>
      <c r="G216" s="524">
        <f t="shared" si="26"/>
        <v>0</v>
      </c>
      <c r="H216" s="249">
        <f t="shared" si="27"/>
        <v>0</v>
      </c>
      <c r="I216" s="55">
        <f t="shared" si="28"/>
        <v>0</v>
      </c>
      <c r="J216" s="111"/>
      <c r="K216" s="111"/>
      <c r="L216" s="111"/>
      <c r="M216" s="111"/>
      <c r="N216" s="111"/>
      <c r="O216" s="111"/>
      <c r="P216" s="111"/>
      <c r="Q216" s="111"/>
      <c r="R216" s="111"/>
      <c r="S216" s="111"/>
      <c r="T216" s="111"/>
      <c r="U216" s="111"/>
      <c r="V216" s="111"/>
      <c r="W216" s="111"/>
    </row>
    <row r="217" spans="1:23" ht="15.4" customHeight="1" x14ac:dyDescent="0.25">
      <c r="A217" s="185">
        <v>3</v>
      </c>
      <c r="B217" s="297" t="str">
        <f t="shared" si="25"/>
        <v>Công trình giao thông</v>
      </c>
      <c r="C217" s="262">
        <v>5.4</v>
      </c>
      <c r="D217" s="262">
        <v>3.6</v>
      </c>
      <c r="E217" s="262">
        <v>2.7</v>
      </c>
      <c r="F217" s="462">
        <v>2.5</v>
      </c>
      <c r="G217" s="524">
        <f t="shared" si="26"/>
        <v>0</v>
      </c>
      <c r="H217" s="249">
        <f t="shared" si="27"/>
        <v>0</v>
      </c>
      <c r="I217" s="55">
        <f t="shared" si="28"/>
        <v>0</v>
      </c>
      <c r="J217" s="111"/>
      <c r="K217" s="111"/>
      <c r="L217" s="111"/>
      <c r="M217" s="111"/>
      <c r="N217" s="111"/>
      <c r="O217" s="111"/>
      <c r="P217" s="111"/>
      <c r="Q217" s="111"/>
      <c r="R217" s="111"/>
      <c r="S217" s="111"/>
      <c r="T217" s="111"/>
      <c r="U217" s="111"/>
      <c r="V217" s="111"/>
      <c r="W217" s="111"/>
    </row>
    <row r="218" spans="1:23" ht="15.4" customHeight="1" x14ac:dyDescent="0.25">
      <c r="A218" s="185">
        <v>4</v>
      </c>
      <c r="B218" s="297" t="str">
        <f t="shared" si="25"/>
        <v>Công trình nông nghiệp và phát triển nông thôn</v>
      </c>
      <c r="C218" s="262">
        <v>6.2</v>
      </c>
      <c r="D218" s="262">
        <v>4.4000000000000004</v>
      </c>
      <c r="E218" s="262">
        <v>3.9</v>
      </c>
      <c r="F218" s="462">
        <v>3.6</v>
      </c>
      <c r="G218" s="524">
        <f t="shared" si="26"/>
        <v>0</v>
      </c>
      <c r="H218" s="249">
        <f t="shared" si="27"/>
        <v>0</v>
      </c>
      <c r="I218" s="55">
        <f t="shared" si="28"/>
        <v>0</v>
      </c>
      <c r="J218" s="111"/>
      <c r="K218" s="111"/>
      <c r="L218" s="111"/>
      <c r="M218" s="111"/>
      <c r="N218" s="111"/>
      <c r="O218" s="111"/>
      <c r="P218" s="111"/>
      <c r="Q218" s="111"/>
      <c r="R218" s="111"/>
      <c r="S218" s="111"/>
      <c r="T218" s="111"/>
      <c r="U218" s="111"/>
      <c r="V218" s="111"/>
      <c r="W218" s="111"/>
    </row>
    <row r="219" spans="1:23" ht="15.4" customHeight="1" x14ac:dyDescent="0.25">
      <c r="A219" s="185">
        <v>5</v>
      </c>
      <c r="B219" s="297" t="str">
        <f t="shared" si="25"/>
        <v>Công trình hạ tầng kỹ thuật</v>
      </c>
      <c r="C219" s="262">
        <v>5.8</v>
      </c>
      <c r="D219" s="262">
        <v>4.2</v>
      </c>
      <c r="E219" s="262">
        <v>3.4</v>
      </c>
      <c r="F219" s="462">
        <v>3</v>
      </c>
      <c r="G219" s="524">
        <f t="shared" si="26"/>
        <v>0</v>
      </c>
      <c r="H219" s="249">
        <f t="shared" si="27"/>
        <v>0</v>
      </c>
      <c r="I219" s="55">
        <f t="shared" si="28"/>
        <v>0</v>
      </c>
      <c r="J219" s="111"/>
      <c r="K219" s="111"/>
      <c r="L219" s="111"/>
      <c r="M219" s="111"/>
      <c r="N219" s="111"/>
      <c r="O219" s="111"/>
      <c r="P219" s="111"/>
      <c r="Q219" s="111"/>
      <c r="R219" s="111"/>
      <c r="S219" s="111"/>
      <c r="T219" s="111"/>
      <c r="U219" s="111"/>
      <c r="V219" s="111"/>
      <c r="W219" s="111"/>
    </row>
    <row r="220" spans="1:23" ht="15" hidden="1" customHeight="1" x14ac:dyDescent="0.25">
      <c r="A220" s="65" t="s">
        <v>808</v>
      </c>
      <c r="B220" s="65"/>
      <c r="C220" s="65"/>
      <c r="D220" s="65"/>
      <c r="E220" s="65"/>
      <c r="F220" s="65"/>
      <c r="G220" s="65"/>
      <c r="H220" s="65"/>
      <c r="I220" s="65"/>
      <c r="J220" s="65"/>
      <c r="K220" s="65"/>
      <c r="L220" s="65"/>
      <c r="M220" s="65"/>
      <c r="N220" s="65"/>
      <c r="O220" s="65"/>
      <c r="P220" s="65"/>
      <c r="Q220" s="65"/>
      <c r="R220" s="65"/>
      <c r="S220" s="65"/>
      <c r="T220" s="65"/>
      <c r="U220" s="65"/>
      <c r="V220" s="65"/>
      <c r="W220" s="65"/>
    </row>
    <row r="221" spans="1:23" ht="15.4" customHeight="1" x14ac:dyDescent="0.25">
      <c r="A221" s="65"/>
      <c r="B221" s="65"/>
      <c r="C221" s="65"/>
      <c r="D221" s="65"/>
      <c r="E221" s="65"/>
      <c r="F221" s="65"/>
      <c r="G221" s="65"/>
      <c r="H221" s="65"/>
      <c r="I221" s="65"/>
      <c r="J221" s="65"/>
      <c r="K221" s="65"/>
      <c r="L221" s="65"/>
      <c r="M221" s="65"/>
      <c r="N221" s="65"/>
      <c r="O221" s="65"/>
      <c r="P221" s="65"/>
      <c r="Q221" s="65"/>
      <c r="R221" s="65"/>
      <c r="S221" s="65"/>
      <c r="T221" s="65"/>
      <c r="U221" s="65"/>
      <c r="V221" s="65"/>
      <c r="W221" s="65"/>
    </row>
    <row r="222" spans="1:23" ht="15.4" customHeight="1" x14ac:dyDescent="0.25">
      <c r="A222" s="1030" t="s">
        <v>968</v>
      </c>
      <c r="B222" s="1030"/>
      <c r="C222" s="1030"/>
      <c r="D222" s="1030"/>
      <c r="E222" s="1030"/>
      <c r="F222" s="1030"/>
      <c r="G222" s="1030"/>
      <c r="H222" s="65"/>
      <c r="I222" s="65"/>
      <c r="J222" s="65"/>
      <c r="K222" s="65"/>
      <c r="L222" s="65"/>
      <c r="M222" s="65"/>
      <c r="N222" s="65"/>
      <c r="O222" s="65"/>
      <c r="P222" s="65"/>
      <c r="Q222" s="65"/>
      <c r="R222" s="65"/>
      <c r="S222" s="65"/>
      <c r="T222" s="65"/>
      <c r="U222" s="65"/>
      <c r="V222" s="65"/>
      <c r="W222" s="65"/>
    </row>
    <row r="223" spans="1:23" ht="15.4" customHeight="1" x14ac:dyDescent="0.25">
      <c r="A223" s="65"/>
      <c r="B223" s="65"/>
      <c r="C223" s="65"/>
      <c r="D223" s="65"/>
      <c r="E223" s="65"/>
      <c r="F223" s="65"/>
      <c r="G223" s="65"/>
      <c r="H223" s="65"/>
      <c r="I223" s="65"/>
      <c r="J223" s="1031" t="s">
        <v>957</v>
      </c>
      <c r="K223" s="1031"/>
      <c r="L223" s="1031"/>
      <c r="M223" s="1031"/>
      <c r="N223" s="680"/>
      <c r="O223" s="65"/>
      <c r="P223" s="65"/>
      <c r="Q223" s="65"/>
      <c r="R223" s="65"/>
      <c r="S223" s="65"/>
      <c r="T223" s="65"/>
      <c r="U223" s="65"/>
      <c r="V223" s="65"/>
      <c r="W223" s="65"/>
    </row>
    <row r="224" spans="1:23" ht="15" hidden="1" customHeight="1" x14ac:dyDescent="0.25">
      <c r="A224" s="65" t="s">
        <v>148</v>
      </c>
      <c r="B224" s="65"/>
      <c r="C224" s="65"/>
      <c r="D224" s="65"/>
      <c r="E224" s="65"/>
      <c r="F224" s="65"/>
      <c r="G224" s="65"/>
      <c r="H224" s="65"/>
      <c r="I224" s="65"/>
      <c r="J224" s="65"/>
      <c r="K224" s="65"/>
      <c r="L224" s="65"/>
      <c r="M224" s="65" t="s">
        <v>380</v>
      </c>
      <c r="N224" s="65"/>
      <c r="O224" s="65"/>
      <c r="P224" s="65"/>
      <c r="Q224" s="65"/>
      <c r="R224" s="65"/>
      <c r="S224" s="65"/>
      <c r="T224" s="65"/>
      <c r="U224" s="65"/>
      <c r="V224" s="65"/>
      <c r="W224" s="65"/>
    </row>
    <row r="225" spans="1:23" ht="29.25" customHeight="1" x14ac:dyDescent="0.25">
      <c r="A225" s="1032" t="s">
        <v>881</v>
      </c>
      <c r="B225" s="1037" t="s">
        <v>611</v>
      </c>
      <c r="C225" s="1032" t="s">
        <v>405</v>
      </c>
      <c r="D225" s="1032"/>
      <c r="E225" s="1032"/>
      <c r="F225" s="1032"/>
      <c r="G225" s="1032"/>
      <c r="H225" s="1032"/>
      <c r="I225" s="1032"/>
      <c r="J225" s="1032"/>
      <c r="K225" s="1032"/>
      <c r="L225" s="1032"/>
      <c r="M225" s="1032"/>
      <c r="N225" s="42" t="s">
        <v>480</v>
      </c>
      <c r="O225" s="534" t="s">
        <v>33</v>
      </c>
      <c r="P225" s="369" t="s">
        <v>655</v>
      </c>
      <c r="Q225" s="65"/>
      <c r="R225" s="65"/>
      <c r="S225" s="65"/>
      <c r="T225" s="65"/>
      <c r="U225" s="65"/>
      <c r="V225" s="65"/>
      <c r="W225" s="65"/>
    </row>
    <row r="226" spans="1:23" ht="15.4" customHeight="1" x14ac:dyDescent="0.25">
      <c r="A226" s="1032"/>
      <c r="B226" s="1037"/>
      <c r="C226" s="402" t="s">
        <v>379</v>
      </c>
      <c r="D226" s="402">
        <v>20</v>
      </c>
      <c r="E226" s="402">
        <v>50</v>
      </c>
      <c r="F226" s="402">
        <v>100</v>
      </c>
      <c r="G226" s="17">
        <v>200</v>
      </c>
      <c r="H226" s="17">
        <v>500</v>
      </c>
      <c r="I226" s="402">
        <v>1000</v>
      </c>
      <c r="J226" s="402">
        <v>2000</v>
      </c>
      <c r="K226" s="402">
        <v>5000</v>
      </c>
      <c r="L226" s="402">
        <v>8000</v>
      </c>
      <c r="M226" s="402">
        <v>10000</v>
      </c>
      <c r="N226" s="42">
        <f>$C$1</f>
        <v>873441780</v>
      </c>
      <c r="O226" s="534">
        <f>IF(N226&lt;D226,10,IF(N226&gt;M226,M226,HLOOKUP(N226,D226:M226,1)))</f>
        <v>10000</v>
      </c>
      <c r="P226" s="369">
        <f>IF(N226&lt;10,10,IF(N226&lt;20,20,IF(N226&gt;M226,M226,INDEX(D226:M226,MATCH(N226,D226:M226,1)+1))))</f>
        <v>10000</v>
      </c>
      <c r="Q226" s="65"/>
      <c r="R226" s="65"/>
      <c r="S226" s="65"/>
      <c r="T226" s="65"/>
      <c r="U226" s="65"/>
      <c r="V226" s="65"/>
      <c r="W226" s="65"/>
    </row>
    <row r="227" spans="1:23" ht="15.4" customHeight="1" x14ac:dyDescent="0.25">
      <c r="A227" s="409">
        <v>1</v>
      </c>
      <c r="B227" s="306" t="str">
        <f>B48</f>
        <v>Công trình dân dụng</v>
      </c>
      <c r="C227" s="592"/>
      <c r="D227" s="592"/>
      <c r="E227" s="592"/>
      <c r="F227" s="592"/>
      <c r="G227" s="592"/>
      <c r="H227" s="592"/>
      <c r="I227" s="592"/>
      <c r="J227" s="592"/>
      <c r="K227" s="592"/>
      <c r="L227" s="592"/>
      <c r="M227" s="211"/>
      <c r="N227" s="495"/>
      <c r="O227" s="495"/>
      <c r="P227" s="495"/>
      <c r="Q227" s="65"/>
      <c r="R227" s="65"/>
      <c r="S227" s="65"/>
      <c r="T227" s="65"/>
      <c r="U227" s="65"/>
      <c r="V227" s="65"/>
      <c r="W227" s="65"/>
    </row>
    <row r="228" spans="1:23" ht="15.4" customHeight="1" x14ac:dyDescent="0.25">
      <c r="A228" s="185" t="s">
        <v>404</v>
      </c>
      <c r="B228" s="1038" t="s">
        <v>507</v>
      </c>
      <c r="C228" s="1039"/>
      <c r="D228" s="1039"/>
      <c r="E228" s="1039"/>
      <c r="F228" s="1039"/>
      <c r="G228" s="1039"/>
      <c r="H228" s="1039"/>
      <c r="I228" s="1039"/>
      <c r="J228" s="1039"/>
      <c r="K228" s="1039"/>
      <c r="L228" s="1039"/>
      <c r="M228" s="1040"/>
      <c r="N228" s="303"/>
      <c r="O228" s="297"/>
      <c r="P228" s="297"/>
      <c r="Q228" s="111"/>
      <c r="R228" s="111"/>
      <c r="S228" s="111"/>
      <c r="T228" s="111"/>
      <c r="U228" s="111"/>
      <c r="V228" s="111"/>
      <c r="W228" s="111" t="s">
        <v>1073</v>
      </c>
    </row>
    <row r="229" spans="1:23" ht="15.4" customHeight="1" x14ac:dyDescent="0.25">
      <c r="A229" s="185" t="s">
        <v>414</v>
      </c>
      <c r="B229" s="297" t="s">
        <v>1048</v>
      </c>
      <c r="C229" s="262">
        <v>3.22</v>
      </c>
      <c r="D229" s="262">
        <v>2.81</v>
      </c>
      <c r="E229" s="262">
        <v>2.36</v>
      </c>
      <c r="F229" s="262">
        <v>2.15</v>
      </c>
      <c r="G229" s="262">
        <v>1.96</v>
      </c>
      <c r="H229" s="262">
        <v>1.65</v>
      </c>
      <c r="I229" s="262">
        <v>1.36</v>
      </c>
      <c r="J229" s="262">
        <v>1.1599999999999999</v>
      </c>
      <c r="K229" s="262">
        <v>0.89</v>
      </c>
      <c r="L229" s="262">
        <v>0.68</v>
      </c>
      <c r="M229" s="262">
        <v>0.61</v>
      </c>
      <c r="N229" s="567">
        <f t="shared" ref="N229:N233" si="29">IF(P$226=O$226,O229,IF(O229="-",O229,ROUND(O229-((O229-P229)/(P$226-O$226))*(N$226-O$226),3)))</f>
        <v>0.61</v>
      </c>
      <c r="O229" s="249">
        <f>IF(O$226=10,C229,HLOOKUP($O$226,$D$226:$M$291,4,TRUE))</f>
        <v>0.61</v>
      </c>
      <c r="P229" s="55">
        <f>IF(P$226=10,C229,HLOOKUP($P$226,$D$226:$M$291,4,TRUE))</f>
        <v>0.61</v>
      </c>
      <c r="Q229" s="111"/>
      <c r="R229" s="111" t="str">
        <f t="shared" ref="R229:R233" si="30">$B$227</f>
        <v>Công trình dân dụng</v>
      </c>
      <c r="S229" s="111" t="str">
        <f t="shared" ref="S229:S233" si="31">$W$230</f>
        <v>Thiết kế 3 bước</v>
      </c>
      <c r="T229" s="111" t="str">
        <f t="shared" ref="T229:T233" si="32">R229&amp;S229&amp;B229</f>
        <v>Công trình dân dụngThiết kế 3 bướcCấp đặc biệt</v>
      </c>
      <c r="U229" s="101">
        <f t="shared" ref="U229:U233" si="33">N229</f>
        <v>0.61</v>
      </c>
      <c r="V229" s="111"/>
      <c r="W229" s="111" t="s">
        <v>862</v>
      </c>
    </row>
    <row r="230" spans="1:23" ht="15.4" customHeight="1" x14ac:dyDescent="0.25">
      <c r="A230" s="185" t="s">
        <v>251</v>
      </c>
      <c r="B230" s="297" t="s">
        <v>25</v>
      </c>
      <c r="C230" s="262">
        <v>2.93</v>
      </c>
      <c r="D230" s="262">
        <v>2.5499999999999998</v>
      </c>
      <c r="E230" s="262">
        <v>2.14</v>
      </c>
      <c r="F230" s="262">
        <v>1.94</v>
      </c>
      <c r="G230" s="262">
        <v>1.78</v>
      </c>
      <c r="H230" s="262">
        <v>1.5</v>
      </c>
      <c r="I230" s="262">
        <v>1.22</v>
      </c>
      <c r="J230" s="262">
        <v>1.05</v>
      </c>
      <c r="K230" s="262">
        <v>0.8</v>
      </c>
      <c r="L230" s="262">
        <v>0.61</v>
      </c>
      <c r="M230" s="262">
        <v>0.55000000000000004</v>
      </c>
      <c r="N230" s="567">
        <f t="shared" si="29"/>
        <v>0.55000000000000004</v>
      </c>
      <c r="O230" s="249">
        <f>IF(O$226=10,C230,HLOOKUP($O$226,$D$226:$M$291,5,TRUE))</f>
        <v>0.55000000000000004</v>
      </c>
      <c r="P230" s="55">
        <f>IF(P$226=10,C230,HLOOKUP($P$226,$D$226:$M$291,5,TRUE))</f>
        <v>0.55000000000000004</v>
      </c>
      <c r="Q230" s="111"/>
      <c r="R230" s="111" t="str">
        <f t="shared" si="30"/>
        <v>Công trình dân dụng</v>
      </c>
      <c r="S230" s="111" t="str">
        <f t="shared" si="31"/>
        <v>Thiết kế 3 bước</v>
      </c>
      <c r="T230" s="111" t="str">
        <f t="shared" si="32"/>
        <v>Công trình dân dụngThiết kế 3 bướcCấp I</v>
      </c>
      <c r="U230" s="101">
        <f t="shared" si="33"/>
        <v>0.55000000000000004</v>
      </c>
      <c r="V230" s="111"/>
      <c r="W230" s="111" t="s">
        <v>678</v>
      </c>
    </row>
    <row r="231" spans="1:23" ht="15.4" customHeight="1" x14ac:dyDescent="0.25">
      <c r="A231" s="185" t="s">
        <v>622</v>
      </c>
      <c r="B231" s="297" t="s">
        <v>1134</v>
      </c>
      <c r="C231" s="262">
        <v>2.67</v>
      </c>
      <c r="D231" s="262">
        <v>2.33</v>
      </c>
      <c r="E231" s="262">
        <v>1.96</v>
      </c>
      <c r="F231" s="262">
        <v>1.77</v>
      </c>
      <c r="G231" s="262">
        <v>1.62</v>
      </c>
      <c r="H231" s="262">
        <v>1.37</v>
      </c>
      <c r="I231" s="262">
        <v>1.1100000000000001</v>
      </c>
      <c r="J231" s="262">
        <v>0.94</v>
      </c>
      <c r="K231" s="262">
        <v>0.73</v>
      </c>
      <c r="L231" s="262">
        <v>0.55000000000000004</v>
      </c>
      <c r="M231" s="262">
        <v>0.5</v>
      </c>
      <c r="N231" s="567">
        <f t="shared" si="29"/>
        <v>0.5</v>
      </c>
      <c r="O231" s="249">
        <f>IF(O$226=10,C231,HLOOKUP($O$226,$D$226:$M$291,6,TRUE))</f>
        <v>0.5</v>
      </c>
      <c r="P231" s="55">
        <f>IF(P$226=10,C231,HLOOKUP($P$226,$D$226:$M$291,6,TRUE))</f>
        <v>0.5</v>
      </c>
      <c r="Q231" s="111"/>
      <c r="R231" s="111" t="str">
        <f t="shared" si="30"/>
        <v>Công trình dân dụng</v>
      </c>
      <c r="S231" s="111" t="str">
        <f t="shared" si="31"/>
        <v>Thiết kế 3 bước</v>
      </c>
      <c r="T231" s="111" t="str">
        <f t="shared" si="32"/>
        <v>Công trình dân dụngThiết kế 3 bướcCấp II</v>
      </c>
      <c r="U231" s="101">
        <f t="shared" si="33"/>
        <v>0.5</v>
      </c>
      <c r="V231" s="111"/>
      <c r="W231" s="111"/>
    </row>
    <row r="232" spans="1:23" ht="15.4" customHeight="1" x14ac:dyDescent="0.25">
      <c r="A232" s="185" t="s">
        <v>981</v>
      </c>
      <c r="B232" s="297" t="s">
        <v>563</v>
      </c>
      <c r="C232" s="262">
        <v>2.36</v>
      </c>
      <c r="D232" s="262">
        <v>2.0699999999999998</v>
      </c>
      <c r="E232" s="262">
        <v>1.74</v>
      </c>
      <c r="F232" s="262">
        <v>1.57</v>
      </c>
      <c r="G232" s="262">
        <v>1.43</v>
      </c>
      <c r="H232" s="262">
        <v>1.21</v>
      </c>
      <c r="I232" s="262">
        <v>0.98</v>
      </c>
      <c r="J232" s="262">
        <v>0.83</v>
      </c>
      <c r="K232" s="262">
        <v>0.64</v>
      </c>
      <c r="L232" s="262">
        <v>0.48</v>
      </c>
      <c r="M232" s="262">
        <v>0.44</v>
      </c>
      <c r="N232" s="567">
        <f t="shared" si="29"/>
        <v>0.44</v>
      </c>
      <c r="O232" s="249">
        <f>IF(O$226=10,C232,HLOOKUP($O$226,$D$226:$M$291,7,TRUE))</f>
        <v>0.44</v>
      </c>
      <c r="P232" s="55">
        <f>IF(P$226=10,C232,HLOOKUP($P$226,$D$226:$M$291,7,TRUE))</f>
        <v>0.44</v>
      </c>
      <c r="Q232" s="111"/>
      <c r="R232" s="111" t="str">
        <f t="shared" si="30"/>
        <v>Công trình dân dụng</v>
      </c>
      <c r="S232" s="111" t="str">
        <f t="shared" si="31"/>
        <v>Thiết kế 3 bước</v>
      </c>
      <c r="T232" s="111" t="str">
        <f t="shared" si="32"/>
        <v>Công trình dân dụngThiết kế 3 bướcCấp III</v>
      </c>
      <c r="U232" s="101">
        <f t="shared" si="33"/>
        <v>0.44</v>
      </c>
      <c r="V232" s="111"/>
      <c r="W232" s="111"/>
    </row>
    <row r="233" spans="1:23" ht="15.4" customHeight="1" x14ac:dyDescent="0.25">
      <c r="A233" s="185" t="s">
        <v>74</v>
      </c>
      <c r="B233" s="297" t="s">
        <v>417</v>
      </c>
      <c r="C233" s="262">
        <v>2.0699999999999998</v>
      </c>
      <c r="D233" s="262">
        <v>1.81</v>
      </c>
      <c r="E233" s="262">
        <v>1.48</v>
      </c>
      <c r="F233" s="262">
        <v>1.3</v>
      </c>
      <c r="G233" s="262">
        <v>1.06</v>
      </c>
      <c r="H233" s="262">
        <v>0.89</v>
      </c>
      <c r="I233" s="262" t="s">
        <v>394</v>
      </c>
      <c r="J233" s="262" t="s">
        <v>394</v>
      </c>
      <c r="K233" s="262" t="s">
        <v>394</v>
      </c>
      <c r="L233" s="262" t="s">
        <v>394</v>
      </c>
      <c r="M233" s="262" t="s">
        <v>394</v>
      </c>
      <c r="N233" s="567" t="str">
        <f t="shared" si="29"/>
        <v>-</v>
      </c>
      <c r="O233" s="249" t="str">
        <f>IF(O$226=10,C233,HLOOKUP($O$226,$D$226:$M$291,8,TRUE))</f>
        <v>-</v>
      </c>
      <c r="P233" s="55" t="str">
        <f>IF(P$226=10,C233,HLOOKUP($P$226,$D$226:$M$291,8,TRUE))</f>
        <v>-</v>
      </c>
      <c r="Q233" s="111"/>
      <c r="R233" s="111" t="str">
        <f t="shared" si="30"/>
        <v>Công trình dân dụng</v>
      </c>
      <c r="S233" s="111" t="str">
        <f t="shared" si="31"/>
        <v>Thiết kế 3 bước</v>
      </c>
      <c r="T233" s="111" t="str">
        <f t="shared" si="32"/>
        <v>Công trình dân dụngThiết kế 3 bướcCấp IV</v>
      </c>
      <c r="U233" s="101" t="str">
        <f t="shared" si="33"/>
        <v>-</v>
      </c>
      <c r="V233" s="111"/>
      <c r="W233" s="111"/>
    </row>
    <row r="234" spans="1:23" ht="15.4" customHeight="1" x14ac:dyDescent="0.25">
      <c r="A234" s="185" t="s">
        <v>46</v>
      </c>
      <c r="B234" s="1038" t="s">
        <v>670</v>
      </c>
      <c r="C234" s="1039"/>
      <c r="D234" s="1039"/>
      <c r="E234" s="1039"/>
      <c r="F234" s="1039"/>
      <c r="G234" s="1039"/>
      <c r="H234" s="1039"/>
      <c r="I234" s="1039"/>
      <c r="J234" s="1039"/>
      <c r="K234" s="1039"/>
      <c r="L234" s="1039"/>
      <c r="M234" s="1040"/>
      <c r="N234" s="303"/>
      <c r="O234" s="262"/>
      <c r="P234" s="262"/>
      <c r="Q234" s="111"/>
      <c r="R234" s="111"/>
      <c r="S234" s="111"/>
      <c r="T234" s="111"/>
      <c r="U234" s="101"/>
      <c r="V234" s="111"/>
      <c r="W234" s="111"/>
    </row>
    <row r="235" spans="1:23" ht="15.4" customHeight="1" x14ac:dyDescent="0.25">
      <c r="A235" s="185" t="s">
        <v>107</v>
      </c>
      <c r="B235" s="297" t="s">
        <v>1048</v>
      </c>
      <c r="C235" s="262">
        <v>4.66</v>
      </c>
      <c r="D235" s="262">
        <v>4.05</v>
      </c>
      <c r="E235" s="262">
        <v>3.41</v>
      </c>
      <c r="F235" s="262">
        <v>3.1</v>
      </c>
      <c r="G235" s="262">
        <v>2.83</v>
      </c>
      <c r="H235" s="262">
        <v>2.39</v>
      </c>
      <c r="I235" s="262">
        <v>1.93</v>
      </c>
      <c r="J235" s="262">
        <v>1.65</v>
      </c>
      <c r="K235" s="262">
        <v>1.28</v>
      </c>
      <c r="L235" s="262">
        <v>0.99</v>
      </c>
      <c r="M235" s="262">
        <v>0.91</v>
      </c>
      <c r="N235" s="567">
        <f t="shared" ref="N235:N239" si="34">IF(P$226=O$226,O235,IF(O235="-",O235,ROUND(O235-((O235-P235)/(P$226-O$226))*(N$226-O$226),3)))</f>
        <v>0.91</v>
      </c>
      <c r="O235" s="249">
        <f>IF(O$226=10,C235,HLOOKUP($O$226,$D$226:$M$291,10,TRUE))</f>
        <v>0.91</v>
      </c>
      <c r="P235" s="55">
        <f>IF(P$226=10,C235,HLOOKUP($P$226,$D$226:$M$291,10,TRUE))</f>
        <v>0.91</v>
      </c>
      <c r="Q235" s="111"/>
      <c r="R235" s="111" t="str">
        <f t="shared" ref="R235:R239" si="35">$B$227</f>
        <v>Công trình dân dụng</v>
      </c>
      <c r="S235" s="111" t="str">
        <f t="shared" ref="S235:S239" si="36">$W$229</f>
        <v>Thiết kế 2 bước</v>
      </c>
      <c r="T235" s="111" t="str">
        <f t="shared" ref="T235:T239" si="37">R235&amp;S235&amp;B235</f>
        <v>Công trình dân dụngThiết kế 2 bướcCấp đặc biệt</v>
      </c>
      <c r="U235" s="101">
        <f t="shared" ref="U235:U239" si="38">N235</f>
        <v>0.91</v>
      </c>
      <c r="V235" s="111"/>
      <c r="W235" s="111"/>
    </row>
    <row r="236" spans="1:23" ht="15.4" customHeight="1" x14ac:dyDescent="0.25">
      <c r="A236" s="185" t="s">
        <v>470</v>
      </c>
      <c r="B236" s="297" t="s">
        <v>25</v>
      </c>
      <c r="C236" s="262">
        <v>4.22</v>
      </c>
      <c r="D236" s="262">
        <v>3.66</v>
      </c>
      <c r="E236" s="262">
        <v>3.1</v>
      </c>
      <c r="F236" s="262">
        <v>2.82</v>
      </c>
      <c r="G236" s="262">
        <v>2.57</v>
      </c>
      <c r="H236" s="262">
        <v>2.17</v>
      </c>
      <c r="I236" s="262">
        <v>1.76</v>
      </c>
      <c r="J236" s="262">
        <v>1.51</v>
      </c>
      <c r="K236" s="262">
        <v>1.1599999999999999</v>
      </c>
      <c r="L236" s="262">
        <v>0.9</v>
      </c>
      <c r="M236" s="262">
        <v>0.8</v>
      </c>
      <c r="N236" s="567">
        <f t="shared" si="34"/>
        <v>0.8</v>
      </c>
      <c r="O236" s="249">
        <f>IF(O$226=10,C236,HLOOKUP($O$226,$D$226:$M$291,11,TRUE))</f>
        <v>0.8</v>
      </c>
      <c r="P236" s="55">
        <f>IF(P$226=10,C236,HLOOKUP($P$226,$D$226:$M$291,11,TRUE))</f>
        <v>0.8</v>
      </c>
      <c r="Q236" s="111"/>
      <c r="R236" s="111" t="str">
        <f t="shared" si="35"/>
        <v>Công trình dân dụng</v>
      </c>
      <c r="S236" s="111" t="str">
        <f t="shared" si="36"/>
        <v>Thiết kế 2 bước</v>
      </c>
      <c r="T236" s="111" t="str">
        <f t="shared" si="37"/>
        <v>Công trình dân dụngThiết kế 2 bướcCấp I</v>
      </c>
      <c r="U236" s="101">
        <f t="shared" si="38"/>
        <v>0.8</v>
      </c>
      <c r="V236" s="111"/>
      <c r="W236" s="111"/>
    </row>
    <row r="237" spans="1:23" ht="15.4" customHeight="1" x14ac:dyDescent="0.25">
      <c r="A237" s="185" t="s">
        <v>829</v>
      </c>
      <c r="B237" s="297" t="s">
        <v>1134</v>
      </c>
      <c r="C237" s="262">
        <v>3.85</v>
      </c>
      <c r="D237" s="262">
        <v>3.33</v>
      </c>
      <c r="E237" s="262">
        <v>2.8</v>
      </c>
      <c r="F237" s="262">
        <v>2.54</v>
      </c>
      <c r="G237" s="262">
        <v>2.34</v>
      </c>
      <c r="H237" s="262">
        <v>1.98</v>
      </c>
      <c r="I237" s="262">
        <v>1.61</v>
      </c>
      <c r="J237" s="262">
        <v>1.36</v>
      </c>
      <c r="K237" s="262">
        <v>1.06</v>
      </c>
      <c r="L237" s="262">
        <v>0.82</v>
      </c>
      <c r="M237" s="262">
        <v>0.72</v>
      </c>
      <c r="N237" s="567">
        <f t="shared" si="34"/>
        <v>0.72</v>
      </c>
      <c r="O237" s="249">
        <f>IF(O$226=10,C237,HLOOKUP($O$226,$D$226:$M$291,12,TRUE))</f>
        <v>0.72</v>
      </c>
      <c r="P237" s="55">
        <f>IF(P$226=10,C237,HLOOKUP($P$226,$D$226:$M$291,12,TRUE))</f>
        <v>0.72</v>
      </c>
      <c r="Q237" s="111"/>
      <c r="R237" s="111" t="str">
        <f t="shared" si="35"/>
        <v>Công trình dân dụng</v>
      </c>
      <c r="S237" s="111" t="str">
        <f t="shared" si="36"/>
        <v>Thiết kế 2 bước</v>
      </c>
      <c r="T237" s="111" t="str">
        <f t="shared" si="37"/>
        <v>Công trình dân dụngThiết kế 2 bướcCấp II</v>
      </c>
      <c r="U237" s="101">
        <f t="shared" si="38"/>
        <v>0.72</v>
      </c>
      <c r="V237" s="111"/>
      <c r="W237" s="111"/>
    </row>
    <row r="238" spans="1:23" ht="15.4" customHeight="1" x14ac:dyDescent="0.25">
      <c r="A238" s="185" t="s">
        <v>672</v>
      </c>
      <c r="B238" s="297" t="s">
        <v>563</v>
      </c>
      <c r="C238" s="262">
        <v>3.41</v>
      </c>
      <c r="D238" s="262">
        <v>2.95</v>
      </c>
      <c r="E238" s="262">
        <v>2.48</v>
      </c>
      <c r="F238" s="262">
        <v>2.25</v>
      </c>
      <c r="G238" s="262">
        <v>2.0699999999999998</v>
      </c>
      <c r="H238" s="262">
        <v>1.75</v>
      </c>
      <c r="I238" s="262">
        <v>1.43</v>
      </c>
      <c r="J238" s="262">
        <v>1.2</v>
      </c>
      <c r="K238" s="262">
        <v>0.94</v>
      </c>
      <c r="L238" s="262">
        <v>0.72</v>
      </c>
      <c r="M238" s="262">
        <v>0.63</v>
      </c>
      <c r="N238" s="567">
        <f t="shared" si="34"/>
        <v>0.63</v>
      </c>
      <c r="O238" s="249">
        <f>IF(O$226=10,C238,HLOOKUP($O$226,$D$226:$M$291,13,TRUE))</f>
        <v>0.63</v>
      </c>
      <c r="P238" s="55">
        <f>IF(P$226=10,C238,HLOOKUP($P$226,$D$226:$M$291,13,TRUE))</f>
        <v>0.63</v>
      </c>
      <c r="Q238" s="111"/>
      <c r="R238" s="111" t="str">
        <f t="shared" si="35"/>
        <v>Công trình dân dụng</v>
      </c>
      <c r="S238" s="111" t="str">
        <f t="shared" si="36"/>
        <v>Thiết kế 2 bước</v>
      </c>
      <c r="T238" s="111" t="str">
        <f t="shared" si="37"/>
        <v>Công trình dân dụngThiết kế 2 bướcCấp III</v>
      </c>
      <c r="U238" s="101">
        <f t="shared" si="38"/>
        <v>0.63</v>
      </c>
      <c r="V238" s="111"/>
      <c r="W238" s="111"/>
    </row>
    <row r="239" spans="1:23" ht="15.4" customHeight="1" x14ac:dyDescent="0.25">
      <c r="A239" s="185" t="s">
        <v>1035</v>
      </c>
      <c r="B239" s="297" t="s">
        <v>417</v>
      </c>
      <c r="C239" s="262">
        <v>2.92</v>
      </c>
      <c r="D239" s="262">
        <v>2.5499999999999998</v>
      </c>
      <c r="E239" s="262">
        <v>2.12</v>
      </c>
      <c r="F239" s="262">
        <v>1.86</v>
      </c>
      <c r="G239" s="262">
        <v>1.51</v>
      </c>
      <c r="H239" s="262">
        <v>1.3</v>
      </c>
      <c r="I239" s="262" t="s">
        <v>394</v>
      </c>
      <c r="J239" s="262" t="s">
        <v>394</v>
      </c>
      <c r="K239" s="262" t="s">
        <v>394</v>
      </c>
      <c r="L239" s="262" t="s">
        <v>394</v>
      </c>
      <c r="M239" s="262" t="s">
        <v>394</v>
      </c>
      <c r="N239" s="567" t="str">
        <f t="shared" si="34"/>
        <v>-</v>
      </c>
      <c r="O239" s="249" t="str">
        <f>IF(O$226=10,C239,HLOOKUP($O$226,$D$226:$M$291,14,TRUE))</f>
        <v>-</v>
      </c>
      <c r="P239" s="55" t="str">
        <f>IF(P$226=10,C239,HLOOKUP($P$226,$D$226:$M$291,14,TRUE))</f>
        <v>-</v>
      </c>
      <c r="Q239" s="111"/>
      <c r="R239" s="111" t="str">
        <f t="shared" si="35"/>
        <v>Công trình dân dụng</v>
      </c>
      <c r="S239" s="111" t="str">
        <f t="shared" si="36"/>
        <v>Thiết kế 2 bước</v>
      </c>
      <c r="T239" s="111" t="str">
        <f t="shared" si="37"/>
        <v>Công trình dân dụngThiết kế 2 bướcCấp IV</v>
      </c>
      <c r="U239" s="101" t="str">
        <f t="shared" si="38"/>
        <v>-</v>
      </c>
      <c r="V239" s="111"/>
      <c r="W239" s="111"/>
    </row>
    <row r="240" spans="1:23" ht="15.4" customHeight="1" x14ac:dyDescent="0.25">
      <c r="A240" s="409">
        <v>2</v>
      </c>
      <c r="B240" s="306" t="str">
        <f>B49</f>
        <v>Công trình công nghiệp</v>
      </c>
      <c r="C240" s="635"/>
      <c r="D240" s="635"/>
      <c r="E240" s="635"/>
      <c r="F240" s="635"/>
      <c r="G240" s="635"/>
      <c r="H240" s="635"/>
      <c r="I240" s="635"/>
      <c r="J240" s="635"/>
      <c r="K240" s="635"/>
      <c r="L240" s="635"/>
      <c r="M240" s="264"/>
      <c r="N240" s="502"/>
      <c r="O240" s="453"/>
      <c r="P240" s="453"/>
      <c r="Q240" s="65"/>
      <c r="R240" s="65"/>
      <c r="S240" s="65"/>
      <c r="T240" s="65"/>
      <c r="U240" s="331"/>
      <c r="V240" s="65"/>
      <c r="W240" s="65"/>
    </row>
    <row r="241" spans="1:23" ht="15.4" customHeight="1" x14ac:dyDescent="0.25">
      <c r="A241" s="185" t="s">
        <v>184</v>
      </c>
      <c r="B241" s="1038" t="s">
        <v>507</v>
      </c>
      <c r="C241" s="1039"/>
      <c r="D241" s="1039"/>
      <c r="E241" s="1039"/>
      <c r="F241" s="1039"/>
      <c r="G241" s="1039"/>
      <c r="H241" s="1039"/>
      <c r="I241" s="1039"/>
      <c r="J241" s="1039"/>
      <c r="K241" s="1039"/>
      <c r="L241" s="1039"/>
      <c r="M241" s="1040"/>
      <c r="N241" s="303"/>
      <c r="O241" s="262"/>
      <c r="P241" s="262"/>
      <c r="Q241" s="111"/>
      <c r="R241" s="111"/>
      <c r="S241" s="111"/>
      <c r="T241" s="111"/>
      <c r="U241" s="101"/>
      <c r="V241" s="111"/>
      <c r="W241" s="111"/>
    </row>
    <row r="242" spans="1:23" ht="15.4" customHeight="1" x14ac:dyDescent="0.25">
      <c r="A242" s="185" t="s">
        <v>83</v>
      </c>
      <c r="B242" s="297" t="s">
        <v>1048</v>
      </c>
      <c r="C242" s="262">
        <v>2.96</v>
      </c>
      <c r="D242" s="262">
        <v>2.73</v>
      </c>
      <c r="E242" s="262">
        <v>2.34</v>
      </c>
      <c r="F242" s="262">
        <v>2.13</v>
      </c>
      <c r="G242" s="262">
        <v>1.92</v>
      </c>
      <c r="H242" s="262">
        <v>1.76</v>
      </c>
      <c r="I242" s="262">
        <v>1.54</v>
      </c>
      <c r="J242" s="262">
        <v>1.3</v>
      </c>
      <c r="K242" s="262">
        <v>0.97</v>
      </c>
      <c r="L242" s="262">
        <v>0.79</v>
      </c>
      <c r="M242" s="262">
        <v>0.7</v>
      </c>
      <c r="N242" s="567">
        <f t="shared" ref="N242:N246" si="39">IF(P$226=O$226,O242,IF(O242="-",O242,ROUND(O242-((O242-P242)/(P$226-O$226))*(N$226-O$226),3)))</f>
        <v>0.7</v>
      </c>
      <c r="O242" s="249">
        <f>IF(O$226=10,C242,HLOOKUP($O$226,$D$226:$M$291,17,TRUE))</f>
        <v>0.7</v>
      </c>
      <c r="P242" s="55">
        <f>IF(P$226=10,C242,HLOOKUP($P$226,$D$226:$M$291,17,TRUE))</f>
        <v>0.7</v>
      </c>
      <c r="Q242" s="111"/>
      <c r="R242" s="111" t="str">
        <f t="shared" ref="R242:R246" si="40">$B$240</f>
        <v>Công trình công nghiệp</v>
      </c>
      <c r="S242" s="111" t="str">
        <f t="shared" ref="S242:S246" si="41">$W$230</f>
        <v>Thiết kế 3 bước</v>
      </c>
      <c r="T242" s="111" t="str">
        <f t="shared" ref="T242:T246" si="42">R242&amp;S242&amp;B242</f>
        <v>Công trình công nghiệpThiết kế 3 bướcCấp đặc biệt</v>
      </c>
      <c r="U242" s="101">
        <f t="shared" ref="U242:U246" si="43">N242</f>
        <v>0.7</v>
      </c>
      <c r="V242" s="111"/>
      <c r="W242" s="111"/>
    </row>
    <row r="243" spans="1:23" ht="15.4" customHeight="1" x14ac:dyDescent="0.25">
      <c r="A243" s="185" t="s">
        <v>1202</v>
      </c>
      <c r="B243" s="297" t="s">
        <v>25</v>
      </c>
      <c r="C243" s="262">
        <v>2.4700000000000002</v>
      </c>
      <c r="D243" s="262">
        <v>2.27</v>
      </c>
      <c r="E243" s="262">
        <v>1.93</v>
      </c>
      <c r="F243" s="262">
        <v>1.77</v>
      </c>
      <c r="G243" s="262">
        <v>1.6</v>
      </c>
      <c r="H243" s="262">
        <v>1.46</v>
      </c>
      <c r="I243" s="262">
        <v>1.28</v>
      </c>
      <c r="J243" s="262">
        <v>1.0900000000000001</v>
      </c>
      <c r="K243" s="262">
        <v>0.8</v>
      </c>
      <c r="L243" s="262">
        <v>0.65</v>
      </c>
      <c r="M243" s="262">
        <v>0.57999999999999996</v>
      </c>
      <c r="N243" s="567">
        <f t="shared" si="39"/>
        <v>0.57999999999999996</v>
      </c>
      <c r="O243" s="249">
        <f>IF(O$226=10,C243,HLOOKUP($O$226,$D$226:$M$291,18,TRUE))</f>
        <v>0.57999999999999996</v>
      </c>
      <c r="P243" s="55">
        <f>IF(P$226=10,C243,HLOOKUP($P$226,$D$226:$M$291,18,TRUE))</f>
        <v>0.57999999999999996</v>
      </c>
      <c r="Q243" s="111"/>
      <c r="R243" s="111" t="str">
        <f t="shared" si="40"/>
        <v>Công trình công nghiệp</v>
      </c>
      <c r="S243" s="111" t="str">
        <f t="shared" si="41"/>
        <v>Thiết kế 3 bước</v>
      </c>
      <c r="T243" s="111" t="str">
        <f t="shared" si="42"/>
        <v>Công trình công nghiệpThiết kế 3 bướcCấp I</v>
      </c>
      <c r="U243" s="101">
        <f t="shared" si="43"/>
        <v>0.57999999999999996</v>
      </c>
      <c r="V243" s="111"/>
      <c r="W243" s="111"/>
    </row>
    <row r="244" spans="1:23" ht="15.4" customHeight="1" x14ac:dyDescent="0.25">
      <c r="A244" s="185" t="s">
        <v>275</v>
      </c>
      <c r="B244" s="297" t="s">
        <v>1134</v>
      </c>
      <c r="C244" s="262">
        <v>2.0299999999999998</v>
      </c>
      <c r="D244" s="262">
        <v>1.86</v>
      </c>
      <c r="E244" s="262">
        <v>1.59</v>
      </c>
      <c r="F244" s="262">
        <v>1.46</v>
      </c>
      <c r="G244" s="262">
        <v>1.32</v>
      </c>
      <c r="H244" s="262">
        <v>1.2</v>
      </c>
      <c r="I244" s="262">
        <v>1.05</v>
      </c>
      <c r="J244" s="262">
        <v>0.9</v>
      </c>
      <c r="K244" s="262">
        <v>0.66</v>
      </c>
      <c r="L244" s="262">
        <v>0.53</v>
      </c>
      <c r="M244" s="262">
        <v>0.48</v>
      </c>
      <c r="N244" s="567">
        <f t="shared" si="39"/>
        <v>0.48</v>
      </c>
      <c r="O244" s="249">
        <f>IF(O$226=10,C244,HLOOKUP($O$226,$D$226:$M$291,19,TRUE))</f>
        <v>0.48</v>
      </c>
      <c r="P244" s="55">
        <f>IF(P$226=10,C244,HLOOKUP($P$226,$D$226:$M$291,19,TRUE))</f>
        <v>0.48</v>
      </c>
      <c r="Q244" s="111"/>
      <c r="R244" s="111" t="str">
        <f t="shared" si="40"/>
        <v>Công trình công nghiệp</v>
      </c>
      <c r="S244" s="111" t="str">
        <f t="shared" si="41"/>
        <v>Thiết kế 3 bước</v>
      </c>
      <c r="T244" s="111" t="str">
        <f t="shared" si="42"/>
        <v>Công trình công nghiệpThiết kế 3 bướcCấp II</v>
      </c>
      <c r="U244" s="101">
        <f t="shared" si="43"/>
        <v>0.48</v>
      </c>
      <c r="V244" s="111"/>
      <c r="W244" s="111"/>
    </row>
    <row r="245" spans="1:23" ht="15.4" customHeight="1" x14ac:dyDescent="0.25">
      <c r="A245" s="185" t="s">
        <v>650</v>
      </c>
      <c r="B245" s="297" t="s">
        <v>563</v>
      </c>
      <c r="C245" s="262">
        <v>1.78</v>
      </c>
      <c r="D245" s="262">
        <v>1.65</v>
      </c>
      <c r="E245" s="262">
        <v>1.4</v>
      </c>
      <c r="F245" s="262">
        <v>1.27</v>
      </c>
      <c r="G245" s="262">
        <v>1.17</v>
      </c>
      <c r="H245" s="262">
        <v>1.06</v>
      </c>
      <c r="I245" s="262">
        <v>0.93</v>
      </c>
      <c r="J245" s="262">
        <v>0.79</v>
      </c>
      <c r="K245" s="262">
        <v>0.57999999999999996</v>
      </c>
      <c r="L245" s="262">
        <v>0.47</v>
      </c>
      <c r="M245" s="262">
        <v>0.42</v>
      </c>
      <c r="N245" s="567">
        <f t="shared" si="39"/>
        <v>0.42</v>
      </c>
      <c r="O245" s="249">
        <f>IF(O$226=10,C245,HLOOKUP($O$226,$D$226:$M$291,20,TRUE))</f>
        <v>0.42</v>
      </c>
      <c r="P245" s="55">
        <f>IF(P$226=10,C245,HLOOKUP($P$226,$D$226:$M$291,20,TRUE))</f>
        <v>0.42</v>
      </c>
      <c r="Q245" s="111"/>
      <c r="R245" s="111" t="str">
        <f t="shared" si="40"/>
        <v>Công trình công nghiệp</v>
      </c>
      <c r="S245" s="111" t="str">
        <f t="shared" si="41"/>
        <v>Thiết kế 3 bước</v>
      </c>
      <c r="T245" s="111" t="str">
        <f t="shared" si="42"/>
        <v>Công trình công nghiệpThiết kế 3 bướcCấp III</v>
      </c>
      <c r="U245" s="101">
        <f t="shared" si="43"/>
        <v>0.42</v>
      </c>
      <c r="V245" s="111"/>
      <c r="W245" s="111"/>
    </row>
    <row r="246" spans="1:23" ht="15.4" customHeight="1" x14ac:dyDescent="0.25">
      <c r="A246" s="185" t="s">
        <v>1005</v>
      </c>
      <c r="B246" s="297" t="s">
        <v>417</v>
      </c>
      <c r="C246" s="262">
        <v>1.59</v>
      </c>
      <c r="D246" s="262">
        <v>1.47</v>
      </c>
      <c r="E246" s="262">
        <v>1.24</v>
      </c>
      <c r="F246" s="262">
        <v>1.1399999999999999</v>
      </c>
      <c r="G246" s="262">
        <v>0.98</v>
      </c>
      <c r="H246" s="262">
        <v>0.83</v>
      </c>
      <c r="I246" s="262" t="s">
        <v>394</v>
      </c>
      <c r="J246" s="262" t="s">
        <v>394</v>
      </c>
      <c r="K246" s="262" t="s">
        <v>394</v>
      </c>
      <c r="L246" s="262" t="s">
        <v>394</v>
      </c>
      <c r="M246" s="262" t="s">
        <v>394</v>
      </c>
      <c r="N246" s="567" t="str">
        <f t="shared" si="39"/>
        <v>-</v>
      </c>
      <c r="O246" s="249" t="str">
        <f>IF(O$226=10,C246,HLOOKUP($O$226,$D$226:$M$291,21,TRUE))</f>
        <v>-</v>
      </c>
      <c r="P246" s="55" t="str">
        <f>IF(P$226=10,C246,HLOOKUP($P$226,$D$226:$M$291,21,TRUE))</f>
        <v>-</v>
      </c>
      <c r="Q246" s="111"/>
      <c r="R246" s="111" t="str">
        <f t="shared" si="40"/>
        <v>Công trình công nghiệp</v>
      </c>
      <c r="S246" s="111" t="str">
        <f t="shared" si="41"/>
        <v>Thiết kế 3 bước</v>
      </c>
      <c r="T246" s="111" t="str">
        <f t="shared" si="42"/>
        <v>Công trình công nghiệpThiết kế 3 bướcCấp IV</v>
      </c>
      <c r="U246" s="101" t="str">
        <f t="shared" si="43"/>
        <v>-</v>
      </c>
      <c r="V246" s="111"/>
      <c r="W246" s="111"/>
    </row>
    <row r="247" spans="1:23" ht="15.4" customHeight="1" x14ac:dyDescent="0.25">
      <c r="A247" s="185" t="s">
        <v>354</v>
      </c>
      <c r="B247" s="1038" t="s">
        <v>670</v>
      </c>
      <c r="C247" s="1039"/>
      <c r="D247" s="1039"/>
      <c r="E247" s="1039"/>
      <c r="F247" s="1039"/>
      <c r="G247" s="1039"/>
      <c r="H247" s="1039"/>
      <c r="I247" s="1039"/>
      <c r="J247" s="1039"/>
      <c r="K247" s="1039"/>
      <c r="L247" s="1039"/>
      <c r="M247" s="1040"/>
      <c r="N247" s="303"/>
      <c r="O247" s="262"/>
      <c r="P247" s="262"/>
      <c r="Q247" s="111"/>
      <c r="R247" s="111"/>
      <c r="S247" s="111"/>
      <c r="T247" s="111"/>
      <c r="U247" s="101"/>
      <c r="V247" s="111"/>
      <c r="W247" s="111"/>
    </row>
    <row r="248" spans="1:23" ht="15.4" customHeight="1" x14ac:dyDescent="0.25">
      <c r="A248" s="185" t="s">
        <v>1051</v>
      </c>
      <c r="B248" s="297" t="s">
        <v>1048</v>
      </c>
      <c r="C248" s="262">
        <v>4.7</v>
      </c>
      <c r="D248" s="262">
        <v>4.2699999999999996</v>
      </c>
      <c r="E248" s="262">
        <v>3.66</v>
      </c>
      <c r="F248" s="262">
        <v>3.32</v>
      </c>
      <c r="G248" s="262">
        <v>3.01</v>
      </c>
      <c r="H248" s="262">
        <v>2.75</v>
      </c>
      <c r="I248" s="262">
        <v>2.4</v>
      </c>
      <c r="J248" s="262">
        <v>2.0299999999999998</v>
      </c>
      <c r="K248" s="262">
        <v>1.52</v>
      </c>
      <c r="L248" s="262">
        <v>1.21</v>
      </c>
      <c r="M248" s="262">
        <v>1.04</v>
      </c>
      <c r="N248" s="567">
        <f t="shared" ref="N248:N252" si="44">IF(P$226=O$226,O248,IF(O248="-",O248,ROUND(O248-((O248-P248)/(P$226-O$226))*(N$226-O$226),3)))</f>
        <v>1.04</v>
      </c>
      <c r="O248" s="249">
        <f>IF(O$226=10,C248,HLOOKUP($O$226,$D$226:$M$291,23,TRUE))</f>
        <v>1.04</v>
      </c>
      <c r="P248" s="55">
        <f>IF(P$226=10,C248,HLOOKUP($P$226,$D$226:$M$291,23,TRUE))</f>
        <v>1.04</v>
      </c>
      <c r="Q248" s="111"/>
      <c r="R248" s="111" t="str">
        <f t="shared" ref="R248:R252" si="45">$B$240</f>
        <v>Công trình công nghiệp</v>
      </c>
      <c r="S248" s="111" t="str">
        <f t="shared" ref="S248:S252" si="46">$W$229</f>
        <v>Thiết kế 2 bước</v>
      </c>
      <c r="T248" s="111" t="str">
        <f t="shared" ref="T248:T252" si="47">R248&amp;S248&amp;B248</f>
        <v>Công trình công nghiệpThiết kế 2 bướcCấp đặc biệt</v>
      </c>
      <c r="U248" s="101">
        <f t="shared" ref="U248:U252" si="48">N248</f>
        <v>1.04</v>
      </c>
      <c r="V248" s="111"/>
      <c r="W248" s="111"/>
    </row>
    <row r="249" spans="1:23" ht="15.4" customHeight="1" x14ac:dyDescent="0.25">
      <c r="A249" s="185" t="s">
        <v>127</v>
      </c>
      <c r="B249" s="297" t="s">
        <v>25</v>
      </c>
      <c r="C249" s="262">
        <v>3.87</v>
      </c>
      <c r="D249" s="262">
        <v>3.57</v>
      </c>
      <c r="E249" s="262">
        <v>3.02</v>
      </c>
      <c r="F249" s="262">
        <v>2.77</v>
      </c>
      <c r="G249" s="262">
        <v>2.5</v>
      </c>
      <c r="H249" s="262">
        <v>2.2799999999999998</v>
      </c>
      <c r="I249" s="262">
        <v>2.0099999999999998</v>
      </c>
      <c r="J249" s="262">
        <v>1.7</v>
      </c>
      <c r="K249" s="262">
        <v>1.26</v>
      </c>
      <c r="L249" s="262">
        <v>1.02</v>
      </c>
      <c r="M249" s="262">
        <v>0.88</v>
      </c>
      <c r="N249" s="567">
        <f t="shared" si="44"/>
        <v>0.88</v>
      </c>
      <c r="O249" s="249">
        <f>IF(O$226=10,C249,HLOOKUP($O$226,$D$226:$M$291,24,TRUE))</f>
        <v>0.88</v>
      </c>
      <c r="P249" s="55">
        <f>IF(P$226=10,C249,HLOOKUP($P$226,$D$226:$M$291,24,TRUE))</f>
        <v>0.88</v>
      </c>
      <c r="Q249" s="111"/>
      <c r="R249" s="111" t="str">
        <f t="shared" si="45"/>
        <v>Công trình công nghiệp</v>
      </c>
      <c r="S249" s="111" t="str">
        <f t="shared" si="46"/>
        <v>Thiết kế 2 bước</v>
      </c>
      <c r="T249" s="111" t="str">
        <f t="shared" si="47"/>
        <v>Công trình công nghiệpThiết kế 2 bướcCấp I</v>
      </c>
      <c r="U249" s="101">
        <f t="shared" si="48"/>
        <v>0.88</v>
      </c>
      <c r="V249" s="111"/>
      <c r="W249" s="111"/>
    </row>
    <row r="250" spans="1:23" ht="15.4" customHeight="1" x14ac:dyDescent="0.25">
      <c r="A250" s="185" t="s">
        <v>490</v>
      </c>
      <c r="B250" s="297" t="s">
        <v>1134</v>
      </c>
      <c r="C250" s="262">
        <v>3.13</v>
      </c>
      <c r="D250" s="262">
        <v>2.9</v>
      </c>
      <c r="E250" s="262">
        <v>2.4300000000000002</v>
      </c>
      <c r="F250" s="262">
        <v>2.2400000000000002</v>
      </c>
      <c r="G250" s="262">
        <v>2.0299999999999998</v>
      </c>
      <c r="H250" s="262">
        <v>1.9</v>
      </c>
      <c r="I250" s="262">
        <v>1.66</v>
      </c>
      <c r="J250" s="262">
        <v>1.42</v>
      </c>
      <c r="K250" s="262">
        <v>1.04</v>
      </c>
      <c r="L250" s="262">
        <v>0.82</v>
      </c>
      <c r="M250" s="262">
        <v>0.72</v>
      </c>
      <c r="N250" s="567">
        <f t="shared" si="44"/>
        <v>0.72</v>
      </c>
      <c r="O250" s="249">
        <f>IF(O$226=10,C250,HLOOKUP($O$226,$D$226:$M$291,25,TRUE))</f>
        <v>0.72</v>
      </c>
      <c r="P250" s="55">
        <f>IF(P$226=10,C250,HLOOKUP($P$226,$D$226:$M$291,25,TRUE))</f>
        <v>0.72</v>
      </c>
      <c r="Q250" s="111"/>
      <c r="R250" s="111" t="str">
        <f t="shared" si="45"/>
        <v>Công trình công nghiệp</v>
      </c>
      <c r="S250" s="111" t="str">
        <f t="shared" si="46"/>
        <v>Thiết kế 2 bước</v>
      </c>
      <c r="T250" s="111" t="str">
        <f t="shared" si="47"/>
        <v>Công trình công nghiệpThiết kế 2 bướcCấp II</v>
      </c>
      <c r="U250" s="101">
        <f t="shared" si="48"/>
        <v>0.72</v>
      </c>
      <c r="V250" s="111"/>
      <c r="W250" s="111"/>
    </row>
    <row r="251" spans="1:23" ht="15.4" customHeight="1" x14ac:dyDescent="0.25">
      <c r="A251" s="185" t="s">
        <v>326</v>
      </c>
      <c r="B251" s="297" t="s">
        <v>563</v>
      </c>
      <c r="C251" s="262">
        <v>2.78</v>
      </c>
      <c r="D251" s="262">
        <v>2.57</v>
      </c>
      <c r="E251" s="262">
        <v>2.16</v>
      </c>
      <c r="F251" s="262">
        <v>1.99</v>
      </c>
      <c r="G251" s="262">
        <v>1.79</v>
      </c>
      <c r="H251" s="262">
        <v>1.68</v>
      </c>
      <c r="I251" s="262">
        <v>1.47</v>
      </c>
      <c r="J251" s="262">
        <v>1.25</v>
      </c>
      <c r="K251" s="262">
        <v>0.91</v>
      </c>
      <c r="L251" s="262">
        <v>0.72</v>
      </c>
      <c r="M251" s="262">
        <v>0.64</v>
      </c>
      <c r="N251" s="567">
        <f t="shared" si="44"/>
        <v>0.64</v>
      </c>
      <c r="O251" s="249">
        <f>IF(O$226=10,C251,HLOOKUP($O$226,$D$226:$M$291,26,TRUE))</f>
        <v>0.64</v>
      </c>
      <c r="P251" s="55">
        <f>IF(P$226=10,C251,HLOOKUP($P$226,$D$226:$M$291,26,TRUE))</f>
        <v>0.64</v>
      </c>
      <c r="Q251" s="111"/>
      <c r="R251" s="111" t="str">
        <f t="shared" si="45"/>
        <v>Công trình công nghiệp</v>
      </c>
      <c r="S251" s="111" t="str">
        <f t="shared" si="46"/>
        <v>Thiết kế 2 bước</v>
      </c>
      <c r="T251" s="111" t="str">
        <f t="shared" si="47"/>
        <v>Công trình công nghiệpThiết kế 2 bướcCấp III</v>
      </c>
      <c r="U251" s="101">
        <f t="shared" si="48"/>
        <v>0.64</v>
      </c>
      <c r="V251" s="111"/>
      <c r="W251" s="111"/>
    </row>
    <row r="252" spans="1:23" ht="15.4" customHeight="1" x14ac:dyDescent="0.25">
      <c r="A252" s="185" t="s">
        <v>698</v>
      </c>
      <c r="B252" s="297" t="s">
        <v>417</v>
      </c>
      <c r="C252" s="262">
        <v>2.46</v>
      </c>
      <c r="D252" s="262">
        <v>2.25</v>
      </c>
      <c r="E252" s="262">
        <v>1.89</v>
      </c>
      <c r="F252" s="262">
        <v>1.72</v>
      </c>
      <c r="G252" s="262">
        <v>1.47</v>
      </c>
      <c r="H252" s="262">
        <v>1.22</v>
      </c>
      <c r="I252" s="262" t="s">
        <v>394</v>
      </c>
      <c r="J252" s="262" t="s">
        <v>394</v>
      </c>
      <c r="K252" s="262" t="s">
        <v>394</v>
      </c>
      <c r="L252" s="262" t="s">
        <v>394</v>
      </c>
      <c r="M252" s="262" t="s">
        <v>394</v>
      </c>
      <c r="N252" s="567" t="str">
        <f t="shared" si="44"/>
        <v>-</v>
      </c>
      <c r="O252" s="249" t="str">
        <f>IF(O$226=10,C252,HLOOKUP($O$226,$D$226:$M$291,27,TRUE))</f>
        <v>-</v>
      </c>
      <c r="P252" s="55" t="str">
        <f>IF(P$226=10,C252,HLOOKUP($P$226,$D$226:$M$291,27,TRUE))</f>
        <v>-</v>
      </c>
      <c r="Q252" s="111"/>
      <c r="R252" s="111" t="str">
        <f t="shared" si="45"/>
        <v>Công trình công nghiệp</v>
      </c>
      <c r="S252" s="111" t="str">
        <f t="shared" si="46"/>
        <v>Thiết kế 2 bước</v>
      </c>
      <c r="T252" s="111" t="str">
        <f t="shared" si="47"/>
        <v>Công trình công nghiệpThiết kế 2 bướcCấp IV</v>
      </c>
      <c r="U252" s="101" t="str">
        <f t="shared" si="48"/>
        <v>-</v>
      </c>
      <c r="V252" s="111"/>
      <c r="W252" s="111"/>
    </row>
    <row r="253" spans="1:23" ht="15.4" customHeight="1" x14ac:dyDescent="0.25">
      <c r="A253" s="409">
        <v>3</v>
      </c>
      <c r="B253" s="306" t="str">
        <f>B50</f>
        <v>Công trình giao thông</v>
      </c>
      <c r="C253" s="635"/>
      <c r="D253" s="635"/>
      <c r="E253" s="635"/>
      <c r="F253" s="635"/>
      <c r="G253" s="635"/>
      <c r="H253" s="635"/>
      <c r="I253" s="635"/>
      <c r="J253" s="635"/>
      <c r="K253" s="635"/>
      <c r="L253" s="635"/>
      <c r="M253" s="264"/>
      <c r="N253" s="502"/>
      <c r="O253" s="453"/>
      <c r="P253" s="453"/>
      <c r="Q253" s="65"/>
      <c r="R253" s="65"/>
      <c r="S253" s="65"/>
      <c r="T253" s="65"/>
      <c r="U253" s="331"/>
      <c r="V253" s="65"/>
      <c r="W253" s="65"/>
    </row>
    <row r="254" spans="1:23" ht="15.4" customHeight="1" x14ac:dyDescent="0.25">
      <c r="A254" s="185" t="s">
        <v>502</v>
      </c>
      <c r="B254" s="1038" t="s">
        <v>507</v>
      </c>
      <c r="C254" s="1039"/>
      <c r="D254" s="1039"/>
      <c r="E254" s="1039"/>
      <c r="F254" s="1039"/>
      <c r="G254" s="1039"/>
      <c r="H254" s="1039"/>
      <c r="I254" s="1039"/>
      <c r="J254" s="1039"/>
      <c r="K254" s="1039"/>
      <c r="L254" s="1039"/>
      <c r="M254" s="1040"/>
      <c r="N254" s="303"/>
      <c r="O254" s="262"/>
      <c r="P254" s="262"/>
      <c r="Q254" s="111"/>
      <c r="R254" s="111"/>
      <c r="S254" s="111"/>
      <c r="T254" s="111"/>
      <c r="U254" s="101"/>
      <c r="V254" s="111"/>
      <c r="W254" s="111"/>
    </row>
    <row r="255" spans="1:23" ht="15.4" customHeight="1" x14ac:dyDescent="0.25">
      <c r="A255" s="185" t="s">
        <v>1016</v>
      </c>
      <c r="B255" s="297" t="s">
        <v>1048</v>
      </c>
      <c r="C255" s="262">
        <v>2.0499999999999998</v>
      </c>
      <c r="D255" s="262">
        <v>1.92</v>
      </c>
      <c r="E255" s="262">
        <v>1.68</v>
      </c>
      <c r="F255" s="262">
        <v>1.5</v>
      </c>
      <c r="G255" s="262">
        <v>1.36</v>
      </c>
      <c r="H255" s="262">
        <v>1.24</v>
      </c>
      <c r="I255" s="262">
        <v>1.08</v>
      </c>
      <c r="J255" s="262">
        <v>0.92</v>
      </c>
      <c r="K255" s="262">
        <v>0.68</v>
      </c>
      <c r="L255" s="262">
        <v>0.51</v>
      </c>
      <c r="M255" s="262">
        <v>0.45</v>
      </c>
      <c r="N255" s="567">
        <f t="shared" ref="N255:N259" si="49">IF(P$226=O$226,O255,IF(O255="-",O255,ROUND(O255-((O255-P255)/(P$226-O$226))*(N$226-O$226),3)))</f>
        <v>0.45</v>
      </c>
      <c r="O255" s="249">
        <f>IF(O$226=10,C255,HLOOKUP($O$226,$D$226:$M$291,30,TRUE))</f>
        <v>0.45</v>
      </c>
      <c r="P255" s="55">
        <f>IF(P$226=10,C255,HLOOKUP($P$226,$D$226:$M$291,30,TRUE))</f>
        <v>0.45</v>
      </c>
      <c r="Q255" s="111"/>
      <c r="R255" s="111" t="str">
        <f t="shared" ref="R255:R259" si="50">$B$253</f>
        <v>Công trình giao thông</v>
      </c>
      <c r="S255" s="111" t="str">
        <f t="shared" ref="S255:S259" si="51">$W$230</f>
        <v>Thiết kế 3 bước</v>
      </c>
      <c r="T255" s="111" t="str">
        <f t="shared" ref="T255:T259" si="52">R255&amp;S255&amp;B255</f>
        <v>Công trình giao thôngThiết kế 3 bướcCấp đặc biệt</v>
      </c>
      <c r="U255" s="101">
        <f t="shared" ref="U255:U259" si="53">N255</f>
        <v>0.45</v>
      </c>
      <c r="V255" s="111"/>
      <c r="W255" s="111"/>
    </row>
    <row r="256" spans="1:23" ht="15.4" customHeight="1" x14ac:dyDescent="0.25">
      <c r="A256" s="185" t="s">
        <v>844</v>
      </c>
      <c r="B256" s="297" t="s">
        <v>25</v>
      </c>
      <c r="C256" s="262">
        <v>1.44</v>
      </c>
      <c r="D256" s="262">
        <v>1.39</v>
      </c>
      <c r="E256" s="262">
        <v>1.1299999999999999</v>
      </c>
      <c r="F256" s="262">
        <v>1.05</v>
      </c>
      <c r="G256" s="262">
        <v>0.95</v>
      </c>
      <c r="H256" s="262">
        <v>0.81</v>
      </c>
      <c r="I256" s="262">
        <v>0.68</v>
      </c>
      <c r="J256" s="262">
        <v>0.57999999999999996</v>
      </c>
      <c r="K256" s="262">
        <v>0.44</v>
      </c>
      <c r="L256" s="262">
        <v>0.34</v>
      </c>
      <c r="M256" s="262">
        <v>0.28000000000000003</v>
      </c>
      <c r="N256" s="567">
        <f t="shared" si="49"/>
        <v>0.28000000000000003</v>
      </c>
      <c r="O256" s="249">
        <f>IF(O$226=10,C256,HLOOKUP($O$226,$D$226:$M$291,31,TRUE))</f>
        <v>0.28000000000000003</v>
      </c>
      <c r="P256" s="55">
        <f>IF(P$226=10,C256,HLOOKUP($P$226,$D$226:$M$291,31,TRUE))</f>
        <v>0.28000000000000003</v>
      </c>
      <c r="Q256" s="111"/>
      <c r="R256" s="111" t="str">
        <f t="shared" si="50"/>
        <v>Công trình giao thông</v>
      </c>
      <c r="S256" s="111" t="str">
        <f t="shared" si="51"/>
        <v>Thiết kế 3 bước</v>
      </c>
      <c r="T256" s="111" t="str">
        <f t="shared" si="52"/>
        <v>Công trình giao thôngThiết kế 3 bướcCấp I</v>
      </c>
      <c r="U256" s="101">
        <f t="shared" si="53"/>
        <v>0.28000000000000003</v>
      </c>
      <c r="V256" s="111"/>
      <c r="W256" s="111"/>
    </row>
    <row r="257" spans="1:23" ht="15.4" customHeight="1" x14ac:dyDescent="0.25">
      <c r="A257" s="185" t="s">
        <v>1228</v>
      </c>
      <c r="B257" s="297" t="s">
        <v>1134</v>
      </c>
      <c r="C257" s="262">
        <v>1.19</v>
      </c>
      <c r="D257" s="262">
        <v>1.08</v>
      </c>
      <c r="E257" s="262">
        <v>0.92</v>
      </c>
      <c r="F257" s="262">
        <v>0.84</v>
      </c>
      <c r="G257" s="262">
        <v>0.77</v>
      </c>
      <c r="H257" s="262">
        <v>0.7</v>
      </c>
      <c r="I257" s="262">
        <v>0.6</v>
      </c>
      <c r="J257" s="262">
        <v>0.51</v>
      </c>
      <c r="K257" s="262">
        <v>0.39</v>
      </c>
      <c r="L257" s="262">
        <v>0.28999999999999998</v>
      </c>
      <c r="M257" s="262">
        <v>0.25</v>
      </c>
      <c r="N257" s="567">
        <f t="shared" si="49"/>
        <v>0.25</v>
      </c>
      <c r="O257" s="249">
        <f>IF(O$226=10,C257,HLOOKUP($O$226,$D$226:$M$291,32,TRUE))</f>
        <v>0.25</v>
      </c>
      <c r="P257" s="55">
        <f>IF(P$226=10,C257,HLOOKUP($P$226,$D$226:$M$291,32,TRUE))</f>
        <v>0.25</v>
      </c>
      <c r="Q257" s="111"/>
      <c r="R257" s="111" t="str">
        <f t="shared" si="50"/>
        <v>Công trình giao thông</v>
      </c>
      <c r="S257" s="111" t="str">
        <f t="shared" si="51"/>
        <v>Thiết kế 3 bước</v>
      </c>
      <c r="T257" s="111" t="str">
        <f t="shared" si="52"/>
        <v>Công trình giao thôngThiết kế 3 bướcCấp II</v>
      </c>
      <c r="U257" s="101">
        <f t="shared" si="53"/>
        <v>0.25</v>
      </c>
      <c r="V257" s="111"/>
      <c r="W257" s="111"/>
    </row>
    <row r="258" spans="1:23" ht="15.4" customHeight="1" x14ac:dyDescent="0.25">
      <c r="A258" s="185" t="s">
        <v>295</v>
      </c>
      <c r="B258" s="297" t="s">
        <v>563</v>
      </c>
      <c r="C258" s="262">
        <v>1.05</v>
      </c>
      <c r="D258" s="262">
        <v>0.93</v>
      </c>
      <c r="E258" s="262">
        <v>0.81</v>
      </c>
      <c r="F258" s="262">
        <v>0.74</v>
      </c>
      <c r="G258" s="262">
        <v>0.68</v>
      </c>
      <c r="H258" s="262">
        <v>0.57999999999999996</v>
      </c>
      <c r="I258" s="262">
        <v>0.48</v>
      </c>
      <c r="J258" s="262">
        <v>0.43</v>
      </c>
      <c r="K258" s="262">
        <v>0.32</v>
      </c>
      <c r="L258" s="262">
        <v>0.25</v>
      </c>
      <c r="M258" s="262">
        <v>0.21</v>
      </c>
      <c r="N258" s="567">
        <f t="shared" si="49"/>
        <v>0.21</v>
      </c>
      <c r="O258" s="249">
        <f>IF(O$226=10,C258,HLOOKUP($O$226,$D$226:$M$291,33,TRUE))</f>
        <v>0.21</v>
      </c>
      <c r="P258" s="55">
        <f>IF(P$226=10,C258,HLOOKUP($P$226,$D$226:$M$291,33,TRUE))</f>
        <v>0.21</v>
      </c>
      <c r="Q258" s="111"/>
      <c r="R258" s="111" t="str">
        <f t="shared" si="50"/>
        <v>Công trình giao thông</v>
      </c>
      <c r="S258" s="111" t="str">
        <f t="shared" si="51"/>
        <v>Thiết kế 3 bước</v>
      </c>
      <c r="T258" s="111" t="str">
        <f t="shared" si="52"/>
        <v>Công trình giao thôngThiết kế 3 bướcCấp III</v>
      </c>
      <c r="U258" s="101">
        <f t="shared" si="53"/>
        <v>0.21</v>
      </c>
      <c r="V258" s="111"/>
      <c r="W258" s="111"/>
    </row>
    <row r="259" spans="1:23" ht="15.4" customHeight="1" x14ac:dyDescent="0.25">
      <c r="A259" s="185" t="s">
        <v>664</v>
      </c>
      <c r="B259" s="297" t="s">
        <v>417</v>
      </c>
      <c r="C259" s="262">
        <v>0.95</v>
      </c>
      <c r="D259" s="262">
        <v>0.87</v>
      </c>
      <c r="E259" s="262">
        <v>0.76</v>
      </c>
      <c r="F259" s="262">
        <v>0.69</v>
      </c>
      <c r="G259" s="262">
        <v>0.59</v>
      </c>
      <c r="H259" s="262">
        <v>0.49</v>
      </c>
      <c r="I259" s="262">
        <v>0.43</v>
      </c>
      <c r="J259" s="262" t="s">
        <v>394</v>
      </c>
      <c r="K259" s="262" t="s">
        <v>394</v>
      </c>
      <c r="L259" s="262" t="s">
        <v>394</v>
      </c>
      <c r="M259" s="262" t="s">
        <v>394</v>
      </c>
      <c r="N259" s="567" t="str">
        <f t="shared" si="49"/>
        <v>-</v>
      </c>
      <c r="O259" s="249" t="str">
        <f>IF(O$226=10,C259,HLOOKUP($O$226,$D$226:$M$291,34,TRUE))</f>
        <v>-</v>
      </c>
      <c r="P259" s="55" t="str">
        <f>IF(P$226=10,C259,HLOOKUP($P$226,$D$226:$M$291,34,TRUE))</f>
        <v>-</v>
      </c>
      <c r="Q259" s="111"/>
      <c r="R259" s="111" t="str">
        <f t="shared" si="50"/>
        <v>Công trình giao thông</v>
      </c>
      <c r="S259" s="111" t="str">
        <f t="shared" si="51"/>
        <v>Thiết kế 3 bước</v>
      </c>
      <c r="T259" s="111" t="str">
        <f t="shared" si="52"/>
        <v>Công trình giao thôngThiết kế 3 bướcCấp IV</v>
      </c>
      <c r="U259" s="101" t="str">
        <f t="shared" si="53"/>
        <v>-</v>
      </c>
      <c r="V259" s="111"/>
      <c r="W259" s="111"/>
    </row>
    <row r="260" spans="1:23" ht="15.4" customHeight="1" x14ac:dyDescent="0.25">
      <c r="A260" s="185" t="s">
        <v>136</v>
      </c>
      <c r="B260" s="1038" t="s">
        <v>670</v>
      </c>
      <c r="C260" s="1039"/>
      <c r="D260" s="1039"/>
      <c r="E260" s="1039"/>
      <c r="F260" s="1039"/>
      <c r="G260" s="1039"/>
      <c r="H260" s="1039"/>
      <c r="I260" s="1039"/>
      <c r="J260" s="1039"/>
      <c r="K260" s="1039"/>
      <c r="L260" s="1039"/>
      <c r="M260" s="1040"/>
      <c r="N260" s="303"/>
      <c r="O260" s="262"/>
      <c r="P260" s="262"/>
      <c r="Q260" s="111"/>
      <c r="R260" s="111"/>
      <c r="S260" s="111"/>
      <c r="T260" s="111"/>
      <c r="U260" s="101"/>
      <c r="V260" s="111"/>
      <c r="W260" s="111"/>
    </row>
    <row r="261" spans="1:23" ht="15.4" customHeight="1" x14ac:dyDescent="0.25">
      <c r="A261" s="185" t="s">
        <v>710</v>
      </c>
      <c r="B261" s="297" t="s">
        <v>1048</v>
      </c>
      <c r="C261" s="262">
        <v>3.01</v>
      </c>
      <c r="D261" s="262">
        <v>2.76</v>
      </c>
      <c r="E261" s="262">
        <v>2.36</v>
      </c>
      <c r="F261" s="262">
        <v>2.15</v>
      </c>
      <c r="G261" s="262">
        <v>1.95</v>
      </c>
      <c r="H261" s="262">
        <v>1.78</v>
      </c>
      <c r="I261" s="262">
        <v>1.52</v>
      </c>
      <c r="J261" s="262">
        <v>1.32</v>
      </c>
      <c r="K261" s="262">
        <v>1.02</v>
      </c>
      <c r="L261" s="262">
        <v>0.75</v>
      </c>
      <c r="M261" s="262">
        <v>0.66</v>
      </c>
      <c r="N261" s="567">
        <f t="shared" ref="N261:N265" si="54">IF(P$226=O$226,O261,IF(O261="-",O261,ROUND(O261-((O261-P261)/(P$226-O$226))*(N$226-O$226),3)))</f>
        <v>0.66</v>
      </c>
      <c r="O261" s="249">
        <f>IF(O$226=10,C261,HLOOKUP($O$226,$D$226:$M$291,36,TRUE))</f>
        <v>0.66</v>
      </c>
      <c r="P261" s="55">
        <f>IF(P$226=10,C261,HLOOKUP($P$226,$D$226:$M$291,36,TRUE))</f>
        <v>0.66</v>
      </c>
      <c r="Q261" s="111"/>
      <c r="R261" s="111" t="str">
        <f t="shared" ref="R261:R265" si="55">$B$253</f>
        <v>Công trình giao thông</v>
      </c>
      <c r="S261" s="111" t="str">
        <f t="shared" ref="S261:S265" si="56">$W$229</f>
        <v>Thiết kế 2 bước</v>
      </c>
      <c r="T261" s="111" t="str">
        <f t="shared" ref="T261:T265" si="57">R261&amp;S261&amp;B261</f>
        <v>Công trình giao thôngThiết kế 2 bướcCấp đặc biệt</v>
      </c>
      <c r="U261" s="101">
        <f t="shared" ref="U261:U265" si="58">N261</f>
        <v>0.66</v>
      </c>
      <c r="V261" s="111"/>
      <c r="W261" s="111"/>
    </row>
    <row r="262" spans="1:23" ht="15.4" customHeight="1" x14ac:dyDescent="0.25">
      <c r="A262" s="185" t="s">
        <v>1079</v>
      </c>
      <c r="B262" s="297" t="s">
        <v>25</v>
      </c>
      <c r="C262" s="262">
        <v>2.27</v>
      </c>
      <c r="D262" s="262">
        <v>2.15</v>
      </c>
      <c r="E262" s="262">
        <v>1.83</v>
      </c>
      <c r="F262" s="262">
        <v>1.67</v>
      </c>
      <c r="G262" s="262">
        <v>1.51</v>
      </c>
      <c r="H262" s="262">
        <v>1.38</v>
      </c>
      <c r="I262" s="262">
        <v>1.21</v>
      </c>
      <c r="J262" s="262">
        <v>1.03</v>
      </c>
      <c r="K262" s="262">
        <v>0.79</v>
      </c>
      <c r="L262" s="262">
        <v>0.61</v>
      </c>
      <c r="M262" s="262">
        <v>0.49</v>
      </c>
      <c r="N262" s="567">
        <f t="shared" si="54"/>
        <v>0.49</v>
      </c>
      <c r="O262" s="249">
        <f>IF(O$226=10,C262,HLOOKUP($O$226,$D$226:$M$291,37,TRUE))</f>
        <v>0.49</v>
      </c>
      <c r="P262" s="55">
        <f>IF(P$226=10,C262,HLOOKUP($P$226,$D$226:$M$291,37,TRUE))</f>
        <v>0.49</v>
      </c>
      <c r="Q262" s="111"/>
      <c r="R262" s="111" t="str">
        <f t="shared" si="55"/>
        <v>Công trình giao thông</v>
      </c>
      <c r="S262" s="111" t="str">
        <f t="shared" si="56"/>
        <v>Thiết kế 2 bước</v>
      </c>
      <c r="T262" s="111" t="str">
        <f t="shared" si="57"/>
        <v>Công trình giao thôngThiết kế 2 bướcCấp I</v>
      </c>
      <c r="U262" s="101">
        <f t="shared" si="58"/>
        <v>0.49</v>
      </c>
      <c r="V262" s="111"/>
      <c r="W262" s="111"/>
    </row>
    <row r="263" spans="1:23" ht="15.4" customHeight="1" x14ac:dyDescent="0.25">
      <c r="A263" s="185" t="s">
        <v>154</v>
      </c>
      <c r="B263" s="297" t="s">
        <v>1134</v>
      </c>
      <c r="C263" s="262">
        <v>1.67</v>
      </c>
      <c r="D263" s="262">
        <v>1.55</v>
      </c>
      <c r="E263" s="262">
        <v>1.32</v>
      </c>
      <c r="F263" s="262">
        <v>1.2</v>
      </c>
      <c r="G263" s="262">
        <v>1.1000000000000001</v>
      </c>
      <c r="H263" s="262">
        <v>1.01</v>
      </c>
      <c r="I263" s="262">
        <v>0.85</v>
      </c>
      <c r="J263" s="262">
        <v>0.72</v>
      </c>
      <c r="K263" s="262">
        <v>0.56000000000000005</v>
      </c>
      <c r="L263" s="262">
        <v>0.42</v>
      </c>
      <c r="M263" s="262">
        <v>0.36</v>
      </c>
      <c r="N263" s="567">
        <f t="shared" si="54"/>
        <v>0.36</v>
      </c>
      <c r="O263" s="249">
        <f>IF(O$226=10,C263,HLOOKUP($O$226,$D$226:$M$291,38,TRUE))</f>
        <v>0.36</v>
      </c>
      <c r="P263" s="55">
        <f>IF(P$226=10,C263,HLOOKUP($P$226,$D$226:$M$291,38,TRUE))</f>
        <v>0.36</v>
      </c>
      <c r="Q263" s="111"/>
      <c r="R263" s="111" t="str">
        <f t="shared" si="55"/>
        <v>Công trình giao thông</v>
      </c>
      <c r="S263" s="111" t="str">
        <f t="shared" si="56"/>
        <v>Thiết kế 2 bước</v>
      </c>
      <c r="T263" s="111" t="str">
        <f t="shared" si="57"/>
        <v>Công trình giao thôngThiết kế 2 bướcCấp II</v>
      </c>
      <c r="U263" s="101">
        <f t="shared" si="58"/>
        <v>0.36</v>
      </c>
      <c r="V263" s="111"/>
      <c r="W263" s="111"/>
    </row>
    <row r="264" spans="1:23" ht="15.4" customHeight="1" x14ac:dyDescent="0.25">
      <c r="A264" s="185" t="s">
        <v>1272</v>
      </c>
      <c r="B264" s="297" t="s">
        <v>563</v>
      </c>
      <c r="C264" s="262">
        <v>1.48</v>
      </c>
      <c r="D264" s="262">
        <v>1.37</v>
      </c>
      <c r="E264" s="262">
        <v>1.17</v>
      </c>
      <c r="F264" s="262">
        <v>1.06</v>
      </c>
      <c r="G264" s="262">
        <v>0.97</v>
      </c>
      <c r="H264" s="262">
        <v>0.82</v>
      </c>
      <c r="I264" s="262">
        <v>0.7</v>
      </c>
      <c r="J264" s="262">
        <v>0.59</v>
      </c>
      <c r="K264" s="262">
        <v>0.45</v>
      </c>
      <c r="L264" s="262">
        <v>0.33</v>
      </c>
      <c r="M264" s="262">
        <v>0.28999999999999998</v>
      </c>
      <c r="N264" s="567">
        <f t="shared" si="54"/>
        <v>0.28999999999999998</v>
      </c>
      <c r="O264" s="249">
        <f>IF(O$226=10,C264,HLOOKUP($O$226,$D$226:$M$291,39,TRUE))</f>
        <v>0.28999999999999998</v>
      </c>
      <c r="P264" s="55">
        <f>IF(P$226=10,C264,HLOOKUP($P$226,$D$226:$M$291,39,TRUE))</f>
        <v>0.28999999999999998</v>
      </c>
      <c r="Q264" s="111"/>
      <c r="R264" s="111" t="str">
        <f t="shared" si="55"/>
        <v>Công trình giao thông</v>
      </c>
      <c r="S264" s="111" t="str">
        <f t="shared" si="56"/>
        <v>Thiết kế 2 bước</v>
      </c>
      <c r="T264" s="111" t="str">
        <f t="shared" si="57"/>
        <v>Công trình giao thôngThiết kế 2 bướcCấp III</v>
      </c>
      <c r="U264" s="101">
        <f t="shared" si="58"/>
        <v>0.28999999999999998</v>
      </c>
      <c r="V264" s="111"/>
      <c r="W264" s="111"/>
    </row>
    <row r="265" spans="1:23" ht="15.4" customHeight="1" x14ac:dyDescent="0.25">
      <c r="A265" s="185" t="s">
        <v>357</v>
      </c>
      <c r="B265" s="297" t="s">
        <v>417</v>
      </c>
      <c r="C265" s="262">
        <v>1.37</v>
      </c>
      <c r="D265" s="262">
        <v>1.26</v>
      </c>
      <c r="E265" s="262">
        <v>1.08</v>
      </c>
      <c r="F265" s="262">
        <v>0.98</v>
      </c>
      <c r="G265" s="262">
        <v>0.83</v>
      </c>
      <c r="H265" s="262">
        <v>0.71</v>
      </c>
      <c r="I265" s="262" t="s">
        <v>394</v>
      </c>
      <c r="J265" s="262" t="s">
        <v>394</v>
      </c>
      <c r="K265" s="262" t="s">
        <v>394</v>
      </c>
      <c r="L265" s="262" t="s">
        <v>394</v>
      </c>
      <c r="M265" s="262" t="s">
        <v>394</v>
      </c>
      <c r="N265" s="567" t="str">
        <f t="shared" si="54"/>
        <v>-</v>
      </c>
      <c r="O265" s="249" t="str">
        <f>IF(O$226=10,C265,HLOOKUP($O$226,$D$226:$M$291,40,TRUE))</f>
        <v>-</v>
      </c>
      <c r="P265" s="55" t="str">
        <f>IF(P$226=10,C265,HLOOKUP($P$226,$D$226:$M$291,40,TRUE))</f>
        <v>-</v>
      </c>
      <c r="Q265" s="111"/>
      <c r="R265" s="111" t="str">
        <f t="shared" si="55"/>
        <v>Công trình giao thông</v>
      </c>
      <c r="S265" s="111" t="str">
        <f t="shared" si="56"/>
        <v>Thiết kế 2 bước</v>
      </c>
      <c r="T265" s="111" t="str">
        <f t="shared" si="57"/>
        <v>Công trình giao thôngThiết kế 2 bướcCấp IV</v>
      </c>
      <c r="U265" s="101" t="str">
        <f t="shared" si="58"/>
        <v>-</v>
      </c>
      <c r="V265" s="111"/>
      <c r="W265" s="111"/>
    </row>
    <row r="266" spans="1:23" ht="15.4" customHeight="1" x14ac:dyDescent="0.25">
      <c r="A266" s="409">
        <v>4</v>
      </c>
      <c r="B266" s="306" t="str">
        <f>B51</f>
        <v>Công trình nông nghiệp và phát triển nông thôn</v>
      </c>
      <c r="C266" s="635"/>
      <c r="D266" s="635"/>
      <c r="E266" s="635"/>
      <c r="F266" s="635"/>
      <c r="G266" s="635"/>
      <c r="H266" s="635"/>
      <c r="I266" s="635"/>
      <c r="J266" s="635"/>
      <c r="K266" s="635"/>
      <c r="L266" s="635"/>
      <c r="M266" s="264"/>
      <c r="N266" s="502"/>
      <c r="O266" s="453"/>
      <c r="P266" s="453"/>
      <c r="Q266" s="65"/>
      <c r="R266" s="65"/>
      <c r="S266" s="65"/>
      <c r="T266" s="65"/>
      <c r="U266" s="331"/>
      <c r="V266" s="65"/>
      <c r="W266" s="65"/>
    </row>
    <row r="267" spans="1:23" ht="15.4" customHeight="1" x14ac:dyDescent="0.25">
      <c r="A267" s="185" t="s">
        <v>280</v>
      </c>
      <c r="B267" s="1038" t="s">
        <v>507</v>
      </c>
      <c r="C267" s="1039"/>
      <c r="D267" s="1039"/>
      <c r="E267" s="1039"/>
      <c r="F267" s="1039"/>
      <c r="G267" s="1039"/>
      <c r="H267" s="1039"/>
      <c r="I267" s="1039"/>
      <c r="J267" s="1039"/>
      <c r="K267" s="1039"/>
      <c r="L267" s="1039"/>
      <c r="M267" s="1040"/>
      <c r="N267" s="303"/>
      <c r="O267" s="262"/>
      <c r="P267" s="262"/>
      <c r="Q267" s="111"/>
      <c r="R267" s="111"/>
      <c r="S267" s="111"/>
      <c r="T267" s="111"/>
      <c r="U267" s="101"/>
      <c r="V267" s="111"/>
      <c r="W267" s="111"/>
    </row>
    <row r="268" spans="1:23" ht="15.4" customHeight="1" x14ac:dyDescent="0.25">
      <c r="A268" s="185" t="s">
        <v>674</v>
      </c>
      <c r="B268" s="297" t="s">
        <v>1048</v>
      </c>
      <c r="C268" s="262">
        <v>2.98</v>
      </c>
      <c r="D268" s="262">
        <v>2.6</v>
      </c>
      <c r="E268" s="262">
        <v>2.2000000000000002</v>
      </c>
      <c r="F268" s="262">
        <v>1.98</v>
      </c>
      <c r="G268" s="262">
        <v>1.83</v>
      </c>
      <c r="H268" s="262">
        <v>1.54</v>
      </c>
      <c r="I268" s="262">
        <v>1.3</v>
      </c>
      <c r="J268" s="262">
        <v>1.1299999999999999</v>
      </c>
      <c r="K268" s="262">
        <v>0.85</v>
      </c>
      <c r="L268" s="262">
        <v>0.66</v>
      </c>
      <c r="M268" s="262">
        <v>0.57999999999999996</v>
      </c>
      <c r="N268" s="567">
        <f t="shared" ref="N268:N272" si="59">IF(P$226=O$226,O268,IF(O268="-",O268,ROUND(O268-((O268-P268)/(P$226-O$226))*(N$226-O$226),3)))</f>
        <v>0.57999999999999996</v>
      </c>
      <c r="O268" s="249">
        <f>IF(O$226=10,C268,HLOOKUP($O$226,$D$226:$M$291,43,TRUE))</f>
        <v>0.57999999999999996</v>
      </c>
      <c r="P268" s="55">
        <f>IF(P$226=10,C268,HLOOKUP($P$226,$D$226:$M$291,43,TRUE))</f>
        <v>0.57999999999999996</v>
      </c>
      <c r="Q268" s="111"/>
      <c r="R268" s="111" t="str">
        <f t="shared" ref="R268:R272" si="60">$B$266</f>
        <v>Công trình nông nghiệp và phát triển nông thôn</v>
      </c>
      <c r="S268" s="111" t="str">
        <f t="shared" ref="S268:S272" si="61">$W$230</f>
        <v>Thiết kế 3 bước</v>
      </c>
      <c r="T268" s="111" t="str">
        <f t="shared" ref="T268:T272" si="62">R268&amp;S268&amp;B268</f>
        <v>Công trình nông nghiệp và phát triển nông thônThiết kế 3 bướcCấp đặc biệt</v>
      </c>
      <c r="U268" s="101">
        <f t="shared" ref="U268:U272" si="63">N268</f>
        <v>0.57999999999999996</v>
      </c>
      <c r="V268" s="111"/>
      <c r="W268" s="111"/>
    </row>
    <row r="269" spans="1:23" ht="15.4" customHeight="1" x14ac:dyDescent="0.25">
      <c r="A269" s="185" t="s">
        <v>1043</v>
      </c>
      <c r="B269" s="297" t="s">
        <v>25</v>
      </c>
      <c r="C269" s="262">
        <v>2.7</v>
      </c>
      <c r="D269" s="262">
        <v>2.36</v>
      </c>
      <c r="E269" s="262">
        <v>1.99</v>
      </c>
      <c r="F269" s="262">
        <v>1.78</v>
      </c>
      <c r="G269" s="262">
        <v>1.66</v>
      </c>
      <c r="H269" s="262">
        <v>1.39</v>
      </c>
      <c r="I269" s="262">
        <v>1.17</v>
      </c>
      <c r="J269" s="262">
        <v>1.02</v>
      </c>
      <c r="K269" s="262">
        <v>0.77</v>
      </c>
      <c r="L269" s="262">
        <v>0.59</v>
      </c>
      <c r="M269" s="262">
        <v>0.52</v>
      </c>
      <c r="N269" s="567">
        <f t="shared" si="59"/>
        <v>0.52</v>
      </c>
      <c r="O269" s="249">
        <f>IF(O$226=10,C269,HLOOKUP($O$226,$D$226:$M$291,44,TRUE))</f>
        <v>0.52</v>
      </c>
      <c r="P269" s="55">
        <f>IF(P$226=10,C269,HLOOKUP($P$226,$D$226:$M$291,44,TRUE))</f>
        <v>0.52</v>
      </c>
      <c r="Q269" s="111"/>
      <c r="R269" s="111" t="str">
        <f t="shared" si="60"/>
        <v>Công trình nông nghiệp và phát triển nông thôn</v>
      </c>
      <c r="S269" s="111" t="str">
        <f t="shared" si="61"/>
        <v>Thiết kế 3 bước</v>
      </c>
      <c r="T269" s="111" t="str">
        <f t="shared" si="62"/>
        <v>Công trình nông nghiệp và phát triển nông thônThiết kế 3 bướcCấp I</v>
      </c>
      <c r="U269" s="101">
        <f t="shared" si="63"/>
        <v>0.52</v>
      </c>
      <c r="V269" s="111"/>
      <c r="W269" s="111"/>
    </row>
    <row r="270" spans="1:23" ht="15.4" customHeight="1" x14ac:dyDescent="0.25">
      <c r="A270" s="185" t="s">
        <v>870</v>
      </c>
      <c r="B270" s="297" t="s">
        <v>1134</v>
      </c>
      <c r="C270" s="262">
        <v>2.48</v>
      </c>
      <c r="D270" s="262">
        <v>2.14</v>
      </c>
      <c r="E270" s="262">
        <v>1.8</v>
      </c>
      <c r="F270" s="262">
        <v>1.61</v>
      </c>
      <c r="G270" s="262">
        <v>1.51</v>
      </c>
      <c r="H270" s="262">
        <v>1.22</v>
      </c>
      <c r="I270" s="262">
        <v>1.05</v>
      </c>
      <c r="J270" s="262">
        <v>0.87</v>
      </c>
      <c r="K270" s="262">
        <v>0.67</v>
      </c>
      <c r="L270" s="262">
        <v>0.49</v>
      </c>
      <c r="M270" s="262">
        <v>0.42</v>
      </c>
      <c r="N270" s="567">
        <f t="shared" si="59"/>
        <v>0.42</v>
      </c>
      <c r="O270" s="249">
        <f>IF(O$226=10,C270,HLOOKUP($O$226,$D$226:$M$291,45,TRUE))</f>
        <v>0.42</v>
      </c>
      <c r="P270" s="55">
        <f>IF(P$226=10,C270,HLOOKUP($P$226,$D$226:$M$291,45,TRUE))</f>
        <v>0.42</v>
      </c>
      <c r="Q270" s="111"/>
      <c r="R270" s="111" t="str">
        <f t="shared" si="60"/>
        <v>Công trình nông nghiệp và phát triển nông thôn</v>
      </c>
      <c r="S270" s="111" t="str">
        <f t="shared" si="61"/>
        <v>Thiết kế 3 bước</v>
      </c>
      <c r="T270" s="111" t="str">
        <f t="shared" si="62"/>
        <v>Công trình nông nghiệp và phát triển nông thônThiết kế 3 bướcCấp II</v>
      </c>
      <c r="U270" s="101">
        <f t="shared" si="63"/>
        <v>0.42</v>
      </c>
      <c r="V270" s="111"/>
      <c r="W270" s="111"/>
    </row>
    <row r="271" spans="1:23" ht="15.4" customHeight="1" x14ac:dyDescent="0.25">
      <c r="A271" s="185" t="s">
        <v>1254</v>
      </c>
      <c r="B271" s="297" t="s">
        <v>563</v>
      </c>
      <c r="C271" s="262">
        <v>2.2000000000000002</v>
      </c>
      <c r="D271" s="262">
        <v>1.9</v>
      </c>
      <c r="E271" s="262">
        <v>1.6</v>
      </c>
      <c r="F271" s="262">
        <v>1.43</v>
      </c>
      <c r="G271" s="262">
        <v>1.24</v>
      </c>
      <c r="H271" s="262">
        <v>1.06</v>
      </c>
      <c r="I271" s="262">
        <v>0.9</v>
      </c>
      <c r="J271" s="262">
        <v>0.77</v>
      </c>
      <c r="K271" s="262">
        <v>0.59</v>
      </c>
      <c r="L271" s="262">
        <v>0.43</v>
      </c>
      <c r="M271" s="262">
        <v>0.37</v>
      </c>
      <c r="N271" s="567">
        <f t="shared" si="59"/>
        <v>0.37</v>
      </c>
      <c r="O271" s="249">
        <f>IF(O$226=10,C271,HLOOKUP($O$226,$D$226:$M$291,46,TRUE))</f>
        <v>0.37</v>
      </c>
      <c r="P271" s="55">
        <f>IF(P$226=10,C271,HLOOKUP($P$226,$D$226:$M$291,46,TRUE))</f>
        <v>0.37</v>
      </c>
      <c r="Q271" s="111"/>
      <c r="R271" s="111" t="str">
        <f t="shared" si="60"/>
        <v>Công trình nông nghiệp và phát triển nông thôn</v>
      </c>
      <c r="S271" s="111" t="str">
        <f t="shared" si="61"/>
        <v>Thiết kế 3 bước</v>
      </c>
      <c r="T271" s="111" t="str">
        <f t="shared" si="62"/>
        <v>Công trình nông nghiệp và phát triển nông thônThiết kế 3 bướcCấp III</v>
      </c>
      <c r="U271" s="101">
        <f t="shared" si="63"/>
        <v>0.37</v>
      </c>
      <c r="V271" s="111"/>
      <c r="W271" s="111"/>
    </row>
    <row r="272" spans="1:23" ht="15.4" customHeight="1" x14ac:dyDescent="0.25">
      <c r="A272" s="185" t="s">
        <v>320</v>
      </c>
      <c r="B272" s="297" t="s">
        <v>417</v>
      </c>
      <c r="C272" s="262">
        <v>1.74</v>
      </c>
      <c r="D272" s="262">
        <v>1.52</v>
      </c>
      <c r="E272" s="262">
        <v>1.27</v>
      </c>
      <c r="F272" s="262">
        <v>1.1200000000000001</v>
      </c>
      <c r="G272" s="262">
        <v>1.01</v>
      </c>
      <c r="H272" s="262">
        <v>0.8</v>
      </c>
      <c r="I272" s="262">
        <v>0.64</v>
      </c>
      <c r="J272" s="262" t="s">
        <v>394</v>
      </c>
      <c r="K272" s="262" t="s">
        <v>394</v>
      </c>
      <c r="L272" s="262" t="s">
        <v>394</v>
      </c>
      <c r="M272" s="262" t="s">
        <v>394</v>
      </c>
      <c r="N272" s="567" t="str">
        <f t="shared" si="59"/>
        <v>-</v>
      </c>
      <c r="O272" s="249" t="str">
        <f>IF(O$226=10,C272,HLOOKUP($O$226,$D$226:$M$291,47,TRUE))</f>
        <v>-</v>
      </c>
      <c r="P272" s="55" t="str">
        <f>IF(P$226=10,C272,HLOOKUP($P$226,$D$226:$M$291,47,TRUE))</f>
        <v>-</v>
      </c>
      <c r="Q272" s="111"/>
      <c r="R272" s="111" t="str">
        <f t="shared" si="60"/>
        <v>Công trình nông nghiệp và phát triển nông thôn</v>
      </c>
      <c r="S272" s="111" t="str">
        <f t="shared" si="61"/>
        <v>Thiết kế 3 bước</v>
      </c>
      <c r="T272" s="111" t="str">
        <f t="shared" si="62"/>
        <v>Công trình nông nghiệp và phát triển nông thônThiết kế 3 bướcCấp IV</v>
      </c>
      <c r="U272" s="101" t="str">
        <f t="shared" si="63"/>
        <v>-</v>
      </c>
      <c r="V272" s="111"/>
      <c r="W272" s="111"/>
    </row>
    <row r="273" spans="1:23" ht="15.4" customHeight="1" x14ac:dyDescent="0.25">
      <c r="A273" s="185" t="s">
        <v>444</v>
      </c>
      <c r="B273" s="1038" t="s">
        <v>670</v>
      </c>
      <c r="C273" s="1039"/>
      <c r="D273" s="1039"/>
      <c r="E273" s="1039"/>
      <c r="F273" s="1039"/>
      <c r="G273" s="1039"/>
      <c r="H273" s="1039"/>
      <c r="I273" s="1039"/>
      <c r="J273" s="1039"/>
      <c r="K273" s="1039"/>
      <c r="L273" s="1039"/>
      <c r="M273" s="1040"/>
      <c r="N273" s="303"/>
      <c r="O273" s="262"/>
      <c r="P273" s="262"/>
      <c r="Q273" s="111"/>
      <c r="R273" s="111"/>
      <c r="S273" s="111"/>
      <c r="T273" s="111"/>
      <c r="U273" s="101"/>
      <c r="V273" s="111"/>
      <c r="W273" s="111"/>
    </row>
    <row r="274" spans="1:23" ht="15.4" customHeight="1" x14ac:dyDescent="0.25">
      <c r="A274" s="185" t="s">
        <v>370</v>
      </c>
      <c r="B274" s="297" t="s">
        <v>1048</v>
      </c>
      <c r="C274" s="262">
        <v>4.29</v>
      </c>
      <c r="D274" s="262">
        <v>3.75</v>
      </c>
      <c r="E274" s="262">
        <v>3.17</v>
      </c>
      <c r="F274" s="262">
        <v>2.85</v>
      </c>
      <c r="G274" s="262">
        <v>2.6</v>
      </c>
      <c r="H274" s="262">
        <v>2.21</v>
      </c>
      <c r="I274" s="262">
        <v>1.87</v>
      </c>
      <c r="J274" s="262">
        <v>1.58</v>
      </c>
      <c r="K274" s="262">
        <v>1.22</v>
      </c>
      <c r="L274" s="262">
        <v>0.95</v>
      </c>
      <c r="M274" s="262">
        <v>0.83</v>
      </c>
      <c r="N274" s="567">
        <f t="shared" ref="N274:N278" si="64">IF(P$226=O$226,O274,IF(O274="-",O274,ROUND(O274-((O274-P274)/(P$226-O$226))*(N$226-O$226),3)))</f>
        <v>0.83</v>
      </c>
      <c r="O274" s="249">
        <f>IF(O$226=10,C274,HLOOKUP($O$226,$D$226:$M$291,49,TRUE))</f>
        <v>0.83</v>
      </c>
      <c r="P274" s="55">
        <f>IF(P$226=10,C274,HLOOKUP($P$226,$D$226:$M$291,49,TRUE))</f>
        <v>0.83</v>
      </c>
      <c r="Q274" s="111"/>
      <c r="R274" s="111" t="str">
        <f t="shared" ref="R274:R278" si="65">$B$266</f>
        <v>Công trình nông nghiệp và phát triển nông thôn</v>
      </c>
      <c r="S274" s="111" t="str">
        <f t="shared" ref="S274:S278" si="66">$W$229</f>
        <v>Thiết kế 2 bước</v>
      </c>
      <c r="T274" s="111" t="str">
        <f t="shared" ref="T274:T278" si="67">R274&amp;S274&amp;B274</f>
        <v>Công trình nông nghiệp và phát triển nông thônThiết kế 2 bướcCấp đặc biệt</v>
      </c>
      <c r="U274" s="101">
        <f t="shared" ref="U274:U278" si="68">N274</f>
        <v>0.83</v>
      </c>
      <c r="V274" s="111"/>
      <c r="W274" s="111"/>
    </row>
    <row r="275" spans="1:23" ht="15.4" customHeight="1" x14ac:dyDescent="0.25">
      <c r="A275" s="185" t="s">
        <v>734</v>
      </c>
      <c r="B275" s="297" t="s">
        <v>25</v>
      </c>
      <c r="C275" s="262">
        <v>3.89</v>
      </c>
      <c r="D275" s="262">
        <v>3.4</v>
      </c>
      <c r="E275" s="262">
        <v>2.87</v>
      </c>
      <c r="F275" s="262">
        <v>2.57</v>
      </c>
      <c r="G275" s="262">
        <v>2.36</v>
      </c>
      <c r="H275" s="262">
        <v>2</v>
      </c>
      <c r="I275" s="262">
        <v>1.69</v>
      </c>
      <c r="J275" s="262">
        <v>1.43</v>
      </c>
      <c r="K275" s="262">
        <v>1.1000000000000001</v>
      </c>
      <c r="L275" s="262">
        <v>0.85</v>
      </c>
      <c r="M275" s="262">
        <v>0.74</v>
      </c>
      <c r="N275" s="567">
        <f t="shared" si="64"/>
        <v>0.74</v>
      </c>
      <c r="O275" s="249">
        <f>IF(O$226=10,C275,HLOOKUP($O$226,$D$226:$M$291,50,TRUE))</f>
        <v>0.74</v>
      </c>
      <c r="P275" s="55">
        <f>IF(P$226=10,C275,HLOOKUP($P$226,$D$226:$M$291,50,TRUE))</f>
        <v>0.74</v>
      </c>
      <c r="Q275" s="111"/>
      <c r="R275" s="111" t="str">
        <f t="shared" si="65"/>
        <v>Công trình nông nghiệp và phát triển nông thôn</v>
      </c>
      <c r="S275" s="111" t="str">
        <f t="shared" si="66"/>
        <v>Thiết kế 2 bước</v>
      </c>
      <c r="T275" s="111" t="str">
        <f t="shared" si="67"/>
        <v>Công trình nông nghiệp và phát triển nông thônThiết kế 2 bướcCấp I</v>
      </c>
      <c r="U275" s="101">
        <f t="shared" si="68"/>
        <v>0.74</v>
      </c>
      <c r="V275" s="111"/>
      <c r="W275" s="111"/>
    </row>
    <row r="276" spans="1:23" ht="15.4" customHeight="1" x14ac:dyDescent="0.25">
      <c r="A276" s="185" t="s">
        <v>1110</v>
      </c>
      <c r="B276" s="297" t="s">
        <v>1134</v>
      </c>
      <c r="C276" s="262">
        <v>3.53</v>
      </c>
      <c r="D276" s="262">
        <v>3.11</v>
      </c>
      <c r="E276" s="262">
        <v>2.62</v>
      </c>
      <c r="F276" s="262">
        <v>2.34</v>
      </c>
      <c r="G276" s="262">
        <v>2.15</v>
      </c>
      <c r="H276" s="262">
        <v>1.73</v>
      </c>
      <c r="I276" s="262">
        <v>1.48</v>
      </c>
      <c r="J276" s="262">
        <v>1.25</v>
      </c>
      <c r="K276" s="262">
        <v>0.96</v>
      </c>
      <c r="L276" s="262">
        <v>0.69</v>
      </c>
      <c r="M276" s="262">
        <v>0.57999999999999996</v>
      </c>
      <c r="N276" s="567">
        <f t="shared" si="64"/>
        <v>0.57999999999999996</v>
      </c>
      <c r="O276" s="249">
        <f>IF(O$226=10,C276,HLOOKUP($O$226,$D$226:$M$291,51,TRUE))</f>
        <v>0.57999999999999996</v>
      </c>
      <c r="P276" s="55">
        <f>IF(P$226=10,C276,HLOOKUP($P$226,$D$226:$M$291,51,TRUE))</f>
        <v>0.57999999999999996</v>
      </c>
      <c r="Q276" s="111"/>
      <c r="R276" s="111" t="str">
        <f t="shared" si="65"/>
        <v>Công trình nông nghiệp và phát triển nông thôn</v>
      </c>
      <c r="S276" s="111" t="str">
        <f t="shared" si="66"/>
        <v>Thiết kế 2 bước</v>
      </c>
      <c r="T276" s="111" t="str">
        <f t="shared" si="67"/>
        <v>Công trình nông nghiệp và phát triển nông thônThiết kế 2 bướcCấp II</v>
      </c>
      <c r="U276" s="101">
        <f t="shared" si="68"/>
        <v>0.57999999999999996</v>
      </c>
      <c r="V276" s="111"/>
      <c r="W276" s="111"/>
    </row>
    <row r="277" spans="1:23" ht="15.4" customHeight="1" x14ac:dyDescent="0.25">
      <c r="A277" s="185" t="s">
        <v>179</v>
      </c>
      <c r="B277" s="297" t="s">
        <v>563</v>
      </c>
      <c r="C277" s="262">
        <v>3.13</v>
      </c>
      <c r="D277" s="262">
        <v>2.76</v>
      </c>
      <c r="E277" s="262">
        <v>2.31</v>
      </c>
      <c r="F277" s="262">
        <v>2.0699999999999998</v>
      </c>
      <c r="G277" s="262">
        <v>1.79</v>
      </c>
      <c r="H277" s="262">
        <v>1.52</v>
      </c>
      <c r="I277" s="262">
        <v>1.29</v>
      </c>
      <c r="J277" s="262">
        <v>1.1000000000000001</v>
      </c>
      <c r="K277" s="262">
        <v>0.83</v>
      </c>
      <c r="L277" s="262">
        <v>0.6</v>
      </c>
      <c r="M277" s="262">
        <v>0.51</v>
      </c>
      <c r="N277" s="567">
        <f t="shared" si="64"/>
        <v>0.51</v>
      </c>
      <c r="O277" s="249">
        <f>IF(O$226=10,C277,HLOOKUP($O$226,$D$226:$M$291,52,TRUE))</f>
        <v>0.51</v>
      </c>
      <c r="P277" s="55">
        <f>IF(P$226=10,C277,HLOOKUP($P$226,$D$226:$M$291,52,TRUE))</f>
        <v>0.51</v>
      </c>
      <c r="Q277" s="111"/>
      <c r="R277" s="111" t="str">
        <f t="shared" si="65"/>
        <v>Công trình nông nghiệp và phát triển nông thôn</v>
      </c>
      <c r="S277" s="111" t="str">
        <f t="shared" si="66"/>
        <v>Thiết kế 2 bước</v>
      </c>
      <c r="T277" s="111" t="str">
        <f t="shared" si="67"/>
        <v>Công trình nông nghiệp và phát triển nông thônThiết kế 2 bướcCấp III</v>
      </c>
      <c r="U277" s="101">
        <f t="shared" si="68"/>
        <v>0.51</v>
      </c>
      <c r="V277" s="111"/>
      <c r="W277" s="111"/>
    </row>
    <row r="278" spans="1:23" ht="15.4" customHeight="1" x14ac:dyDescent="0.25">
      <c r="A278" s="185" t="s">
        <v>20</v>
      </c>
      <c r="B278" s="297" t="s">
        <v>417</v>
      </c>
      <c r="C278" s="262">
        <v>2.48</v>
      </c>
      <c r="D278" s="262">
        <v>2.19</v>
      </c>
      <c r="E278" s="262">
        <v>1.82</v>
      </c>
      <c r="F278" s="262">
        <v>1.61</v>
      </c>
      <c r="G278" s="262">
        <v>1.41</v>
      </c>
      <c r="H278" s="262">
        <v>1.1399999999999999</v>
      </c>
      <c r="I278" s="262" t="s">
        <v>394</v>
      </c>
      <c r="J278" s="262" t="s">
        <v>394</v>
      </c>
      <c r="K278" s="262" t="s">
        <v>394</v>
      </c>
      <c r="L278" s="262" t="s">
        <v>394</v>
      </c>
      <c r="M278" s="262" t="s">
        <v>394</v>
      </c>
      <c r="N278" s="567" t="str">
        <f t="shared" si="64"/>
        <v>-</v>
      </c>
      <c r="O278" s="249" t="str">
        <f>IF(O$226=10,C278,HLOOKUP($O$226,$D$226:$M$291,53,TRUE))</f>
        <v>-</v>
      </c>
      <c r="P278" s="55" t="str">
        <f>IF(P$226=10,C278,HLOOKUP($P$226,$D$226:$M$291,53,TRUE))</f>
        <v>-</v>
      </c>
      <c r="Q278" s="111"/>
      <c r="R278" s="111" t="str">
        <f t="shared" si="65"/>
        <v>Công trình nông nghiệp và phát triển nông thôn</v>
      </c>
      <c r="S278" s="111" t="str">
        <f t="shared" si="66"/>
        <v>Thiết kế 2 bước</v>
      </c>
      <c r="T278" s="111" t="str">
        <f t="shared" si="67"/>
        <v>Công trình nông nghiệp và phát triển nông thônThiết kế 2 bướcCấp IV</v>
      </c>
      <c r="U278" s="101" t="str">
        <f t="shared" si="68"/>
        <v>-</v>
      </c>
      <c r="V278" s="111"/>
      <c r="W278" s="111"/>
    </row>
    <row r="279" spans="1:23" ht="15.4" customHeight="1" x14ac:dyDescent="0.25">
      <c r="A279" s="409">
        <v>5</v>
      </c>
      <c r="B279" s="306" t="str">
        <f>B52</f>
        <v>Công trình hạ tầng kỹ thuật</v>
      </c>
      <c r="C279" s="635"/>
      <c r="D279" s="635"/>
      <c r="E279" s="635"/>
      <c r="F279" s="635"/>
      <c r="G279" s="635"/>
      <c r="H279" s="635"/>
      <c r="I279" s="635"/>
      <c r="J279" s="635"/>
      <c r="K279" s="635"/>
      <c r="L279" s="635"/>
      <c r="M279" s="264"/>
      <c r="N279" s="502"/>
      <c r="O279" s="453"/>
      <c r="P279" s="453"/>
      <c r="Q279" s="65"/>
      <c r="R279" s="65"/>
      <c r="S279" s="65"/>
      <c r="T279" s="65"/>
      <c r="U279" s="331"/>
      <c r="V279" s="65"/>
      <c r="W279" s="65"/>
    </row>
    <row r="280" spans="1:23" ht="15.4" customHeight="1" x14ac:dyDescent="0.25">
      <c r="A280" s="409" t="s">
        <v>601</v>
      </c>
      <c r="B280" s="1041" t="s">
        <v>507</v>
      </c>
      <c r="C280" s="1042"/>
      <c r="D280" s="1042"/>
      <c r="E280" s="1042"/>
      <c r="F280" s="1042"/>
      <c r="G280" s="1042"/>
      <c r="H280" s="1042"/>
      <c r="I280" s="1042"/>
      <c r="J280" s="1042"/>
      <c r="K280" s="1042"/>
      <c r="L280" s="1042"/>
      <c r="M280" s="1043"/>
      <c r="N280" s="502"/>
      <c r="O280" s="453"/>
      <c r="P280" s="453"/>
      <c r="Q280" s="65"/>
      <c r="R280" s="65"/>
      <c r="S280" s="65"/>
      <c r="T280" s="65"/>
      <c r="U280" s="331"/>
      <c r="V280" s="65"/>
      <c r="W280" s="65"/>
    </row>
    <row r="281" spans="1:23" ht="15.4" customHeight="1" x14ac:dyDescent="0.25">
      <c r="A281" s="185" t="s">
        <v>333</v>
      </c>
      <c r="B281" s="297" t="s">
        <v>1048</v>
      </c>
      <c r="C281" s="262">
        <v>2.2200000000000002</v>
      </c>
      <c r="D281" s="262">
        <v>1.94</v>
      </c>
      <c r="E281" s="262">
        <v>1.63</v>
      </c>
      <c r="F281" s="262">
        <v>1.48</v>
      </c>
      <c r="G281" s="262">
        <v>1.36</v>
      </c>
      <c r="H281" s="262">
        <v>1.1399999999999999</v>
      </c>
      <c r="I281" s="262">
        <v>0.97</v>
      </c>
      <c r="J281" s="262">
        <v>0.83</v>
      </c>
      <c r="K281" s="262">
        <v>0.61</v>
      </c>
      <c r="L281" s="262">
        <v>0.48</v>
      </c>
      <c r="M281" s="262">
        <v>0.43</v>
      </c>
      <c r="N281" s="567">
        <f t="shared" ref="N281:N285" si="69">IF(P$226=O$226,O281,IF(O281="-",O281,ROUND(O281-((O281-P281)/(P$226-O$226))*(N$226-O$226),3)))</f>
        <v>0.43</v>
      </c>
      <c r="O281" s="249">
        <f>IF(O$226=10,C281,HLOOKUP($O$226,$D$226:$M$291,56,TRUE))</f>
        <v>0.43</v>
      </c>
      <c r="P281" s="55">
        <f>IF(P$226=10,C281,HLOOKUP($P$226,$D$226:$M$291,56,TRUE))</f>
        <v>0.43</v>
      </c>
      <c r="Q281" s="111"/>
      <c r="R281" s="111" t="str">
        <f t="shared" ref="R281:R285" si="70">$B$279</f>
        <v>Công trình hạ tầng kỹ thuật</v>
      </c>
      <c r="S281" s="111" t="str">
        <f t="shared" ref="S281:S285" si="71">$W$230</f>
        <v>Thiết kế 3 bước</v>
      </c>
      <c r="T281" s="111" t="str">
        <f t="shared" ref="T281:T285" si="72">R281&amp;S281&amp;B281</f>
        <v>Công trình hạ tầng kỹ thuậtThiết kế 3 bướcCấp đặc biệt</v>
      </c>
      <c r="U281" s="101">
        <f t="shared" ref="U281:U285" si="73">N281</f>
        <v>0.43</v>
      </c>
      <c r="V281" s="111"/>
      <c r="W281" s="111"/>
    </row>
    <row r="282" spans="1:23" ht="15.4" customHeight="1" x14ac:dyDescent="0.25">
      <c r="A282" s="185" t="s">
        <v>702</v>
      </c>
      <c r="B282" s="297" t="s">
        <v>25</v>
      </c>
      <c r="C282" s="262">
        <v>2.09</v>
      </c>
      <c r="D282" s="262">
        <v>1.83</v>
      </c>
      <c r="E282" s="262">
        <v>1.53</v>
      </c>
      <c r="F282" s="262">
        <v>1.38</v>
      </c>
      <c r="G282" s="262">
        <v>1.28</v>
      </c>
      <c r="H282" s="262">
        <v>1.04</v>
      </c>
      <c r="I282" s="262">
        <v>0.9</v>
      </c>
      <c r="J282" s="262">
        <v>0.75</v>
      </c>
      <c r="K282" s="262">
        <v>0.53</v>
      </c>
      <c r="L282" s="262">
        <v>0.39</v>
      </c>
      <c r="M282" s="262">
        <v>0.33</v>
      </c>
      <c r="N282" s="567">
        <f t="shared" si="69"/>
        <v>0.33</v>
      </c>
      <c r="O282" s="249">
        <f>IF(O$226=10,C282,HLOOKUP($O$226,$D$226:$M$291,57,TRUE))</f>
        <v>0.33</v>
      </c>
      <c r="P282" s="55">
        <f>IF(P$226=10,C282,HLOOKUP($P$226,$D$226:$M$291,57,TRUE))</f>
        <v>0.33</v>
      </c>
      <c r="Q282" s="111"/>
      <c r="R282" s="111" t="str">
        <f t="shared" si="70"/>
        <v>Công trình hạ tầng kỹ thuật</v>
      </c>
      <c r="S282" s="111" t="str">
        <f t="shared" si="71"/>
        <v>Thiết kế 3 bước</v>
      </c>
      <c r="T282" s="111" t="str">
        <f t="shared" si="72"/>
        <v>Công trình hạ tầng kỹ thuậtThiết kế 3 bướcCấp I</v>
      </c>
      <c r="U282" s="101">
        <f t="shared" si="73"/>
        <v>0.33</v>
      </c>
      <c r="V282" s="111"/>
      <c r="W282" s="111"/>
    </row>
    <row r="283" spans="1:23" ht="15.4" customHeight="1" x14ac:dyDescent="0.25">
      <c r="A283" s="185" t="s">
        <v>533</v>
      </c>
      <c r="B283" s="297" t="s">
        <v>1134</v>
      </c>
      <c r="C283" s="262">
        <v>1.86</v>
      </c>
      <c r="D283" s="262">
        <v>1.62</v>
      </c>
      <c r="E283" s="262">
        <v>1.36</v>
      </c>
      <c r="F283" s="262">
        <v>1.22</v>
      </c>
      <c r="G283" s="262">
        <v>1.1299999999999999</v>
      </c>
      <c r="H283" s="262">
        <v>0.91</v>
      </c>
      <c r="I283" s="262">
        <v>0.78</v>
      </c>
      <c r="J283" s="262">
        <v>0.66</v>
      </c>
      <c r="K283" s="262">
        <v>0.47</v>
      </c>
      <c r="L283" s="262">
        <v>0.34</v>
      </c>
      <c r="M283" s="262">
        <v>0.28999999999999998</v>
      </c>
      <c r="N283" s="567">
        <f t="shared" si="69"/>
        <v>0.28999999999999998</v>
      </c>
      <c r="O283" s="249">
        <f>IF(O$226=10,C283,HLOOKUP($O$226,$D$226:$M$291,58,TRUE))</f>
        <v>0.28999999999999998</v>
      </c>
      <c r="P283" s="55">
        <f>IF(P$226=10,C283,HLOOKUP($P$226,$D$226:$M$291,58,TRUE))</f>
        <v>0.28999999999999998</v>
      </c>
      <c r="Q283" s="111"/>
      <c r="R283" s="111" t="str">
        <f t="shared" si="70"/>
        <v>Công trình hạ tầng kỹ thuật</v>
      </c>
      <c r="S283" s="111" t="str">
        <f t="shared" si="71"/>
        <v>Thiết kế 3 bước</v>
      </c>
      <c r="T283" s="111" t="str">
        <f t="shared" si="72"/>
        <v>Công trình hạ tầng kỹ thuậtThiết kế 3 bướcCấp II</v>
      </c>
      <c r="U283" s="101">
        <f t="shared" si="73"/>
        <v>0.28999999999999998</v>
      </c>
      <c r="V283" s="111"/>
      <c r="W283" s="111"/>
    </row>
    <row r="284" spans="1:23" ht="15.4" customHeight="1" x14ac:dyDescent="0.25">
      <c r="A284" s="185" t="s">
        <v>891</v>
      </c>
      <c r="B284" s="297" t="s">
        <v>563</v>
      </c>
      <c r="C284" s="262">
        <v>1.62</v>
      </c>
      <c r="D284" s="262">
        <v>1.39</v>
      </c>
      <c r="E284" s="262">
        <v>1.19</v>
      </c>
      <c r="F284" s="262">
        <v>1.07</v>
      </c>
      <c r="G284" s="262">
        <v>0.97</v>
      </c>
      <c r="H284" s="262">
        <v>0.8</v>
      </c>
      <c r="I284" s="262">
        <v>0.7</v>
      </c>
      <c r="J284" s="262">
        <v>0.56000000000000005</v>
      </c>
      <c r="K284" s="262">
        <v>0.41</v>
      </c>
      <c r="L284" s="262">
        <v>0.28999999999999998</v>
      </c>
      <c r="M284" s="262">
        <v>0.25</v>
      </c>
      <c r="N284" s="567">
        <f t="shared" si="69"/>
        <v>0.25</v>
      </c>
      <c r="O284" s="249">
        <f>IF(O$226=10,C284,HLOOKUP($O$226,$D$226:$M$291,59,TRUE))</f>
        <v>0.25</v>
      </c>
      <c r="P284" s="55">
        <f>IF(P$226=10,C284,HLOOKUP($P$226,$D$226:$M$291,59,TRUE))</f>
        <v>0.25</v>
      </c>
      <c r="Q284" s="111"/>
      <c r="R284" s="111" t="str">
        <f t="shared" si="70"/>
        <v>Công trình hạ tầng kỹ thuật</v>
      </c>
      <c r="S284" s="111" t="str">
        <f t="shared" si="71"/>
        <v>Thiết kế 3 bước</v>
      </c>
      <c r="T284" s="111" t="str">
        <f t="shared" si="72"/>
        <v>Công trình hạ tầng kỹ thuậtThiết kế 3 bướcCấp III</v>
      </c>
      <c r="U284" s="101">
        <f t="shared" si="73"/>
        <v>0.25</v>
      </c>
      <c r="V284" s="111"/>
      <c r="W284" s="111"/>
    </row>
    <row r="285" spans="1:23" ht="15.4" customHeight="1" x14ac:dyDescent="0.25">
      <c r="A285" s="185" t="s">
        <v>1268</v>
      </c>
      <c r="B285" s="297" t="s">
        <v>417</v>
      </c>
      <c r="C285" s="262">
        <v>1.45</v>
      </c>
      <c r="D285" s="262">
        <v>1.23</v>
      </c>
      <c r="E285" s="262">
        <v>1.01</v>
      </c>
      <c r="F285" s="262">
        <v>0.92</v>
      </c>
      <c r="G285" s="262">
        <v>0.8</v>
      </c>
      <c r="H285" s="262">
        <v>0.7</v>
      </c>
      <c r="I285" s="262">
        <v>0.57999999999999996</v>
      </c>
      <c r="J285" s="262" t="s">
        <v>394</v>
      </c>
      <c r="K285" s="262" t="s">
        <v>394</v>
      </c>
      <c r="L285" s="262" t="s">
        <v>394</v>
      </c>
      <c r="M285" s="262" t="s">
        <v>394</v>
      </c>
      <c r="N285" s="567" t="str">
        <f t="shared" si="69"/>
        <v>-</v>
      </c>
      <c r="O285" s="249" t="str">
        <f>IF(O$226=10,C285,HLOOKUP($O$226,$D$226:$M$291,60,TRUE))</f>
        <v>-</v>
      </c>
      <c r="P285" s="55" t="str">
        <f>IF(P$226=10,C285,HLOOKUP($P$226,$D$226:$M$291,60,TRUE))</f>
        <v>-</v>
      </c>
      <c r="Q285" s="111"/>
      <c r="R285" s="111" t="str">
        <f t="shared" si="70"/>
        <v>Công trình hạ tầng kỹ thuật</v>
      </c>
      <c r="S285" s="111" t="str">
        <f t="shared" si="71"/>
        <v>Thiết kế 3 bước</v>
      </c>
      <c r="T285" s="111" t="str">
        <f t="shared" si="72"/>
        <v>Công trình hạ tầng kỹ thuậtThiết kế 3 bướcCấp IV</v>
      </c>
      <c r="U285" s="101" t="str">
        <f t="shared" si="73"/>
        <v>-</v>
      </c>
      <c r="V285" s="111"/>
      <c r="W285" s="111"/>
    </row>
    <row r="286" spans="1:23" ht="15.4" customHeight="1" x14ac:dyDescent="0.25">
      <c r="A286" s="185" t="s">
        <v>228</v>
      </c>
      <c r="B286" s="1038" t="s">
        <v>670</v>
      </c>
      <c r="C286" s="1039"/>
      <c r="D286" s="1039"/>
      <c r="E286" s="1039"/>
      <c r="F286" s="1039"/>
      <c r="G286" s="1039"/>
      <c r="H286" s="1039"/>
      <c r="I286" s="1039"/>
      <c r="J286" s="1039"/>
      <c r="K286" s="1039"/>
      <c r="L286" s="1039"/>
      <c r="M286" s="1040"/>
      <c r="N286" s="303"/>
      <c r="O286" s="262"/>
      <c r="P286" s="262"/>
      <c r="Q286" s="111"/>
      <c r="R286" s="111"/>
      <c r="S286" s="111"/>
      <c r="T286" s="111"/>
      <c r="U286" s="101"/>
      <c r="V286" s="111"/>
      <c r="W286" s="111"/>
    </row>
    <row r="287" spans="1:23" ht="15.4" customHeight="1" x14ac:dyDescent="0.25">
      <c r="A287" s="185" t="s">
        <v>29</v>
      </c>
      <c r="B287" s="297" t="s">
        <v>1048</v>
      </c>
      <c r="C287" s="262">
        <v>3.23</v>
      </c>
      <c r="D287" s="262">
        <v>2.79</v>
      </c>
      <c r="E287" s="262">
        <v>2.35</v>
      </c>
      <c r="F287" s="262">
        <v>2.13</v>
      </c>
      <c r="G287" s="262">
        <v>1.95</v>
      </c>
      <c r="H287" s="262">
        <v>1.64</v>
      </c>
      <c r="I287" s="262">
        <v>1.39</v>
      </c>
      <c r="J287" s="262">
        <v>1.19</v>
      </c>
      <c r="K287" s="262">
        <v>0.9</v>
      </c>
      <c r="L287" s="262">
        <v>0.7</v>
      </c>
      <c r="M287" s="262">
        <v>0.63</v>
      </c>
      <c r="N287" s="567">
        <f t="shared" ref="N287:N291" si="74">IF(P$226=O$226,O287,IF(O287="-",O287,ROUND(O287-((O287-P287)/(P$226-O$226))*(N$226-O$226),3)))</f>
        <v>0.63</v>
      </c>
      <c r="O287" s="249">
        <f>IF(O$226=10,C287,HLOOKUP($O$226,$D$226:$M$291,62,TRUE))</f>
        <v>0.63</v>
      </c>
      <c r="P287" s="55">
        <f>IF(P$226=10,C287,HLOOKUP($P$226,$D$226:$M$291,62,TRUE))</f>
        <v>0.63</v>
      </c>
      <c r="Q287" s="111"/>
      <c r="R287" s="111" t="str">
        <f t="shared" ref="R287:R291" si="75">$B$279</f>
        <v>Công trình hạ tầng kỹ thuật</v>
      </c>
      <c r="S287" s="111" t="str">
        <f t="shared" ref="S287:S291" si="76">$W$229</f>
        <v>Thiết kế 2 bước</v>
      </c>
      <c r="T287" s="111" t="str">
        <f t="shared" ref="T287:T291" si="77">R287&amp;S287&amp;B287</f>
        <v>Công trình hạ tầng kỹ thuậtThiết kế 2 bướcCấp đặc biệt</v>
      </c>
      <c r="U287" s="101">
        <f t="shared" ref="U287:U291" si="78">N287</f>
        <v>0.63</v>
      </c>
      <c r="V287" s="111"/>
      <c r="W287" s="111"/>
    </row>
    <row r="288" spans="1:23" ht="15.4" customHeight="1" x14ac:dyDescent="0.25">
      <c r="A288" s="185" t="s">
        <v>387</v>
      </c>
      <c r="B288" s="297" t="s">
        <v>25</v>
      </c>
      <c r="C288" s="262">
        <v>3.01</v>
      </c>
      <c r="D288" s="262">
        <v>2.63</v>
      </c>
      <c r="E288" s="262">
        <v>2.21</v>
      </c>
      <c r="F288" s="262">
        <v>1.99</v>
      </c>
      <c r="G288" s="262">
        <v>1.82</v>
      </c>
      <c r="H288" s="262">
        <v>1.49</v>
      </c>
      <c r="I288" s="262">
        <v>1.28</v>
      </c>
      <c r="J288" s="262">
        <v>1.07</v>
      </c>
      <c r="K288" s="262">
        <v>0.79</v>
      </c>
      <c r="L288" s="262">
        <v>0.57999999999999996</v>
      </c>
      <c r="M288" s="262">
        <v>0.49</v>
      </c>
      <c r="N288" s="567">
        <f t="shared" si="74"/>
        <v>0.49</v>
      </c>
      <c r="O288" s="249">
        <f>IF(O$226=10,C288,HLOOKUP($O$226,$D$226:$M$291,63,TRUE))</f>
        <v>0.49</v>
      </c>
      <c r="P288" s="55">
        <f>IF(P$226=10,C288,HLOOKUP($P$226,$D$226:$M$291,63,TRUE))</f>
        <v>0.49</v>
      </c>
      <c r="Q288" s="111"/>
      <c r="R288" s="111" t="str">
        <f t="shared" si="75"/>
        <v>Công trình hạ tầng kỹ thuật</v>
      </c>
      <c r="S288" s="111" t="str">
        <f t="shared" si="76"/>
        <v>Thiết kế 2 bước</v>
      </c>
      <c r="T288" s="111" t="str">
        <f t="shared" si="77"/>
        <v>Công trình hạ tầng kỹ thuậtThiết kế 2 bướcCấp I</v>
      </c>
      <c r="U288" s="101">
        <f t="shared" si="78"/>
        <v>0.49</v>
      </c>
      <c r="V288" s="111"/>
      <c r="W288" s="111"/>
    </row>
    <row r="289" spans="1:23" ht="15.4" customHeight="1" x14ac:dyDescent="0.25">
      <c r="A289" s="185" t="s">
        <v>757</v>
      </c>
      <c r="B289" s="297" t="s">
        <v>1134</v>
      </c>
      <c r="C289" s="262">
        <v>2.68</v>
      </c>
      <c r="D289" s="262">
        <v>2.33</v>
      </c>
      <c r="E289" s="262">
        <v>1.97</v>
      </c>
      <c r="F289" s="262">
        <v>1.77</v>
      </c>
      <c r="G289" s="262">
        <v>1.58</v>
      </c>
      <c r="H289" s="262">
        <v>1.32</v>
      </c>
      <c r="I289" s="262">
        <v>1.1399999999999999</v>
      </c>
      <c r="J289" s="262">
        <v>0.92</v>
      </c>
      <c r="K289" s="262">
        <v>0.7</v>
      </c>
      <c r="L289" s="262">
        <v>0.51</v>
      </c>
      <c r="M289" s="262">
        <v>0.43</v>
      </c>
      <c r="N289" s="567">
        <f t="shared" si="74"/>
        <v>0.43</v>
      </c>
      <c r="O289" s="249">
        <f>IF(O$226=10,C289,HLOOKUP($O$226,$D$226:$M$291,64,TRUE))</f>
        <v>0.43</v>
      </c>
      <c r="P289" s="55">
        <f>IF(P$226=10,C289,HLOOKUP($P$226,$D$226:$M$291,64,TRUE))</f>
        <v>0.43</v>
      </c>
      <c r="Q289" s="111"/>
      <c r="R289" s="111" t="str">
        <f t="shared" si="75"/>
        <v>Công trình hạ tầng kỹ thuật</v>
      </c>
      <c r="S289" s="111" t="str">
        <f t="shared" si="76"/>
        <v>Thiết kế 2 bước</v>
      </c>
      <c r="T289" s="111" t="str">
        <f t="shared" si="77"/>
        <v>Công trình hạ tầng kỹ thuậtThiết kế 2 bướcCấp II</v>
      </c>
      <c r="U289" s="101">
        <f t="shared" si="78"/>
        <v>0.43</v>
      </c>
      <c r="V289" s="111"/>
      <c r="W289" s="111"/>
    </row>
    <row r="290" spans="1:23" ht="15.4" customHeight="1" x14ac:dyDescent="0.25">
      <c r="A290" s="185" t="s">
        <v>1137</v>
      </c>
      <c r="B290" s="297" t="s">
        <v>563</v>
      </c>
      <c r="C290" s="262">
        <v>2.36</v>
      </c>
      <c r="D290" s="262">
        <v>2.0099999999999998</v>
      </c>
      <c r="E290" s="262">
        <v>1.72</v>
      </c>
      <c r="F290" s="262">
        <v>1.55</v>
      </c>
      <c r="G290" s="262">
        <v>1.39</v>
      </c>
      <c r="H290" s="262">
        <v>1.1599999999999999</v>
      </c>
      <c r="I290" s="262">
        <v>1.02</v>
      </c>
      <c r="J290" s="262">
        <v>0.81</v>
      </c>
      <c r="K290" s="262">
        <v>0.61</v>
      </c>
      <c r="L290" s="262">
        <v>0.44</v>
      </c>
      <c r="M290" s="262">
        <v>0.36</v>
      </c>
      <c r="N290" s="567">
        <f t="shared" si="74"/>
        <v>0.36</v>
      </c>
      <c r="O290" s="249">
        <f>IF(O$226=10,C290,HLOOKUP($O$226,$D$226:$M$291,65,TRUE))</f>
        <v>0.36</v>
      </c>
      <c r="P290" s="55">
        <f>IF(P$226=10,C290,HLOOKUP($P$226,$D$226:$M$291,65,TRUE))</f>
        <v>0.36</v>
      </c>
      <c r="Q290" s="111"/>
      <c r="R290" s="111" t="str">
        <f t="shared" si="75"/>
        <v>Công trình hạ tầng kỹ thuật</v>
      </c>
      <c r="S290" s="111" t="str">
        <f t="shared" si="76"/>
        <v>Thiết kế 2 bước</v>
      </c>
      <c r="T290" s="111" t="str">
        <f t="shared" si="77"/>
        <v>Công trình hạ tầng kỹ thuậtThiết kế 2 bướcCấp III</v>
      </c>
      <c r="U290" s="101">
        <f t="shared" si="78"/>
        <v>0.36</v>
      </c>
      <c r="V290" s="111"/>
      <c r="W290" s="111"/>
    </row>
    <row r="291" spans="1:23" ht="15.4" customHeight="1" x14ac:dyDescent="0.25">
      <c r="A291" s="185" t="s">
        <v>945</v>
      </c>
      <c r="B291" s="297" t="s">
        <v>417</v>
      </c>
      <c r="C291" s="262">
        <v>2.0699999999999998</v>
      </c>
      <c r="D291" s="262">
        <v>1.76</v>
      </c>
      <c r="E291" s="262">
        <v>1.49</v>
      </c>
      <c r="F291" s="262">
        <v>1.35</v>
      </c>
      <c r="G291" s="262">
        <v>1.1499999999999999</v>
      </c>
      <c r="H291" s="262">
        <v>0.98</v>
      </c>
      <c r="I291" s="262" t="s">
        <v>394</v>
      </c>
      <c r="J291" s="262" t="s">
        <v>394</v>
      </c>
      <c r="K291" s="262" t="s">
        <v>394</v>
      </c>
      <c r="L291" s="262" t="s">
        <v>394</v>
      </c>
      <c r="M291" s="262" t="s">
        <v>394</v>
      </c>
      <c r="N291" s="567" t="str">
        <f t="shared" si="74"/>
        <v>-</v>
      </c>
      <c r="O291" s="249" t="str">
        <f>IF(O$226=10,C291,HLOOKUP($O$226,$D$226:$M$291,66,TRUE))</f>
        <v>-</v>
      </c>
      <c r="P291" s="55" t="str">
        <f>IF(P$226=10,C291,HLOOKUP($P$226,$D$226:$M$291,66,TRUE))</f>
        <v>-</v>
      </c>
      <c r="Q291" s="111"/>
      <c r="R291" s="111" t="str">
        <f t="shared" si="75"/>
        <v>Công trình hạ tầng kỹ thuật</v>
      </c>
      <c r="S291" s="111" t="str">
        <f t="shared" si="76"/>
        <v>Thiết kế 2 bước</v>
      </c>
      <c r="T291" s="111" t="str">
        <f t="shared" si="77"/>
        <v>Công trình hạ tầng kỹ thuậtThiết kế 2 bướcCấp IV</v>
      </c>
      <c r="U291" s="101" t="str">
        <f t="shared" si="78"/>
        <v>-</v>
      </c>
      <c r="V291" s="111"/>
      <c r="W291" s="111"/>
    </row>
    <row r="292" spans="1:23" ht="15" hidden="1" customHeight="1" x14ac:dyDescent="0.25">
      <c r="A292" s="65" t="s">
        <v>1033</v>
      </c>
      <c r="B292" s="65"/>
      <c r="C292" s="65"/>
      <c r="D292" s="65"/>
      <c r="E292" s="65"/>
      <c r="F292" s="65"/>
      <c r="G292" s="65"/>
      <c r="H292" s="65"/>
      <c r="I292" s="65"/>
      <c r="J292" s="65"/>
      <c r="K292" s="65"/>
      <c r="L292" s="65"/>
      <c r="M292" s="65"/>
      <c r="N292" s="1"/>
      <c r="O292" s="491"/>
      <c r="P292" s="350"/>
      <c r="Q292" s="65"/>
      <c r="R292" s="65"/>
      <c r="S292" s="65"/>
      <c r="T292" s="65"/>
      <c r="U292" s="65"/>
      <c r="V292" s="65"/>
      <c r="W292" s="65"/>
    </row>
    <row r="293" spans="1:23" ht="15.4" customHeight="1" x14ac:dyDescent="0.25">
      <c r="A293" s="65"/>
      <c r="B293" s="65"/>
      <c r="C293" s="65"/>
      <c r="D293" s="65"/>
      <c r="E293" s="65"/>
      <c r="F293" s="65"/>
      <c r="G293" s="65"/>
      <c r="H293" s="65"/>
      <c r="I293" s="65"/>
      <c r="J293" s="65"/>
      <c r="K293" s="65"/>
      <c r="L293" s="65"/>
      <c r="M293" s="65"/>
      <c r="N293" s="65"/>
      <c r="O293" s="65"/>
      <c r="P293" s="65"/>
      <c r="Q293" s="65"/>
      <c r="R293" s="65"/>
      <c r="S293" s="65"/>
      <c r="T293" s="65"/>
      <c r="U293" s="65"/>
      <c r="V293" s="65"/>
      <c r="W293" s="65"/>
    </row>
    <row r="294" spans="1:23" ht="15.4" customHeight="1" x14ac:dyDescent="0.25">
      <c r="A294" s="1026" t="s">
        <v>1056</v>
      </c>
      <c r="B294" s="1026"/>
      <c r="C294" s="1026"/>
      <c r="D294" s="1026"/>
      <c r="E294" s="1026"/>
      <c r="F294" s="1026"/>
      <c r="G294" s="1026"/>
      <c r="H294" s="1026"/>
      <c r="I294" s="1026"/>
      <c r="J294" s="1026"/>
      <c r="K294" s="1026"/>
      <c r="L294" s="1026"/>
      <c r="M294" s="1026"/>
      <c r="N294" s="65"/>
      <c r="O294" s="65"/>
      <c r="P294" s="65"/>
      <c r="Q294" s="65"/>
      <c r="R294" s="65"/>
      <c r="S294" s="65"/>
      <c r="T294" s="65"/>
      <c r="U294" s="65"/>
      <c r="V294" s="65"/>
      <c r="W294" s="65"/>
    </row>
    <row r="295" spans="1:23" ht="15.4" customHeight="1" x14ac:dyDescent="0.25">
      <c r="A295" s="65"/>
      <c r="B295" s="65"/>
      <c r="C295" s="65"/>
      <c r="D295" s="65"/>
      <c r="E295" s="65"/>
      <c r="F295" s="65"/>
      <c r="G295" s="65"/>
      <c r="H295" s="65"/>
      <c r="I295" s="65"/>
      <c r="J295" s="65"/>
      <c r="K295" s="1031" t="s">
        <v>957</v>
      </c>
      <c r="L295" s="1031"/>
      <c r="M295" s="1031"/>
      <c r="N295" s="1031"/>
      <c r="O295" s="65"/>
      <c r="P295" s="65"/>
      <c r="Q295" s="65"/>
      <c r="R295" s="65"/>
      <c r="S295" s="65"/>
      <c r="T295" s="65"/>
      <c r="U295" s="65"/>
      <c r="V295" s="65"/>
      <c r="W295" s="65"/>
    </row>
    <row r="296" spans="1:23" ht="15" hidden="1" customHeight="1" x14ac:dyDescent="0.25">
      <c r="A296" s="65" t="s">
        <v>964</v>
      </c>
      <c r="B296" s="65"/>
      <c r="C296" s="65"/>
      <c r="D296" s="65"/>
      <c r="E296" s="65"/>
      <c r="F296" s="65"/>
      <c r="G296" s="65"/>
      <c r="H296" s="65"/>
      <c r="I296" s="65"/>
      <c r="J296" s="65"/>
      <c r="K296" s="65"/>
      <c r="L296" s="65"/>
      <c r="M296" s="65"/>
      <c r="N296" s="65" t="s">
        <v>380</v>
      </c>
      <c r="O296" s="65"/>
      <c r="P296" s="65"/>
      <c r="Q296" s="65"/>
      <c r="R296" s="65"/>
      <c r="S296" s="65"/>
      <c r="T296" s="65"/>
      <c r="U296" s="65"/>
      <c r="V296" s="65"/>
      <c r="W296" s="65"/>
    </row>
    <row r="297" spans="1:23" ht="15.4" customHeight="1" x14ac:dyDescent="0.25">
      <c r="A297" s="1028" t="s">
        <v>881</v>
      </c>
      <c r="B297" s="1028" t="s">
        <v>130</v>
      </c>
      <c r="C297" s="1028" t="s">
        <v>337</v>
      </c>
      <c r="D297" s="1028"/>
      <c r="E297" s="1028"/>
      <c r="F297" s="1028"/>
      <c r="G297" s="1028"/>
      <c r="H297" s="1028"/>
      <c r="I297" s="1028"/>
      <c r="J297" s="1028"/>
      <c r="K297" s="1028"/>
      <c r="L297" s="1028"/>
      <c r="M297" s="1028"/>
      <c r="N297" s="1028"/>
      <c r="O297" s="740" t="s">
        <v>480</v>
      </c>
      <c r="P297" s="466" t="s">
        <v>33</v>
      </c>
      <c r="Q297" s="309" t="s">
        <v>655</v>
      </c>
      <c r="R297" s="111"/>
      <c r="S297" s="111"/>
      <c r="T297" s="111"/>
      <c r="U297" s="111"/>
      <c r="V297" s="111"/>
      <c r="W297" s="111"/>
    </row>
    <row r="298" spans="1:23" ht="15.4" customHeight="1" x14ac:dyDescent="0.25">
      <c r="A298" s="1028"/>
      <c r="B298" s="1028"/>
      <c r="C298" s="482" t="s">
        <v>391</v>
      </c>
      <c r="D298" s="482">
        <v>20</v>
      </c>
      <c r="E298" s="482">
        <v>50</v>
      </c>
      <c r="F298" s="482">
        <v>100</v>
      </c>
      <c r="G298" s="482">
        <v>200</v>
      </c>
      <c r="H298" s="482">
        <v>500</v>
      </c>
      <c r="I298" s="342">
        <v>1000</v>
      </c>
      <c r="J298" s="342">
        <v>2000</v>
      </c>
      <c r="K298" s="342">
        <v>5000</v>
      </c>
      <c r="L298" s="342">
        <v>10000</v>
      </c>
      <c r="M298" s="342">
        <v>20000</v>
      </c>
      <c r="N298" s="342">
        <v>30000</v>
      </c>
      <c r="O298" s="740">
        <f>$C$1+$C$2</f>
        <v>873441780</v>
      </c>
      <c r="P298" s="466">
        <f>IF(O298&lt;D298,15,IF(O298&gt;N298,N298,HLOOKUP(O298,D298:N298,1)))</f>
        <v>30000</v>
      </c>
      <c r="Q298" s="309">
        <f>IF(O298&lt;15,15,IF(O298&lt;20,20,IF(O298&gt;N298,N298,INDEX(D298:N298,MATCH(O298,D298:N298,1)+1))))</f>
        <v>30000</v>
      </c>
      <c r="R298" s="111"/>
      <c r="S298" s="111"/>
      <c r="T298" s="111"/>
      <c r="U298" s="111"/>
      <c r="V298" s="111"/>
      <c r="W298" s="111"/>
    </row>
    <row r="299" spans="1:23" ht="15.4" customHeight="1" x14ac:dyDescent="0.25">
      <c r="A299" s="185">
        <v>1</v>
      </c>
      <c r="B299" s="297" t="str">
        <f t="shared" ref="B299:B303" si="79">B48</f>
        <v>Công trình dân dụng</v>
      </c>
      <c r="C299" s="303">
        <v>7.0999999999999994E-2</v>
      </c>
      <c r="D299" s="303">
        <v>5.8999999999999997E-2</v>
      </c>
      <c r="E299" s="303">
        <v>4.8000000000000001E-2</v>
      </c>
      <c r="F299" s="303">
        <v>3.4000000000000002E-2</v>
      </c>
      <c r="G299" s="303">
        <v>2.5000000000000001E-2</v>
      </c>
      <c r="H299" s="303">
        <v>1.6E-2</v>
      </c>
      <c r="I299" s="303">
        <v>1.4E-2</v>
      </c>
      <c r="J299" s="303">
        <v>1.2E-2</v>
      </c>
      <c r="K299" s="303">
        <v>8.9999999999999993E-3</v>
      </c>
      <c r="L299" s="303">
        <v>7.0000000000000001E-3</v>
      </c>
      <c r="M299" s="303">
        <v>5.0000000000000001E-3</v>
      </c>
      <c r="N299" s="303">
        <v>4.0000000000000001E-3</v>
      </c>
      <c r="O299" s="567">
        <f t="shared" ref="O299:O303" si="80">IF(Q$298=P$298,P299,ROUND(P299-((P299-Q299)/(Q$298-P$298))*(O$298-P$298),3))</f>
        <v>4.0000000000000001E-3</v>
      </c>
      <c r="P299" s="289">
        <f>IF(P$298=0,0,IF(P$298=15,C299,HLOOKUP($P$298,$D$298:$N$303,2,TRUE)))</f>
        <v>4.0000000000000001E-3</v>
      </c>
      <c r="Q299" s="105">
        <f>IF(Q$298=0,0,IF(Q$298=15,C299,HLOOKUP($Q$298,$D$298:$N$303,2,TRUE)))</f>
        <v>4.0000000000000001E-3</v>
      </c>
      <c r="R299" s="111"/>
      <c r="S299" s="111"/>
      <c r="T299" s="111"/>
      <c r="U299" s="111"/>
      <c r="V299" s="111"/>
      <c r="W299" s="111"/>
    </row>
    <row r="300" spans="1:23" ht="15.4" customHeight="1" x14ac:dyDescent="0.25">
      <c r="A300" s="185">
        <v>2</v>
      </c>
      <c r="B300" s="297" t="str">
        <f t="shared" si="79"/>
        <v>Công trình công nghiệp</v>
      </c>
      <c r="C300" s="303">
        <v>9.8000000000000004E-2</v>
      </c>
      <c r="D300" s="303">
        <v>8.3000000000000004E-2</v>
      </c>
      <c r="E300" s="303">
        <v>6.7000000000000004E-2</v>
      </c>
      <c r="F300" s="303">
        <v>4.9000000000000002E-2</v>
      </c>
      <c r="G300" s="303">
        <v>3.6999999999999998E-2</v>
      </c>
      <c r="H300" s="303">
        <v>2.8000000000000001E-2</v>
      </c>
      <c r="I300" s="303">
        <v>2.5000000000000001E-2</v>
      </c>
      <c r="J300" s="303">
        <v>0.02</v>
      </c>
      <c r="K300" s="303">
        <v>1.4999999999999999E-2</v>
      </c>
      <c r="L300" s="303">
        <v>0.01</v>
      </c>
      <c r="M300" s="303">
        <v>7.0000000000000001E-3</v>
      </c>
      <c r="N300" s="303">
        <v>5.0000000000000001E-3</v>
      </c>
      <c r="O300" s="567">
        <f t="shared" si="80"/>
        <v>5.0000000000000001E-3</v>
      </c>
      <c r="P300" s="289">
        <f>IF(P$298=0,0,IF(P$298=15,C300,HLOOKUP($P$298,$D$298:$N$303,3,TRUE)))</f>
        <v>5.0000000000000001E-3</v>
      </c>
      <c r="Q300" s="105">
        <f>IF(Q$298=0,0,IF(Q$298=15,C300,HLOOKUP($Q$298,$D$298:$N$303,3,TRUE)))</f>
        <v>5.0000000000000001E-3</v>
      </c>
      <c r="R300" s="111"/>
      <c r="S300" s="111"/>
      <c r="T300" s="111"/>
      <c r="U300" s="111"/>
      <c r="V300" s="111"/>
      <c r="W300" s="111"/>
    </row>
    <row r="301" spans="1:23" ht="15.4" customHeight="1" x14ac:dyDescent="0.25">
      <c r="A301" s="185">
        <v>3</v>
      </c>
      <c r="B301" s="297" t="str">
        <f t="shared" si="79"/>
        <v>Công trình giao thông</v>
      </c>
      <c r="C301" s="303">
        <v>5.3999999999999999E-2</v>
      </c>
      <c r="D301" s="303">
        <v>4.9000000000000002E-2</v>
      </c>
      <c r="E301" s="303">
        <v>3.9E-2</v>
      </c>
      <c r="F301" s="303">
        <v>0.03</v>
      </c>
      <c r="G301" s="303">
        <v>0.02</v>
      </c>
      <c r="H301" s="303">
        <v>1.2999999999999999E-2</v>
      </c>
      <c r="I301" s="303">
        <v>1.0999999999999999E-2</v>
      </c>
      <c r="J301" s="303">
        <v>8.9999999999999993E-3</v>
      </c>
      <c r="K301" s="303">
        <v>7.0000000000000001E-3</v>
      </c>
      <c r="L301" s="303">
        <v>5.0000000000000001E-3</v>
      </c>
      <c r="M301" s="303">
        <v>4.0000000000000001E-3</v>
      </c>
      <c r="N301" s="303">
        <v>3.0000000000000001E-3</v>
      </c>
      <c r="O301" s="567">
        <f t="shared" si="80"/>
        <v>3.0000000000000001E-3</v>
      </c>
      <c r="P301" s="289">
        <f>IF(P$298=0,0,IF(P$298=15,C301,HLOOKUP($P$298,$D$298:$N$303,4,TRUE)))</f>
        <v>3.0000000000000001E-3</v>
      </c>
      <c r="Q301" s="105">
        <f>IF(Q$298=0,0,IF(Q$298=15,C301,HLOOKUP($Q$298,$D$298:$N$303,4,TRUE)))</f>
        <v>3.0000000000000001E-3</v>
      </c>
      <c r="R301" s="111"/>
      <c r="S301" s="111"/>
      <c r="T301" s="111"/>
      <c r="U301" s="111"/>
      <c r="V301" s="111"/>
      <c r="W301" s="111"/>
    </row>
    <row r="302" spans="1:23" ht="15.4" customHeight="1" x14ac:dyDescent="0.25">
      <c r="A302" s="185">
        <v>4</v>
      </c>
      <c r="B302" s="297" t="str">
        <f t="shared" si="79"/>
        <v>Công trình nông nghiệp và phát triển nông thôn</v>
      </c>
      <c r="C302" s="303">
        <v>6.4000000000000001E-2</v>
      </c>
      <c r="D302" s="303">
        <v>5.8000000000000003E-2</v>
      </c>
      <c r="E302" s="303">
        <v>4.7E-2</v>
      </c>
      <c r="F302" s="303">
        <v>3.3000000000000002E-2</v>
      </c>
      <c r="G302" s="303">
        <v>2.4E-2</v>
      </c>
      <c r="H302" s="303">
        <v>1.4999999999999999E-2</v>
      </c>
      <c r="I302" s="303">
        <v>1.2999999999999999E-2</v>
      </c>
      <c r="J302" s="303">
        <v>1.0999999999999999E-2</v>
      </c>
      <c r="K302" s="303">
        <v>8.9999999999999993E-3</v>
      </c>
      <c r="L302" s="303">
        <v>6.0000000000000001E-3</v>
      </c>
      <c r="M302" s="303">
        <v>5.0000000000000001E-3</v>
      </c>
      <c r="N302" s="303">
        <v>4.0000000000000001E-3</v>
      </c>
      <c r="O302" s="567">
        <f t="shared" si="80"/>
        <v>4.0000000000000001E-3</v>
      </c>
      <c r="P302" s="289">
        <f>IF(P$298=0,0,IF(P$298=15,C302,HLOOKUP($P$298,$D$298:$N$303,5,TRUE)))</f>
        <v>4.0000000000000001E-3</v>
      </c>
      <c r="Q302" s="105">
        <f>IF(Q$298=0,0,IF(Q$298=15,C302,HLOOKUP($Q$298,$D$298:$N$303,5,TRUE)))</f>
        <v>4.0000000000000001E-3</v>
      </c>
      <c r="R302" s="111"/>
      <c r="S302" s="111"/>
      <c r="T302" s="111"/>
      <c r="U302" s="111"/>
      <c r="V302" s="111"/>
      <c r="W302" s="111"/>
    </row>
    <row r="303" spans="1:23" ht="15.4" customHeight="1" x14ac:dyDescent="0.25">
      <c r="A303" s="185">
        <v>5</v>
      </c>
      <c r="B303" s="297" t="str">
        <f t="shared" si="79"/>
        <v>Công trình hạ tầng kỹ thuật</v>
      </c>
      <c r="C303" s="303">
        <v>5.6000000000000001E-2</v>
      </c>
      <c r="D303" s="303">
        <v>5.0999999999999997E-2</v>
      </c>
      <c r="E303" s="303">
        <v>4.1000000000000002E-2</v>
      </c>
      <c r="F303" s="303">
        <v>3.2000000000000001E-2</v>
      </c>
      <c r="G303" s="303">
        <v>2.1000000000000001E-2</v>
      </c>
      <c r="H303" s="303">
        <v>1.2999999999999999E-2</v>
      </c>
      <c r="I303" s="303">
        <v>1.2E-2</v>
      </c>
      <c r="J303" s="303">
        <v>0.01</v>
      </c>
      <c r="K303" s="303">
        <v>8.0000000000000002E-3</v>
      </c>
      <c r="L303" s="303">
        <v>5.0000000000000001E-3</v>
      </c>
      <c r="M303" s="303">
        <v>4.0000000000000001E-3</v>
      </c>
      <c r="N303" s="303">
        <v>3.0000000000000001E-3</v>
      </c>
      <c r="O303" s="567">
        <f t="shared" si="80"/>
        <v>3.0000000000000001E-3</v>
      </c>
      <c r="P303" s="289">
        <f>IF(P$298=0,0,IF(P$298=15,C303,HLOOKUP($P$298,$D$298:$N$303,6,TRUE)))</f>
        <v>3.0000000000000001E-3</v>
      </c>
      <c r="Q303" s="105">
        <f>IF(Q$298=0,0,IF(Q$298=15,C303,HLOOKUP($Q$298,$D$298:$N$303,6,TRUE)))</f>
        <v>3.0000000000000001E-3</v>
      </c>
      <c r="R303" s="111"/>
      <c r="S303" s="111"/>
      <c r="T303" s="111"/>
      <c r="U303" s="111"/>
      <c r="V303" s="111"/>
      <c r="W303" s="111"/>
    </row>
    <row r="304" spans="1:23" ht="15" hidden="1" customHeight="1" x14ac:dyDescent="0.25">
      <c r="A304" s="65" t="s">
        <v>572</v>
      </c>
      <c r="B304" s="65"/>
      <c r="C304" s="65"/>
      <c r="D304" s="65"/>
      <c r="E304" s="65"/>
      <c r="F304" s="65"/>
      <c r="G304" s="65"/>
      <c r="H304" s="65"/>
      <c r="I304" s="65"/>
      <c r="J304" s="65"/>
      <c r="K304" s="65"/>
      <c r="L304" s="65"/>
      <c r="M304" s="65"/>
      <c r="N304" s="65"/>
      <c r="O304" s="65"/>
      <c r="P304" s="65"/>
      <c r="Q304" s="65"/>
      <c r="R304" s="65"/>
      <c r="S304" s="65"/>
      <c r="T304" s="65"/>
      <c r="U304" s="65"/>
      <c r="V304" s="65"/>
      <c r="W304" s="65"/>
    </row>
    <row r="305" spans="1:23" ht="15.4" customHeight="1" x14ac:dyDescent="0.25">
      <c r="A305" s="65"/>
      <c r="B305" s="65"/>
      <c r="C305" s="65"/>
      <c r="D305" s="65"/>
      <c r="E305" s="65"/>
      <c r="F305" s="65"/>
      <c r="G305" s="65"/>
      <c r="H305" s="65"/>
      <c r="I305" s="65"/>
      <c r="J305" s="65"/>
      <c r="K305" s="65"/>
      <c r="L305" s="65"/>
      <c r="M305" s="65"/>
      <c r="N305" s="65"/>
      <c r="O305" s="65"/>
      <c r="P305" s="65"/>
      <c r="Q305" s="65"/>
      <c r="R305" s="65"/>
      <c r="S305" s="65"/>
      <c r="T305" s="65"/>
      <c r="U305" s="65"/>
      <c r="V305" s="65"/>
      <c r="W305" s="65"/>
    </row>
    <row r="306" spans="1:23" ht="15.4" customHeight="1" x14ac:dyDescent="0.25">
      <c r="A306" s="1026" t="s">
        <v>511</v>
      </c>
      <c r="B306" s="1026"/>
      <c r="C306" s="1026"/>
      <c r="D306" s="1026"/>
      <c r="E306" s="1026"/>
      <c r="F306" s="1026"/>
      <c r="G306" s="1026"/>
      <c r="H306" s="1026"/>
      <c r="I306" s="1026"/>
      <c r="J306" s="1026"/>
      <c r="K306" s="1026"/>
      <c r="L306" s="1026"/>
      <c r="M306" s="1026"/>
      <c r="N306" s="65"/>
      <c r="O306" s="65"/>
      <c r="P306" s="65"/>
      <c r="Q306" s="65"/>
      <c r="R306" s="65"/>
      <c r="S306" s="65"/>
      <c r="T306" s="65"/>
      <c r="U306" s="65"/>
      <c r="V306" s="65"/>
      <c r="W306" s="65"/>
    </row>
    <row r="307" spans="1:23" ht="15.4" customHeight="1" x14ac:dyDescent="0.25">
      <c r="A307" s="65"/>
      <c r="B307" s="65"/>
      <c r="C307" s="65"/>
      <c r="D307" s="65"/>
      <c r="E307" s="65"/>
      <c r="F307" s="65"/>
      <c r="G307" s="65"/>
      <c r="H307" s="65"/>
      <c r="I307" s="65"/>
      <c r="J307" s="65"/>
      <c r="K307" s="1031" t="s">
        <v>957</v>
      </c>
      <c r="L307" s="1031"/>
      <c r="M307" s="1031"/>
      <c r="N307" s="1031"/>
      <c r="O307" s="65"/>
      <c r="P307" s="65"/>
      <c r="Q307" s="65"/>
      <c r="R307" s="65"/>
      <c r="S307" s="65"/>
      <c r="T307" s="65"/>
      <c r="U307" s="65"/>
      <c r="V307" s="65"/>
      <c r="W307" s="65"/>
    </row>
    <row r="308" spans="1:23" ht="15" hidden="1" customHeight="1" x14ac:dyDescent="0.25">
      <c r="A308" s="65" t="s">
        <v>216</v>
      </c>
      <c r="B308" s="65"/>
      <c r="C308" s="65"/>
      <c r="D308" s="65"/>
      <c r="E308" s="65"/>
      <c r="F308" s="65"/>
      <c r="G308" s="65"/>
      <c r="H308" s="65"/>
      <c r="I308" s="65"/>
      <c r="J308" s="65"/>
      <c r="K308" s="65"/>
      <c r="L308" s="65"/>
      <c r="M308" s="65"/>
      <c r="N308" s="65" t="s">
        <v>380</v>
      </c>
      <c r="O308" s="65"/>
      <c r="P308" s="65"/>
      <c r="Q308" s="65"/>
      <c r="R308" s="65"/>
      <c r="S308" s="65"/>
      <c r="T308" s="65"/>
      <c r="U308" s="65"/>
      <c r="V308" s="65"/>
      <c r="W308" s="65"/>
    </row>
    <row r="309" spans="1:23" ht="15.4" customHeight="1" x14ac:dyDescent="0.25">
      <c r="A309" s="1028" t="s">
        <v>881</v>
      </c>
      <c r="B309" s="1028" t="s">
        <v>130</v>
      </c>
      <c r="C309" s="1028" t="s">
        <v>337</v>
      </c>
      <c r="D309" s="1028"/>
      <c r="E309" s="1028"/>
      <c r="F309" s="1028"/>
      <c r="G309" s="1028"/>
      <c r="H309" s="1028"/>
      <c r="I309" s="1028"/>
      <c r="J309" s="1028"/>
      <c r="K309" s="1028"/>
      <c r="L309" s="1028"/>
      <c r="M309" s="1028"/>
      <c r="N309" s="1028"/>
      <c r="O309" s="740" t="s">
        <v>480</v>
      </c>
      <c r="P309" s="466" t="s">
        <v>33</v>
      </c>
      <c r="Q309" s="309" t="s">
        <v>655</v>
      </c>
      <c r="R309" s="111"/>
      <c r="S309" s="111"/>
      <c r="T309" s="111"/>
      <c r="U309" s="111"/>
      <c r="V309" s="111"/>
      <c r="W309" s="111"/>
    </row>
    <row r="310" spans="1:23" ht="15.4" customHeight="1" x14ac:dyDescent="0.25">
      <c r="A310" s="1028"/>
      <c r="B310" s="1028"/>
      <c r="C310" s="482" t="s">
        <v>391</v>
      </c>
      <c r="D310" s="482">
        <v>20</v>
      </c>
      <c r="E310" s="482">
        <v>50</v>
      </c>
      <c r="F310" s="482">
        <v>100</v>
      </c>
      <c r="G310" s="482">
        <v>200</v>
      </c>
      <c r="H310" s="482">
        <v>500</v>
      </c>
      <c r="I310" s="342">
        <v>1000</v>
      </c>
      <c r="J310" s="342">
        <v>2000</v>
      </c>
      <c r="K310" s="342">
        <v>5000</v>
      </c>
      <c r="L310" s="342">
        <v>10000</v>
      </c>
      <c r="M310" s="342">
        <v>20000</v>
      </c>
      <c r="N310" s="342">
        <v>30000</v>
      </c>
      <c r="O310" s="740">
        <f>$C$1+$C$2</f>
        <v>873441780</v>
      </c>
      <c r="P310" s="466">
        <f>IF(O310&lt;D310,15,IF(O310&gt;N310,N310,HLOOKUP(O310,D310:N310,1)))</f>
        <v>30000</v>
      </c>
      <c r="Q310" s="309">
        <f>IF(O310&lt;15,15,IF(O310&lt;20,20,IF(O310&gt;N310,N310,INDEX(D310:N310,MATCH(O310,D310:N310,1)+1))))</f>
        <v>30000</v>
      </c>
      <c r="R310" s="111"/>
      <c r="S310" s="111"/>
      <c r="T310" s="111"/>
      <c r="U310" s="111"/>
      <c r="V310" s="111"/>
      <c r="W310" s="111"/>
    </row>
    <row r="311" spans="1:23" ht="15.4" customHeight="1" x14ac:dyDescent="0.25">
      <c r="A311" s="185">
        <v>1</v>
      </c>
      <c r="B311" s="297" t="str">
        <f t="shared" ref="B311:B315" si="81">B48</f>
        <v>Công trình dân dụng</v>
      </c>
      <c r="C311" s="303">
        <v>0.20399999999999999</v>
      </c>
      <c r="D311" s="303">
        <v>0.16800000000000001</v>
      </c>
      <c r="E311" s="303">
        <v>0.13800000000000001</v>
      </c>
      <c r="F311" s="303">
        <v>9.7000000000000003E-2</v>
      </c>
      <c r="G311" s="303">
        <v>7.0000000000000007E-2</v>
      </c>
      <c r="H311" s="303">
        <v>4.5999999999999999E-2</v>
      </c>
      <c r="I311" s="303">
        <v>4.1000000000000002E-2</v>
      </c>
      <c r="J311" s="303">
        <v>3.4000000000000002E-2</v>
      </c>
      <c r="K311" s="303">
        <v>2.5999999999999999E-2</v>
      </c>
      <c r="L311" s="303">
        <v>1.9E-2</v>
      </c>
      <c r="M311" s="303">
        <v>1.4999999999999999E-2</v>
      </c>
      <c r="N311" s="303">
        <v>1.2E-2</v>
      </c>
      <c r="O311" s="567">
        <f t="shared" ref="O311:O315" si="82">IF(Q$310=P$310,P311,ROUND(P311-((P311-Q311)/(Q$310-P$310))*(O$310-P$310),3))</f>
        <v>1.2E-2</v>
      </c>
      <c r="P311" s="289">
        <f>IF(P$310=0,0,IF(P$310=15,C311,HLOOKUP($P$310,$D$310:$N$315,2,TRUE)))</f>
        <v>1.2E-2</v>
      </c>
      <c r="Q311" s="105">
        <f>IF(Q$310=0,0,IF(Q$310=15,C311,HLOOKUP($Q$310,$D$310:$N$315,2,TRUE)))</f>
        <v>1.2E-2</v>
      </c>
      <c r="R311" s="111"/>
      <c r="S311" s="111"/>
      <c r="T311" s="111"/>
      <c r="U311" s="111"/>
      <c r="V311" s="111"/>
      <c r="W311" s="111"/>
    </row>
    <row r="312" spans="1:23" ht="15.4" customHeight="1" x14ac:dyDescent="0.25">
      <c r="A312" s="185">
        <v>2</v>
      </c>
      <c r="B312" s="297" t="str">
        <f t="shared" si="81"/>
        <v>Công trình công nghiệp</v>
      </c>
      <c r="C312" s="303">
        <v>0.28100000000000003</v>
      </c>
      <c r="D312" s="303">
        <v>0.23799999999999999</v>
      </c>
      <c r="E312" s="303">
        <v>0.19</v>
      </c>
      <c r="F312" s="303">
        <v>0.14099999999999999</v>
      </c>
      <c r="G312" s="303">
        <v>0.107</v>
      </c>
      <c r="H312" s="303">
        <v>0.08</v>
      </c>
      <c r="I312" s="303">
        <v>7.0000000000000007E-2</v>
      </c>
      <c r="J312" s="303">
        <v>5.6000000000000001E-2</v>
      </c>
      <c r="K312" s="303">
        <v>4.3999999999999997E-2</v>
      </c>
      <c r="L312" s="303">
        <v>2.9000000000000001E-2</v>
      </c>
      <c r="M312" s="303">
        <v>0.02</v>
      </c>
      <c r="N312" s="303">
        <v>1.4999999999999999E-2</v>
      </c>
      <c r="O312" s="567">
        <f t="shared" si="82"/>
        <v>1.4999999999999999E-2</v>
      </c>
      <c r="P312" s="289">
        <f>IF(P$310=0,0,IF(P$310=15,C312,HLOOKUP($P$310,$D$310:$N$315,3,TRUE)))</f>
        <v>1.4999999999999999E-2</v>
      </c>
      <c r="Q312" s="105">
        <f>IF(Q$310=0,0,IF(Q$310=15,C312,HLOOKUP($Q$310,$D$310:$N$315,3,TRUE)))</f>
        <v>1.4999999999999999E-2</v>
      </c>
      <c r="R312" s="111"/>
      <c r="S312" s="111"/>
      <c r="T312" s="111"/>
      <c r="U312" s="111"/>
      <c r="V312" s="111"/>
      <c r="W312" s="111"/>
    </row>
    <row r="313" spans="1:23" ht="15.4" customHeight="1" x14ac:dyDescent="0.25">
      <c r="A313" s="185">
        <v>3</v>
      </c>
      <c r="B313" s="297" t="str">
        <f t="shared" si="81"/>
        <v>Công trình giao thông</v>
      </c>
      <c r="C313" s="303">
        <v>0.153</v>
      </c>
      <c r="D313" s="303">
        <v>0.13900000000000001</v>
      </c>
      <c r="E313" s="303">
        <v>0.112</v>
      </c>
      <c r="F313" s="303">
        <v>8.6999999999999994E-2</v>
      </c>
      <c r="G313" s="303">
        <v>5.8000000000000003E-2</v>
      </c>
      <c r="H313" s="303">
        <v>3.5999999999999997E-2</v>
      </c>
      <c r="I313" s="303">
        <v>3.2000000000000001E-2</v>
      </c>
      <c r="J313" s="303">
        <v>2.5999999999999999E-2</v>
      </c>
      <c r="K313" s="303">
        <v>0.02</v>
      </c>
      <c r="L313" s="303">
        <v>1.4E-2</v>
      </c>
      <c r="M313" s="303">
        <v>0.01</v>
      </c>
      <c r="N313" s="303">
        <v>8.9999999999999993E-3</v>
      </c>
      <c r="O313" s="567">
        <f t="shared" si="82"/>
        <v>8.9999999999999993E-3</v>
      </c>
      <c r="P313" s="289">
        <f>IF(P$310=0,0,IF(P$310=15,C313,HLOOKUP($P$310,$D$310:$N$315,4,TRUE)))</f>
        <v>8.9999999999999993E-3</v>
      </c>
      <c r="Q313" s="105">
        <f>IF(Q$310=0,0,IF(Q$310=15,C313,HLOOKUP($Q$310,$D$310:$N$315,4,TRUE)))</f>
        <v>8.9999999999999993E-3</v>
      </c>
      <c r="R313" s="111"/>
      <c r="S313" s="111"/>
      <c r="T313" s="111"/>
      <c r="U313" s="111"/>
      <c r="V313" s="111"/>
      <c r="W313" s="111"/>
    </row>
    <row r="314" spans="1:23" ht="15.4" customHeight="1" x14ac:dyDescent="0.25">
      <c r="A314" s="185">
        <v>4</v>
      </c>
      <c r="B314" s="297" t="str">
        <f t="shared" si="81"/>
        <v>Công trình nông nghiệp và phát triển nông thôn</v>
      </c>
      <c r="C314" s="303">
        <v>0.182</v>
      </c>
      <c r="D314" s="303">
        <v>0.16700000000000001</v>
      </c>
      <c r="E314" s="303">
        <v>0.13300000000000001</v>
      </c>
      <c r="F314" s="303">
        <v>9.4E-2</v>
      </c>
      <c r="G314" s="303">
        <v>6.8000000000000005E-2</v>
      </c>
      <c r="H314" s="303">
        <v>4.3999999999999997E-2</v>
      </c>
      <c r="I314" s="303">
        <v>3.6999999999999998E-2</v>
      </c>
      <c r="J314" s="303">
        <v>3.2000000000000001E-2</v>
      </c>
      <c r="K314" s="303">
        <v>2.5999999999999999E-2</v>
      </c>
      <c r="L314" s="303">
        <v>1.7000000000000001E-2</v>
      </c>
      <c r="M314" s="303">
        <v>1.4E-2</v>
      </c>
      <c r="N314" s="303">
        <v>0.01</v>
      </c>
      <c r="O314" s="567">
        <f t="shared" si="82"/>
        <v>0.01</v>
      </c>
      <c r="P314" s="289">
        <f>IF(P$310=0,0,IF(P$310=15,C314,HLOOKUP($P$310,$D$310:$N$315,5,TRUE)))</f>
        <v>0.01</v>
      </c>
      <c r="Q314" s="105">
        <f>IF(Q$310=0,0,IF(Q$310=15,C314,HLOOKUP($Q$310,$D$310:$N$315,5,TRUE)))</f>
        <v>0.01</v>
      </c>
      <c r="R314" s="111"/>
      <c r="S314" s="111"/>
      <c r="T314" s="111"/>
      <c r="U314" s="111"/>
      <c r="V314" s="111"/>
      <c r="W314" s="111"/>
    </row>
    <row r="315" spans="1:23" ht="15.4" customHeight="1" x14ac:dyDescent="0.25">
      <c r="A315" s="185">
        <v>5</v>
      </c>
      <c r="B315" s="297" t="str">
        <f t="shared" si="81"/>
        <v>Công trình hạ tầng kỹ thuật</v>
      </c>
      <c r="C315" s="303">
        <v>0.16</v>
      </c>
      <c r="D315" s="303">
        <v>0.14499999999999999</v>
      </c>
      <c r="E315" s="303">
        <v>0.11600000000000001</v>
      </c>
      <c r="F315" s="303">
        <v>9.1999999999999998E-2</v>
      </c>
      <c r="G315" s="303">
        <v>0.06</v>
      </c>
      <c r="H315" s="303">
        <v>3.6999999999999998E-2</v>
      </c>
      <c r="I315" s="303">
        <v>3.4000000000000002E-2</v>
      </c>
      <c r="J315" s="303">
        <v>2.9000000000000001E-2</v>
      </c>
      <c r="K315" s="303">
        <v>2.1999999999999999E-2</v>
      </c>
      <c r="L315" s="303">
        <v>1.4999999999999999E-2</v>
      </c>
      <c r="M315" s="303">
        <v>0.01</v>
      </c>
      <c r="N315" s="303">
        <v>8.9999999999999993E-3</v>
      </c>
      <c r="O315" s="567">
        <f t="shared" si="82"/>
        <v>8.9999999999999993E-3</v>
      </c>
      <c r="P315" s="289">
        <f>IF(P$310=0,0,IF(P$310=15,C315,HLOOKUP($P$310,$D$310:$N$315,6,TRUE)))</f>
        <v>8.9999999999999993E-3</v>
      </c>
      <c r="Q315" s="105">
        <f>IF(Q$310=0,0,IF(Q$310=15,C315,HLOOKUP($Q$310,$D$310:$N$315,6,TRUE)))</f>
        <v>8.9999999999999993E-3</v>
      </c>
      <c r="R315" s="111"/>
      <c r="S315" s="111"/>
      <c r="T315" s="111"/>
      <c r="U315" s="111"/>
      <c r="V315" s="111"/>
      <c r="W315" s="111"/>
    </row>
    <row r="316" spans="1:23" ht="15" hidden="1" customHeight="1" x14ac:dyDescent="0.25">
      <c r="A316" s="65" t="s">
        <v>1121</v>
      </c>
      <c r="B316" s="65"/>
      <c r="C316" s="65"/>
      <c r="D316" s="65"/>
      <c r="E316" s="65"/>
      <c r="F316" s="65"/>
      <c r="G316" s="65"/>
      <c r="H316" s="65"/>
      <c r="I316" s="65"/>
      <c r="J316" s="65"/>
      <c r="K316" s="65"/>
      <c r="L316" s="65"/>
      <c r="M316" s="65"/>
      <c r="N316" s="65"/>
      <c r="O316" s="65"/>
      <c r="P316" s="65"/>
      <c r="Q316" s="65"/>
      <c r="R316" s="65"/>
      <c r="S316" s="65"/>
      <c r="T316" s="65"/>
      <c r="U316" s="65"/>
      <c r="V316" s="65"/>
      <c r="W316" s="65"/>
    </row>
    <row r="317" spans="1:23" ht="15.4" customHeight="1" x14ac:dyDescent="0.25">
      <c r="A317" s="65"/>
      <c r="B317" s="65"/>
      <c r="C317" s="65"/>
      <c r="D317" s="65"/>
      <c r="E317" s="65"/>
      <c r="F317" s="65"/>
      <c r="G317" s="65"/>
      <c r="H317" s="65"/>
      <c r="I317" s="65"/>
      <c r="J317" s="65"/>
      <c r="K317" s="65"/>
      <c r="L317" s="65"/>
      <c r="M317" s="65"/>
      <c r="N317" s="65"/>
      <c r="O317" s="65"/>
      <c r="P317" s="65"/>
      <c r="Q317" s="65"/>
      <c r="R317" s="65"/>
      <c r="S317" s="65"/>
      <c r="T317" s="65"/>
      <c r="U317" s="65"/>
      <c r="V317" s="65"/>
      <c r="W317" s="65"/>
    </row>
    <row r="318" spans="1:23" ht="16.350000000000001" customHeight="1" x14ac:dyDescent="0.25">
      <c r="A318" s="1044" t="s">
        <v>166</v>
      </c>
      <c r="B318" s="1044"/>
      <c r="C318" s="1044"/>
      <c r="D318" s="1044"/>
      <c r="E318" s="1044"/>
      <c r="F318" s="1044"/>
      <c r="G318" s="1044"/>
      <c r="H318" s="1044"/>
      <c r="I318" s="1044"/>
      <c r="J318" s="1044"/>
      <c r="K318" s="1044"/>
      <c r="L318" s="1044"/>
      <c r="M318" s="1044"/>
      <c r="N318" s="1044"/>
      <c r="O318" s="65"/>
      <c r="P318" s="65"/>
      <c r="Q318" s="65"/>
      <c r="R318" s="65"/>
      <c r="S318" s="65"/>
      <c r="T318" s="65"/>
      <c r="U318" s="65"/>
      <c r="V318" s="65"/>
      <c r="W318" s="65"/>
    </row>
    <row r="319" spans="1:23" ht="15.4" customHeight="1" x14ac:dyDescent="0.25">
      <c r="A319" s="65"/>
      <c r="B319" s="65"/>
      <c r="C319" s="65"/>
      <c r="D319" s="65"/>
      <c r="E319" s="65"/>
      <c r="F319" s="65"/>
      <c r="G319" s="65"/>
      <c r="H319" s="65"/>
      <c r="I319" s="1027" t="s">
        <v>957</v>
      </c>
      <c r="J319" s="1027"/>
      <c r="K319" s="1027"/>
      <c r="L319" s="1027"/>
      <c r="M319" s="1027"/>
      <c r="N319" s="680"/>
      <c r="O319" s="65"/>
      <c r="P319" s="65"/>
      <c r="Q319" s="65"/>
      <c r="R319" s="65"/>
      <c r="S319" s="65"/>
      <c r="T319" s="65"/>
      <c r="U319" s="65"/>
      <c r="V319" s="65"/>
      <c r="W319" s="65"/>
    </row>
    <row r="320" spans="1:23" ht="15" hidden="1" customHeight="1" x14ac:dyDescent="0.25">
      <c r="A320" s="65" t="s">
        <v>108</v>
      </c>
      <c r="B320" s="65"/>
      <c r="C320" s="65"/>
      <c r="D320" s="65"/>
      <c r="E320" s="65"/>
      <c r="F320" s="65"/>
      <c r="G320" s="65"/>
      <c r="H320" s="65"/>
      <c r="I320" s="65"/>
      <c r="J320" s="65"/>
      <c r="K320" s="65"/>
      <c r="L320" s="65"/>
      <c r="M320" s="65" t="s">
        <v>380</v>
      </c>
      <c r="N320" s="65"/>
      <c r="O320" s="65"/>
      <c r="P320" s="65"/>
      <c r="Q320" s="65"/>
      <c r="R320" s="65"/>
      <c r="S320" s="65"/>
      <c r="T320" s="65"/>
      <c r="U320" s="65"/>
      <c r="V320" s="65"/>
      <c r="W320" s="65"/>
    </row>
    <row r="321" spans="1:23" ht="223.9" customHeight="1" x14ac:dyDescent="0.25">
      <c r="A321" s="1028" t="s">
        <v>881</v>
      </c>
      <c r="B321" s="1028" t="s">
        <v>130</v>
      </c>
      <c r="C321" s="1029" t="s">
        <v>692</v>
      </c>
      <c r="D321" s="1029"/>
      <c r="E321" s="1029"/>
      <c r="F321" s="1029"/>
      <c r="G321" s="1029"/>
      <c r="H321" s="1029"/>
      <c r="I321" s="1029"/>
      <c r="J321" s="1029"/>
      <c r="K321" s="1029"/>
      <c r="L321" s="1029"/>
      <c r="M321" s="1029"/>
      <c r="N321" s="740" t="s">
        <v>480</v>
      </c>
      <c r="O321" s="466" t="s">
        <v>33</v>
      </c>
      <c r="P321" s="309" t="s">
        <v>655</v>
      </c>
      <c r="Q321" s="111"/>
      <c r="R321" s="111"/>
      <c r="S321" s="111"/>
      <c r="T321" s="111"/>
      <c r="U321" s="111"/>
      <c r="V321" s="111"/>
      <c r="W321" s="111"/>
    </row>
    <row r="322" spans="1:23" ht="15.4" customHeight="1" x14ac:dyDescent="0.25">
      <c r="A322" s="1028"/>
      <c r="B322" s="1028"/>
      <c r="C322" s="482" t="s">
        <v>379</v>
      </c>
      <c r="D322" s="482">
        <v>20</v>
      </c>
      <c r="E322" s="482">
        <v>50</v>
      </c>
      <c r="F322" s="482">
        <v>100</v>
      </c>
      <c r="G322" s="482">
        <v>200</v>
      </c>
      <c r="H322" s="482">
        <v>500</v>
      </c>
      <c r="I322" s="342">
        <v>1000</v>
      </c>
      <c r="J322" s="342">
        <v>2000</v>
      </c>
      <c r="K322" s="342">
        <v>5000</v>
      </c>
      <c r="L322" s="342">
        <v>8000</v>
      </c>
      <c r="M322" s="342">
        <v>10000</v>
      </c>
      <c r="N322" s="740">
        <f>$C$1</f>
        <v>873441780</v>
      </c>
      <c r="O322" s="466">
        <f>IF(N322&lt;D322,10,IF(N322&gt;M322,M322,HLOOKUP(N322,D322:M322,1)))</f>
        <v>10000</v>
      </c>
      <c r="P322" s="309">
        <f>IF(N322&lt;10,10,IF(N322&lt;20,20,IF(N322&gt;M322,M322,INDEX(D322:M322,MATCH(N322,D322:M322,1)+1))))</f>
        <v>10000</v>
      </c>
      <c r="Q322" s="111"/>
      <c r="R322" s="111"/>
      <c r="S322" s="111"/>
      <c r="T322" s="111"/>
      <c r="U322" s="111"/>
      <c r="V322" s="111"/>
      <c r="W322" s="111"/>
    </row>
    <row r="323" spans="1:23" ht="15.4" customHeight="1" x14ac:dyDescent="0.25">
      <c r="A323" s="185">
        <v>1</v>
      </c>
      <c r="B323" s="297" t="str">
        <f t="shared" ref="B323:B327" si="83">B48</f>
        <v>Công trình dân dụng</v>
      </c>
      <c r="C323" s="303">
        <v>0.25800000000000001</v>
      </c>
      <c r="D323" s="303">
        <v>0.223</v>
      </c>
      <c r="E323" s="303">
        <v>0.17199999999999999</v>
      </c>
      <c r="F323" s="303">
        <v>0.14299999999999999</v>
      </c>
      <c r="G323" s="303">
        <v>0.108</v>
      </c>
      <c r="H323" s="303">
        <v>8.3000000000000004E-2</v>
      </c>
      <c r="I323" s="303">
        <v>6.8000000000000005E-2</v>
      </c>
      <c r="J323" s="303">
        <v>4.3999999999999997E-2</v>
      </c>
      <c r="K323" s="303">
        <v>3.3000000000000002E-2</v>
      </c>
      <c r="L323" s="303">
        <v>2.8000000000000001E-2</v>
      </c>
      <c r="M323" s="510">
        <v>2.5999999999999999E-2</v>
      </c>
      <c r="N323" s="567">
        <f t="shared" ref="N323:N327" si="84">IF(P$322=O$322,O323,ROUND(O323-((O323-P323)/(P$322-O$322))*(N$322-O$322),3))</f>
        <v>2.5999999999999999E-2</v>
      </c>
      <c r="O323" s="289">
        <f>IF(O$322=10,C323,HLOOKUP($O$322,$D$322:$M$327,2,TRUE))</f>
        <v>2.5999999999999999E-2</v>
      </c>
      <c r="P323" s="105">
        <f>IF(P$322=10,C323,HLOOKUP($P$322,$D$322:$M$327,2,TRUE))</f>
        <v>2.5999999999999999E-2</v>
      </c>
      <c r="Q323" s="111"/>
      <c r="R323" s="111"/>
      <c r="S323" s="111"/>
      <c r="T323" s="111"/>
      <c r="U323" s="111"/>
      <c r="V323" s="111"/>
      <c r="W323" s="111"/>
    </row>
    <row r="324" spans="1:23" ht="15.4" customHeight="1" x14ac:dyDescent="0.25">
      <c r="A324" s="185">
        <v>2</v>
      </c>
      <c r="B324" s="297" t="str">
        <f t="shared" si="83"/>
        <v>Công trình công nghiệp</v>
      </c>
      <c r="C324" s="303">
        <v>0.28999999999999998</v>
      </c>
      <c r="D324" s="303">
        <v>0.252</v>
      </c>
      <c r="E324" s="303">
        <v>0.192</v>
      </c>
      <c r="F324" s="303">
        <v>0.14599999999999999</v>
      </c>
      <c r="G324" s="303">
        <v>0.113</v>
      </c>
      <c r="H324" s="303">
        <v>8.6999999999999994E-2</v>
      </c>
      <c r="I324" s="303">
        <v>6.6000000000000003E-2</v>
      </c>
      <c r="J324" s="303">
        <v>5.2999999999999999E-2</v>
      </c>
      <c r="K324" s="303">
        <v>3.7999999999999999E-2</v>
      </c>
      <c r="L324" s="303">
        <v>3.1E-2</v>
      </c>
      <c r="M324" s="510">
        <v>2.8000000000000001E-2</v>
      </c>
      <c r="N324" s="567">
        <f t="shared" si="84"/>
        <v>2.8000000000000001E-2</v>
      </c>
      <c r="O324" s="289">
        <f>IF(O$322=10,C324,HLOOKUP($O$322,$D$322:$M$327,3,TRUE))</f>
        <v>2.8000000000000001E-2</v>
      </c>
      <c r="P324" s="105">
        <f>IF(P$322=10,C324,HLOOKUP($P$322,$D$322:$M$327,3,TRUE))</f>
        <v>2.8000000000000001E-2</v>
      </c>
      <c r="Q324" s="111"/>
      <c r="R324" s="111"/>
      <c r="S324" s="111"/>
      <c r="T324" s="111"/>
      <c r="U324" s="111"/>
      <c r="V324" s="111"/>
      <c r="W324" s="111"/>
    </row>
    <row r="325" spans="1:23" ht="15.4" customHeight="1" x14ac:dyDescent="0.25">
      <c r="A325" s="185">
        <v>3</v>
      </c>
      <c r="B325" s="297" t="str">
        <f t="shared" si="83"/>
        <v>Công trình giao thông</v>
      </c>
      <c r="C325" s="303">
        <v>0.17</v>
      </c>
      <c r="D325" s="303">
        <v>0.14699999999999999</v>
      </c>
      <c r="E325" s="303">
        <v>0.113</v>
      </c>
      <c r="F325" s="303">
        <v>8.4000000000000005E-2</v>
      </c>
      <c r="G325" s="303">
        <v>7.2999999999999995E-2</v>
      </c>
      <c r="H325" s="303">
        <v>5.5E-2</v>
      </c>
      <c r="I325" s="303">
        <v>4.2000000000000003E-2</v>
      </c>
      <c r="J325" s="303">
        <v>3.5000000000000003E-2</v>
      </c>
      <c r="K325" s="303">
        <v>2.4E-2</v>
      </c>
      <c r="L325" s="303">
        <v>0.02</v>
      </c>
      <c r="M325" s="510">
        <v>1.7000000000000001E-2</v>
      </c>
      <c r="N325" s="567">
        <f t="shared" si="84"/>
        <v>1.7000000000000001E-2</v>
      </c>
      <c r="O325" s="289">
        <f>IF(O$322=10,C325,HLOOKUP($O$322,$D$322:$M$327,4,TRUE))</f>
        <v>1.7000000000000001E-2</v>
      </c>
      <c r="P325" s="105">
        <f>IF(P$322=10,C325,HLOOKUP($P$322,$D$322:$M$327,4,TRUE))</f>
        <v>1.7000000000000001E-2</v>
      </c>
      <c r="Q325" s="111"/>
      <c r="R325" s="111"/>
      <c r="S325" s="111"/>
      <c r="T325" s="111"/>
      <c r="U325" s="111"/>
      <c r="V325" s="111"/>
      <c r="W325" s="111"/>
    </row>
    <row r="326" spans="1:23" ht="15.4" customHeight="1" x14ac:dyDescent="0.25">
      <c r="A326" s="185">
        <v>4</v>
      </c>
      <c r="B326" s="297" t="str">
        <f t="shared" si="83"/>
        <v>Công trình nông nghiệp và phát triển nông thôn</v>
      </c>
      <c r="C326" s="303">
        <v>0.189</v>
      </c>
      <c r="D326" s="303">
        <v>0.16300000000000001</v>
      </c>
      <c r="E326" s="303">
        <v>0.125</v>
      </c>
      <c r="F326" s="303">
        <v>9.2999999999999999E-2</v>
      </c>
      <c r="G326" s="303">
        <v>7.2999999999999995E-2</v>
      </c>
      <c r="H326" s="303">
        <v>5.6000000000000001E-2</v>
      </c>
      <c r="I326" s="303">
        <v>4.2999999999999997E-2</v>
      </c>
      <c r="J326" s="303">
        <v>3.5000000000000003E-2</v>
      </c>
      <c r="K326" s="303">
        <v>2.5999999999999999E-2</v>
      </c>
      <c r="L326" s="303">
        <v>2.1999999999999999E-2</v>
      </c>
      <c r="M326" s="510">
        <v>1.9E-2</v>
      </c>
      <c r="N326" s="567">
        <f t="shared" si="84"/>
        <v>1.9E-2</v>
      </c>
      <c r="O326" s="289">
        <f>IF(O$322=10,C326,HLOOKUP($O$322,$D$322:$M$327,5,TRUE))</f>
        <v>1.9E-2</v>
      </c>
      <c r="P326" s="105">
        <f>IF(P$322=10,C326,HLOOKUP($P$322,$D$322:$M$327,5,TRUE))</f>
        <v>1.9E-2</v>
      </c>
      <c r="Q326" s="111"/>
      <c r="R326" s="111"/>
      <c r="S326" s="111"/>
      <c r="T326" s="111"/>
      <c r="U326" s="111"/>
      <c r="V326" s="111"/>
      <c r="W326" s="111"/>
    </row>
    <row r="327" spans="1:23" ht="15.4" customHeight="1" x14ac:dyDescent="0.25">
      <c r="A327" s="185">
        <v>5</v>
      </c>
      <c r="B327" s="297" t="str">
        <f t="shared" si="83"/>
        <v>Công trình hạ tầng kỹ thuật</v>
      </c>
      <c r="C327" s="303">
        <v>0.19700000000000001</v>
      </c>
      <c r="D327" s="303">
        <v>0.17199999999999999</v>
      </c>
      <c r="E327" s="303">
        <v>0.13300000000000001</v>
      </c>
      <c r="F327" s="303">
        <v>9.9000000000000005E-2</v>
      </c>
      <c r="G327" s="303">
        <v>7.5999999999999998E-2</v>
      </c>
      <c r="H327" s="303">
        <v>5.8999999999999997E-2</v>
      </c>
      <c r="I327" s="303">
        <v>4.5999999999999999E-2</v>
      </c>
      <c r="J327" s="303">
        <v>0.04</v>
      </c>
      <c r="K327" s="303">
        <v>2.9000000000000001E-2</v>
      </c>
      <c r="L327" s="303">
        <v>2.4E-2</v>
      </c>
      <c r="M327" s="510">
        <v>2.1000000000000001E-2</v>
      </c>
      <c r="N327" s="567">
        <f t="shared" si="84"/>
        <v>2.1000000000000001E-2</v>
      </c>
      <c r="O327" s="289">
        <f>IF(O$322=10,C327,HLOOKUP($O$322,$D$322:$M$327,6,TRUE))</f>
        <v>2.1000000000000001E-2</v>
      </c>
      <c r="P327" s="105">
        <f>IF(P$322=10,C327,HLOOKUP($P$322,$D$322:$M$327,6,TRUE))</f>
        <v>2.1000000000000001E-2</v>
      </c>
      <c r="Q327" s="111"/>
      <c r="R327" s="111"/>
      <c r="S327" s="111"/>
      <c r="T327" s="111"/>
      <c r="U327" s="111"/>
      <c r="V327" s="111"/>
      <c r="W327" s="111"/>
    </row>
    <row r="328" spans="1:23" ht="15" hidden="1" customHeight="1" x14ac:dyDescent="0.25">
      <c r="A328" s="65" t="s">
        <v>456</v>
      </c>
      <c r="B328" s="65"/>
      <c r="C328" s="65"/>
      <c r="D328" s="65"/>
      <c r="E328" s="65"/>
      <c r="F328" s="65"/>
      <c r="G328" s="65"/>
      <c r="H328" s="65"/>
      <c r="I328" s="65"/>
      <c r="J328" s="65"/>
      <c r="K328" s="65"/>
      <c r="L328" s="65"/>
      <c r="M328" s="65"/>
      <c r="N328" s="65"/>
      <c r="O328" s="65"/>
      <c r="P328" s="65"/>
      <c r="Q328" s="65"/>
      <c r="R328" s="65"/>
      <c r="S328" s="65"/>
      <c r="T328" s="65"/>
      <c r="U328" s="65"/>
      <c r="V328" s="65"/>
      <c r="W328" s="65"/>
    </row>
    <row r="329" spans="1:23" ht="15.4" customHeight="1" x14ac:dyDescent="0.25">
      <c r="A329" s="65"/>
      <c r="B329" s="65"/>
      <c r="C329" s="65"/>
      <c r="D329" s="65"/>
      <c r="E329" s="65"/>
      <c r="F329" s="65"/>
      <c r="G329" s="65"/>
      <c r="H329" s="65"/>
      <c r="I329" s="65"/>
      <c r="J329" s="65"/>
      <c r="K329" s="65"/>
      <c r="L329" s="65"/>
      <c r="M329" s="65"/>
      <c r="N329" s="65"/>
      <c r="O329" s="65"/>
      <c r="P329" s="65"/>
      <c r="Q329" s="65"/>
      <c r="R329" s="65"/>
      <c r="S329" s="65"/>
      <c r="T329" s="65"/>
      <c r="U329" s="65"/>
      <c r="V329" s="65"/>
      <c r="W329" s="65"/>
    </row>
    <row r="330" spans="1:23" ht="15.4" customHeight="1" x14ac:dyDescent="0.25">
      <c r="A330" s="1026" t="s">
        <v>311</v>
      </c>
      <c r="B330" s="1026"/>
      <c r="C330" s="1026"/>
      <c r="D330" s="1026"/>
      <c r="E330" s="1026"/>
      <c r="F330" s="1026"/>
      <c r="G330" s="1026"/>
      <c r="H330" s="1026"/>
      <c r="I330" s="1026"/>
      <c r="J330" s="1026"/>
      <c r="K330" s="1026"/>
      <c r="L330" s="1026"/>
      <c r="M330" s="1026"/>
      <c r="N330" s="65"/>
      <c r="O330" s="65"/>
      <c r="P330" s="65"/>
      <c r="Q330" s="65"/>
      <c r="R330" s="65"/>
      <c r="S330" s="65"/>
      <c r="T330" s="65"/>
      <c r="U330" s="65"/>
      <c r="V330" s="65"/>
      <c r="W330" s="65"/>
    </row>
    <row r="331" spans="1:23" ht="15.4" customHeight="1" x14ac:dyDescent="0.25">
      <c r="A331" s="65"/>
      <c r="B331" s="65"/>
      <c r="C331" s="65"/>
      <c r="D331" s="65"/>
      <c r="E331" s="65"/>
      <c r="F331" s="65"/>
      <c r="G331" s="65"/>
      <c r="H331" s="65"/>
      <c r="I331" s="1027" t="s">
        <v>957</v>
      </c>
      <c r="J331" s="1027"/>
      <c r="K331" s="1027"/>
      <c r="L331" s="1027"/>
      <c r="M331" s="1027"/>
      <c r="N331" s="680"/>
      <c r="O331" s="65"/>
      <c r="P331" s="65"/>
      <c r="Q331" s="65"/>
      <c r="R331" s="65"/>
      <c r="S331" s="65"/>
      <c r="T331" s="65"/>
      <c r="U331" s="65"/>
      <c r="V331" s="65"/>
      <c r="W331" s="65"/>
    </row>
    <row r="332" spans="1:23" ht="15" hidden="1" customHeight="1" x14ac:dyDescent="0.25">
      <c r="A332" s="65" t="s">
        <v>51</v>
      </c>
      <c r="B332" s="65"/>
      <c r="C332" s="65"/>
      <c r="D332" s="65"/>
      <c r="E332" s="65"/>
      <c r="F332" s="65"/>
      <c r="G332" s="65"/>
      <c r="H332" s="65"/>
      <c r="I332" s="65"/>
      <c r="J332" s="65"/>
      <c r="K332" s="65"/>
      <c r="L332" s="65"/>
      <c r="M332" s="65" t="s">
        <v>380</v>
      </c>
      <c r="N332" s="65"/>
      <c r="O332" s="65"/>
      <c r="P332" s="65"/>
      <c r="Q332" s="65"/>
      <c r="R332" s="65"/>
      <c r="S332" s="65"/>
      <c r="T332" s="65"/>
      <c r="U332" s="65"/>
      <c r="V332" s="65"/>
      <c r="W332" s="65"/>
    </row>
    <row r="333" spans="1:23" ht="15" customHeight="1" x14ac:dyDescent="0.25">
      <c r="A333" s="1028" t="s">
        <v>881</v>
      </c>
      <c r="B333" s="1028" t="s">
        <v>130</v>
      </c>
      <c r="C333" s="1029" t="s">
        <v>692</v>
      </c>
      <c r="D333" s="1029"/>
      <c r="E333" s="1029"/>
      <c r="F333" s="1029"/>
      <c r="G333" s="1029"/>
      <c r="H333" s="1029"/>
      <c r="I333" s="1029"/>
      <c r="J333" s="1029"/>
      <c r="K333" s="1029"/>
      <c r="L333" s="1029"/>
      <c r="M333" s="1029"/>
      <c r="N333" s="740" t="s">
        <v>480</v>
      </c>
      <c r="O333" s="466" t="s">
        <v>33</v>
      </c>
      <c r="P333" s="309" t="s">
        <v>655</v>
      </c>
      <c r="Q333" s="111"/>
      <c r="R333" s="111"/>
      <c r="S333" s="111"/>
      <c r="T333" s="111"/>
      <c r="U333" s="111"/>
      <c r="V333" s="111"/>
      <c r="W333" s="111"/>
    </row>
    <row r="334" spans="1:23" ht="15.4" customHeight="1" x14ac:dyDescent="0.25">
      <c r="A334" s="1028"/>
      <c r="B334" s="1028"/>
      <c r="C334" s="482" t="s">
        <v>379</v>
      </c>
      <c r="D334" s="482">
        <v>20</v>
      </c>
      <c r="E334" s="482">
        <v>50</v>
      </c>
      <c r="F334" s="482">
        <v>100</v>
      </c>
      <c r="G334" s="482">
        <v>200</v>
      </c>
      <c r="H334" s="482">
        <v>500</v>
      </c>
      <c r="I334" s="342">
        <v>1000</v>
      </c>
      <c r="J334" s="342">
        <v>2000</v>
      </c>
      <c r="K334" s="342">
        <v>5000</v>
      </c>
      <c r="L334" s="342">
        <v>8000</v>
      </c>
      <c r="M334" s="342">
        <v>10000</v>
      </c>
      <c r="N334" s="740">
        <f>$C$1</f>
        <v>873441780</v>
      </c>
      <c r="O334" s="466">
        <f>IF(N334&lt;D334,10,IF(N334&gt;M334,M334,HLOOKUP(N334,D334:M334,1)))</f>
        <v>10000</v>
      </c>
      <c r="P334" s="309">
        <f>IF(N334&lt;10,10,IF(N334&lt;20,20,IF(N334&gt;M334,M334,INDEX(D334:M334,MATCH(N334,D334:M334,1)+1))))</f>
        <v>10000</v>
      </c>
      <c r="Q334" s="111"/>
      <c r="R334" s="111"/>
      <c r="S334" s="111"/>
      <c r="T334" s="111"/>
      <c r="U334" s="111"/>
      <c r="V334" s="111"/>
      <c r="W334" s="111"/>
    </row>
    <row r="335" spans="1:23" ht="15.4" customHeight="1" x14ac:dyDescent="0.25">
      <c r="A335" s="185">
        <v>1</v>
      </c>
      <c r="B335" s="297" t="str">
        <f t="shared" ref="B335:B339" si="85">B48</f>
        <v>Công trình dân dụng</v>
      </c>
      <c r="C335" s="303">
        <v>0.25</v>
      </c>
      <c r="D335" s="303">
        <v>0.219</v>
      </c>
      <c r="E335" s="303">
        <v>0.16600000000000001</v>
      </c>
      <c r="F335" s="303">
        <v>0.14000000000000001</v>
      </c>
      <c r="G335" s="303">
        <v>0.105</v>
      </c>
      <c r="H335" s="303">
        <v>7.6999999999999999E-2</v>
      </c>
      <c r="I335" s="303">
        <v>6.4000000000000001E-2</v>
      </c>
      <c r="J335" s="303">
        <v>4.2999999999999997E-2</v>
      </c>
      <c r="K335" s="303">
        <v>3.2000000000000001E-2</v>
      </c>
      <c r="L335" s="303">
        <v>2.7E-2</v>
      </c>
      <c r="M335" s="510">
        <v>2.5000000000000001E-2</v>
      </c>
      <c r="N335" s="567">
        <f t="shared" ref="N335:N339" si="86">IF(P$334=O$334,O335,ROUND(O335-((O335-P335)/(P$334-O$334))*(N$334-O$334),3))</f>
        <v>2.5000000000000001E-2</v>
      </c>
      <c r="O335" s="289">
        <f>IF(O$334=10,C335,HLOOKUP($O$334,$D$334:$M$339,2,TRUE))</f>
        <v>2.5000000000000001E-2</v>
      </c>
      <c r="P335" s="105">
        <f>IF(P$334=10,C335,HLOOKUP($P$334,$D$334:$M$339,2,TRUE))</f>
        <v>2.5000000000000001E-2</v>
      </c>
      <c r="Q335" s="111"/>
      <c r="R335" s="111"/>
      <c r="S335" s="111"/>
      <c r="T335" s="111"/>
      <c r="U335" s="111"/>
      <c r="V335" s="111"/>
      <c r="W335" s="111"/>
    </row>
    <row r="336" spans="1:23" ht="15.4" customHeight="1" x14ac:dyDescent="0.25">
      <c r="A336" s="185">
        <v>2</v>
      </c>
      <c r="B336" s="297" t="str">
        <f t="shared" si="85"/>
        <v>Công trình công nghiệp</v>
      </c>
      <c r="C336" s="303">
        <v>0.28199999999999997</v>
      </c>
      <c r="D336" s="303">
        <v>0.24399999999999999</v>
      </c>
      <c r="E336" s="303">
        <v>0.185</v>
      </c>
      <c r="F336" s="303">
        <v>0.14099999999999999</v>
      </c>
      <c r="G336" s="303">
        <v>0.108</v>
      </c>
      <c r="H336" s="303">
        <v>8.3000000000000004E-2</v>
      </c>
      <c r="I336" s="303">
        <v>6.2E-2</v>
      </c>
      <c r="J336" s="303">
        <v>0.05</v>
      </c>
      <c r="K336" s="303">
        <v>3.4000000000000002E-2</v>
      </c>
      <c r="L336" s="303">
        <v>0.03</v>
      </c>
      <c r="M336" s="510">
        <v>2.7E-2</v>
      </c>
      <c r="N336" s="567">
        <f t="shared" si="86"/>
        <v>2.7E-2</v>
      </c>
      <c r="O336" s="289">
        <f>IF(O$334=10,C336,HLOOKUP($O$334,$D$334:$M$339,3,TRUE))</f>
        <v>2.7E-2</v>
      </c>
      <c r="P336" s="105">
        <f>IF(P$334=10,C336,HLOOKUP($P$334,$D$334:$M$339,3,TRUE))</f>
        <v>2.7E-2</v>
      </c>
      <c r="Q336" s="111"/>
      <c r="R336" s="111"/>
      <c r="S336" s="111"/>
      <c r="T336" s="111"/>
      <c r="U336" s="111"/>
      <c r="V336" s="111"/>
      <c r="W336" s="111"/>
    </row>
    <row r="337" spans="1:23" ht="15.4" customHeight="1" x14ac:dyDescent="0.25">
      <c r="A337" s="185">
        <v>3</v>
      </c>
      <c r="B337" s="297" t="str">
        <f t="shared" si="85"/>
        <v>Công trình giao thông</v>
      </c>
      <c r="C337" s="303">
        <v>0.16600000000000001</v>
      </c>
      <c r="D337" s="303">
        <v>0.14199999999999999</v>
      </c>
      <c r="E337" s="303">
        <v>0.106</v>
      </c>
      <c r="F337" s="303">
        <v>8.2000000000000003E-2</v>
      </c>
      <c r="G337" s="303">
        <v>6.9000000000000006E-2</v>
      </c>
      <c r="H337" s="303">
        <v>5.1999999999999998E-2</v>
      </c>
      <c r="I337" s="303">
        <v>4.1000000000000002E-2</v>
      </c>
      <c r="J337" s="303">
        <v>3.4000000000000002E-2</v>
      </c>
      <c r="K337" s="303">
        <v>2.1000000000000001E-2</v>
      </c>
      <c r="L337" s="303">
        <v>1.7999999999999999E-2</v>
      </c>
      <c r="M337" s="510">
        <v>1.6E-2</v>
      </c>
      <c r="N337" s="567">
        <f t="shared" si="86"/>
        <v>1.6E-2</v>
      </c>
      <c r="O337" s="289">
        <f>IF(O$334=10,C337,HLOOKUP($O$334,$D$334:$M$339,4,TRUE))</f>
        <v>1.6E-2</v>
      </c>
      <c r="P337" s="105">
        <f>IF(P$334=10,C337,HLOOKUP($P$334,$D$334:$M$339,4,TRUE))</f>
        <v>1.6E-2</v>
      </c>
      <c r="Q337" s="111"/>
      <c r="R337" s="111"/>
      <c r="S337" s="111"/>
      <c r="T337" s="111"/>
      <c r="U337" s="111"/>
      <c r="V337" s="111"/>
      <c r="W337" s="111"/>
    </row>
    <row r="338" spans="1:23" ht="15.4" customHeight="1" x14ac:dyDescent="0.25">
      <c r="A338" s="185">
        <v>4</v>
      </c>
      <c r="B338" s="297" t="str">
        <f t="shared" si="85"/>
        <v>Công trình nông nghiệp và phát triển nông thôn</v>
      </c>
      <c r="C338" s="303">
        <v>0.183</v>
      </c>
      <c r="D338" s="303">
        <v>0.158</v>
      </c>
      <c r="E338" s="303">
        <v>0.11899999999999999</v>
      </c>
      <c r="F338" s="303">
        <v>9.1999999999999998E-2</v>
      </c>
      <c r="G338" s="303">
        <v>7.0000000000000007E-2</v>
      </c>
      <c r="H338" s="303">
        <v>5.2999999999999999E-2</v>
      </c>
      <c r="I338" s="303">
        <v>0.04</v>
      </c>
      <c r="J338" s="303">
        <v>3.4000000000000002E-2</v>
      </c>
      <c r="K338" s="303">
        <v>2.4E-2</v>
      </c>
      <c r="L338" s="303">
        <v>2.1000000000000001E-2</v>
      </c>
      <c r="M338" s="510">
        <v>1.7999999999999999E-2</v>
      </c>
      <c r="N338" s="567">
        <f t="shared" si="86"/>
        <v>1.7999999999999999E-2</v>
      </c>
      <c r="O338" s="289">
        <f>IF(O$334=10,C338,HLOOKUP($O$334,$D$334:$M$339,5,TRUE))</f>
        <v>1.7999999999999999E-2</v>
      </c>
      <c r="P338" s="105">
        <f>IF(P$334=10,C338,HLOOKUP($P$334,$D$334:$M$339,5,TRUE))</f>
        <v>1.7999999999999999E-2</v>
      </c>
      <c r="Q338" s="111"/>
      <c r="R338" s="111"/>
      <c r="S338" s="111"/>
      <c r="T338" s="111"/>
      <c r="U338" s="111"/>
      <c r="V338" s="111"/>
      <c r="W338" s="111"/>
    </row>
    <row r="339" spans="1:23" ht="15.4" customHeight="1" x14ac:dyDescent="0.25">
      <c r="A339" s="185">
        <v>5</v>
      </c>
      <c r="B339" s="297" t="str">
        <f t="shared" si="85"/>
        <v>Công trình hạ tầng kỹ thuật</v>
      </c>
      <c r="C339" s="303">
        <v>0.191</v>
      </c>
      <c r="D339" s="303">
        <v>0.16600000000000001</v>
      </c>
      <c r="E339" s="303">
        <v>0.128</v>
      </c>
      <c r="F339" s="303">
        <v>9.5000000000000001E-2</v>
      </c>
      <c r="G339" s="303">
        <v>7.1999999999999995E-2</v>
      </c>
      <c r="H339" s="303">
        <v>5.6000000000000001E-2</v>
      </c>
      <c r="I339" s="303">
        <v>4.3999999999999997E-2</v>
      </c>
      <c r="J339" s="303">
        <v>3.6999999999999998E-2</v>
      </c>
      <c r="K339" s="303">
        <v>2.5999999999999999E-2</v>
      </c>
      <c r="L339" s="303">
        <v>2.1999999999999999E-2</v>
      </c>
      <c r="M339" s="510">
        <v>0.02</v>
      </c>
      <c r="N339" s="567">
        <f t="shared" si="86"/>
        <v>0.02</v>
      </c>
      <c r="O339" s="289">
        <f>IF(O$334=10,C339,HLOOKUP($O$334,$D$334:$M$339,6,TRUE))</f>
        <v>0.02</v>
      </c>
      <c r="P339" s="105">
        <f>IF(P$334=10,C339,HLOOKUP($P$334,$D$334:$M$339,6,TRUE))</f>
        <v>0.02</v>
      </c>
      <c r="Q339" s="111"/>
      <c r="R339" s="111"/>
      <c r="S339" s="111"/>
      <c r="T339" s="111"/>
      <c r="U339" s="111"/>
      <c r="V339" s="111"/>
      <c r="W339" s="111"/>
    </row>
    <row r="340" spans="1:23" ht="15" hidden="1" customHeight="1" x14ac:dyDescent="0.25">
      <c r="A340" s="65" t="s">
        <v>913</v>
      </c>
      <c r="B340" s="65"/>
      <c r="C340" s="65"/>
      <c r="D340" s="65"/>
      <c r="E340" s="65"/>
      <c r="F340" s="65"/>
      <c r="G340" s="65"/>
      <c r="H340" s="65"/>
      <c r="I340" s="65"/>
      <c r="J340" s="65"/>
      <c r="K340" s="65"/>
      <c r="L340" s="65"/>
      <c r="M340" s="65"/>
      <c r="N340" s="65"/>
      <c r="O340" s="65"/>
      <c r="P340" s="65"/>
      <c r="Q340" s="65"/>
      <c r="R340" s="65"/>
      <c r="S340" s="65"/>
      <c r="T340" s="65"/>
      <c r="U340" s="65"/>
      <c r="V340" s="65"/>
      <c r="W340" s="65"/>
    </row>
    <row r="341" spans="1:23" ht="15.4" customHeight="1" x14ac:dyDescent="0.25">
      <c r="A341" s="65"/>
      <c r="B341" s="65"/>
      <c r="C341" s="65"/>
      <c r="D341" s="65"/>
      <c r="E341" s="65"/>
      <c r="F341" s="65"/>
      <c r="G341" s="65"/>
      <c r="H341" s="65"/>
      <c r="I341" s="65"/>
      <c r="J341" s="65"/>
      <c r="K341" s="65"/>
      <c r="L341" s="65"/>
      <c r="M341" s="65"/>
      <c r="N341" s="65"/>
      <c r="O341" s="65"/>
      <c r="P341" s="65"/>
      <c r="Q341" s="65"/>
      <c r="R341" s="65"/>
      <c r="S341" s="65"/>
      <c r="T341" s="65"/>
      <c r="U341" s="65"/>
      <c r="V341" s="65"/>
      <c r="W341" s="65"/>
    </row>
    <row r="342" spans="1:23" ht="15.4" customHeight="1" x14ac:dyDescent="0.25">
      <c r="A342" s="1030" t="s">
        <v>501</v>
      </c>
      <c r="B342" s="1030"/>
      <c r="C342" s="1030"/>
      <c r="D342" s="1030"/>
      <c r="E342" s="1030"/>
      <c r="F342" s="1030"/>
      <c r="G342" s="1030"/>
      <c r="H342" s="1030"/>
      <c r="I342" s="1030"/>
      <c r="J342" s="1030"/>
      <c r="K342" s="1030"/>
      <c r="L342" s="1030"/>
      <c r="M342" s="1030"/>
      <c r="N342" s="65"/>
      <c r="O342" s="65"/>
      <c r="P342" s="65"/>
      <c r="Q342" s="65"/>
      <c r="R342" s="65"/>
      <c r="S342" s="65"/>
      <c r="T342" s="65"/>
      <c r="U342" s="65"/>
      <c r="V342" s="65"/>
      <c r="W342" s="65"/>
    </row>
    <row r="343" spans="1:23" ht="15.4" customHeight="1" x14ac:dyDescent="0.25">
      <c r="A343" s="65"/>
      <c r="B343" s="65"/>
      <c r="C343" s="65"/>
      <c r="D343" s="65"/>
      <c r="E343" s="65"/>
      <c r="F343" s="65"/>
      <c r="G343" s="65"/>
      <c r="H343" s="1027" t="s">
        <v>957</v>
      </c>
      <c r="I343" s="1027"/>
      <c r="J343" s="680"/>
      <c r="K343" s="680"/>
      <c r="L343" s="680"/>
      <c r="M343" s="680"/>
      <c r="N343" s="680"/>
      <c r="O343" s="65"/>
      <c r="P343" s="65"/>
      <c r="Q343" s="65"/>
      <c r="R343" s="65"/>
      <c r="S343" s="65"/>
      <c r="T343" s="65"/>
      <c r="U343" s="65"/>
      <c r="V343" s="65"/>
      <c r="W343" s="65"/>
    </row>
    <row r="344" spans="1:23" ht="15" hidden="1" customHeight="1" x14ac:dyDescent="0.25">
      <c r="A344" s="65" t="s">
        <v>1116</v>
      </c>
      <c r="B344" s="65"/>
      <c r="C344" s="65"/>
      <c r="D344" s="65"/>
      <c r="E344" s="65"/>
      <c r="F344" s="65"/>
      <c r="G344" s="65"/>
      <c r="H344" s="65"/>
      <c r="I344" s="65" t="s">
        <v>380</v>
      </c>
      <c r="J344" s="65"/>
      <c r="K344" s="65"/>
      <c r="L344" s="65"/>
      <c r="M344" s="65"/>
      <c r="N344" s="65"/>
      <c r="O344" s="65"/>
      <c r="P344" s="65"/>
      <c r="Q344" s="65"/>
      <c r="R344" s="65"/>
      <c r="S344" s="65"/>
      <c r="T344" s="65"/>
      <c r="U344" s="65"/>
      <c r="V344" s="65"/>
      <c r="W344" s="65"/>
    </row>
    <row r="345" spans="1:23" ht="15" customHeight="1" x14ac:dyDescent="0.25">
      <c r="A345" s="1028" t="s">
        <v>881</v>
      </c>
      <c r="B345" s="1028" t="s">
        <v>130</v>
      </c>
      <c r="C345" s="1024" t="s">
        <v>359</v>
      </c>
      <c r="D345" s="1025"/>
      <c r="E345" s="1025"/>
      <c r="F345" s="1025"/>
      <c r="G345" s="1025"/>
      <c r="H345" s="1025"/>
      <c r="I345" s="1025"/>
      <c r="J345" s="740" t="s">
        <v>480</v>
      </c>
      <c r="K345" s="466" t="s">
        <v>33</v>
      </c>
      <c r="L345" s="309" t="s">
        <v>655</v>
      </c>
      <c r="M345" s="269"/>
      <c r="N345" s="111"/>
      <c r="O345" s="111"/>
      <c r="P345" s="111"/>
      <c r="Q345" s="111"/>
      <c r="R345" s="111"/>
      <c r="S345" s="111"/>
      <c r="T345" s="111"/>
      <c r="U345" s="111"/>
      <c r="V345" s="111"/>
      <c r="W345" s="111"/>
    </row>
    <row r="346" spans="1:23" ht="15.4" customHeight="1" x14ac:dyDescent="0.25">
      <c r="A346" s="1028"/>
      <c r="B346" s="1028"/>
      <c r="C346" s="482" t="s">
        <v>18</v>
      </c>
      <c r="D346" s="482">
        <v>3</v>
      </c>
      <c r="E346" s="482">
        <v>5</v>
      </c>
      <c r="F346" s="482">
        <v>10</v>
      </c>
      <c r="G346" s="482">
        <v>20</v>
      </c>
      <c r="H346" s="482">
        <v>50</v>
      </c>
      <c r="I346" s="342">
        <v>100</v>
      </c>
      <c r="J346" s="740">
        <f>$C$5</f>
        <v>101265205</v>
      </c>
      <c r="K346" s="466">
        <f>IF(J346&lt;D346,1,IF(J346&gt;I346,I346,HLOOKUP(J346,D346:I346,1)))</f>
        <v>100</v>
      </c>
      <c r="L346" s="309">
        <f>IF(J346&lt;1,1,IF(J346&lt;3,3,IF(J346&gt;I346,I346,INDEX(D346:I346,MATCH(J346,D346:I346,1)+1))))</f>
        <v>100</v>
      </c>
      <c r="M346" s="22"/>
      <c r="N346" s="111"/>
      <c r="O346" s="111"/>
      <c r="P346" s="111"/>
      <c r="Q346" s="111"/>
      <c r="R346" s="111"/>
      <c r="S346" s="111"/>
      <c r="T346" s="111"/>
      <c r="U346" s="111"/>
      <c r="V346" s="111"/>
      <c r="W346" s="111"/>
    </row>
    <row r="347" spans="1:23" ht="15.4" customHeight="1" x14ac:dyDescent="0.25">
      <c r="A347" s="185">
        <v>1</v>
      </c>
      <c r="B347" s="297" t="s">
        <v>160</v>
      </c>
      <c r="C347" s="303">
        <v>0.81599999999999995</v>
      </c>
      <c r="D347" s="303">
        <v>0.58299999999999996</v>
      </c>
      <c r="E347" s="303">
        <v>0.505</v>
      </c>
      <c r="F347" s="303">
        <v>0.38900000000000001</v>
      </c>
      <c r="G347" s="303">
        <v>0.311</v>
      </c>
      <c r="H347" s="303">
        <v>0.17599999999999999</v>
      </c>
      <c r="I347" s="303">
        <v>0.114</v>
      </c>
      <c r="J347" s="567">
        <f>IF(L$346=K$346,K347,ROUND(K347-((K347-L347)/(L$346-K$346))*(J$346-K$346),3))</f>
        <v>0.114</v>
      </c>
      <c r="K347" s="289">
        <f>IF(K$346=1,C347,HLOOKUP($K$346,$D$346:$I$347,2,TRUE))</f>
        <v>0.114</v>
      </c>
      <c r="L347" s="105">
        <f>IF(L$346=1,C347,HLOOKUP($L$346,$D$346:$I$347,2,TRUE))</f>
        <v>0.114</v>
      </c>
      <c r="M347" s="168"/>
      <c r="N347" s="111"/>
      <c r="O347" s="111"/>
      <c r="P347" s="111"/>
      <c r="Q347" s="111"/>
      <c r="R347" s="111"/>
      <c r="S347" s="111"/>
      <c r="T347" s="111"/>
      <c r="U347" s="111"/>
      <c r="V347" s="111"/>
      <c r="W347" s="111"/>
    </row>
    <row r="348" spans="1:23" ht="15" hidden="1" customHeight="1" x14ac:dyDescent="0.25">
      <c r="A348" s="65" t="s">
        <v>707</v>
      </c>
      <c r="B348" s="65"/>
      <c r="C348" s="65"/>
      <c r="D348" s="65"/>
      <c r="E348" s="65"/>
      <c r="F348" s="65"/>
      <c r="G348" s="65"/>
      <c r="H348" s="65"/>
      <c r="I348" s="65"/>
      <c r="J348" s="65"/>
      <c r="K348" s="65"/>
      <c r="L348" s="65"/>
      <c r="M348" s="65"/>
      <c r="N348" s="65"/>
      <c r="O348" s="65"/>
      <c r="P348" s="65"/>
      <c r="Q348" s="65"/>
      <c r="R348" s="65"/>
      <c r="S348" s="65"/>
      <c r="T348" s="65"/>
      <c r="U348" s="65"/>
      <c r="V348" s="65"/>
      <c r="W348" s="65"/>
    </row>
    <row r="349" spans="1:23" ht="15.4" customHeight="1" x14ac:dyDescent="0.25">
      <c r="A349" s="65"/>
      <c r="B349" s="65"/>
      <c r="C349" s="65"/>
      <c r="D349" s="65"/>
      <c r="E349" s="65"/>
      <c r="F349" s="65"/>
      <c r="G349" s="65"/>
      <c r="H349" s="65"/>
      <c r="I349" s="65"/>
      <c r="J349" s="65"/>
      <c r="K349" s="65"/>
      <c r="L349" s="65"/>
      <c r="M349" s="65"/>
      <c r="N349" s="65"/>
      <c r="O349" s="65"/>
      <c r="P349" s="65"/>
      <c r="Q349" s="65"/>
      <c r="R349" s="65"/>
      <c r="S349" s="65"/>
      <c r="T349" s="65"/>
      <c r="U349" s="65"/>
      <c r="V349" s="65"/>
      <c r="W349" s="65"/>
    </row>
    <row r="350" spans="1:23" ht="15.4" customHeight="1" x14ac:dyDescent="0.25">
      <c r="A350" s="1026" t="s">
        <v>453</v>
      </c>
      <c r="B350" s="1026"/>
      <c r="C350" s="1026"/>
      <c r="D350" s="1026"/>
      <c r="E350" s="1026"/>
      <c r="F350" s="1026"/>
      <c r="G350" s="1026"/>
      <c r="H350" s="1026"/>
      <c r="I350" s="1026"/>
      <c r="J350" s="1026"/>
      <c r="K350" s="1026"/>
      <c r="L350" s="1026"/>
      <c r="M350" s="1026"/>
      <c r="N350" s="65"/>
      <c r="O350" s="65"/>
      <c r="P350" s="65"/>
      <c r="Q350" s="65"/>
      <c r="R350" s="65"/>
      <c r="S350" s="65"/>
      <c r="T350" s="65"/>
      <c r="U350" s="65"/>
      <c r="V350" s="65"/>
      <c r="W350" s="65"/>
    </row>
    <row r="351" spans="1:23" ht="15.4" customHeight="1" x14ac:dyDescent="0.25">
      <c r="A351" s="65"/>
      <c r="B351" s="65"/>
      <c r="C351" s="65"/>
      <c r="D351" s="65"/>
      <c r="E351" s="65"/>
      <c r="F351" s="65"/>
      <c r="G351" s="65"/>
      <c r="H351" s="65"/>
      <c r="I351" s="1027" t="s">
        <v>957</v>
      </c>
      <c r="J351" s="1027"/>
      <c r="K351" s="680"/>
      <c r="L351" s="680"/>
      <c r="M351" s="680"/>
      <c r="N351" s="680"/>
      <c r="O351" s="65"/>
      <c r="P351" s="65"/>
      <c r="Q351" s="65"/>
      <c r="R351" s="65"/>
      <c r="S351" s="65"/>
      <c r="T351" s="65"/>
      <c r="U351" s="65"/>
      <c r="V351" s="65"/>
      <c r="W351" s="65"/>
    </row>
    <row r="352" spans="1:23" ht="15" hidden="1" customHeight="1" x14ac:dyDescent="0.25">
      <c r="A352" s="65" t="s">
        <v>691</v>
      </c>
      <c r="B352" s="65"/>
      <c r="C352" s="65"/>
      <c r="D352" s="65"/>
      <c r="E352" s="65"/>
      <c r="F352" s="65"/>
      <c r="G352" s="65"/>
      <c r="H352" s="65"/>
      <c r="I352" s="65"/>
      <c r="J352" s="65" t="s">
        <v>380</v>
      </c>
      <c r="K352" s="65"/>
      <c r="L352" s="65"/>
      <c r="M352" s="65"/>
      <c r="N352" s="65"/>
      <c r="O352" s="65"/>
      <c r="P352" s="65"/>
      <c r="Q352" s="65"/>
      <c r="R352" s="65"/>
      <c r="S352" s="65"/>
      <c r="T352" s="65"/>
      <c r="U352" s="65"/>
      <c r="V352" s="65"/>
      <c r="W352" s="65"/>
    </row>
    <row r="353" spans="1:23" ht="16.5" customHeight="1" x14ac:dyDescent="0.25">
      <c r="A353" s="1032" t="s">
        <v>881</v>
      </c>
      <c r="B353" s="1032" t="s">
        <v>130</v>
      </c>
      <c r="C353" s="1033" t="s">
        <v>26</v>
      </c>
      <c r="D353" s="1034"/>
      <c r="E353" s="1034"/>
      <c r="F353" s="1034"/>
      <c r="G353" s="1034"/>
      <c r="H353" s="1034"/>
      <c r="I353" s="1034"/>
      <c r="J353" s="1034"/>
      <c r="K353" s="42" t="s">
        <v>480</v>
      </c>
      <c r="L353" s="534" t="s">
        <v>33</v>
      </c>
      <c r="M353" s="369" t="s">
        <v>655</v>
      </c>
      <c r="N353" s="65"/>
      <c r="O353" s="65"/>
      <c r="P353" s="65"/>
      <c r="Q353" s="65"/>
      <c r="R353" s="65"/>
      <c r="S353" s="65"/>
      <c r="T353" s="65"/>
      <c r="U353" s="65"/>
      <c r="V353" s="65"/>
      <c r="W353" s="65"/>
    </row>
    <row r="354" spans="1:23" ht="15.4" customHeight="1" x14ac:dyDescent="0.25">
      <c r="A354" s="1032"/>
      <c r="B354" s="1032"/>
      <c r="C354" s="17" t="s">
        <v>379</v>
      </c>
      <c r="D354" s="17">
        <v>20</v>
      </c>
      <c r="E354" s="17">
        <v>50</v>
      </c>
      <c r="F354" s="17">
        <v>100</v>
      </c>
      <c r="G354" s="17">
        <v>200</v>
      </c>
      <c r="H354" s="17">
        <v>500</v>
      </c>
      <c r="I354" s="402">
        <v>1000</v>
      </c>
      <c r="J354" s="402">
        <v>2000</v>
      </c>
      <c r="K354" s="42">
        <f>$C$1</f>
        <v>873441780</v>
      </c>
      <c r="L354" s="534">
        <f>IF(K354&lt;D354,10,IF(K354&gt;J354,J354,HLOOKUP(K354,D354:J354,1)))</f>
        <v>2000</v>
      </c>
      <c r="M354" s="369">
        <f>IF(K354&lt;10,10,IF(K354&lt;20,20,IF(K354&gt;J354,J354,INDEX(D354:J354,MATCH(K354,D354:J354,1)+1))))</f>
        <v>2000</v>
      </c>
      <c r="N354" s="65"/>
      <c r="O354" s="65"/>
      <c r="P354" s="65"/>
      <c r="Q354" s="65"/>
      <c r="R354" s="65"/>
      <c r="S354" s="65"/>
      <c r="T354" s="65"/>
      <c r="U354" s="65"/>
      <c r="V354" s="65"/>
      <c r="W354" s="65"/>
    </row>
    <row r="355" spans="1:23" ht="15.4" customHeight="1" x14ac:dyDescent="0.25">
      <c r="A355" s="409">
        <v>1</v>
      </c>
      <c r="B355" s="495" t="str">
        <f t="shared" ref="B355:B359" si="87">B48</f>
        <v>Công trình dân dụng</v>
      </c>
      <c r="C355" s="502">
        <v>0.432</v>
      </c>
      <c r="D355" s="502">
        <v>0.34599999999999997</v>
      </c>
      <c r="E355" s="502">
        <v>0.19500000000000001</v>
      </c>
      <c r="F355" s="502">
        <v>0.127</v>
      </c>
      <c r="G355" s="502">
        <v>7.8E-2</v>
      </c>
      <c r="H355" s="502">
        <v>5.7000000000000002E-2</v>
      </c>
      <c r="I355" s="502">
        <v>0.04</v>
      </c>
      <c r="J355" s="502">
        <v>3.2000000000000001E-2</v>
      </c>
      <c r="K355" s="1">
        <f t="shared" ref="K355:K359" si="88">IF(M$354=L$354,L355,ROUND(L355-((L355-M355)/(M$354-L$354))*(K$354-L$354),3))</f>
        <v>3.2000000000000001E-2</v>
      </c>
      <c r="L355" s="491">
        <f>IF(L$354=10,C355,HLOOKUP($L$354,$D$354:$J$359,2,TRUE))</f>
        <v>3.2000000000000001E-2</v>
      </c>
      <c r="M355" s="350">
        <f>IF(M$354=10,C355,HLOOKUP($M$354,$D$354:$J$359,2,TRUE))</f>
        <v>3.2000000000000001E-2</v>
      </c>
      <c r="N355" s="65"/>
      <c r="O355" s="65"/>
      <c r="P355" s="65"/>
      <c r="Q355" s="65"/>
      <c r="R355" s="65"/>
      <c r="S355" s="65"/>
      <c r="T355" s="65"/>
      <c r="U355" s="65"/>
      <c r="V355" s="65"/>
      <c r="W355" s="65"/>
    </row>
    <row r="356" spans="1:23" ht="15.4" customHeight="1" x14ac:dyDescent="0.25">
      <c r="A356" s="409">
        <v>2</v>
      </c>
      <c r="B356" s="495" t="str">
        <f t="shared" si="87"/>
        <v>Công trình công nghiệp</v>
      </c>
      <c r="C356" s="502">
        <v>0.54900000000000004</v>
      </c>
      <c r="D356" s="502">
        <v>0.379</v>
      </c>
      <c r="E356" s="502">
        <v>0.21099999999999999</v>
      </c>
      <c r="F356" s="502">
        <v>0.14399999999999999</v>
      </c>
      <c r="G356" s="502">
        <v>9.6000000000000002E-2</v>
      </c>
      <c r="H356" s="502">
        <v>6.7000000000000004E-2</v>
      </c>
      <c r="I356" s="502">
        <v>5.1999999999999998E-2</v>
      </c>
      <c r="J356" s="502">
        <v>4.1000000000000002E-2</v>
      </c>
      <c r="K356" s="1">
        <f t="shared" si="88"/>
        <v>4.1000000000000002E-2</v>
      </c>
      <c r="L356" s="491">
        <f>IF(L$354=10,C356,HLOOKUP($L$354,$D$354:$J$359,3,TRUE))</f>
        <v>4.1000000000000002E-2</v>
      </c>
      <c r="M356" s="350">
        <f>IF(M$354=10,C356,HLOOKUP($M$354,$D$354:$J$359,3,TRUE))</f>
        <v>4.1000000000000002E-2</v>
      </c>
      <c r="N356" s="65"/>
      <c r="O356" s="65"/>
      <c r="P356" s="65"/>
      <c r="Q356" s="65"/>
      <c r="R356" s="65"/>
      <c r="S356" s="65"/>
      <c r="T356" s="65"/>
      <c r="U356" s="65"/>
      <c r="V356" s="65"/>
      <c r="W356" s="65"/>
    </row>
    <row r="357" spans="1:23" ht="15.4" customHeight="1" x14ac:dyDescent="0.25">
      <c r="A357" s="409">
        <v>3</v>
      </c>
      <c r="B357" s="495" t="str">
        <f t="shared" si="87"/>
        <v>Công trình giao thông</v>
      </c>
      <c r="C357" s="502" t="s">
        <v>1356</v>
      </c>
      <c r="D357" s="502">
        <v>0.23699999999999999</v>
      </c>
      <c r="E357" s="502">
        <v>0.151</v>
      </c>
      <c r="F357" s="502">
        <v>0.09</v>
      </c>
      <c r="G357" s="502">
        <v>5.7000000000000002E-2</v>
      </c>
      <c r="H357" s="502">
        <v>4.2999999999999997E-2</v>
      </c>
      <c r="I357" s="502">
        <v>2.9000000000000001E-2</v>
      </c>
      <c r="J357" s="502">
        <v>2.3E-2</v>
      </c>
      <c r="K357" s="1">
        <f t="shared" si="88"/>
        <v>2.3E-2</v>
      </c>
      <c r="L357" s="491">
        <f>IF(L$354=10,C357,HLOOKUP($L$354,$D$354:$J$359,4,TRUE))</f>
        <v>2.3E-2</v>
      </c>
      <c r="M357" s="350">
        <f>IF(M$354=10,C357,HLOOKUP($M$354,$D$354:$J$359,4,TRUE))</f>
        <v>2.3E-2</v>
      </c>
      <c r="N357" s="65"/>
      <c r="O357" s="65"/>
      <c r="P357" s="65"/>
      <c r="Q357" s="65"/>
      <c r="R357" s="65"/>
      <c r="S357" s="65"/>
      <c r="T357" s="65"/>
      <c r="U357" s="65"/>
      <c r="V357" s="65"/>
      <c r="W357" s="65"/>
    </row>
    <row r="358" spans="1:23" ht="15.4" customHeight="1" x14ac:dyDescent="0.25">
      <c r="A358" s="409">
        <v>4</v>
      </c>
      <c r="B358" s="495" t="str">
        <f t="shared" si="87"/>
        <v>Công trình nông nghiệp và phát triển nông thôn</v>
      </c>
      <c r="C358" s="502">
        <v>0.36099999999999999</v>
      </c>
      <c r="D358" s="502">
        <v>0.30199999999999999</v>
      </c>
      <c r="E358" s="502">
        <v>0.16600000000000001</v>
      </c>
      <c r="F358" s="502">
        <v>9.4E-2</v>
      </c>
      <c r="G358" s="502">
        <v>6.6000000000000003E-2</v>
      </c>
      <c r="H358" s="502">
        <v>4.5999999999999999E-2</v>
      </c>
      <c r="I358" s="502">
        <v>3.1E-2</v>
      </c>
      <c r="J358" s="502">
        <v>2.5999999999999999E-2</v>
      </c>
      <c r="K358" s="1">
        <f t="shared" si="88"/>
        <v>2.5999999999999999E-2</v>
      </c>
      <c r="L358" s="491">
        <f>IF(L$354=10,C358,HLOOKUP($L$354,$D$354:$J$359,5,TRUE))</f>
        <v>2.5999999999999999E-2</v>
      </c>
      <c r="M358" s="350">
        <f>IF(M$354=10,C358,HLOOKUP($M$354,$D$354:$J$359,5,TRUE))</f>
        <v>2.5999999999999999E-2</v>
      </c>
      <c r="N358" s="65"/>
      <c r="O358" s="65"/>
      <c r="P358" s="65"/>
      <c r="Q358" s="65"/>
      <c r="R358" s="65"/>
      <c r="S358" s="65"/>
      <c r="T358" s="65"/>
      <c r="U358" s="65"/>
      <c r="V358" s="65"/>
      <c r="W358" s="65"/>
    </row>
    <row r="359" spans="1:23" ht="15.4" customHeight="1" x14ac:dyDescent="0.25">
      <c r="A359" s="409">
        <v>5</v>
      </c>
      <c r="B359" s="495" t="str">
        <f t="shared" si="87"/>
        <v>Công trình hạ tầng kỹ thuật</v>
      </c>
      <c r="C359" s="502">
        <v>0.38800000000000001</v>
      </c>
      <c r="D359" s="502">
        <v>0.32500000000000001</v>
      </c>
      <c r="E359" s="502">
        <v>0.17199999999999999</v>
      </c>
      <c r="F359" s="502">
        <v>0.106</v>
      </c>
      <c r="G359" s="502">
        <v>6.9000000000000006E-2</v>
      </c>
      <c r="H359" s="502">
        <v>5.1999999999999998E-2</v>
      </c>
      <c r="I359" s="502">
        <v>3.7999999999999999E-2</v>
      </c>
      <c r="J359" s="502">
        <v>2.8000000000000001E-2</v>
      </c>
      <c r="K359" s="1">
        <f t="shared" si="88"/>
        <v>2.8000000000000001E-2</v>
      </c>
      <c r="L359" s="491">
        <f>IF(L$354=10,C359,HLOOKUP($L$354,$D$354:$J$359,6,TRUE))</f>
        <v>2.8000000000000001E-2</v>
      </c>
      <c r="M359" s="350">
        <f>IF(M$354=10,C359,HLOOKUP($M$354,$D$354:$J$359,6,TRUE))</f>
        <v>2.8000000000000001E-2</v>
      </c>
      <c r="N359" s="65"/>
      <c r="O359" s="65"/>
      <c r="P359" s="65"/>
      <c r="Q359" s="65"/>
      <c r="R359" s="65"/>
      <c r="S359" s="65"/>
      <c r="T359" s="65"/>
      <c r="U359" s="65"/>
      <c r="V359" s="65"/>
      <c r="W359" s="65"/>
    </row>
    <row r="360" spans="1:23" ht="15" hidden="1" customHeight="1" x14ac:dyDescent="0.25">
      <c r="A360" s="65" t="s">
        <v>285</v>
      </c>
      <c r="B360" s="65"/>
      <c r="C360" s="65"/>
      <c r="D360" s="65"/>
      <c r="E360" s="65"/>
      <c r="F360" s="65"/>
      <c r="G360" s="65"/>
      <c r="H360" s="65"/>
      <c r="I360" s="65"/>
      <c r="J360" s="65"/>
      <c r="K360" s="65"/>
      <c r="L360" s="65"/>
      <c r="M360" s="65"/>
      <c r="N360" s="65"/>
      <c r="O360" s="65"/>
      <c r="P360" s="65"/>
      <c r="Q360" s="65"/>
      <c r="R360" s="65"/>
      <c r="S360" s="65"/>
      <c r="T360" s="65"/>
      <c r="U360" s="65"/>
      <c r="V360" s="65"/>
      <c r="W360" s="65"/>
    </row>
    <row r="361" spans="1:23" ht="15.4" customHeight="1" x14ac:dyDescent="0.25">
      <c r="A361" s="65"/>
      <c r="B361" s="65"/>
      <c r="C361" s="65"/>
      <c r="D361" s="65"/>
      <c r="E361" s="65"/>
      <c r="F361" s="65"/>
      <c r="G361" s="65"/>
      <c r="H361" s="65"/>
      <c r="I361" s="65"/>
      <c r="J361" s="65"/>
      <c r="K361" s="65"/>
      <c r="L361" s="65"/>
      <c r="M361" s="65"/>
      <c r="N361" s="65"/>
      <c r="O361" s="65"/>
      <c r="P361" s="65"/>
      <c r="Q361" s="65"/>
      <c r="R361" s="65"/>
      <c r="S361" s="65"/>
      <c r="T361" s="65"/>
      <c r="U361" s="65"/>
      <c r="V361" s="65"/>
      <c r="W361" s="65"/>
    </row>
    <row r="362" spans="1:23" ht="15.4" customHeight="1" x14ac:dyDescent="0.25">
      <c r="A362" s="1030" t="s">
        <v>263</v>
      </c>
      <c r="B362" s="1030"/>
      <c r="C362" s="1030"/>
      <c r="D362" s="1030"/>
      <c r="E362" s="1030"/>
      <c r="F362" s="1030"/>
      <c r="G362" s="1030"/>
      <c r="H362" s="1030"/>
      <c r="I362" s="1030"/>
      <c r="J362" s="1030"/>
      <c r="K362" s="1030"/>
      <c r="L362" s="1030"/>
      <c r="M362" s="1030"/>
      <c r="N362" s="65"/>
      <c r="O362" s="65"/>
      <c r="P362" s="65"/>
      <c r="Q362" s="65"/>
      <c r="R362" s="65"/>
      <c r="S362" s="65"/>
      <c r="T362" s="65"/>
      <c r="U362" s="65"/>
      <c r="V362" s="65"/>
      <c r="W362" s="65"/>
    </row>
    <row r="363" spans="1:23" ht="15.4" customHeight="1" x14ac:dyDescent="0.25">
      <c r="A363" s="65"/>
      <c r="B363" s="65"/>
      <c r="C363" s="65"/>
      <c r="D363" s="65"/>
      <c r="E363" s="65"/>
      <c r="F363" s="65"/>
      <c r="G363" s="65"/>
      <c r="H363" s="65"/>
      <c r="I363" s="1027" t="s">
        <v>957</v>
      </c>
      <c r="J363" s="1027"/>
      <c r="K363" s="680"/>
      <c r="L363" s="680"/>
      <c r="M363" s="680"/>
      <c r="N363" s="680"/>
      <c r="O363" s="65"/>
      <c r="P363" s="65"/>
      <c r="Q363" s="65"/>
      <c r="R363" s="65"/>
      <c r="S363" s="65"/>
      <c r="T363" s="65"/>
      <c r="U363" s="65"/>
      <c r="V363" s="65"/>
      <c r="W363" s="65"/>
    </row>
    <row r="364" spans="1:23" ht="15" hidden="1" customHeight="1" x14ac:dyDescent="0.25">
      <c r="A364" s="65" t="s">
        <v>65</v>
      </c>
      <c r="B364" s="65"/>
      <c r="C364" s="65"/>
      <c r="D364" s="65"/>
      <c r="E364" s="65"/>
      <c r="F364" s="65"/>
      <c r="G364" s="65"/>
      <c r="H364" s="65"/>
      <c r="I364" s="65"/>
      <c r="J364" s="65" t="s">
        <v>380</v>
      </c>
      <c r="K364" s="65"/>
      <c r="L364" s="65"/>
      <c r="M364" s="65"/>
      <c r="N364" s="65"/>
      <c r="O364" s="65"/>
      <c r="P364" s="65"/>
      <c r="Q364" s="65"/>
      <c r="R364" s="65"/>
      <c r="S364" s="65"/>
      <c r="T364" s="65"/>
      <c r="U364" s="65"/>
      <c r="V364" s="65"/>
      <c r="W364" s="65"/>
    </row>
    <row r="365" spans="1:23" ht="16.5" customHeight="1" x14ac:dyDescent="0.25">
      <c r="A365" s="1028" t="s">
        <v>881</v>
      </c>
      <c r="B365" s="1028" t="s">
        <v>130</v>
      </c>
      <c r="C365" s="1024" t="s">
        <v>398</v>
      </c>
      <c r="D365" s="1025"/>
      <c r="E365" s="1025"/>
      <c r="F365" s="1025"/>
      <c r="G365" s="1025"/>
      <c r="H365" s="1025"/>
      <c r="I365" s="1025"/>
      <c r="J365" s="1025"/>
      <c r="K365" s="740" t="s">
        <v>480</v>
      </c>
      <c r="L365" s="466" t="s">
        <v>33</v>
      </c>
      <c r="M365" s="309" t="s">
        <v>655</v>
      </c>
      <c r="N365" s="111"/>
      <c r="O365" s="111"/>
      <c r="P365" s="111"/>
      <c r="Q365" s="111"/>
      <c r="R365" s="111"/>
      <c r="S365" s="111"/>
      <c r="T365" s="111"/>
      <c r="U365" s="111"/>
      <c r="V365" s="111"/>
      <c r="W365" s="111"/>
    </row>
    <row r="366" spans="1:23" ht="15.4" customHeight="1" x14ac:dyDescent="0.25">
      <c r="A366" s="1028"/>
      <c r="B366" s="1028"/>
      <c r="C366" s="482" t="s">
        <v>379</v>
      </c>
      <c r="D366" s="482">
        <v>20</v>
      </c>
      <c r="E366" s="482">
        <v>50</v>
      </c>
      <c r="F366" s="482">
        <v>100</v>
      </c>
      <c r="G366" s="482">
        <v>200</v>
      </c>
      <c r="H366" s="482">
        <v>500</v>
      </c>
      <c r="I366" s="342">
        <v>1000</v>
      </c>
      <c r="J366" s="342">
        <v>2000</v>
      </c>
      <c r="K366" s="740">
        <f>$C$2</f>
        <v>0</v>
      </c>
      <c r="L366" s="466">
        <f>IF(K366&lt;D366,10,IF(K366&gt;J366,J366,HLOOKUP(K366,D366:J366,1)))</f>
        <v>10</v>
      </c>
      <c r="M366" s="309">
        <f>IF(K366&lt;10,10,IF(K366&lt;20,20,IF(K366&gt;J366,J366,INDEX(D366:J366,MATCH(K366,D366:J366,1)+1))))</f>
        <v>10</v>
      </c>
      <c r="N366" s="111"/>
      <c r="O366" s="111"/>
      <c r="P366" s="111"/>
      <c r="Q366" s="111"/>
      <c r="R366" s="111"/>
      <c r="S366" s="111"/>
      <c r="T366" s="111"/>
      <c r="U366" s="111"/>
      <c r="V366" s="111"/>
      <c r="W366" s="111"/>
    </row>
    <row r="367" spans="1:23" ht="15.4" customHeight="1" x14ac:dyDescent="0.25">
      <c r="A367" s="185">
        <v>1</v>
      </c>
      <c r="B367" s="297" t="str">
        <f t="shared" ref="B367:B371" si="89">B48</f>
        <v>Công trình dân dụng</v>
      </c>
      <c r="C367" s="303">
        <v>0.36699999999999999</v>
      </c>
      <c r="D367" s="303">
        <v>0.34599999999999997</v>
      </c>
      <c r="E367" s="303">
        <v>0.18099999999999999</v>
      </c>
      <c r="F367" s="303">
        <v>0.113</v>
      </c>
      <c r="G367" s="303">
        <v>0.10199999999999999</v>
      </c>
      <c r="H367" s="303">
        <v>8.1000000000000003E-2</v>
      </c>
      <c r="I367" s="303">
        <v>5.5E-2</v>
      </c>
      <c r="J367" s="303">
        <v>4.2999999999999997E-2</v>
      </c>
      <c r="K367" s="567">
        <f t="shared" ref="K367:K371" si="90">IF(M$366=L$366,L367,ROUND(L367-((L367-M367)/(M$366-L$366))*(K$366-L$366),3))</f>
        <v>0.36699999999999999</v>
      </c>
      <c r="L367" s="289">
        <f>IF(L$366=10,C367,HLOOKUP($L$366,$D$366:$J$371,2,TRUE))</f>
        <v>0.36699999999999999</v>
      </c>
      <c r="M367" s="105">
        <f>IF(M$366=10,C367,HLOOKUP($M$366,$D$366:$J$371,2,TRUE))</f>
        <v>0.36699999999999999</v>
      </c>
      <c r="N367" s="111"/>
      <c r="O367" s="111"/>
      <c r="P367" s="111"/>
      <c r="Q367" s="111"/>
      <c r="R367" s="111"/>
      <c r="S367" s="111"/>
      <c r="T367" s="111"/>
      <c r="U367" s="111"/>
      <c r="V367" s="111"/>
      <c r="W367" s="111"/>
    </row>
    <row r="368" spans="1:23" ht="15.4" customHeight="1" x14ac:dyDescent="0.25">
      <c r="A368" s="185">
        <v>2</v>
      </c>
      <c r="B368" s="297" t="str">
        <f t="shared" si="89"/>
        <v>Công trình công nghiệp</v>
      </c>
      <c r="C368" s="303">
        <v>0.54900000000000004</v>
      </c>
      <c r="D368" s="303">
        <v>0.49399999999999999</v>
      </c>
      <c r="E368" s="303">
        <v>0.28000000000000003</v>
      </c>
      <c r="F368" s="303">
        <v>0.17699999999999999</v>
      </c>
      <c r="G368" s="303">
        <v>0.152</v>
      </c>
      <c r="H368" s="303">
        <v>0.123</v>
      </c>
      <c r="I368" s="303">
        <v>8.4000000000000005E-2</v>
      </c>
      <c r="J368" s="303">
        <v>6.6000000000000003E-2</v>
      </c>
      <c r="K368" s="567">
        <f t="shared" si="90"/>
        <v>0.54900000000000004</v>
      </c>
      <c r="L368" s="289">
        <f>IF(L$366=10,C368,HLOOKUP($L$366,$D$366:$J$371,3,TRUE))</f>
        <v>0.54900000000000004</v>
      </c>
      <c r="M368" s="105">
        <f>IF(M$366=10,C368,HLOOKUP($M$366,$D$366:$J$371,3,TRUE))</f>
        <v>0.54900000000000004</v>
      </c>
      <c r="N368" s="111"/>
      <c r="O368" s="111"/>
      <c r="P368" s="111"/>
      <c r="Q368" s="111"/>
      <c r="R368" s="111"/>
      <c r="S368" s="111"/>
      <c r="T368" s="111"/>
      <c r="U368" s="111"/>
      <c r="V368" s="111"/>
      <c r="W368" s="111"/>
    </row>
    <row r="369" spans="1:23" ht="15.4" customHeight="1" x14ac:dyDescent="0.25">
      <c r="A369" s="185">
        <v>3</v>
      </c>
      <c r="B369" s="297" t="str">
        <f t="shared" si="89"/>
        <v>Công trình giao thông</v>
      </c>
      <c r="C369" s="303">
        <v>0.26100000000000001</v>
      </c>
      <c r="D369" s="303">
        <v>0.23</v>
      </c>
      <c r="E369" s="303">
        <v>0.13100000000000001</v>
      </c>
      <c r="F369" s="303">
        <v>8.4000000000000005E-2</v>
      </c>
      <c r="G369" s="303">
        <v>7.3999999999999996E-2</v>
      </c>
      <c r="H369" s="303">
        <v>5.6000000000000001E-2</v>
      </c>
      <c r="I369" s="303">
        <v>0.04</v>
      </c>
      <c r="J369" s="303">
        <v>3.2000000000000001E-2</v>
      </c>
      <c r="K369" s="567">
        <f t="shared" si="90"/>
        <v>0.26100000000000001</v>
      </c>
      <c r="L369" s="289">
        <f>IF(L$366=10,C369,HLOOKUP($L$366,$D$366:$J$371,4,TRUE))</f>
        <v>0.26100000000000001</v>
      </c>
      <c r="M369" s="105">
        <f>IF(M$366=10,C369,HLOOKUP($M$366,$D$366:$J$371,4,TRUE))</f>
        <v>0.26100000000000001</v>
      </c>
      <c r="N369" s="111"/>
      <c r="O369" s="111"/>
      <c r="P369" s="111"/>
      <c r="Q369" s="111"/>
      <c r="R369" s="111"/>
      <c r="S369" s="111"/>
      <c r="T369" s="111"/>
      <c r="U369" s="111"/>
      <c r="V369" s="111"/>
      <c r="W369" s="111"/>
    </row>
    <row r="370" spans="1:23" ht="15.4" customHeight="1" x14ac:dyDescent="0.25">
      <c r="A370" s="185">
        <v>4</v>
      </c>
      <c r="B370" s="297" t="str">
        <f t="shared" si="89"/>
        <v>Công trình nông nghiệp và phát triển nông thôn</v>
      </c>
      <c r="C370" s="303">
        <v>0.28100000000000003</v>
      </c>
      <c r="D370" s="303">
        <v>0.245</v>
      </c>
      <c r="E370" s="303">
        <v>0.14000000000000001</v>
      </c>
      <c r="F370" s="303">
        <v>0.09</v>
      </c>
      <c r="G370" s="303">
        <v>7.8E-2</v>
      </c>
      <c r="H370" s="303">
        <v>6.0999999999999999E-2</v>
      </c>
      <c r="I370" s="303">
        <v>0.05</v>
      </c>
      <c r="J370" s="303">
        <v>3.6999999999999998E-2</v>
      </c>
      <c r="K370" s="567">
        <f t="shared" si="90"/>
        <v>0.28100000000000003</v>
      </c>
      <c r="L370" s="289">
        <f>IF(L$366=10,C370,HLOOKUP($L$366,$D$366:$J$371,5,TRUE))</f>
        <v>0.28100000000000003</v>
      </c>
      <c r="M370" s="105">
        <f>IF(M$366=10,C370,HLOOKUP($M$366,$D$366:$J$371,5,TRUE))</f>
        <v>0.28100000000000003</v>
      </c>
      <c r="N370" s="111"/>
      <c r="O370" s="111"/>
      <c r="P370" s="111"/>
      <c r="Q370" s="111"/>
      <c r="R370" s="111"/>
      <c r="S370" s="111"/>
      <c r="T370" s="111"/>
      <c r="U370" s="111"/>
      <c r="V370" s="111"/>
      <c r="W370" s="111"/>
    </row>
    <row r="371" spans="1:23" ht="15.4" customHeight="1" x14ac:dyDescent="0.25">
      <c r="A371" s="185">
        <v>5</v>
      </c>
      <c r="B371" s="297" t="str">
        <f t="shared" si="89"/>
        <v>Công trình hạ tầng kỹ thuật</v>
      </c>
      <c r="C371" s="303">
        <v>0.30199999999999999</v>
      </c>
      <c r="D371" s="303">
        <v>0.26</v>
      </c>
      <c r="E371" s="303">
        <v>0.156</v>
      </c>
      <c r="F371" s="303">
        <v>0.10199999999999999</v>
      </c>
      <c r="G371" s="303">
        <v>8.6999999999999994E-2</v>
      </c>
      <c r="H371" s="303">
        <v>6.9000000000000006E-2</v>
      </c>
      <c r="I371" s="303">
        <v>5.3999999999999999E-2</v>
      </c>
      <c r="J371" s="303">
        <v>4.1000000000000002E-2</v>
      </c>
      <c r="K371" s="567">
        <f t="shared" si="90"/>
        <v>0.30199999999999999</v>
      </c>
      <c r="L371" s="289">
        <f>IF(L$366=10,C371,HLOOKUP($L$366,$D$366:$J$371,6,TRUE))</f>
        <v>0.30199999999999999</v>
      </c>
      <c r="M371" s="105">
        <f>IF(M$366=10,C371,HLOOKUP($M$366,$D$366:$J$371,6,TRUE))</f>
        <v>0.30199999999999999</v>
      </c>
      <c r="N371" s="111"/>
      <c r="O371" s="111"/>
      <c r="P371" s="111"/>
      <c r="Q371" s="111"/>
      <c r="R371" s="111"/>
      <c r="S371" s="111"/>
      <c r="T371" s="111"/>
      <c r="U371" s="111"/>
      <c r="V371" s="111"/>
      <c r="W371" s="111"/>
    </row>
    <row r="372" spans="1:23" ht="15" hidden="1" customHeight="1" x14ac:dyDescent="0.25">
      <c r="A372" s="65" t="s">
        <v>931</v>
      </c>
      <c r="B372" s="65"/>
      <c r="C372" s="65"/>
      <c r="D372" s="65"/>
      <c r="E372" s="65"/>
      <c r="F372" s="65"/>
      <c r="G372" s="65"/>
      <c r="H372" s="65"/>
      <c r="I372" s="65"/>
      <c r="J372" s="65"/>
      <c r="K372" s="65"/>
      <c r="L372" s="65"/>
      <c r="M372" s="65"/>
      <c r="N372" s="65"/>
      <c r="O372" s="65"/>
      <c r="P372" s="65"/>
      <c r="Q372" s="65"/>
      <c r="R372" s="65"/>
      <c r="S372" s="65"/>
      <c r="T372" s="65"/>
      <c r="U372" s="65"/>
      <c r="V372" s="65"/>
      <c r="W372" s="65"/>
    </row>
    <row r="373" spans="1:23" ht="15.4" customHeight="1" x14ac:dyDescent="0.25">
      <c r="A373" s="65"/>
      <c r="B373" s="65"/>
      <c r="C373" s="65"/>
      <c r="D373" s="65"/>
      <c r="E373" s="65"/>
      <c r="F373" s="65"/>
      <c r="G373" s="65"/>
      <c r="H373" s="65"/>
      <c r="I373" s="65"/>
      <c r="J373" s="65"/>
      <c r="K373" s="65"/>
      <c r="L373" s="65"/>
      <c r="M373" s="65"/>
      <c r="N373" s="65"/>
      <c r="O373" s="65"/>
      <c r="P373" s="65"/>
      <c r="Q373" s="65"/>
      <c r="R373" s="65"/>
      <c r="S373" s="65"/>
      <c r="T373" s="65"/>
      <c r="U373" s="65"/>
      <c r="V373" s="65"/>
      <c r="W373" s="65"/>
    </row>
    <row r="374" spans="1:23" ht="15.4" customHeight="1" x14ac:dyDescent="0.25">
      <c r="A374" s="1026" t="s">
        <v>773</v>
      </c>
      <c r="B374" s="1026"/>
      <c r="C374" s="1026"/>
      <c r="D374" s="1026"/>
      <c r="E374" s="1026"/>
      <c r="F374" s="1026"/>
      <c r="G374" s="1026"/>
      <c r="H374" s="1026"/>
      <c r="I374" s="1026"/>
      <c r="J374" s="1026"/>
      <c r="K374" s="1026"/>
      <c r="L374" s="1026"/>
      <c r="M374" s="1026"/>
      <c r="N374" s="65"/>
      <c r="O374" s="65"/>
      <c r="P374" s="65"/>
      <c r="Q374" s="65"/>
      <c r="R374" s="65"/>
      <c r="S374" s="65"/>
      <c r="T374" s="65"/>
      <c r="U374" s="65"/>
      <c r="V374" s="65"/>
      <c r="W374" s="65"/>
    </row>
    <row r="375" spans="1:23" ht="15.4" customHeight="1" x14ac:dyDescent="0.25">
      <c r="A375" s="65"/>
      <c r="B375" s="65"/>
      <c r="C375" s="65"/>
      <c r="D375" s="65"/>
      <c r="E375" s="65"/>
      <c r="F375" s="65"/>
      <c r="G375" s="65"/>
      <c r="H375" s="65"/>
      <c r="I375" s="1027" t="s">
        <v>957</v>
      </c>
      <c r="J375" s="1027"/>
      <c r="K375" s="1027"/>
      <c r="L375" s="1027"/>
      <c r="M375" s="1027"/>
      <c r="N375" s="680"/>
      <c r="O375" s="65"/>
      <c r="P375" s="65"/>
      <c r="Q375" s="65"/>
      <c r="R375" s="65"/>
      <c r="S375" s="65"/>
      <c r="T375" s="65"/>
      <c r="U375" s="65"/>
      <c r="V375" s="65"/>
      <c r="W375" s="65"/>
    </row>
    <row r="376" spans="1:23" ht="15" hidden="1" customHeight="1" x14ac:dyDescent="0.25">
      <c r="A376" s="65" t="s">
        <v>1233</v>
      </c>
      <c r="B376" s="65"/>
      <c r="C376" s="65"/>
      <c r="D376" s="65"/>
      <c r="E376" s="65"/>
      <c r="F376" s="65"/>
      <c r="G376" s="65"/>
      <c r="H376" s="65"/>
      <c r="I376" s="65"/>
      <c r="J376" s="65"/>
      <c r="K376" s="65"/>
      <c r="L376" s="65"/>
      <c r="M376" s="65" t="s">
        <v>380</v>
      </c>
      <c r="N376" s="65"/>
      <c r="O376" s="65"/>
      <c r="P376" s="65"/>
      <c r="Q376" s="65"/>
      <c r="R376" s="65"/>
      <c r="S376" s="65"/>
      <c r="T376" s="65"/>
      <c r="U376" s="65"/>
      <c r="V376" s="65"/>
      <c r="W376" s="65"/>
    </row>
    <row r="377" spans="1:23" ht="16.5" customHeight="1" x14ac:dyDescent="0.25">
      <c r="A377" s="1028" t="s">
        <v>881</v>
      </c>
      <c r="B377" s="1028" t="s">
        <v>130</v>
      </c>
      <c r="C377" s="1029" t="s">
        <v>1094</v>
      </c>
      <c r="D377" s="1029"/>
      <c r="E377" s="1029"/>
      <c r="F377" s="1029"/>
      <c r="G377" s="1029"/>
      <c r="H377" s="1029"/>
      <c r="I377" s="1029"/>
      <c r="J377" s="1029"/>
      <c r="K377" s="1029"/>
      <c r="L377" s="1029"/>
      <c r="M377" s="1029"/>
      <c r="N377" s="740" t="s">
        <v>480</v>
      </c>
      <c r="O377" s="466" t="s">
        <v>33</v>
      </c>
      <c r="P377" s="309" t="s">
        <v>655</v>
      </c>
      <c r="Q377" s="111"/>
      <c r="R377" s="111"/>
      <c r="S377" s="111"/>
      <c r="T377" s="111"/>
      <c r="U377" s="111"/>
      <c r="V377" s="111"/>
      <c r="W377" s="111"/>
    </row>
    <row r="378" spans="1:23" ht="15.4" customHeight="1" x14ac:dyDescent="0.25">
      <c r="A378" s="1028"/>
      <c r="B378" s="1028"/>
      <c r="C378" s="482" t="s">
        <v>379</v>
      </c>
      <c r="D378" s="482">
        <v>20</v>
      </c>
      <c r="E378" s="482">
        <v>50</v>
      </c>
      <c r="F378" s="482">
        <v>100</v>
      </c>
      <c r="G378" s="482">
        <v>200</v>
      </c>
      <c r="H378" s="482">
        <v>500</v>
      </c>
      <c r="I378" s="342">
        <v>1000</v>
      </c>
      <c r="J378" s="342">
        <v>2000</v>
      </c>
      <c r="K378" s="342">
        <v>5000</v>
      </c>
      <c r="L378" s="342">
        <v>8000</v>
      </c>
      <c r="M378" s="342">
        <v>10000</v>
      </c>
      <c r="N378" s="740">
        <f>$C$1</f>
        <v>873441780</v>
      </c>
      <c r="O378" s="466">
        <f>IF(N378&lt;D378,10,IF(N378&gt;M378,M378,HLOOKUP(N378,D378:M378,1)))</f>
        <v>10000</v>
      </c>
      <c r="P378" s="309">
        <f>IF(N378&lt;10,10,IF(N378&lt;20,20,IF(N378&gt;M378,M378,INDEX(D378:M378,MATCH(N378,D378:M378,1)+1))))</f>
        <v>10000</v>
      </c>
      <c r="Q378" s="111"/>
      <c r="R378" s="111"/>
      <c r="S378" s="111"/>
      <c r="T378" s="111"/>
      <c r="U378" s="111"/>
      <c r="V378" s="111"/>
      <c r="W378" s="111"/>
    </row>
    <row r="379" spans="1:23" ht="15.4" customHeight="1" x14ac:dyDescent="0.25">
      <c r="A379" s="185">
        <v>1</v>
      </c>
      <c r="B379" s="297" t="str">
        <f t="shared" ref="B379:B383" si="91">B48</f>
        <v>Công trình dân dụng</v>
      </c>
      <c r="C379" s="303">
        <v>3.2850000000000001</v>
      </c>
      <c r="D379" s="303">
        <v>2.8530000000000002</v>
      </c>
      <c r="E379" s="303">
        <v>2.4350000000000001</v>
      </c>
      <c r="F379" s="303">
        <v>1.845</v>
      </c>
      <c r="G379" s="303">
        <v>1.546</v>
      </c>
      <c r="H379" s="303">
        <v>1.1879999999999999</v>
      </c>
      <c r="I379" s="303">
        <v>0.79700000000000004</v>
      </c>
      <c r="J379" s="303">
        <v>0.69399999999999995</v>
      </c>
      <c r="K379" s="303">
        <v>0.62</v>
      </c>
      <c r="L379" s="303">
        <v>0.53</v>
      </c>
      <c r="M379" s="303">
        <v>0.47799999999999998</v>
      </c>
      <c r="N379" s="567">
        <f t="shared" ref="N379:N383" si="92">IF(P$378=O$378,O379,ROUND(O379-((O379-P379)/(P$378-O$378))*(N$378-O$378),3))</f>
        <v>0.47799999999999998</v>
      </c>
      <c r="O379" s="289">
        <f>IF(O$378=10,C379,HLOOKUP($O$378,$D$378:$M$383,2,TRUE))</f>
        <v>0.47799999999999998</v>
      </c>
      <c r="P379" s="105">
        <f>IF(P$378=10,C379,HLOOKUP($P$378,$D$378:$M$383,2,TRUE))</f>
        <v>0.47799999999999998</v>
      </c>
      <c r="Q379" s="111"/>
      <c r="R379" s="111"/>
      <c r="S379" s="111"/>
      <c r="T379" s="111"/>
      <c r="U379" s="111"/>
      <c r="V379" s="111"/>
      <c r="W379" s="111"/>
    </row>
    <row r="380" spans="1:23" ht="15.4" customHeight="1" x14ac:dyDescent="0.25">
      <c r="A380" s="185">
        <v>2</v>
      </c>
      <c r="B380" s="297" t="str">
        <f t="shared" si="91"/>
        <v>Công trình công nghiệp</v>
      </c>
      <c r="C380" s="303">
        <v>3.508</v>
      </c>
      <c r="D380" s="303">
        <v>3.137</v>
      </c>
      <c r="E380" s="303">
        <v>2.5590000000000002</v>
      </c>
      <c r="F380" s="303">
        <v>2.0739999999999998</v>
      </c>
      <c r="G380" s="303">
        <v>1.6040000000000001</v>
      </c>
      <c r="H380" s="303">
        <v>1.3009999999999999</v>
      </c>
      <c r="I380" s="303">
        <v>0.82299999999999995</v>
      </c>
      <c r="J380" s="303">
        <v>0.71599999999999997</v>
      </c>
      <c r="K380" s="303">
        <v>0.64</v>
      </c>
      <c r="L380" s="303">
        <v>0.55000000000000004</v>
      </c>
      <c r="M380" s="303">
        <v>0.49299999999999999</v>
      </c>
      <c r="N380" s="567">
        <f t="shared" si="92"/>
        <v>0.49299999999999999</v>
      </c>
      <c r="O380" s="289">
        <f>IF(O$378=10,C380,HLOOKUP($O$378,$D$378:$M$383,3,TRUE))</f>
        <v>0.49299999999999999</v>
      </c>
      <c r="P380" s="105">
        <f>IF(P$378=10,C380,HLOOKUP($P$378,$D$378:$M$383,3,TRUE))</f>
        <v>0.49299999999999999</v>
      </c>
      <c r="Q380" s="111"/>
      <c r="R380" s="111"/>
      <c r="S380" s="111"/>
      <c r="T380" s="111"/>
      <c r="U380" s="111"/>
      <c r="V380" s="111"/>
      <c r="W380" s="111"/>
    </row>
    <row r="381" spans="1:23" ht="15.4" customHeight="1" x14ac:dyDescent="0.25">
      <c r="A381" s="185">
        <v>3</v>
      </c>
      <c r="B381" s="297" t="str">
        <f t="shared" si="91"/>
        <v>Công trình giao thông</v>
      </c>
      <c r="C381" s="303">
        <v>3.2029999999999998</v>
      </c>
      <c r="D381" s="303">
        <v>2.7</v>
      </c>
      <c r="E381" s="303">
        <v>2.3559999999999999</v>
      </c>
      <c r="F381" s="303">
        <v>1.714</v>
      </c>
      <c r="G381" s="303">
        <v>1.272</v>
      </c>
      <c r="H381" s="303">
        <v>1.0029999999999999</v>
      </c>
      <c r="I381" s="303">
        <v>0.73099999999999998</v>
      </c>
      <c r="J381" s="303">
        <v>0.63600000000000001</v>
      </c>
      <c r="K381" s="303">
        <v>0.55000000000000004</v>
      </c>
      <c r="L381" s="303">
        <v>0.48</v>
      </c>
      <c r="M381" s="303">
        <v>0.438</v>
      </c>
      <c r="N381" s="567">
        <f t="shared" si="92"/>
        <v>0.438</v>
      </c>
      <c r="O381" s="289">
        <f>IF(O$378=10,C381,HLOOKUP($O$378,$D$378:$M$383,4,TRUE))</f>
        <v>0.438</v>
      </c>
      <c r="P381" s="105">
        <f>IF(P$378=10,C381,HLOOKUP($P$378,$D$378:$M$383,4,TRUE))</f>
        <v>0.438</v>
      </c>
      <c r="Q381" s="111"/>
      <c r="R381" s="111"/>
      <c r="S381" s="111"/>
      <c r="T381" s="111"/>
      <c r="U381" s="111"/>
      <c r="V381" s="111"/>
      <c r="W381" s="111"/>
    </row>
    <row r="382" spans="1:23" ht="15.4" customHeight="1" x14ac:dyDescent="0.25">
      <c r="A382" s="185">
        <v>4</v>
      </c>
      <c r="B382" s="297" t="str">
        <f t="shared" si="91"/>
        <v>Công trình nông nghiệp và phát triển nông thôn</v>
      </c>
      <c r="C382" s="303">
        <v>2.5979999999999999</v>
      </c>
      <c r="D382" s="303">
        <v>2.2919999999999998</v>
      </c>
      <c r="E382" s="303">
        <v>2.0750000000000002</v>
      </c>
      <c r="F382" s="303">
        <v>1.5449999999999999</v>
      </c>
      <c r="G382" s="303">
        <v>1.1890000000000001</v>
      </c>
      <c r="H382" s="303">
        <v>0.95</v>
      </c>
      <c r="I382" s="303">
        <v>0.63100000000000001</v>
      </c>
      <c r="J382" s="303">
        <v>0.55000000000000004</v>
      </c>
      <c r="K382" s="303">
        <v>0.49</v>
      </c>
      <c r="L382" s="303">
        <v>0.42</v>
      </c>
      <c r="M382" s="303">
        <v>0.378</v>
      </c>
      <c r="N382" s="567">
        <f t="shared" si="92"/>
        <v>0.378</v>
      </c>
      <c r="O382" s="289">
        <f>IF(O$378=10,C382,HLOOKUP($O$378,$D$378:$M$383,5,TRUE))</f>
        <v>0.378</v>
      </c>
      <c r="P382" s="105">
        <f>IF(P$378=10,C382,HLOOKUP($P$378,$D$378:$M$383,5,TRUE))</f>
        <v>0.378</v>
      </c>
      <c r="Q382" s="111"/>
      <c r="R382" s="111"/>
      <c r="S382" s="111"/>
      <c r="T382" s="111"/>
      <c r="U382" s="111"/>
      <c r="V382" s="111"/>
      <c r="W382" s="111"/>
    </row>
    <row r="383" spans="1:23" ht="15.4" customHeight="1" x14ac:dyDescent="0.25">
      <c r="A383" s="185">
        <v>5</v>
      </c>
      <c r="B383" s="297" t="str">
        <f t="shared" si="91"/>
        <v>Công trình hạ tầng kỹ thuật</v>
      </c>
      <c r="C383" s="303">
        <v>2.5659999999999998</v>
      </c>
      <c r="D383" s="303">
        <v>2.2559999999999998</v>
      </c>
      <c r="E383" s="303">
        <v>1.984</v>
      </c>
      <c r="F383" s="303">
        <v>1.4610000000000001</v>
      </c>
      <c r="G383" s="303">
        <v>1.1419999999999999</v>
      </c>
      <c r="H383" s="303">
        <v>0.91200000000000003</v>
      </c>
      <c r="I383" s="303">
        <v>0.58399999999999996</v>
      </c>
      <c r="J383" s="303">
        <v>0.50900000000000001</v>
      </c>
      <c r="K383" s="303">
        <v>0.45200000000000001</v>
      </c>
      <c r="L383" s="303">
        <v>0.39</v>
      </c>
      <c r="M383" s="303">
        <v>0.35</v>
      </c>
      <c r="N383" s="567">
        <f t="shared" si="92"/>
        <v>0.35</v>
      </c>
      <c r="O383" s="289">
        <f>IF(O$378=10,C383,HLOOKUP($O$378,$D$378:$M$383,6,TRUE))</f>
        <v>0.35</v>
      </c>
      <c r="P383" s="105">
        <f>IF(P$378=10,C383,HLOOKUP($P$378,$D$378:$M$383,6,TRUE))</f>
        <v>0.35</v>
      </c>
      <c r="Q383" s="111"/>
      <c r="R383" s="111"/>
      <c r="S383" s="111"/>
      <c r="T383" s="111"/>
      <c r="U383" s="111"/>
      <c r="V383" s="111"/>
      <c r="W383" s="111"/>
    </row>
    <row r="384" spans="1:23" ht="15" hidden="1" customHeight="1" x14ac:dyDescent="0.25">
      <c r="A384" s="65" t="s">
        <v>817</v>
      </c>
      <c r="B384" s="65"/>
      <c r="C384" s="65"/>
      <c r="D384" s="65"/>
      <c r="E384" s="65"/>
      <c r="F384" s="65"/>
      <c r="G384" s="65"/>
      <c r="H384" s="65"/>
      <c r="I384" s="65"/>
      <c r="J384" s="65"/>
      <c r="K384" s="65"/>
      <c r="L384" s="65"/>
      <c r="M384" s="65"/>
      <c r="N384" s="65"/>
      <c r="O384" s="65"/>
      <c r="P384" s="65"/>
      <c r="Q384" s="65"/>
      <c r="R384" s="65"/>
      <c r="S384" s="65"/>
      <c r="T384" s="65"/>
      <c r="U384" s="65"/>
      <c r="V384" s="65"/>
      <c r="W384" s="65"/>
    </row>
    <row r="385" spans="1:23" ht="15.4" customHeight="1" x14ac:dyDescent="0.25">
      <c r="A385" s="65"/>
      <c r="B385" s="65"/>
      <c r="C385" s="65"/>
      <c r="D385" s="65"/>
      <c r="E385" s="65"/>
      <c r="F385" s="65"/>
      <c r="G385" s="65"/>
      <c r="H385" s="65"/>
      <c r="I385" s="65"/>
      <c r="J385" s="65"/>
      <c r="K385" s="65"/>
      <c r="L385" s="65"/>
      <c r="M385" s="65"/>
      <c r="N385" s="65"/>
      <c r="O385" s="65"/>
      <c r="P385" s="65"/>
      <c r="Q385" s="65"/>
      <c r="R385" s="65"/>
      <c r="S385" s="65"/>
      <c r="T385" s="65"/>
      <c r="U385" s="65"/>
      <c r="V385" s="65"/>
      <c r="W385" s="65"/>
    </row>
    <row r="386" spans="1:23" ht="15.4" customHeight="1" x14ac:dyDescent="0.25">
      <c r="A386" s="1030" t="s">
        <v>431</v>
      </c>
      <c r="B386" s="1030"/>
      <c r="C386" s="1030"/>
      <c r="D386" s="1030"/>
      <c r="E386" s="1030"/>
      <c r="F386" s="1030"/>
      <c r="G386" s="1030"/>
      <c r="H386" s="1030"/>
      <c r="I386" s="1030"/>
      <c r="J386" s="1030"/>
      <c r="K386" s="1030"/>
      <c r="L386" s="1030"/>
      <c r="M386" s="1030"/>
      <c r="N386" s="65"/>
      <c r="O386" s="65"/>
      <c r="P386" s="65"/>
      <c r="Q386" s="65"/>
      <c r="R386" s="65"/>
      <c r="S386" s="65"/>
      <c r="T386" s="65"/>
      <c r="U386" s="65"/>
      <c r="V386" s="65"/>
      <c r="W386" s="65"/>
    </row>
    <row r="387" spans="1:23" ht="15.4" customHeight="1" x14ac:dyDescent="0.25">
      <c r="A387" s="65"/>
      <c r="B387" s="65"/>
      <c r="C387" s="65"/>
      <c r="D387" s="65"/>
      <c r="E387" s="65"/>
      <c r="F387" s="65"/>
      <c r="G387" s="65"/>
      <c r="H387" s="65"/>
      <c r="I387" s="1027" t="s">
        <v>957</v>
      </c>
      <c r="J387" s="1027"/>
      <c r="K387" s="1027"/>
      <c r="L387" s="1027"/>
      <c r="M387" s="1027"/>
      <c r="N387" s="680"/>
      <c r="O387" s="65"/>
      <c r="P387" s="65"/>
      <c r="Q387" s="65"/>
      <c r="R387" s="65"/>
      <c r="S387" s="65"/>
      <c r="T387" s="65"/>
      <c r="U387" s="65"/>
      <c r="V387" s="65"/>
      <c r="W387" s="65"/>
    </row>
    <row r="388" spans="1:23" ht="15" hidden="1" customHeight="1" x14ac:dyDescent="0.25">
      <c r="A388" s="65" t="s">
        <v>772</v>
      </c>
      <c r="B388" s="65"/>
      <c r="C388" s="65"/>
      <c r="D388" s="65"/>
      <c r="E388" s="65"/>
      <c r="F388" s="65"/>
      <c r="G388" s="65"/>
      <c r="H388" s="65"/>
      <c r="I388" s="65"/>
      <c r="J388" s="65"/>
      <c r="K388" s="65"/>
      <c r="L388" s="65"/>
      <c r="M388" s="65" t="s">
        <v>380</v>
      </c>
      <c r="N388" s="65"/>
      <c r="O388" s="65"/>
      <c r="P388" s="65"/>
      <c r="Q388" s="65"/>
      <c r="R388" s="65"/>
      <c r="S388" s="65"/>
      <c r="T388" s="65"/>
      <c r="U388" s="65"/>
      <c r="V388" s="65"/>
      <c r="W388" s="65"/>
    </row>
    <row r="389" spans="1:23" ht="16.5" customHeight="1" x14ac:dyDescent="0.25">
      <c r="A389" s="1032" t="s">
        <v>881</v>
      </c>
      <c r="B389" s="1032" t="s">
        <v>130</v>
      </c>
      <c r="C389" s="1037" t="s">
        <v>1098</v>
      </c>
      <c r="D389" s="1037"/>
      <c r="E389" s="1037"/>
      <c r="F389" s="1037"/>
      <c r="G389" s="1037"/>
      <c r="H389" s="1037"/>
      <c r="I389" s="1037"/>
      <c r="J389" s="1037"/>
      <c r="K389" s="1037"/>
      <c r="L389" s="1037"/>
      <c r="M389" s="1037"/>
      <c r="N389" s="42" t="s">
        <v>480</v>
      </c>
      <c r="O389" s="534" t="s">
        <v>33</v>
      </c>
      <c r="P389" s="369" t="s">
        <v>655</v>
      </c>
      <c r="Q389" s="65"/>
      <c r="R389" s="65"/>
      <c r="S389" s="65"/>
      <c r="T389" s="65"/>
      <c r="U389" s="65"/>
      <c r="V389" s="65"/>
      <c r="W389" s="65"/>
    </row>
    <row r="390" spans="1:23" ht="15.4" customHeight="1" x14ac:dyDescent="0.25">
      <c r="A390" s="1032"/>
      <c r="B390" s="1032"/>
      <c r="C390" s="17" t="s">
        <v>379</v>
      </c>
      <c r="D390" s="17">
        <v>20</v>
      </c>
      <c r="E390" s="17">
        <v>50</v>
      </c>
      <c r="F390" s="17">
        <v>100</v>
      </c>
      <c r="G390" s="17">
        <v>200</v>
      </c>
      <c r="H390" s="17">
        <v>500</v>
      </c>
      <c r="I390" s="402">
        <v>1000</v>
      </c>
      <c r="J390" s="402">
        <v>2000</v>
      </c>
      <c r="K390" s="402">
        <v>5000</v>
      </c>
      <c r="L390" s="402">
        <v>8000</v>
      </c>
      <c r="M390" s="402">
        <v>10000</v>
      </c>
      <c r="N390" s="42">
        <f>$C$2</f>
        <v>0</v>
      </c>
      <c r="O390" s="534">
        <f>IF(N390&lt;D390,10,IF(N390&gt;M390,M390,HLOOKUP(N390,D390:M390,1)))</f>
        <v>10</v>
      </c>
      <c r="P390" s="369">
        <f>IF(N390&lt;10,10,IF(N390&lt;20,20,IF(N390&gt;M390,M390,INDEX(D390:M390,MATCH(N390,D390:M390,1)+1))))</f>
        <v>10</v>
      </c>
      <c r="Q390" s="65"/>
      <c r="R390" s="65"/>
      <c r="S390" s="65"/>
      <c r="T390" s="65"/>
      <c r="U390" s="65"/>
      <c r="V390" s="65"/>
      <c r="W390" s="65"/>
    </row>
    <row r="391" spans="1:23" ht="15.4" customHeight="1" x14ac:dyDescent="0.25">
      <c r="A391" s="409">
        <v>1</v>
      </c>
      <c r="B391" s="495" t="str">
        <f t="shared" ref="B391:B395" si="93">B48</f>
        <v>Công trình dân dụng</v>
      </c>
      <c r="C391" s="502">
        <v>0.84399999999999997</v>
      </c>
      <c r="D391" s="502">
        <v>0.71499999999999997</v>
      </c>
      <c r="E391" s="502">
        <v>0.59599999999999997</v>
      </c>
      <c r="F391" s="502">
        <v>0.39400000000000002</v>
      </c>
      <c r="G391" s="502">
        <v>0.30499999999999999</v>
      </c>
      <c r="H391" s="502">
        <v>0.26100000000000001</v>
      </c>
      <c r="I391" s="502">
        <v>0.17599999999999999</v>
      </c>
      <c r="J391" s="502">
        <v>0.153</v>
      </c>
      <c r="K391" s="502">
        <v>0.13200000000000001</v>
      </c>
      <c r="L391" s="502">
        <v>0.112</v>
      </c>
      <c r="M391" s="502">
        <v>0.11</v>
      </c>
      <c r="N391" s="1">
        <f t="shared" ref="N391:N395" si="94">IF(P$390=O$390,O391,ROUND(O391-((O391-P391)/(P$390-O$390))*(N$390-O$390),3))</f>
        <v>0.84399999999999997</v>
      </c>
      <c r="O391" s="491">
        <f>IF(O$390=10,C391,HLOOKUP($O$390,$D$390:$M$395,2,TRUE))</f>
        <v>0.84399999999999997</v>
      </c>
      <c r="P391" s="350">
        <f>IF(P$390=10,C391,HLOOKUP($P$390,$D$390:$M$395,2,TRUE))</f>
        <v>0.84399999999999997</v>
      </c>
      <c r="Q391" s="65"/>
      <c r="R391" s="65"/>
      <c r="S391" s="65"/>
      <c r="T391" s="65"/>
      <c r="U391" s="65"/>
      <c r="V391" s="65"/>
      <c r="W391" s="65"/>
    </row>
    <row r="392" spans="1:23" ht="15.4" customHeight="1" x14ac:dyDescent="0.25">
      <c r="A392" s="409">
        <v>2</v>
      </c>
      <c r="B392" s="495" t="str">
        <f t="shared" si="93"/>
        <v>Công trình công nghiệp</v>
      </c>
      <c r="C392" s="502">
        <v>1.147</v>
      </c>
      <c r="D392" s="502">
        <v>1.0049999999999999</v>
      </c>
      <c r="E392" s="502">
        <v>0.95799999999999996</v>
      </c>
      <c r="F392" s="502">
        <v>0.81100000000000005</v>
      </c>
      <c r="G392" s="502">
        <v>0.49</v>
      </c>
      <c r="H392" s="502">
        <v>0.42199999999999999</v>
      </c>
      <c r="I392" s="502">
        <v>0.35599999999999998</v>
      </c>
      <c r="J392" s="502">
        <v>0.309</v>
      </c>
      <c r="K392" s="502">
        <v>0.27</v>
      </c>
      <c r="L392" s="502">
        <v>0.23</v>
      </c>
      <c r="M392" s="502">
        <v>0.21</v>
      </c>
      <c r="N392" s="1">
        <f t="shared" si="94"/>
        <v>1.147</v>
      </c>
      <c r="O392" s="491">
        <f>IF(O$390=10,C392,HLOOKUP($O$390,$D$390:$M$395,3,TRUE))</f>
        <v>1.147</v>
      </c>
      <c r="P392" s="350">
        <f>IF(P$390=10,C392,HLOOKUP($P$390,$D$390:$M$395,3,TRUE))</f>
        <v>1.147</v>
      </c>
      <c r="Q392" s="65"/>
      <c r="R392" s="65"/>
      <c r="S392" s="65"/>
      <c r="T392" s="65"/>
      <c r="U392" s="65"/>
      <c r="V392" s="65"/>
      <c r="W392" s="65"/>
    </row>
    <row r="393" spans="1:23" ht="15.4" customHeight="1" x14ac:dyDescent="0.25">
      <c r="A393" s="409">
        <v>3</v>
      </c>
      <c r="B393" s="495" t="str">
        <f t="shared" si="93"/>
        <v>Công trình giao thông</v>
      </c>
      <c r="C393" s="502">
        <v>0.67700000000000005</v>
      </c>
      <c r="D393" s="502">
        <v>0.57999999999999996</v>
      </c>
      <c r="E393" s="502">
        <v>0.48599999999999999</v>
      </c>
      <c r="F393" s="502">
        <v>0.32</v>
      </c>
      <c r="G393" s="502">
        <v>0.26100000000000001</v>
      </c>
      <c r="H393" s="502">
        <v>0.217</v>
      </c>
      <c r="I393" s="502">
        <v>0.14599999999999999</v>
      </c>
      <c r="J393" s="502">
        <v>0.127</v>
      </c>
      <c r="K393" s="502">
        <v>0.11</v>
      </c>
      <c r="L393" s="502">
        <v>9.1999999999999998E-2</v>
      </c>
      <c r="M393" s="502">
        <v>8.5000000000000006E-2</v>
      </c>
      <c r="N393" s="1">
        <f t="shared" si="94"/>
        <v>0.67700000000000005</v>
      </c>
      <c r="O393" s="491">
        <f>IF(O$390=10,C393,HLOOKUP($O$390,$D$390:$M$395,4,TRUE))</f>
        <v>0.67700000000000005</v>
      </c>
      <c r="P393" s="350">
        <f>IF(P$390=10,C393,HLOOKUP($P$390,$D$390:$M$395,4,TRUE))</f>
        <v>0.67700000000000005</v>
      </c>
      <c r="Q393" s="65"/>
      <c r="R393" s="65"/>
      <c r="S393" s="65"/>
      <c r="T393" s="65"/>
      <c r="U393" s="65"/>
      <c r="V393" s="65"/>
      <c r="W393" s="65"/>
    </row>
    <row r="394" spans="1:23" ht="15.4" customHeight="1" x14ac:dyDescent="0.25">
      <c r="A394" s="409">
        <v>4</v>
      </c>
      <c r="B394" s="495" t="str">
        <f t="shared" si="93"/>
        <v>Công trình nông nghiệp và phát triển nông thôn</v>
      </c>
      <c r="C394" s="502">
        <v>0.71799999999999997</v>
      </c>
      <c r="D394" s="502">
        <v>0.58499999999999996</v>
      </c>
      <c r="E394" s="502">
        <v>0.52</v>
      </c>
      <c r="F394" s="502">
        <v>0.34399999999999997</v>
      </c>
      <c r="G394" s="502">
        <v>0.27600000000000002</v>
      </c>
      <c r="H394" s="502">
        <v>0.23200000000000001</v>
      </c>
      <c r="I394" s="502">
        <v>0.159</v>
      </c>
      <c r="J394" s="502">
        <v>0.13800000000000001</v>
      </c>
      <c r="K394" s="502">
        <v>0.12</v>
      </c>
      <c r="L394" s="502">
        <v>9.8000000000000004E-2</v>
      </c>
      <c r="M394" s="502">
        <v>9.0999999999999998E-2</v>
      </c>
      <c r="N394" s="1">
        <f t="shared" si="94"/>
        <v>0.71799999999999997</v>
      </c>
      <c r="O394" s="491">
        <f>IF(O$390=10,C394,HLOOKUP($O$390,$D$390:$M$395,5,TRUE))</f>
        <v>0.71799999999999997</v>
      </c>
      <c r="P394" s="350">
        <f>IF(P$390=10,C394,HLOOKUP($P$390,$D$390:$M$395,5,TRUE))</f>
        <v>0.71799999999999997</v>
      </c>
      <c r="Q394" s="65"/>
      <c r="R394" s="65"/>
      <c r="S394" s="65"/>
      <c r="T394" s="65"/>
      <c r="U394" s="65"/>
      <c r="V394" s="65"/>
      <c r="W394" s="65"/>
    </row>
    <row r="395" spans="1:23" ht="15.4" customHeight="1" x14ac:dyDescent="0.25">
      <c r="A395" s="409">
        <v>5</v>
      </c>
      <c r="B395" s="495" t="str">
        <f t="shared" si="93"/>
        <v>Công trình hạ tầng kỹ thuật</v>
      </c>
      <c r="C395" s="502">
        <v>0.80300000000000005</v>
      </c>
      <c r="D395" s="502">
        <v>0.69</v>
      </c>
      <c r="E395" s="502">
        <v>0.57499999999999996</v>
      </c>
      <c r="F395" s="502">
        <v>0.38300000000000001</v>
      </c>
      <c r="G395" s="502">
        <v>0.3</v>
      </c>
      <c r="H395" s="502">
        <v>0.26100000000000001</v>
      </c>
      <c r="I395" s="502">
        <v>0.17299999999999999</v>
      </c>
      <c r="J395" s="502">
        <v>0.15</v>
      </c>
      <c r="K395" s="502">
        <v>0.126</v>
      </c>
      <c r="L395" s="502">
        <v>0.105</v>
      </c>
      <c r="M395" s="502">
        <v>9.5000000000000001E-2</v>
      </c>
      <c r="N395" s="1">
        <f t="shared" si="94"/>
        <v>0.80300000000000005</v>
      </c>
      <c r="O395" s="491">
        <f>IF(O$390=10,C395,HLOOKUP($O$390,$D$390:$M$395,6,TRUE))</f>
        <v>0.80300000000000005</v>
      </c>
      <c r="P395" s="350">
        <f>IF(P$390=10,C395,HLOOKUP($P$390,$D$390:$M$395,6,TRUE))</f>
        <v>0.80300000000000005</v>
      </c>
      <c r="Q395" s="65"/>
      <c r="R395" s="65"/>
      <c r="S395" s="65"/>
      <c r="T395" s="65"/>
      <c r="U395" s="65"/>
      <c r="V395" s="65"/>
      <c r="W395" s="65"/>
    </row>
    <row r="396" spans="1:23" ht="15" hidden="1" customHeight="1" x14ac:dyDescent="0.25">
      <c r="A396" s="65" t="s">
        <v>371</v>
      </c>
      <c r="B396" s="65"/>
      <c r="C396" s="65"/>
      <c r="D396" s="65"/>
      <c r="E396" s="65"/>
      <c r="F396" s="65"/>
      <c r="G396" s="65"/>
      <c r="H396" s="65"/>
      <c r="I396" s="65"/>
      <c r="J396" s="65"/>
      <c r="K396" s="65"/>
      <c r="L396" s="65"/>
      <c r="M396" s="65"/>
      <c r="N396" s="65"/>
      <c r="O396" s="65"/>
      <c r="P396" s="65"/>
      <c r="Q396" s="65"/>
      <c r="R396" s="65"/>
      <c r="S396" s="65"/>
      <c r="T396" s="65"/>
      <c r="U396" s="65"/>
      <c r="V396" s="65"/>
      <c r="W396" s="65"/>
    </row>
    <row r="397" spans="1:23" ht="15.4" customHeight="1" x14ac:dyDescent="0.25">
      <c r="A397" s="65"/>
      <c r="B397" s="65"/>
      <c r="C397" s="65"/>
      <c r="D397" s="65"/>
      <c r="E397" s="65"/>
      <c r="F397" s="65"/>
      <c r="G397" s="65"/>
      <c r="H397" s="65"/>
      <c r="I397" s="65"/>
      <c r="J397" s="65"/>
      <c r="K397" s="65"/>
      <c r="L397" s="65"/>
      <c r="M397" s="65"/>
      <c r="N397" s="65"/>
      <c r="O397" s="65"/>
      <c r="P397" s="65"/>
      <c r="Q397" s="65"/>
      <c r="R397" s="65"/>
      <c r="S397" s="65"/>
      <c r="T397" s="65"/>
      <c r="U397" s="65"/>
      <c r="V397" s="65"/>
      <c r="W397" s="65"/>
    </row>
    <row r="398" spans="1:23" ht="15.4" customHeight="1" x14ac:dyDescent="0.25">
      <c r="A398" s="1030" t="s">
        <v>529</v>
      </c>
      <c r="B398" s="1030"/>
      <c r="C398" s="1030"/>
      <c r="D398" s="1030"/>
      <c r="E398" s="1030"/>
      <c r="F398" s="1030"/>
      <c r="G398" s="1030"/>
      <c r="H398" s="1030"/>
      <c r="I398" s="1030"/>
      <c r="J398" s="1030"/>
      <c r="K398" s="1030"/>
      <c r="L398" s="1030"/>
      <c r="M398" s="1030"/>
      <c r="N398" s="65"/>
      <c r="O398" s="65"/>
      <c r="P398" s="65"/>
      <c r="Q398" s="65"/>
      <c r="R398" s="65"/>
      <c r="S398" s="65"/>
      <c r="T398" s="65"/>
      <c r="U398" s="65"/>
      <c r="V398" s="65"/>
      <c r="W398" s="65"/>
    </row>
    <row r="399" spans="1:23" ht="15.4" customHeight="1" x14ac:dyDescent="0.25">
      <c r="A399" s="65"/>
      <c r="B399" s="65"/>
      <c r="C399" s="65"/>
      <c r="D399" s="65"/>
      <c r="E399" s="65"/>
      <c r="F399" s="1027" t="s">
        <v>957</v>
      </c>
      <c r="G399" s="1027"/>
      <c r="H399" s="65"/>
      <c r="I399" s="680"/>
      <c r="J399" s="680"/>
      <c r="K399" s="680"/>
      <c r="L399" s="680"/>
      <c r="M399" s="680"/>
      <c r="N399" s="680"/>
      <c r="O399" s="65"/>
      <c r="P399" s="65"/>
      <c r="Q399" s="65"/>
      <c r="R399" s="65"/>
      <c r="S399" s="65"/>
      <c r="T399" s="65"/>
      <c r="U399" s="65"/>
      <c r="V399" s="65"/>
      <c r="W399" s="65"/>
    </row>
    <row r="400" spans="1:23" ht="15" hidden="1" customHeight="1" x14ac:dyDescent="0.25">
      <c r="A400" s="65" t="s">
        <v>1270</v>
      </c>
      <c r="B400" s="65"/>
      <c r="C400" s="65"/>
      <c r="D400" s="65"/>
      <c r="E400" s="65"/>
      <c r="F400" s="65"/>
      <c r="G400" s="65" t="s">
        <v>380</v>
      </c>
      <c r="H400" s="65"/>
      <c r="I400" s="65"/>
      <c r="J400" s="65"/>
      <c r="K400" s="65"/>
      <c r="L400" s="65"/>
      <c r="M400" s="65"/>
      <c r="N400" s="65"/>
      <c r="O400" s="65"/>
      <c r="P400" s="65"/>
      <c r="Q400" s="65"/>
      <c r="R400" s="65"/>
      <c r="S400" s="65"/>
      <c r="T400" s="65"/>
      <c r="U400" s="65"/>
      <c r="V400" s="65"/>
      <c r="W400" s="65"/>
    </row>
    <row r="401" spans="1:23" ht="52.15" customHeight="1" x14ac:dyDescent="0.25">
      <c r="A401" s="1032" t="s">
        <v>881</v>
      </c>
      <c r="B401" s="1032" t="s">
        <v>130</v>
      </c>
      <c r="C401" s="1033" t="s">
        <v>90</v>
      </c>
      <c r="D401" s="1034"/>
      <c r="E401" s="1034"/>
      <c r="F401" s="1034"/>
      <c r="G401" s="1034"/>
      <c r="H401" s="42" t="s">
        <v>480</v>
      </c>
      <c r="I401" s="534" t="s">
        <v>33</v>
      </c>
      <c r="J401" s="369" t="s">
        <v>655</v>
      </c>
      <c r="K401" s="336"/>
      <c r="L401" s="336"/>
      <c r="M401" s="336"/>
      <c r="N401" s="65"/>
      <c r="O401" s="65"/>
      <c r="P401" s="65"/>
      <c r="Q401" s="65"/>
      <c r="R401" s="65"/>
      <c r="S401" s="65"/>
      <c r="T401" s="65"/>
      <c r="U401" s="65"/>
      <c r="V401" s="65"/>
      <c r="W401" s="65"/>
    </row>
    <row r="402" spans="1:23" ht="15.4" customHeight="1" x14ac:dyDescent="0.25">
      <c r="A402" s="1032"/>
      <c r="B402" s="1032"/>
      <c r="C402" s="17" t="s">
        <v>18</v>
      </c>
      <c r="D402" s="17">
        <v>5</v>
      </c>
      <c r="E402" s="17">
        <v>10</v>
      </c>
      <c r="F402" s="17">
        <v>20</v>
      </c>
      <c r="G402" s="17">
        <v>50</v>
      </c>
      <c r="H402" s="42">
        <f>$C$8</f>
        <v>18285997</v>
      </c>
      <c r="I402" s="534">
        <f>IF(H402&lt;D402,1,IF(H402&gt;G402,G402,HLOOKUP(H402,D402:G402,1)))</f>
        <v>50</v>
      </c>
      <c r="J402" s="369">
        <f>IF(H402&lt;1,1,IF(H402&lt;5,5,IF(H402&gt;G402,G402,INDEX(D402:G402,MATCH(H402,D402:G402,1)+1))))</f>
        <v>50</v>
      </c>
      <c r="K402" s="99"/>
      <c r="L402" s="99"/>
      <c r="M402" s="99"/>
      <c r="N402" s="65"/>
      <c r="O402" s="65"/>
      <c r="P402" s="65"/>
      <c r="Q402" s="65"/>
      <c r="R402" s="65"/>
      <c r="S402" s="65"/>
      <c r="T402" s="65"/>
      <c r="U402" s="65"/>
      <c r="V402" s="65"/>
      <c r="W402" s="65"/>
    </row>
    <row r="403" spans="1:23" ht="15.4" customHeight="1" x14ac:dyDescent="0.25">
      <c r="A403" s="409">
        <v>1</v>
      </c>
      <c r="B403" s="495" t="s">
        <v>160</v>
      </c>
      <c r="C403" s="502">
        <v>4.0720000000000001</v>
      </c>
      <c r="D403" s="502">
        <v>3.5409999999999999</v>
      </c>
      <c r="E403" s="502">
        <v>3.0790000000000002</v>
      </c>
      <c r="F403" s="502">
        <v>2.7069999999999999</v>
      </c>
      <c r="G403" s="502">
        <v>2.3809999999999998</v>
      </c>
      <c r="H403" s="1">
        <f>IF(J$402=I$402,I403,ROUND(I403-((I403-J403)/(J$402-I$402))*(H$402-I$402),3))</f>
        <v>2.3809999999999998</v>
      </c>
      <c r="I403" s="491">
        <f>IF(I$402=1,C403,HLOOKUP($I$402,$D$402:$G$403,2,TRUE))</f>
        <v>2.3809999999999998</v>
      </c>
      <c r="J403" s="350">
        <f>IF(J$402=1,C403,HLOOKUP($J$402,$D$402:$G$403,2,TRUE))</f>
        <v>2.3809999999999998</v>
      </c>
      <c r="K403" s="215"/>
      <c r="L403" s="215"/>
      <c r="M403" s="215"/>
      <c r="N403" s="65"/>
      <c r="O403" s="65"/>
      <c r="P403" s="65"/>
      <c r="Q403" s="65"/>
      <c r="R403" s="65"/>
      <c r="S403" s="65"/>
      <c r="T403" s="65"/>
      <c r="U403" s="65"/>
      <c r="V403" s="65"/>
      <c r="W403" s="65"/>
    </row>
    <row r="404" spans="1:23" ht="15.4" customHeight="1" x14ac:dyDescent="0.25">
      <c r="A404" s="65" t="s">
        <v>860</v>
      </c>
      <c r="B404" s="65"/>
      <c r="C404" s="65"/>
      <c r="D404" s="65"/>
      <c r="E404" s="65"/>
      <c r="F404" s="65"/>
      <c r="G404" s="65"/>
      <c r="H404" s="65"/>
      <c r="I404" s="65"/>
      <c r="J404" s="65"/>
      <c r="K404" s="65"/>
      <c r="L404" s="65"/>
      <c r="M404" s="65"/>
      <c r="N404" s="65"/>
      <c r="O404" s="65"/>
      <c r="P404" s="65"/>
      <c r="Q404" s="65"/>
      <c r="R404" s="65"/>
      <c r="S404" s="65"/>
      <c r="T404" s="65"/>
      <c r="U404" s="65"/>
      <c r="V404" s="65"/>
      <c r="W404" s="65"/>
    </row>
    <row r="405" spans="1:23" ht="15.4" customHeight="1" x14ac:dyDescent="0.25">
      <c r="A405" s="65"/>
      <c r="B405" s="65"/>
      <c r="C405" s="65"/>
      <c r="D405" s="65"/>
      <c r="E405" s="65"/>
      <c r="F405" s="65"/>
      <c r="G405" s="65"/>
      <c r="H405" s="65"/>
      <c r="I405" s="65"/>
      <c r="J405" s="65"/>
      <c r="K405" s="65"/>
      <c r="L405" s="65"/>
      <c r="M405" s="65"/>
      <c r="N405" s="65"/>
      <c r="O405" s="65"/>
      <c r="P405" s="65"/>
      <c r="Q405" s="65"/>
      <c r="R405" s="65"/>
      <c r="S405" s="65"/>
      <c r="T405" s="65"/>
      <c r="U405" s="65"/>
      <c r="V405" s="65"/>
      <c r="W405" s="65"/>
    </row>
    <row r="406" spans="1:23" ht="15.4" customHeight="1" x14ac:dyDescent="0.25">
      <c r="A406" s="1031" t="s">
        <v>861</v>
      </c>
      <c r="B406" s="1031"/>
      <c r="C406" s="1031"/>
      <c r="D406" s="1031"/>
      <c r="E406" s="1031"/>
      <c r="F406" s="1031"/>
      <c r="G406" s="1031"/>
      <c r="H406" s="1031"/>
      <c r="I406" s="1031"/>
      <c r="J406" s="1031"/>
      <c r="K406" s="1031"/>
      <c r="L406" s="1031"/>
      <c r="M406" s="1031"/>
      <c r="N406" s="1031"/>
      <c r="O406" s="65"/>
      <c r="P406" s="65"/>
      <c r="Q406" s="65"/>
      <c r="R406" s="65"/>
      <c r="S406" s="65"/>
      <c r="T406" s="65"/>
      <c r="U406" s="65"/>
      <c r="V406" s="65"/>
      <c r="W406" s="65"/>
    </row>
    <row r="407" spans="1:23" ht="42" customHeight="1" x14ac:dyDescent="0.25">
      <c r="A407" s="1035" t="s">
        <v>466</v>
      </c>
      <c r="B407" s="1035"/>
      <c r="C407" s="1035"/>
      <c r="D407" s="1035"/>
      <c r="E407" s="1035"/>
      <c r="F407" s="1035"/>
      <c r="G407" s="1035"/>
      <c r="H407" s="1035"/>
      <c r="I407" s="1035"/>
      <c r="J407" s="1035"/>
      <c r="K407" s="1035"/>
      <c r="L407" s="1035"/>
      <c r="M407" s="1035"/>
      <c r="N407" s="1035"/>
      <c r="O407" s="65"/>
      <c r="P407" s="65"/>
      <c r="Q407" s="65"/>
      <c r="R407" s="65"/>
      <c r="S407" s="65"/>
      <c r="T407" s="65"/>
      <c r="U407" s="65"/>
      <c r="V407" s="65"/>
      <c r="W407" s="65"/>
    </row>
    <row r="408" spans="1:23" ht="15.4" customHeight="1" x14ac:dyDescent="0.25">
      <c r="A408" s="65"/>
      <c r="B408" s="65"/>
      <c r="C408" s="65"/>
      <c r="D408" s="65"/>
      <c r="E408" s="65"/>
      <c r="F408" s="65"/>
      <c r="G408" s="65"/>
      <c r="H408" s="65"/>
      <c r="I408" s="65"/>
      <c r="J408" s="65"/>
      <c r="K408" s="65"/>
      <c r="L408" s="65"/>
      <c r="M408" s="65"/>
      <c r="N408" s="65"/>
      <c r="O408" s="65"/>
      <c r="P408" s="65"/>
      <c r="Q408" s="65"/>
      <c r="R408" s="65"/>
      <c r="S408" s="65"/>
      <c r="T408" s="65"/>
      <c r="U408" s="65"/>
      <c r="V408" s="65"/>
      <c r="W408" s="65"/>
    </row>
    <row r="409" spans="1:23" ht="15.4" customHeight="1" x14ac:dyDescent="0.25">
      <c r="A409" s="1036" t="s">
        <v>936</v>
      </c>
      <c r="B409" s="1036"/>
      <c r="C409" s="1036"/>
      <c r="D409" s="1036"/>
      <c r="E409" s="1036"/>
      <c r="F409" s="1036"/>
      <c r="G409" s="1036"/>
      <c r="H409" s="1036"/>
      <c r="I409" s="1036"/>
      <c r="J409" s="1036"/>
      <c r="K409" s="1036"/>
      <c r="L409" s="1036"/>
      <c r="M409" s="1036"/>
      <c r="N409" s="1036"/>
      <c r="O409" s="126"/>
      <c r="P409" s="65"/>
      <c r="Q409" s="65"/>
      <c r="R409" s="65"/>
      <c r="S409" s="65"/>
      <c r="T409" s="65"/>
      <c r="U409" s="65"/>
      <c r="V409" s="65"/>
      <c r="W409" s="65"/>
    </row>
    <row r="410" spans="1:23" ht="15.4" customHeight="1" x14ac:dyDescent="0.25">
      <c r="A410" s="65"/>
      <c r="B410" s="65"/>
      <c r="C410" s="65"/>
      <c r="D410" s="65"/>
      <c r="E410" s="65"/>
      <c r="F410" s="65"/>
      <c r="G410" s="65"/>
      <c r="H410" s="65"/>
      <c r="I410" s="1031" t="s">
        <v>957</v>
      </c>
      <c r="J410" s="1031"/>
      <c r="K410" s="1031"/>
      <c r="L410" s="680"/>
      <c r="M410" s="680"/>
      <c r="N410" s="680"/>
      <c r="O410" s="65"/>
      <c r="P410" s="65"/>
      <c r="Q410" s="65"/>
      <c r="R410" s="65"/>
      <c r="S410" s="65"/>
      <c r="T410" s="65"/>
      <c r="U410" s="65"/>
      <c r="V410" s="65"/>
      <c r="W410" s="65"/>
    </row>
    <row r="411" spans="1:23" ht="15" hidden="1" customHeight="1" x14ac:dyDescent="0.25">
      <c r="A411" s="65" t="s">
        <v>755</v>
      </c>
      <c r="B411" s="65"/>
      <c r="C411" s="65"/>
      <c r="D411" s="65"/>
      <c r="E411" s="65"/>
      <c r="F411" s="65"/>
      <c r="G411" s="65"/>
      <c r="H411" s="65" t="s">
        <v>380</v>
      </c>
      <c r="I411" s="65"/>
      <c r="J411" s="65"/>
      <c r="K411" s="65"/>
      <c r="L411" s="65"/>
      <c r="M411" s="65"/>
      <c r="N411" s="65"/>
      <c r="O411" s="65"/>
      <c r="P411" s="65"/>
      <c r="Q411" s="65"/>
      <c r="R411" s="65"/>
      <c r="S411" s="65"/>
      <c r="T411" s="65"/>
      <c r="U411" s="65"/>
      <c r="V411" s="65"/>
      <c r="W411" s="65"/>
    </row>
    <row r="412" spans="1:23" ht="46.5" customHeight="1" x14ac:dyDescent="0.25">
      <c r="A412" s="1032" t="s">
        <v>881</v>
      </c>
      <c r="B412" s="1032" t="s">
        <v>130</v>
      </c>
      <c r="C412" s="1033" t="s">
        <v>1158</v>
      </c>
      <c r="D412" s="1034"/>
      <c r="E412" s="1034"/>
      <c r="F412" s="1034"/>
      <c r="G412" s="1034"/>
      <c r="H412" s="1034"/>
      <c r="I412" s="42" t="s">
        <v>480</v>
      </c>
      <c r="J412" s="534" t="s">
        <v>33</v>
      </c>
      <c r="K412" s="369" t="s">
        <v>655</v>
      </c>
      <c r="L412" s="65"/>
      <c r="M412" s="65"/>
      <c r="N412" s="65"/>
      <c r="O412" s="65"/>
      <c r="P412" s="65"/>
      <c r="Q412" s="65"/>
      <c r="R412" s="65"/>
      <c r="S412" s="65"/>
      <c r="T412" s="65"/>
      <c r="U412" s="65"/>
      <c r="V412" s="65"/>
      <c r="W412" s="65"/>
    </row>
    <row r="413" spans="1:23" ht="15.4" customHeight="1" x14ac:dyDescent="0.25">
      <c r="A413" s="1032"/>
      <c r="B413" s="1032"/>
      <c r="C413" s="17" t="s">
        <v>296</v>
      </c>
      <c r="D413" s="17">
        <v>100</v>
      </c>
      <c r="E413" s="17">
        <v>500</v>
      </c>
      <c r="F413" s="402">
        <v>1000</v>
      </c>
      <c r="G413" s="402">
        <v>5000</v>
      </c>
      <c r="H413" s="402">
        <v>10000</v>
      </c>
      <c r="I413" s="602">
        <f>$C$7</f>
        <v>1001119864</v>
      </c>
      <c r="J413" s="335">
        <f>IF(I413&lt;D413,15,IF(I413&gt;H413,H413,HLOOKUP(I413,D413:H413,1)))</f>
        <v>10000</v>
      </c>
      <c r="K413" s="152">
        <f>IF(I413&lt;15,15,IF(I413&lt;100,100,IF(I413&gt;H413,H413,INDEX(D413:H413,MATCH(I413,D413:H413,1)+1))))</f>
        <v>10000</v>
      </c>
      <c r="L413" s="65"/>
      <c r="M413" s="65"/>
      <c r="N413" s="65"/>
      <c r="O413" s="65"/>
      <c r="P413" s="65"/>
      <c r="Q413" s="65"/>
      <c r="R413" s="65"/>
      <c r="S413" s="65"/>
      <c r="T413" s="65"/>
      <c r="U413" s="65"/>
      <c r="V413" s="65"/>
      <c r="W413" s="65"/>
    </row>
    <row r="414" spans="1:23" ht="15.4" customHeight="1" x14ac:dyDescent="0.25">
      <c r="A414" s="409">
        <v>1</v>
      </c>
      <c r="B414" s="495" t="str">
        <f t="shared" ref="B414:B416" si="95">B48</f>
        <v>Công trình dân dụng</v>
      </c>
      <c r="C414" s="627">
        <v>9.6699999999999998E-3</v>
      </c>
      <c r="D414" s="627">
        <v>5.2300000000000003E-3</v>
      </c>
      <c r="E414" s="627">
        <v>2.9099999999999998E-3</v>
      </c>
      <c r="F414" s="627">
        <v>1.9400000000000001E-3</v>
      </c>
      <c r="G414" s="627">
        <v>1.08E-3</v>
      </c>
      <c r="H414" s="627">
        <v>7.2000000000000005E-4</v>
      </c>
      <c r="I414" s="132">
        <f t="shared" ref="I414:I419" si="96">IF(K$413=J$413,J414,ROUND(J414-((J414-K414)/(K$413-J$413))*(I$413-J$413),5))</f>
        <v>7.2000000000000005E-4</v>
      </c>
      <c r="J414" s="615">
        <f>IF(J$413=15,C414,HLOOKUP($J$413,$D$413:$H$417,2,TRUE))</f>
        <v>7.2000000000000005E-4</v>
      </c>
      <c r="K414" s="454">
        <f>IF(K$413=15,C414,HLOOKUP($K$413,$D$413:$I$417,2,TRUE))</f>
        <v>7.2000000000000005E-4</v>
      </c>
      <c r="L414" s="65"/>
      <c r="M414" s="65"/>
      <c r="N414" s="65"/>
      <c r="O414" s="65"/>
      <c r="P414" s="65"/>
      <c r="Q414" s="65"/>
      <c r="R414" s="65"/>
      <c r="S414" s="65"/>
      <c r="T414" s="65"/>
      <c r="U414" s="65"/>
      <c r="V414" s="65"/>
      <c r="W414" s="65"/>
    </row>
    <row r="415" spans="1:23" ht="15.4" customHeight="1" x14ac:dyDescent="0.25">
      <c r="A415" s="409">
        <v>2</v>
      </c>
      <c r="B415" s="495" t="str">
        <f t="shared" si="95"/>
        <v>Công trình công nghiệp</v>
      </c>
      <c r="C415" s="627">
        <v>9.6699999999999998E-3</v>
      </c>
      <c r="D415" s="627">
        <v>5.2300000000000003E-3</v>
      </c>
      <c r="E415" s="627">
        <v>2.9099999999999998E-3</v>
      </c>
      <c r="F415" s="627">
        <v>1.9400000000000001E-3</v>
      </c>
      <c r="G415" s="627">
        <v>1.08E-3</v>
      </c>
      <c r="H415" s="627">
        <v>7.2000000000000005E-4</v>
      </c>
      <c r="I415" s="132">
        <f t="shared" si="96"/>
        <v>7.2000000000000005E-4</v>
      </c>
      <c r="J415" s="615">
        <f>IF(J$413=15,C415,HLOOKUP($J$413,$D$413:$H$417,3,TRUE))</f>
        <v>7.2000000000000005E-4</v>
      </c>
      <c r="K415" s="454">
        <f>IF(K$413=15,C415,HLOOKUP($K$413,$D$413:$I$417,3,TRUE))</f>
        <v>7.2000000000000005E-4</v>
      </c>
      <c r="L415" s="65"/>
      <c r="M415" s="65"/>
      <c r="N415" s="65"/>
      <c r="O415" s="65"/>
      <c r="P415" s="65"/>
      <c r="Q415" s="65"/>
      <c r="R415" s="65"/>
      <c r="S415" s="65"/>
      <c r="T415" s="65"/>
      <c r="U415" s="65"/>
      <c r="V415" s="65"/>
      <c r="W415" s="65"/>
    </row>
    <row r="416" spans="1:23" ht="15.4" customHeight="1" x14ac:dyDescent="0.25">
      <c r="A416" s="409">
        <v>3</v>
      </c>
      <c r="B416" s="495" t="str">
        <f t="shared" si="95"/>
        <v>Công trình giao thông</v>
      </c>
      <c r="C416" s="627">
        <v>6.7099999999999998E-3</v>
      </c>
      <c r="D416" s="627">
        <v>3.63E-3</v>
      </c>
      <c r="E416" s="627">
        <v>2.0200000000000001E-3</v>
      </c>
      <c r="F416" s="627">
        <v>1.3500000000000001E-3</v>
      </c>
      <c r="G416" s="627">
        <v>7.5000000000000002E-4</v>
      </c>
      <c r="H416" s="627">
        <v>5.0000000000000001E-4</v>
      </c>
      <c r="I416" s="132">
        <f t="shared" si="96"/>
        <v>5.0000000000000001E-4</v>
      </c>
      <c r="J416" s="615">
        <f>IF(J$413=15,C416,HLOOKUP($J$413,$D$413:$H$417,4,TRUE))</f>
        <v>5.0000000000000001E-4</v>
      </c>
      <c r="K416" s="454">
        <f>IF(K$413=15,C416,HLOOKUP($K$413,$D$413:$I$417,4,TRUE))</f>
        <v>5.0000000000000001E-4</v>
      </c>
      <c r="L416" s="65"/>
      <c r="M416" s="65"/>
      <c r="N416" s="65"/>
      <c r="O416" s="65"/>
      <c r="P416" s="65"/>
      <c r="Q416" s="65"/>
      <c r="R416" s="65"/>
      <c r="S416" s="65"/>
      <c r="T416" s="65"/>
      <c r="U416" s="65"/>
      <c r="V416" s="65"/>
      <c r="W416" s="65"/>
    </row>
    <row r="417" spans="1:23" ht="15.4" customHeight="1" x14ac:dyDescent="0.25">
      <c r="A417" s="409">
        <v>5</v>
      </c>
      <c r="B417" s="495" t="str">
        <f>B52</f>
        <v>Công trình hạ tầng kỹ thuật</v>
      </c>
      <c r="C417" s="627">
        <v>6.7099999999999998E-3</v>
      </c>
      <c r="D417" s="627">
        <v>3.63E-3</v>
      </c>
      <c r="E417" s="627">
        <v>2.0200000000000001E-3</v>
      </c>
      <c r="F417" s="627">
        <v>1.3500000000000001E-3</v>
      </c>
      <c r="G417" s="627">
        <v>7.5000000000000002E-4</v>
      </c>
      <c r="H417" s="627">
        <v>5.0000000000000001E-4</v>
      </c>
      <c r="I417" s="132">
        <f t="shared" si="96"/>
        <v>5.0000000000000001E-4</v>
      </c>
      <c r="J417" s="615">
        <f t="shared" ref="J417:J418" si="97">IF(J$413=15,C417,HLOOKUP($J$413,$D$413:$H$417,5,TRUE))</f>
        <v>5.0000000000000001E-4</v>
      </c>
      <c r="K417" s="454">
        <f t="shared" ref="K417:K419" si="98">IF(K$413=15,C417,HLOOKUP($K$413,$D$413:$I$417,5,TRUE))</f>
        <v>5.0000000000000001E-4</v>
      </c>
      <c r="L417" s="65"/>
      <c r="M417" s="65"/>
      <c r="N417" s="65"/>
      <c r="O417" s="65"/>
      <c r="P417" s="65"/>
      <c r="Q417" s="65"/>
      <c r="R417" s="65"/>
      <c r="S417" s="65"/>
      <c r="T417" s="65"/>
      <c r="U417" s="65"/>
      <c r="V417" s="65"/>
      <c r="W417" s="65"/>
    </row>
    <row r="418" spans="1:23" ht="15.4" customHeight="1" x14ac:dyDescent="0.25">
      <c r="A418" s="104">
        <v>6</v>
      </c>
      <c r="B418" s="495" t="s">
        <v>605</v>
      </c>
      <c r="C418" s="627">
        <v>8.8800000000000007E-3</v>
      </c>
      <c r="D418" s="627">
        <v>4.7999999999999996E-3</v>
      </c>
      <c r="E418" s="627">
        <v>2.6700000000000001E-3</v>
      </c>
      <c r="F418" s="627">
        <v>1.7799999999999999E-3</v>
      </c>
      <c r="G418" s="627">
        <v>9.8999999999999999E-4</v>
      </c>
      <c r="H418" s="627">
        <v>6.6E-4</v>
      </c>
      <c r="I418" s="132">
        <f t="shared" si="96"/>
        <v>5.0000000000000001E-4</v>
      </c>
      <c r="J418" s="615">
        <f t="shared" si="97"/>
        <v>5.0000000000000001E-4</v>
      </c>
      <c r="K418" s="454">
        <f t="shared" si="98"/>
        <v>5.0000000000000001E-4</v>
      </c>
      <c r="L418" s="65"/>
      <c r="M418" s="65"/>
      <c r="N418" s="65"/>
      <c r="O418" s="65"/>
      <c r="P418" s="65"/>
      <c r="Q418" s="65"/>
      <c r="R418" s="65"/>
      <c r="S418" s="65"/>
      <c r="T418" s="65"/>
      <c r="U418" s="65"/>
      <c r="V418" s="65"/>
      <c r="W418" s="65"/>
    </row>
    <row r="419" spans="1:23" ht="15.4" customHeight="1" x14ac:dyDescent="0.25">
      <c r="A419" s="65" t="s">
        <v>349</v>
      </c>
      <c r="B419" s="65"/>
      <c r="C419" s="65"/>
      <c r="D419" s="65"/>
      <c r="E419" s="65"/>
      <c r="F419" s="65"/>
      <c r="G419" s="65"/>
      <c r="H419" s="65"/>
      <c r="I419" s="132">
        <f t="shared" si="96"/>
        <v>7.2000000000000005E-4</v>
      </c>
      <c r="J419" s="615">
        <f>IF(J$413=15,C419,HLOOKUP($J$413,$D$413:$H$417,2,TRUE))</f>
        <v>7.2000000000000005E-4</v>
      </c>
      <c r="K419" s="454">
        <f t="shared" si="98"/>
        <v>5.0000000000000001E-4</v>
      </c>
      <c r="L419" s="65"/>
      <c r="M419" s="65"/>
      <c r="N419" s="65"/>
      <c r="O419" s="65"/>
      <c r="P419" s="65"/>
      <c r="Q419" s="65"/>
      <c r="R419" s="65"/>
      <c r="S419" s="65"/>
      <c r="T419" s="65"/>
      <c r="U419" s="65"/>
      <c r="V419" s="65"/>
      <c r="W419" s="65"/>
    </row>
    <row r="420" spans="1:23" ht="15.4" customHeight="1" x14ac:dyDescent="0.25">
      <c r="A420" s="65"/>
      <c r="B420" s="65"/>
      <c r="C420" s="65"/>
      <c r="D420" s="65"/>
      <c r="E420" s="65"/>
      <c r="F420" s="65"/>
      <c r="G420" s="65"/>
      <c r="H420" s="65"/>
      <c r="I420" s="65"/>
      <c r="J420" s="65"/>
      <c r="K420" s="65"/>
      <c r="L420" s="65"/>
      <c r="M420" s="65"/>
      <c r="N420" s="65"/>
      <c r="O420" s="65"/>
      <c r="P420" s="65"/>
      <c r="Q420" s="65"/>
      <c r="R420" s="65"/>
      <c r="S420" s="65"/>
      <c r="T420" s="65"/>
      <c r="U420" s="65"/>
      <c r="V420" s="65"/>
      <c r="W420" s="65"/>
    </row>
    <row r="421" spans="1:23" ht="15.4" customHeight="1" x14ac:dyDescent="0.25">
      <c r="A421" s="65"/>
      <c r="B421" s="65"/>
      <c r="C421" s="65"/>
      <c r="D421" s="65"/>
      <c r="E421" s="65"/>
      <c r="F421" s="65"/>
      <c r="G421" s="65"/>
      <c r="H421" s="65"/>
      <c r="I421" s="65"/>
      <c r="J421" s="65"/>
      <c r="K421" s="65"/>
      <c r="L421" s="65"/>
      <c r="M421" s="65"/>
      <c r="N421" s="65"/>
      <c r="O421" s="65"/>
      <c r="P421" s="65"/>
      <c r="Q421" s="65"/>
      <c r="R421" s="65"/>
      <c r="S421" s="65"/>
      <c r="T421" s="65"/>
      <c r="U421" s="65"/>
      <c r="V421" s="65"/>
      <c r="W421" s="65"/>
    </row>
    <row r="422" spans="1:23" ht="15.4" customHeight="1" x14ac:dyDescent="0.25">
      <c r="A422" s="65"/>
      <c r="B422" s="1031" t="s">
        <v>727</v>
      </c>
      <c r="C422" s="1031"/>
      <c r="D422" s="1031"/>
      <c r="E422" s="1031"/>
      <c r="F422" s="1031"/>
      <c r="G422" s="1031"/>
      <c r="H422" s="1031"/>
      <c r="I422" s="1031"/>
      <c r="J422" s="1031"/>
      <c r="K422" s="1031"/>
      <c r="L422" s="1031"/>
      <c r="M422" s="1031"/>
      <c r="N422" s="1031"/>
      <c r="O422" s="1031"/>
      <c r="P422" s="65"/>
      <c r="Q422" s="65"/>
      <c r="R422" s="65"/>
      <c r="S422" s="65"/>
      <c r="T422" s="65"/>
      <c r="U422" s="65"/>
      <c r="V422" s="65"/>
      <c r="W422" s="65"/>
    </row>
    <row r="423" spans="1:23" ht="15.4" customHeight="1" x14ac:dyDescent="0.25">
      <c r="A423" s="65"/>
      <c r="B423" s="1031" t="s">
        <v>889</v>
      </c>
      <c r="C423" s="1031"/>
      <c r="D423" s="1031"/>
      <c r="E423" s="1031"/>
      <c r="F423" s="1031"/>
      <c r="G423" s="1031"/>
      <c r="H423" s="1031"/>
      <c r="I423" s="1031"/>
      <c r="J423" s="1031"/>
      <c r="K423" s="1031"/>
      <c r="L423" s="1031"/>
      <c r="M423" s="1031"/>
      <c r="N423" s="1031"/>
      <c r="O423" s="1031"/>
      <c r="P423" s="65"/>
      <c r="Q423" s="65"/>
      <c r="R423" s="65"/>
      <c r="S423" s="65"/>
      <c r="T423" s="65"/>
      <c r="U423" s="65"/>
      <c r="V423" s="65"/>
      <c r="W423" s="65"/>
    </row>
    <row r="424" spans="1:23" ht="15.4" customHeight="1" x14ac:dyDescent="0.25">
      <c r="A424" s="65"/>
      <c r="B424" s="459" t="s">
        <v>1090</v>
      </c>
      <c r="C424" s="65"/>
      <c r="D424" s="65"/>
      <c r="E424" s="65"/>
      <c r="F424" s="65"/>
      <c r="G424" s="65"/>
      <c r="H424" s="65"/>
      <c r="I424" s="65"/>
      <c r="J424" s="65"/>
      <c r="K424" s="65"/>
      <c r="L424" s="65"/>
      <c r="M424" s="65"/>
      <c r="N424" s="65"/>
      <c r="O424" s="65"/>
      <c r="P424" s="65"/>
      <c r="Q424" s="65"/>
      <c r="R424" s="65"/>
      <c r="S424" s="65"/>
      <c r="T424" s="65"/>
      <c r="U424" s="65"/>
      <c r="V424" s="65"/>
      <c r="W424" s="65"/>
    </row>
    <row r="425" spans="1:23" ht="15.4" customHeight="1" x14ac:dyDescent="0.25">
      <c r="A425" s="65"/>
      <c r="B425" s="459" t="s">
        <v>249</v>
      </c>
      <c r="C425" s="65"/>
      <c r="D425" s="65"/>
      <c r="E425" s="65"/>
      <c r="F425" s="65"/>
      <c r="G425" s="65"/>
      <c r="H425" s="65"/>
      <c r="I425" s="65"/>
      <c r="J425" s="65"/>
      <c r="K425" s="65"/>
      <c r="L425" s="65"/>
      <c r="M425" s="65"/>
      <c r="N425" s="65"/>
      <c r="O425" s="65"/>
      <c r="P425" s="65"/>
      <c r="Q425" s="65"/>
      <c r="R425" s="65"/>
      <c r="S425" s="65"/>
      <c r="T425" s="65"/>
      <c r="U425" s="65"/>
      <c r="V425" s="65"/>
      <c r="W425" s="65"/>
    </row>
    <row r="426" spans="1:23" ht="15.4" customHeight="1" x14ac:dyDescent="0.25">
      <c r="A426" s="65"/>
      <c r="B426" s="459" t="s">
        <v>1028</v>
      </c>
      <c r="C426" s="65"/>
      <c r="D426" s="65"/>
      <c r="E426" s="65"/>
      <c r="F426" s="65"/>
      <c r="G426" s="65"/>
      <c r="H426" s="65"/>
      <c r="I426" s="65"/>
      <c r="J426" s="65"/>
      <c r="K426" s="65"/>
      <c r="L426" s="65"/>
      <c r="M426" s="65"/>
      <c r="N426" s="65"/>
      <c r="O426" s="65"/>
      <c r="P426" s="65"/>
      <c r="Q426" s="65"/>
      <c r="R426" s="65"/>
      <c r="S426" s="65"/>
      <c r="T426" s="65"/>
      <c r="U426" s="65"/>
      <c r="V426" s="65"/>
      <c r="W426" s="65"/>
    </row>
    <row r="427" spans="1:23" ht="15.4" customHeight="1" x14ac:dyDescent="0.25">
      <c r="A427" s="65"/>
      <c r="B427" s="459" t="s">
        <v>505</v>
      </c>
      <c r="C427" s="65"/>
      <c r="D427" s="65"/>
      <c r="E427" s="65"/>
      <c r="F427" s="65"/>
      <c r="G427" s="65"/>
      <c r="H427" s="65"/>
      <c r="I427" s="65"/>
      <c r="J427" s="65"/>
      <c r="K427" s="65"/>
      <c r="L427" s="65"/>
      <c r="M427" s="65"/>
      <c r="N427" s="65"/>
      <c r="O427" s="65"/>
      <c r="P427" s="65"/>
      <c r="Q427" s="65"/>
      <c r="R427" s="65"/>
      <c r="S427" s="65"/>
      <c r="T427" s="65"/>
      <c r="U427" s="65"/>
      <c r="V427" s="65"/>
      <c r="W427" s="65"/>
    </row>
    <row r="428" spans="1:23" ht="15.4" customHeight="1" x14ac:dyDescent="0.25">
      <c r="A428" s="65"/>
      <c r="B428" s="459" t="s">
        <v>1031</v>
      </c>
      <c r="C428" s="65"/>
      <c r="D428" s="65"/>
      <c r="E428" s="65"/>
      <c r="F428" s="65"/>
      <c r="G428" s="65"/>
      <c r="H428" s="65"/>
      <c r="I428" s="65"/>
      <c r="J428" s="65"/>
      <c r="K428" s="65"/>
      <c r="L428" s="65"/>
      <c r="M428" s="65"/>
      <c r="N428" s="65"/>
      <c r="O428" s="65"/>
      <c r="P428" s="65"/>
      <c r="Q428" s="65"/>
      <c r="R428" s="65"/>
      <c r="S428" s="65"/>
      <c r="T428" s="65"/>
      <c r="U428" s="65"/>
      <c r="V428" s="65"/>
      <c r="W428" s="65"/>
    </row>
    <row r="429" spans="1:23" ht="15.4" customHeight="1" x14ac:dyDescent="0.25">
      <c r="A429" s="65"/>
      <c r="B429" s="459" t="s">
        <v>709</v>
      </c>
      <c r="C429" s="65"/>
      <c r="D429" s="65"/>
      <c r="E429" s="65"/>
      <c r="F429" s="65"/>
      <c r="G429" s="65"/>
      <c r="H429" s="65"/>
      <c r="I429" s="65"/>
      <c r="J429" s="65"/>
      <c r="K429" s="65"/>
      <c r="L429" s="65"/>
      <c r="M429" s="65"/>
      <c r="N429" s="65"/>
      <c r="O429" s="65"/>
      <c r="P429" s="65"/>
      <c r="Q429" s="65"/>
      <c r="R429" s="65"/>
      <c r="S429" s="65"/>
      <c r="T429" s="65"/>
      <c r="U429" s="65"/>
      <c r="V429" s="65"/>
      <c r="W429" s="65"/>
    </row>
    <row r="430" spans="1:23" ht="15.4" customHeight="1" x14ac:dyDescent="0.25">
      <c r="A430" s="65"/>
      <c r="B430" s="459" t="s">
        <v>514</v>
      </c>
      <c r="C430" s="65"/>
      <c r="D430" s="65"/>
      <c r="E430" s="65"/>
      <c r="F430" s="65"/>
      <c r="G430" s="65"/>
      <c r="H430" s="65"/>
      <c r="I430" s="65"/>
      <c r="J430" s="65"/>
      <c r="K430" s="65"/>
      <c r="L430" s="65"/>
      <c r="M430" s="65"/>
      <c r="N430" s="65"/>
      <c r="O430" s="65"/>
      <c r="P430" s="65"/>
      <c r="Q430" s="65"/>
      <c r="R430" s="65"/>
      <c r="S430" s="65"/>
      <c r="T430" s="65"/>
      <c r="U430" s="65"/>
      <c r="V430" s="65"/>
      <c r="W430" s="65"/>
    </row>
    <row r="431" spans="1:23" ht="15.4" customHeight="1" x14ac:dyDescent="0.25">
      <c r="A431" s="65"/>
      <c r="B431" s="459" t="s">
        <v>530</v>
      </c>
      <c r="C431" s="65"/>
      <c r="D431" s="65"/>
      <c r="E431" s="65"/>
      <c r="F431" s="65"/>
      <c r="G431" s="65"/>
      <c r="H431" s="65"/>
      <c r="I431" s="65"/>
      <c r="J431" s="65"/>
      <c r="K431" s="65"/>
      <c r="L431" s="65"/>
      <c r="M431" s="65"/>
      <c r="N431" s="65"/>
      <c r="O431" s="65"/>
      <c r="P431" s="65"/>
      <c r="Q431" s="65"/>
      <c r="R431" s="65"/>
      <c r="S431" s="65"/>
      <c r="T431" s="65"/>
      <c r="U431" s="65"/>
      <c r="V431" s="65"/>
      <c r="W431" s="65"/>
    </row>
    <row r="432" spans="1:23" ht="15.4" customHeight="1" x14ac:dyDescent="0.25">
      <c r="A432" s="65"/>
      <c r="B432" s="459"/>
      <c r="C432" s="65"/>
      <c r="D432" s="65"/>
      <c r="E432" s="65"/>
      <c r="F432" s="65"/>
      <c r="G432" s="65"/>
      <c r="H432" s="65"/>
      <c r="I432" s="65"/>
      <c r="J432" s="65"/>
      <c r="K432" s="65"/>
      <c r="L432" s="65"/>
      <c r="M432" s="65"/>
      <c r="N432" s="65"/>
      <c r="O432" s="65"/>
      <c r="P432" s="65"/>
      <c r="Q432" s="65"/>
      <c r="R432" s="65"/>
      <c r="S432" s="65"/>
      <c r="T432" s="65"/>
      <c r="U432" s="65"/>
      <c r="V432" s="65"/>
      <c r="W432" s="65"/>
    </row>
    <row r="433" spans="1:23" ht="15.4" customHeight="1" x14ac:dyDescent="0.25">
      <c r="A433" s="65"/>
      <c r="B433" s="1030" t="s">
        <v>463</v>
      </c>
      <c r="C433" s="1030"/>
      <c r="D433" s="1030"/>
      <c r="E433" s="1030"/>
      <c r="F433" s="1030"/>
      <c r="G433" s="1030"/>
      <c r="H433" s="1030"/>
      <c r="I433" s="1030"/>
      <c r="J433" s="1030"/>
      <c r="K433" s="1030"/>
      <c r="L433" s="1030"/>
      <c r="M433" s="1030"/>
      <c r="N433" s="1030"/>
      <c r="O433" s="65"/>
      <c r="P433" s="65"/>
      <c r="Q433" s="65"/>
      <c r="R433" s="65"/>
      <c r="S433" s="65"/>
      <c r="T433" s="65"/>
      <c r="U433" s="65"/>
      <c r="V433" s="65"/>
      <c r="W433" s="65"/>
    </row>
    <row r="434" spans="1:23" ht="15.4" customHeight="1" x14ac:dyDescent="0.25">
      <c r="A434" s="65"/>
      <c r="B434" s="65"/>
      <c r="C434" s="65"/>
      <c r="D434" s="65"/>
      <c r="E434" s="65"/>
      <c r="F434" s="65"/>
      <c r="G434" s="65"/>
      <c r="H434" s="65"/>
      <c r="I434" s="65"/>
      <c r="J434" s="65"/>
      <c r="K434" s="65"/>
      <c r="L434" s="65"/>
      <c r="M434" s="65"/>
      <c r="N434" s="65"/>
      <c r="O434" s="65"/>
      <c r="P434" s="65"/>
      <c r="Q434" s="65"/>
      <c r="R434" s="65"/>
      <c r="S434" s="65"/>
      <c r="T434" s="65"/>
      <c r="U434" s="65"/>
      <c r="V434" s="65"/>
      <c r="W434" s="65"/>
    </row>
    <row r="435" spans="1:23" ht="15.4" customHeight="1" x14ac:dyDescent="0.25">
      <c r="A435" s="495"/>
      <c r="B435" s="495"/>
      <c r="C435" s="495" t="s">
        <v>460</v>
      </c>
      <c r="D435" s="495"/>
      <c r="E435" s="495"/>
      <c r="F435" s="495"/>
      <c r="G435" s="495"/>
      <c r="H435" s="495"/>
      <c r="I435" s="495"/>
      <c r="J435" s="274" t="s">
        <v>480</v>
      </c>
      <c r="K435" s="274" t="s">
        <v>33</v>
      </c>
      <c r="L435" s="274" t="s">
        <v>655</v>
      </c>
      <c r="M435" s="65"/>
      <c r="N435" s="65"/>
      <c r="O435" s="65"/>
      <c r="P435" s="65"/>
      <c r="Q435" s="65"/>
      <c r="R435" s="65"/>
      <c r="S435" s="65"/>
      <c r="T435" s="65"/>
      <c r="U435" s="65"/>
      <c r="V435" s="65"/>
      <c r="W435" s="65"/>
    </row>
    <row r="436" spans="1:23" ht="30.75" customHeight="1" x14ac:dyDescent="0.25">
      <c r="A436" s="17" t="s">
        <v>881</v>
      </c>
      <c r="B436" s="308" t="s">
        <v>277</v>
      </c>
      <c r="C436" s="17">
        <v>5</v>
      </c>
      <c r="D436" s="17">
        <v>10</v>
      </c>
      <c r="E436" s="17">
        <v>50</v>
      </c>
      <c r="F436" s="17">
        <v>100</v>
      </c>
      <c r="G436" s="17">
        <v>500</v>
      </c>
      <c r="H436" s="17">
        <v>1000</v>
      </c>
      <c r="I436" s="402">
        <v>10000</v>
      </c>
      <c r="J436" s="17">
        <f>THKP_TT11_2021!K63/1000000000</f>
        <v>1.126808</v>
      </c>
      <c r="K436" s="17">
        <f>IF(J436&lt;D436,5,IF(J436&gt;I436,I436,HLOOKUP(J436,D436:I436,1)))</f>
        <v>5</v>
      </c>
      <c r="L436" s="17">
        <f>IF(J436&lt;5,5,IF(J436&lt;10,10,IF(J436&gt;I436,I436,INDEX(D436:I436,MATCH(J436,D436:I436,1)+1))))</f>
        <v>5</v>
      </c>
      <c r="M436" s="226"/>
      <c r="N436" s="99"/>
      <c r="O436" s="65"/>
      <c r="P436" s="65"/>
      <c r="Q436" s="65"/>
      <c r="R436" s="65"/>
      <c r="S436" s="65"/>
      <c r="T436" s="65"/>
      <c r="U436" s="65"/>
      <c r="V436" s="65"/>
      <c r="W436" s="65"/>
    </row>
    <row r="437" spans="1:23" ht="15.4" customHeight="1" x14ac:dyDescent="0.25">
      <c r="A437" s="409">
        <v>1</v>
      </c>
      <c r="B437" s="495" t="s">
        <v>769</v>
      </c>
      <c r="C437" s="100">
        <v>9.5999999999999992E-3</v>
      </c>
      <c r="D437" s="100">
        <v>6.45E-3</v>
      </c>
      <c r="E437" s="100">
        <v>4.4999999999999997E-3</v>
      </c>
      <c r="F437" s="100">
        <v>3.4499999999999999E-3</v>
      </c>
      <c r="G437" s="100">
        <v>1.9499999999999999E-3</v>
      </c>
      <c r="H437" s="100">
        <v>1.2899999999999999E-3</v>
      </c>
      <c r="I437" s="100">
        <v>6.8999999999999997E-4</v>
      </c>
      <c r="J437" s="206">
        <f t="shared" ref="J437:J438" si="99">IF(L$436=K$436,K437,ROUND(K437-((K437-L437)/(L$436-K$436))*(J$436-K$436),5))</f>
        <v>9.5999999999999992E-3</v>
      </c>
      <c r="K437" s="206">
        <f>HLOOKUP($K$436,$C$436:$I$437,2)</f>
        <v>9.5999999999999992E-3</v>
      </c>
      <c r="L437" s="206">
        <f>HLOOKUP($L$436,$C$436:$I$437,2)</f>
        <v>9.5999999999999992E-3</v>
      </c>
      <c r="M437" s="65"/>
      <c r="N437" s="65"/>
      <c r="O437" s="65"/>
      <c r="P437" s="65"/>
      <c r="Q437" s="65"/>
      <c r="R437" s="65"/>
      <c r="S437" s="65"/>
      <c r="T437" s="65"/>
      <c r="U437" s="65"/>
      <c r="V437" s="65"/>
      <c r="W437" s="65"/>
    </row>
    <row r="438" spans="1:23" ht="30.6" customHeight="1" x14ac:dyDescent="0.25">
      <c r="A438" s="83">
        <v>2</v>
      </c>
      <c r="B438" s="338" t="s">
        <v>809</v>
      </c>
      <c r="C438" s="706">
        <v>5.7000000000000002E-3</v>
      </c>
      <c r="D438" s="706">
        <v>3.8999999999999998E-3</v>
      </c>
      <c r="E438" s="100">
        <v>2.8500000000000001E-3</v>
      </c>
      <c r="F438" s="706">
        <v>2.2499999999999998E-3</v>
      </c>
      <c r="G438" s="706">
        <v>1.3500000000000001E-3</v>
      </c>
      <c r="H438" s="706">
        <v>8.9999999999999998E-4</v>
      </c>
      <c r="I438" s="706">
        <v>4.8000000000000001E-4</v>
      </c>
      <c r="J438" s="206">
        <f t="shared" si="99"/>
        <v>5.7000000000000002E-3</v>
      </c>
      <c r="K438" s="206">
        <f>HLOOKUP($K$436,$C$436:$I$438,3)</f>
        <v>5.7000000000000002E-3</v>
      </c>
      <c r="L438" s="206">
        <f>HLOOKUP($L$436,$C$436:$I$438,3)</f>
        <v>5.7000000000000002E-3</v>
      </c>
      <c r="M438" s="65"/>
      <c r="N438" s="65"/>
      <c r="O438" s="65"/>
      <c r="P438" s="65"/>
      <c r="Q438" s="65"/>
      <c r="R438" s="65"/>
      <c r="S438" s="65"/>
      <c r="T438" s="65"/>
      <c r="U438" s="65"/>
      <c r="V438" s="65"/>
      <c r="W438" s="65"/>
    </row>
    <row r="439" spans="1:23" ht="15.4" customHeight="1" x14ac:dyDescent="0.25">
      <c r="A439" s="65"/>
      <c r="B439" s="65"/>
      <c r="C439" s="65"/>
      <c r="D439" s="65"/>
      <c r="E439" s="65"/>
      <c r="F439" s="65"/>
      <c r="G439" s="65"/>
      <c r="H439" s="65"/>
      <c r="I439" s="65"/>
      <c r="J439" s="65"/>
      <c r="K439" s="65"/>
      <c r="L439" s="65"/>
      <c r="M439" s="65"/>
      <c r="N439" s="65"/>
      <c r="O439" s="65"/>
      <c r="P439" s="65"/>
      <c r="Q439" s="65"/>
      <c r="R439" s="65"/>
      <c r="S439" s="65"/>
      <c r="T439" s="65"/>
      <c r="U439" s="65"/>
      <c r="V439" s="65"/>
      <c r="W439" s="65"/>
    </row>
    <row r="440" spans="1:23" ht="15.4" customHeight="1" x14ac:dyDescent="0.25">
      <c r="A440" s="65"/>
      <c r="B440" s="65"/>
      <c r="C440" s="65"/>
      <c r="D440" s="65"/>
      <c r="E440" s="65"/>
      <c r="F440" s="65"/>
      <c r="G440" s="65"/>
      <c r="H440" s="65"/>
      <c r="I440" s="65"/>
      <c r="J440" s="654"/>
      <c r="K440" s="65"/>
      <c r="L440" s="65"/>
      <c r="M440" s="65"/>
      <c r="N440" s="65"/>
      <c r="O440" s="65"/>
      <c r="P440" s="65"/>
      <c r="Q440" s="65"/>
      <c r="R440" s="65"/>
      <c r="S440" s="65"/>
      <c r="T440" s="65"/>
      <c r="U440" s="65"/>
      <c r="V440" s="65"/>
      <c r="W440" s="65"/>
    </row>
  </sheetData>
  <mergeCells count="170">
    <mergeCell ref="A1:B1"/>
    <mergeCell ref="C1:D1"/>
    <mergeCell ref="A2:B2"/>
    <mergeCell ref="C2:D2"/>
    <mergeCell ref="A6:B6"/>
    <mergeCell ref="C6:D6"/>
    <mergeCell ref="A3:B3"/>
    <mergeCell ref="C3:D3"/>
    <mergeCell ref="A4:B4"/>
    <mergeCell ref="C4:D4"/>
    <mergeCell ref="A5:B5"/>
    <mergeCell ref="C5:D5"/>
    <mergeCell ref="A7:B7"/>
    <mergeCell ref="C7:D7"/>
    <mergeCell ref="A8:B8"/>
    <mergeCell ref="C8:D8"/>
    <mergeCell ref="A41:O41"/>
    <mergeCell ref="A42:B42"/>
    <mergeCell ref="I43:L43"/>
    <mergeCell ref="A45:A46"/>
    <mergeCell ref="B45:B46"/>
    <mergeCell ref="A101:N101"/>
    <mergeCell ref="A132:B132"/>
    <mergeCell ref="I133:L133"/>
    <mergeCell ref="A135:A136"/>
    <mergeCell ref="B135:B136"/>
    <mergeCell ref="C135:K135"/>
    <mergeCell ref="A47:K47"/>
    <mergeCell ref="A67:B67"/>
    <mergeCell ref="A11:N11"/>
    <mergeCell ref="A12:N12"/>
    <mergeCell ref="A53:K53"/>
    <mergeCell ref="A59:K59"/>
    <mergeCell ref="C45:K45"/>
    <mergeCell ref="A21:N21"/>
    <mergeCell ref="A22:N22"/>
    <mergeCell ref="A24:M24"/>
    <mergeCell ref="A39:N39"/>
    <mergeCell ref="A38:N38"/>
    <mergeCell ref="A14:M14"/>
    <mergeCell ref="A31:M31"/>
    <mergeCell ref="I68:L68"/>
    <mergeCell ref="A70:A71"/>
    <mergeCell ref="B70:B71"/>
    <mergeCell ref="C70:K70"/>
    <mergeCell ref="A90:N90"/>
    <mergeCell ref="C93:I93"/>
    <mergeCell ref="A72:K72"/>
    <mergeCell ref="A78:K78"/>
    <mergeCell ref="A86:N86"/>
    <mergeCell ref="A87:N87"/>
    <mergeCell ref="I91:L91"/>
    <mergeCell ref="A93:A94"/>
    <mergeCell ref="B93:B94"/>
    <mergeCell ref="A89:O89"/>
    <mergeCell ref="A102:N102"/>
    <mergeCell ref="B189:B190"/>
    <mergeCell ref="C189:N189"/>
    <mergeCell ref="K175:N175"/>
    <mergeCell ref="A104:M104"/>
    <mergeCell ref="A111:M111"/>
    <mergeCell ref="A118:N118"/>
    <mergeCell ref="A119:N119"/>
    <mergeCell ref="A121:M121"/>
    <mergeCell ref="A128:N128"/>
    <mergeCell ref="A129:N129"/>
    <mergeCell ref="A131:O131"/>
    <mergeCell ref="B154:B155"/>
    <mergeCell ref="A174:G174"/>
    <mergeCell ref="C154:K154"/>
    <mergeCell ref="A156:K156"/>
    <mergeCell ref="A162:K162"/>
    <mergeCell ref="A171:N171"/>
    <mergeCell ref="A172:N172"/>
    <mergeCell ref="A137:K137"/>
    <mergeCell ref="A143:K143"/>
    <mergeCell ref="A151:B151"/>
    <mergeCell ref="B225:B226"/>
    <mergeCell ref="C225:M225"/>
    <mergeCell ref="B228:M228"/>
    <mergeCell ref="C211:F211"/>
    <mergeCell ref="A213:A214"/>
    <mergeCell ref="B213:B214"/>
    <mergeCell ref="C213:F213"/>
    <mergeCell ref="A222:G222"/>
    <mergeCell ref="I152:L152"/>
    <mergeCell ref="A154:A155"/>
    <mergeCell ref="A177:A178"/>
    <mergeCell ref="B177:B178"/>
    <mergeCell ref="C177:N177"/>
    <mergeCell ref="A186:G186"/>
    <mergeCell ref="A198:G198"/>
    <mergeCell ref="J223:M223"/>
    <mergeCell ref="A225:A226"/>
    <mergeCell ref="K199:N199"/>
    <mergeCell ref="A201:A202"/>
    <mergeCell ref="B201:B202"/>
    <mergeCell ref="C201:N201"/>
    <mergeCell ref="A210:G210"/>
    <mergeCell ref="K187:N187"/>
    <mergeCell ref="A189:A190"/>
    <mergeCell ref="A330:M330"/>
    <mergeCell ref="I331:M331"/>
    <mergeCell ref="B247:M247"/>
    <mergeCell ref="B254:M254"/>
    <mergeCell ref="B260:M260"/>
    <mergeCell ref="B267:M267"/>
    <mergeCell ref="B273:M273"/>
    <mergeCell ref="B280:M280"/>
    <mergeCell ref="B234:M234"/>
    <mergeCell ref="A294:M294"/>
    <mergeCell ref="K295:N295"/>
    <mergeCell ref="A297:A298"/>
    <mergeCell ref="B297:B298"/>
    <mergeCell ref="C297:N297"/>
    <mergeCell ref="B286:M286"/>
    <mergeCell ref="B241:M241"/>
    <mergeCell ref="A306:M306"/>
    <mergeCell ref="K307:N307"/>
    <mergeCell ref="A309:A310"/>
    <mergeCell ref="B309:B310"/>
    <mergeCell ref="C309:N309"/>
    <mergeCell ref="A318:N318"/>
    <mergeCell ref="I319:M319"/>
    <mergeCell ref="A321:A322"/>
    <mergeCell ref="B321:B322"/>
    <mergeCell ref="C321:M321"/>
    <mergeCell ref="A386:M386"/>
    <mergeCell ref="I387:M387"/>
    <mergeCell ref="A389:A390"/>
    <mergeCell ref="B389:B390"/>
    <mergeCell ref="C389:M389"/>
    <mergeCell ref="A333:A334"/>
    <mergeCell ref="B333:B334"/>
    <mergeCell ref="C333:M333"/>
    <mergeCell ref="A342:M342"/>
    <mergeCell ref="H343:I343"/>
    <mergeCell ref="A345:A346"/>
    <mergeCell ref="B345:B346"/>
    <mergeCell ref="C345:I345"/>
    <mergeCell ref="A350:M350"/>
    <mergeCell ref="I351:J351"/>
    <mergeCell ref="A353:A354"/>
    <mergeCell ref="B353:B354"/>
    <mergeCell ref="C353:J353"/>
    <mergeCell ref="A362:M362"/>
    <mergeCell ref="I363:J363"/>
    <mergeCell ref="A365:A366"/>
    <mergeCell ref="B365:B366"/>
    <mergeCell ref="C365:J365"/>
    <mergeCell ref="A374:M374"/>
    <mergeCell ref="I375:M375"/>
    <mergeCell ref="A377:A378"/>
    <mergeCell ref="B377:B378"/>
    <mergeCell ref="C377:M377"/>
    <mergeCell ref="B433:N433"/>
    <mergeCell ref="B422:O422"/>
    <mergeCell ref="B423:O423"/>
    <mergeCell ref="A398:M398"/>
    <mergeCell ref="F399:G399"/>
    <mergeCell ref="A401:A402"/>
    <mergeCell ref="B401:B402"/>
    <mergeCell ref="C401:G401"/>
    <mergeCell ref="A406:N406"/>
    <mergeCell ref="A407:N407"/>
    <mergeCell ref="A409:N409"/>
    <mergeCell ref="I410:K410"/>
    <mergeCell ref="A412:A413"/>
    <mergeCell ref="B412:B413"/>
    <mergeCell ref="C412:H412"/>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workbookViewId="0">
      <selection activeCell="L7" sqref="L7"/>
    </sheetView>
  </sheetViews>
  <sheetFormatPr defaultRowHeight="15" x14ac:dyDescent="0.25"/>
  <cols>
    <col min="1" max="1" width="5.85546875" style="898" customWidth="1"/>
    <col min="2" max="2" width="45.7109375" style="898" customWidth="1"/>
    <col min="3" max="3" width="12.42578125" style="898" customWidth="1"/>
    <col min="4" max="4" width="13.85546875" style="937" customWidth="1"/>
    <col min="5" max="5" width="19.42578125" style="938" customWidth="1"/>
    <col min="6" max="6" width="13.85546875" style="938" customWidth="1"/>
    <col min="7" max="7" width="15.140625" style="938" bestFit="1" customWidth="1"/>
    <col min="8" max="8" width="13.140625" style="939" customWidth="1"/>
    <col min="9" max="9" width="13.7109375" style="939" customWidth="1"/>
    <col min="10" max="256" width="9.140625" style="898"/>
    <col min="257" max="257" width="5.85546875" style="898" customWidth="1"/>
    <col min="258" max="258" width="45.7109375" style="898" customWidth="1"/>
    <col min="259" max="259" width="12.42578125" style="898" customWidth="1"/>
    <col min="260" max="260" width="13.85546875" style="898" customWidth="1"/>
    <col min="261" max="261" width="19.42578125" style="898" customWidth="1"/>
    <col min="262" max="262" width="13.85546875" style="898" customWidth="1"/>
    <col min="263" max="263" width="15.140625" style="898" bestFit="1" customWidth="1"/>
    <col min="264" max="264" width="13.140625" style="898" customWidth="1"/>
    <col min="265" max="265" width="13.7109375" style="898" customWidth="1"/>
    <col min="266" max="512" width="9.140625" style="898"/>
    <col min="513" max="513" width="5.85546875" style="898" customWidth="1"/>
    <col min="514" max="514" width="45.7109375" style="898" customWidth="1"/>
    <col min="515" max="515" width="12.42578125" style="898" customWidth="1"/>
    <col min="516" max="516" width="13.85546875" style="898" customWidth="1"/>
    <col min="517" max="517" width="19.42578125" style="898" customWidth="1"/>
    <col min="518" max="518" width="13.85546875" style="898" customWidth="1"/>
    <col min="519" max="519" width="15.140625" style="898" bestFit="1" customWidth="1"/>
    <col min="520" max="520" width="13.140625" style="898" customWidth="1"/>
    <col min="521" max="521" width="13.7109375" style="898" customWidth="1"/>
    <col min="522" max="768" width="9.140625" style="898"/>
    <col min="769" max="769" width="5.85546875" style="898" customWidth="1"/>
    <col min="770" max="770" width="45.7109375" style="898" customWidth="1"/>
    <col min="771" max="771" width="12.42578125" style="898" customWidth="1"/>
    <col min="772" max="772" width="13.85546875" style="898" customWidth="1"/>
    <col min="773" max="773" width="19.42578125" style="898" customWidth="1"/>
    <col min="774" max="774" width="13.85546875" style="898" customWidth="1"/>
    <col min="775" max="775" width="15.140625" style="898" bestFit="1" customWidth="1"/>
    <col min="776" max="776" width="13.140625" style="898" customWidth="1"/>
    <col min="777" max="777" width="13.7109375" style="898" customWidth="1"/>
    <col min="778" max="1024" width="9.140625" style="898"/>
    <col min="1025" max="1025" width="5.85546875" style="898" customWidth="1"/>
    <col min="1026" max="1026" width="45.7109375" style="898" customWidth="1"/>
    <col min="1027" max="1027" width="12.42578125" style="898" customWidth="1"/>
    <col min="1028" max="1028" width="13.85546875" style="898" customWidth="1"/>
    <col min="1029" max="1029" width="19.42578125" style="898" customWidth="1"/>
    <col min="1030" max="1030" width="13.85546875" style="898" customWidth="1"/>
    <col min="1031" max="1031" width="15.140625" style="898" bestFit="1" customWidth="1"/>
    <col min="1032" max="1032" width="13.140625" style="898" customWidth="1"/>
    <col min="1033" max="1033" width="13.7109375" style="898" customWidth="1"/>
    <col min="1034" max="1280" width="9.140625" style="898"/>
    <col min="1281" max="1281" width="5.85546875" style="898" customWidth="1"/>
    <col min="1282" max="1282" width="45.7109375" style="898" customWidth="1"/>
    <col min="1283" max="1283" width="12.42578125" style="898" customWidth="1"/>
    <col min="1284" max="1284" width="13.85546875" style="898" customWidth="1"/>
    <col min="1285" max="1285" width="19.42578125" style="898" customWidth="1"/>
    <col min="1286" max="1286" width="13.85546875" style="898" customWidth="1"/>
    <col min="1287" max="1287" width="15.140625" style="898" bestFit="1" customWidth="1"/>
    <col min="1288" max="1288" width="13.140625" style="898" customWidth="1"/>
    <col min="1289" max="1289" width="13.7109375" style="898" customWidth="1"/>
    <col min="1290" max="1536" width="9.140625" style="898"/>
    <col min="1537" max="1537" width="5.85546875" style="898" customWidth="1"/>
    <col min="1538" max="1538" width="45.7109375" style="898" customWidth="1"/>
    <col min="1539" max="1539" width="12.42578125" style="898" customWidth="1"/>
    <col min="1540" max="1540" width="13.85546875" style="898" customWidth="1"/>
    <col min="1541" max="1541" width="19.42578125" style="898" customWidth="1"/>
    <col min="1542" max="1542" width="13.85546875" style="898" customWidth="1"/>
    <col min="1543" max="1543" width="15.140625" style="898" bestFit="1" customWidth="1"/>
    <col min="1544" max="1544" width="13.140625" style="898" customWidth="1"/>
    <col min="1545" max="1545" width="13.7109375" style="898" customWidth="1"/>
    <col min="1546" max="1792" width="9.140625" style="898"/>
    <col min="1793" max="1793" width="5.85546875" style="898" customWidth="1"/>
    <col min="1794" max="1794" width="45.7109375" style="898" customWidth="1"/>
    <col min="1795" max="1795" width="12.42578125" style="898" customWidth="1"/>
    <col min="1796" max="1796" width="13.85546875" style="898" customWidth="1"/>
    <col min="1797" max="1797" width="19.42578125" style="898" customWidth="1"/>
    <col min="1798" max="1798" width="13.85546875" style="898" customWidth="1"/>
    <col min="1799" max="1799" width="15.140625" style="898" bestFit="1" customWidth="1"/>
    <col min="1800" max="1800" width="13.140625" style="898" customWidth="1"/>
    <col min="1801" max="1801" width="13.7109375" style="898" customWidth="1"/>
    <col min="1802" max="2048" width="9.140625" style="898"/>
    <col min="2049" max="2049" width="5.85546875" style="898" customWidth="1"/>
    <col min="2050" max="2050" width="45.7109375" style="898" customWidth="1"/>
    <col min="2051" max="2051" width="12.42578125" style="898" customWidth="1"/>
    <col min="2052" max="2052" width="13.85546875" style="898" customWidth="1"/>
    <col min="2053" max="2053" width="19.42578125" style="898" customWidth="1"/>
    <col min="2054" max="2054" width="13.85546875" style="898" customWidth="1"/>
    <col min="2055" max="2055" width="15.140625" style="898" bestFit="1" customWidth="1"/>
    <col min="2056" max="2056" width="13.140625" style="898" customWidth="1"/>
    <col min="2057" max="2057" width="13.7109375" style="898" customWidth="1"/>
    <col min="2058" max="2304" width="9.140625" style="898"/>
    <col min="2305" max="2305" width="5.85546875" style="898" customWidth="1"/>
    <col min="2306" max="2306" width="45.7109375" style="898" customWidth="1"/>
    <col min="2307" max="2307" width="12.42578125" style="898" customWidth="1"/>
    <col min="2308" max="2308" width="13.85546875" style="898" customWidth="1"/>
    <col min="2309" max="2309" width="19.42578125" style="898" customWidth="1"/>
    <col min="2310" max="2310" width="13.85546875" style="898" customWidth="1"/>
    <col min="2311" max="2311" width="15.140625" style="898" bestFit="1" customWidth="1"/>
    <col min="2312" max="2312" width="13.140625" style="898" customWidth="1"/>
    <col min="2313" max="2313" width="13.7109375" style="898" customWidth="1"/>
    <col min="2314" max="2560" width="9.140625" style="898"/>
    <col min="2561" max="2561" width="5.85546875" style="898" customWidth="1"/>
    <col min="2562" max="2562" width="45.7109375" style="898" customWidth="1"/>
    <col min="2563" max="2563" width="12.42578125" style="898" customWidth="1"/>
    <col min="2564" max="2564" width="13.85546875" style="898" customWidth="1"/>
    <col min="2565" max="2565" width="19.42578125" style="898" customWidth="1"/>
    <col min="2566" max="2566" width="13.85546875" style="898" customWidth="1"/>
    <col min="2567" max="2567" width="15.140625" style="898" bestFit="1" customWidth="1"/>
    <col min="2568" max="2568" width="13.140625" style="898" customWidth="1"/>
    <col min="2569" max="2569" width="13.7109375" style="898" customWidth="1"/>
    <col min="2570" max="2816" width="9.140625" style="898"/>
    <col min="2817" max="2817" width="5.85546875" style="898" customWidth="1"/>
    <col min="2818" max="2818" width="45.7109375" style="898" customWidth="1"/>
    <col min="2819" max="2819" width="12.42578125" style="898" customWidth="1"/>
    <col min="2820" max="2820" width="13.85546875" style="898" customWidth="1"/>
    <col min="2821" max="2821" width="19.42578125" style="898" customWidth="1"/>
    <col min="2822" max="2822" width="13.85546875" style="898" customWidth="1"/>
    <col min="2823" max="2823" width="15.140625" style="898" bestFit="1" customWidth="1"/>
    <col min="2824" max="2824" width="13.140625" style="898" customWidth="1"/>
    <col min="2825" max="2825" width="13.7109375" style="898" customWidth="1"/>
    <col min="2826" max="3072" width="9.140625" style="898"/>
    <col min="3073" max="3073" width="5.85546875" style="898" customWidth="1"/>
    <col min="3074" max="3074" width="45.7109375" style="898" customWidth="1"/>
    <col min="3075" max="3075" width="12.42578125" style="898" customWidth="1"/>
    <col min="3076" max="3076" width="13.85546875" style="898" customWidth="1"/>
    <col min="3077" max="3077" width="19.42578125" style="898" customWidth="1"/>
    <col min="3078" max="3078" width="13.85546875" style="898" customWidth="1"/>
    <col min="3079" max="3079" width="15.140625" style="898" bestFit="1" customWidth="1"/>
    <col min="3080" max="3080" width="13.140625" style="898" customWidth="1"/>
    <col min="3081" max="3081" width="13.7109375" style="898" customWidth="1"/>
    <col min="3082" max="3328" width="9.140625" style="898"/>
    <col min="3329" max="3329" width="5.85546875" style="898" customWidth="1"/>
    <col min="3330" max="3330" width="45.7109375" style="898" customWidth="1"/>
    <col min="3331" max="3331" width="12.42578125" style="898" customWidth="1"/>
    <col min="3332" max="3332" width="13.85546875" style="898" customWidth="1"/>
    <col min="3333" max="3333" width="19.42578125" style="898" customWidth="1"/>
    <col min="3334" max="3334" width="13.85546875" style="898" customWidth="1"/>
    <col min="3335" max="3335" width="15.140625" style="898" bestFit="1" customWidth="1"/>
    <col min="3336" max="3336" width="13.140625" style="898" customWidth="1"/>
    <col min="3337" max="3337" width="13.7109375" style="898" customWidth="1"/>
    <col min="3338" max="3584" width="9.140625" style="898"/>
    <col min="3585" max="3585" width="5.85546875" style="898" customWidth="1"/>
    <col min="3586" max="3586" width="45.7109375" style="898" customWidth="1"/>
    <col min="3587" max="3587" width="12.42578125" style="898" customWidth="1"/>
    <col min="3588" max="3588" width="13.85546875" style="898" customWidth="1"/>
    <col min="3589" max="3589" width="19.42578125" style="898" customWidth="1"/>
    <col min="3590" max="3590" width="13.85546875" style="898" customWidth="1"/>
    <col min="3591" max="3591" width="15.140625" style="898" bestFit="1" customWidth="1"/>
    <col min="3592" max="3592" width="13.140625" style="898" customWidth="1"/>
    <col min="3593" max="3593" width="13.7109375" style="898" customWidth="1"/>
    <col min="3594" max="3840" width="9.140625" style="898"/>
    <col min="3841" max="3841" width="5.85546875" style="898" customWidth="1"/>
    <col min="3842" max="3842" width="45.7109375" style="898" customWidth="1"/>
    <col min="3843" max="3843" width="12.42578125" style="898" customWidth="1"/>
    <col min="3844" max="3844" width="13.85546875" style="898" customWidth="1"/>
    <col min="3845" max="3845" width="19.42578125" style="898" customWidth="1"/>
    <col min="3846" max="3846" width="13.85546875" style="898" customWidth="1"/>
    <col min="3847" max="3847" width="15.140625" style="898" bestFit="1" customWidth="1"/>
    <col min="3848" max="3848" width="13.140625" style="898" customWidth="1"/>
    <col min="3849" max="3849" width="13.7109375" style="898" customWidth="1"/>
    <col min="3850" max="4096" width="9.140625" style="898"/>
    <col min="4097" max="4097" width="5.85546875" style="898" customWidth="1"/>
    <col min="4098" max="4098" width="45.7109375" style="898" customWidth="1"/>
    <col min="4099" max="4099" width="12.42578125" style="898" customWidth="1"/>
    <col min="4100" max="4100" width="13.85546875" style="898" customWidth="1"/>
    <col min="4101" max="4101" width="19.42578125" style="898" customWidth="1"/>
    <col min="4102" max="4102" width="13.85546875" style="898" customWidth="1"/>
    <col min="4103" max="4103" width="15.140625" style="898" bestFit="1" customWidth="1"/>
    <col min="4104" max="4104" width="13.140625" style="898" customWidth="1"/>
    <col min="4105" max="4105" width="13.7109375" style="898" customWidth="1"/>
    <col min="4106" max="4352" width="9.140625" style="898"/>
    <col min="4353" max="4353" width="5.85546875" style="898" customWidth="1"/>
    <col min="4354" max="4354" width="45.7109375" style="898" customWidth="1"/>
    <col min="4355" max="4355" width="12.42578125" style="898" customWidth="1"/>
    <col min="4356" max="4356" width="13.85546875" style="898" customWidth="1"/>
    <col min="4357" max="4357" width="19.42578125" style="898" customWidth="1"/>
    <col min="4358" max="4358" width="13.85546875" style="898" customWidth="1"/>
    <col min="4359" max="4359" width="15.140625" style="898" bestFit="1" customWidth="1"/>
    <col min="4360" max="4360" width="13.140625" style="898" customWidth="1"/>
    <col min="4361" max="4361" width="13.7109375" style="898" customWidth="1"/>
    <col min="4362" max="4608" width="9.140625" style="898"/>
    <col min="4609" max="4609" width="5.85546875" style="898" customWidth="1"/>
    <col min="4610" max="4610" width="45.7109375" style="898" customWidth="1"/>
    <col min="4611" max="4611" width="12.42578125" style="898" customWidth="1"/>
    <col min="4612" max="4612" width="13.85546875" style="898" customWidth="1"/>
    <col min="4613" max="4613" width="19.42578125" style="898" customWidth="1"/>
    <col min="4614" max="4614" width="13.85546875" style="898" customWidth="1"/>
    <col min="4615" max="4615" width="15.140625" style="898" bestFit="1" customWidth="1"/>
    <col min="4616" max="4616" width="13.140625" style="898" customWidth="1"/>
    <col min="4617" max="4617" width="13.7109375" style="898" customWidth="1"/>
    <col min="4618" max="4864" width="9.140625" style="898"/>
    <col min="4865" max="4865" width="5.85546875" style="898" customWidth="1"/>
    <col min="4866" max="4866" width="45.7109375" style="898" customWidth="1"/>
    <col min="4867" max="4867" width="12.42578125" style="898" customWidth="1"/>
    <col min="4868" max="4868" width="13.85546875" style="898" customWidth="1"/>
    <col min="4869" max="4869" width="19.42578125" style="898" customWidth="1"/>
    <col min="4870" max="4870" width="13.85546875" style="898" customWidth="1"/>
    <col min="4871" max="4871" width="15.140625" style="898" bestFit="1" customWidth="1"/>
    <col min="4872" max="4872" width="13.140625" style="898" customWidth="1"/>
    <col min="4873" max="4873" width="13.7109375" style="898" customWidth="1"/>
    <col min="4874" max="5120" width="9.140625" style="898"/>
    <col min="5121" max="5121" width="5.85546875" style="898" customWidth="1"/>
    <col min="5122" max="5122" width="45.7109375" style="898" customWidth="1"/>
    <col min="5123" max="5123" width="12.42578125" style="898" customWidth="1"/>
    <col min="5124" max="5124" width="13.85546875" style="898" customWidth="1"/>
    <col min="5125" max="5125" width="19.42578125" style="898" customWidth="1"/>
    <col min="5126" max="5126" width="13.85546875" style="898" customWidth="1"/>
    <col min="5127" max="5127" width="15.140625" style="898" bestFit="1" customWidth="1"/>
    <col min="5128" max="5128" width="13.140625" style="898" customWidth="1"/>
    <col min="5129" max="5129" width="13.7109375" style="898" customWidth="1"/>
    <col min="5130" max="5376" width="9.140625" style="898"/>
    <col min="5377" max="5377" width="5.85546875" style="898" customWidth="1"/>
    <col min="5378" max="5378" width="45.7109375" style="898" customWidth="1"/>
    <col min="5379" max="5379" width="12.42578125" style="898" customWidth="1"/>
    <col min="5380" max="5380" width="13.85546875" style="898" customWidth="1"/>
    <col min="5381" max="5381" width="19.42578125" style="898" customWidth="1"/>
    <col min="5382" max="5382" width="13.85546875" style="898" customWidth="1"/>
    <col min="5383" max="5383" width="15.140625" style="898" bestFit="1" customWidth="1"/>
    <col min="5384" max="5384" width="13.140625" style="898" customWidth="1"/>
    <col min="5385" max="5385" width="13.7109375" style="898" customWidth="1"/>
    <col min="5386" max="5632" width="9.140625" style="898"/>
    <col min="5633" max="5633" width="5.85546875" style="898" customWidth="1"/>
    <col min="5634" max="5634" width="45.7109375" style="898" customWidth="1"/>
    <col min="5635" max="5635" width="12.42578125" style="898" customWidth="1"/>
    <col min="5636" max="5636" width="13.85546875" style="898" customWidth="1"/>
    <col min="5637" max="5637" width="19.42578125" style="898" customWidth="1"/>
    <col min="5638" max="5638" width="13.85546875" style="898" customWidth="1"/>
    <col min="5639" max="5639" width="15.140625" style="898" bestFit="1" customWidth="1"/>
    <col min="5640" max="5640" width="13.140625" style="898" customWidth="1"/>
    <col min="5641" max="5641" width="13.7109375" style="898" customWidth="1"/>
    <col min="5642" max="5888" width="9.140625" style="898"/>
    <col min="5889" max="5889" width="5.85546875" style="898" customWidth="1"/>
    <col min="5890" max="5890" width="45.7109375" style="898" customWidth="1"/>
    <col min="5891" max="5891" width="12.42578125" style="898" customWidth="1"/>
    <col min="5892" max="5892" width="13.85546875" style="898" customWidth="1"/>
    <col min="5893" max="5893" width="19.42578125" style="898" customWidth="1"/>
    <col min="5894" max="5894" width="13.85546875" style="898" customWidth="1"/>
    <col min="5895" max="5895" width="15.140625" style="898" bestFit="1" customWidth="1"/>
    <col min="5896" max="5896" width="13.140625" style="898" customWidth="1"/>
    <col min="5897" max="5897" width="13.7109375" style="898" customWidth="1"/>
    <col min="5898" max="6144" width="9.140625" style="898"/>
    <col min="6145" max="6145" width="5.85546875" style="898" customWidth="1"/>
    <col min="6146" max="6146" width="45.7109375" style="898" customWidth="1"/>
    <col min="6147" max="6147" width="12.42578125" style="898" customWidth="1"/>
    <col min="6148" max="6148" width="13.85546875" style="898" customWidth="1"/>
    <col min="6149" max="6149" width="19.42578125" style="898" customWidth="1"/>
    <col min="6150" max="6150" width="13.85546875" style="898" customWidth="1"/>
    <col min="6151" max="6151" width="15.140625" style="898" bestFit="1" customWidth="1"/>
    <col min="6152" max="6152" width="13.140625" style="898" customWidth="1"/>
    <col min="6153" max="6153" width="13.7109375" style="898" customWidth="1"/>
    <col min="6154" max="6400" width="9.140625" style="898"/>
    <col min="6401" max="6401" width="5.85546875" style="898" customWidth="1"/>
    <col min="6402" max="6402" width="45.7109375" style="898" customWidth="1"/>
    <col min="6403" max="6403" width="12.42578125" style="898" customWidth="1"/>
    <col min="6404" max="6404" width="13.85546875" style="898" customWidth="1"/>
    <col min="6405" max="6405" width="19.42578125" style="898" customWidth="1"/>
    <col min="6406" max="6406" width="13.85546875" style="898" customWidth="1"/>
    <col min="6407" max="6407" width="15.140625" style="898" bestFit="1" customWidth="1"/>
    <col min="6408" max="6408" width="13.140625" style="898" customWidth="1"/>
    <col min="6409" max="6409" width="13.7109375" style="898" customWidth="1"/>
    <col min="6410" max="6656" width="9.140625" style="898"/>
    <col min="6657" max="6657" width="5.85546875" style="898" customWidth="1"/>
    <col min="6658" max="6658" width="45.7109375" style="898" customWidth="1"/>
    <col min="6659" max="6659" width="12.42578125" style="898" customWidth="1"/>
    <col min="6660" max="6660" width="13.85546875" style="898" customWidth="1"/>
    <col min="6661" max="6661" width="19.42578125" style="898" customWidth="1"/>
    <col min="6662" max="6662" width="13.85546875" style="898" customWidth="1"/>
    <col min="6663" max="6663" width="15.140625" style="898" bestFit="1" customWidth="1"/>
    <col min="6664" max="6664" width="13.140625" style="898" customWidth="1"/>
    <col min="6665" max="6665" width="13.7109375" style="898" customWidth="1"/>
    <col min="6666" max="6912" width="9.140625" style="898"/>
    <col min="6913" max="6913" width="5.85546875" style="898" customWidth="1"/>
    <col min="6914" max="6914" width="45.7109375" style="898" customWidth="1"/>
    <col min="6915" max="6915" width="12.42578125" style="898" customWidth="1"/>
    <col min="6916" max="6916" width="13.85546875" style="898" customWidth="1"/>
    <col min="6917" max="6917" width="19.42578125" style="898" customWidth="1"/>
    <col min="6918" max="6918" width="13.85546875" style="898" customWidth="1"/>
    <col min="6919" max="6919" width="15.140625" style="898" bestFit="1" customWidth="1"/>
    <col min="6920" max="6920" width="13.140625" style="898" customWidth="1"/>
    <col min="6921" max="6921" width="13.7109375" style="898" customWidth="1"/>
    <col min="6922" max="7168" width="9.140625" style="898"/>
    <col min="7169" max="7169" width="5.85546875" style="898" customWidth="1"/>
    <col min="7170" max="7170" width="45.7109375" style="898" customWidth="1"/>
    <col min="7171" max="7171" width="12.42578125" style="898" customWidth="1"/>
    <col min="7172" max="7172" width="13.85546875" style="898" customWidth="1"/>
    <col min="7173" max="7173" width="19.42578125" style="898" customWidth="1"/>
    <col min="7174" max="7174" width="13.85546875" style="898" customWidth="1"/>
    <col min="7175" max="7175" width="15.140625" style="898" bestFit="1" customWidth="1"/>
    <col min="7176" max="7176" width="13.140625" style="898" customWidth="1"/>
    <col min="7177" max="7177" width="13.7109375" style="898" customWidth="1"/>
    <col min="7178" max="7424" width="9.140625" style="898"/>
    <col min="7425" max="7425" width="5.85546875" style="898" customWidth="1"/>
    <col min="7426" max="7426" width="45.7109375" style="898" customWidth="1"/>
    <col min="7427" max="7427" width="12.42578125" style="898" customWidth="1"/>
    <col min="7428" max="7428" width="13.85546875" style="898" customWidth="1"/>
    <col min="7429" max="7429" width="19.42578125" style="898" customWidth="1"/>
    <col min="7430" max="7430" width="13.85546875" style="898" customWidth="1"/>
    <col min="7431" max="7431" width="15.140625" style="898" bestFit="1" customWidth="1"/>
    <col min="7432" max="7432" width="13.140625" style="898" customWidth="1"/>
    <col min="7433" max="7433" width="13.7109375" style="898" customWidth="1"/>
    <col min="7434" max="7680" width="9.140625" style="898"/>
    <col min="7681" max="7681" width="5.85546875" style="898" customWidth="1"/>
    <col min="7682" max="7682" width="45.7109375" style="898" customWidth="1"/>
    <col min="7683" max="7683" width="12.42578125" style="898" customWidth="1"/>
    <col min="7684" max="7684" width="13.85546875" style="898" customWidth="1"/>
    <col min="7685" max="7685" width="19.42578125" style="898" customWidth="1"/>
    <col min="7686" max="7686" width="13.85546875" style="898" customWidth="1"/>
    <col min="7687" max="7687" width="15.140625" style="898" bestFit="1" customWidth="1"/>
    <col min="7688" max="7688" width="13.140625" style="898" customWidth="1"/>
    <col min="7689" max="7689" width="13.7109375" style="898" customWidth="1"/>
    <col min="7690" max="7936" width="9.140625" style="898"/>
    <col min="7937" max="7937" width="5.85546875" style="898" customWidth="1"/>
    <col min="7938" max="7938" width="45.7109375" style="898" customWidth="1"/>
    <col min="7939" max="7939" width="12.42578125" style="898" customWidth="1"/>
    <col min="7940" max="7940" width="13.85546875" style="898" customWidth="1"/>
    <col min="7941" max="7941" width="19.42578125" style="898" customWidth="1"/>
    <col min="7942" max="7942" width="13.85546875" style="898" customWidth="1"/>
    <col min="7943" max="7943" width="15.140625" style="898" bestFit="1" customWidth="1"/>
    <col min="7944" max="7944" width="13.140625" style="898" customWidth="1"/>
    <col min="7945" max="7945" width="13.7109375" style="898" customWidth="1"/>
    <col min="7946" max="8192" width="9.140625" style="898"/>
    <col min="8193" max="8193" width="5.85546875" style="898" customWidth="1"/>
    <col min="8194" max="8194" width="45.7109375" style="898" customWidth="1"/>
    <col min="8195" max="8195" width="12.42578125" style="898" customWidth="1"/>
    <col min="8196" max="8196" width="13.85546875" style="898" customWidth="1"/>
    <col min="8197" max="8197" width="19.42578125" style="898" customWidth="1"/>
    <col min="8198" max="8198" width="13.85546875" style="898" customWidth="1"/>
    <col min="8199" max="8199" width="15.140625" style="898" bestFit="1" customWidth="1"/>
    <col min="8200" max="8200" width="13.140625" style="898" customWidth="1"/>
    <col min="8201" max="8201" width="13.7109375" style="898" customWidth="1"/>
    <col min="8202" max="8448" width="9.140625" style="898"/>
    <col min="8449" max="8449" width="5.85546875" style="898" customWidth="1"/>
    <col min="8450" max="8450" width="45.7109375" style="898" customWidth="1"/>
    <col min="8451" max="8451" width="12.42578125" style="898" customWidth="1"/>
    <col min="8452" max="8452" width="13.85546875" style="898" customWidth="1"/>
    <col min="8453" max="8453" width="19.42578125" style="898" customWidth="1"/>
    <col min="8454" max="8454" width="13.85546875" style="898" customWidth="1"/>
    <col min="8455" max="8455" width="15.140625" style="898" bestFit="1" customWidth="1"/>
    <col min="8456" max="8456" width="13.140625" style="898" customWidth="1"/>
    <col min="8457" max="8457" width="13.7109375" style="898" customWidth="1"/>
    <col min="8458" max="8704" width="9.140625" style="898"/>
    <col min="8705" max="8705" width="5.85546875" style="898" customWidth="1"/>
    <col min="8706" max="8706" width="45.7109375" style="898" customWidth="1"/>
    <col min="8707" max="8707" width="12.42578125" style="898" customWidth="1"/>
    <col min="8708" max="8708" width="13.85546875" style="898" customWidth="1"/>
    <col min="8709" max="8709" width="19.42578125" style="898" customWidth="1"/>
    <col min="8710" max="8710" width="13.85546875" style="898" customWidth="1"/>
    <col min="8711" max="8711" width="15.140625" style="898" bestFit="1" customWidth="1"/>
    <col min="8712" max="8712" width="13.140625" style="898" customWidth="1"/>
    <col min="8713" max="8713" width="13.7109375" style="898" customWidth="1"/>
    <col min="8714" max="8960" width="9.140625" style="898"/>
    <col min="8961" max="8961" width="5.85546875" style="898" customWidth="1"/>
    <col min="8962" max="8962" width="45.7109375" style="898" customWidth="1"/>
    <col min="8963" max="8963" width="12.42578125" style="898" customWidth="1"/>
    <col min="8964" max="8964" width="13.85546875" style="898" customWidth="1"/>
    <col min="8965" max="8965" width="19.42578125" style="898" customWidth="1"/>
    <col min="8966" max="8966" width="13.85546875" style="898" customWidth="1"/>
    <col min="8967" max="8967" width="15.140625" style="898" bestFit="1" customWidth="1"/>
    <col min="8968" max="8968" width="13.140625" style="898" customWidth="1"/>
    <col min="8969" max="8969" width="13.7109375" style="898" customWidth="1"/>
    <col min="8970" max="9216" width="9.140625" style="898"/>
    <col min="9217" max="9217" width="5.85546875" style="898" customWidth="1"/>
    <col min="9218" max="9218" width="45.7109375" style="898" customWidth="1"/>
    <col min="9219" max="9219" width="12.42578125" style="898" customWidth="1"/>
    <col min="9220" max="9220" width="13.85546875" style="898" customWidth="1"/>
    <col min="9221" max="9221" width="19.42578125" style="898" customWidth="1"/>
    <col min="9222" max="9222" width="13.85546875" style="898" customWidth="1"/>
    <col min="9223" max="9223" width="15.140625" style="898" bestFit="1" customWidth="1"/>
    <col min="9224" max="9224" width="13.140625" style="898" customWidth="1"/>
    <col min="9225" max="9225" width="13.7109375" style="898" customWidth="1"/>
    <col min="9226" max="9472" width="9.140625" style="898"/>
    <col min="9473" max="9473" width="5.85546875" style="898" customWidth="1"/>
    <col min="9474" max="9474" width="45.7109375" style="898" customWidth="1"/>
    <col min="9475" max="9475" width="12.42578125" style="898" customWidth="1"/>
    <col min="9476" max="9476" width="13.85546875" style="898" customWidth="1"/>
    <col min="9477" max="9477" width="19.42578125" style="898" customWidth="1"/>
    <col min="9478" max="9478" width="13.85546875" style="898" customWidth="1"/>
    <col min="9479" max="9479" width="15.140625" style="898" bestFit="1" customWidth="1"/>
    <col min="9480" max="9480" width="13.140625" style="898" customWidth="1"/>
    <col min="9481" max="9481" width="13.7109375" style="898" customWidth="1"/>
    <col min="9482" max="9728" width="9.140625" style="898"/>
    <col min="9729" max="9729" width="5.85546875" style="898" customWidth="1"/>
    <col min="9730" max="9730" width="45.7109375" style="898" customWidth="1"/>
    <col min="9731" max="9731" width="12.42578125" style="898" customWidth="1"/>
    <col min="9732" max="9732" width="13.85546875" style="898" customWidth="1"/>
    <col min="9733" max="9733" width="19.42578125" style="898" customWidth="1"/>
    <col min="9734" max="9734" width="13.85546875" style="898" customWidth="1"/>
    <col min="9735" max="9735" width="15.140625" style="898" bestFit="1" customWidth="1"/>
    <col min="9736" max="9736" width="13.140625" style="898" customWidth="1"/>
    <col min="9737" max="9737" width="13.7109375" style="898" customWidth="1"/>
    <col min="9738" max="9984" width="9.140625" style="898"/>
    <col min="9985" max="9985" width="5.85546875" style="898" customWidth="1"/>
    <col min="9986" max="9986" width="45.7109375" style="898" customWidth="1"/>
    <col min="9987" max="9987" width="12.42578125" style="898" customWidth="1"/>
    <col min="9988" max="9988" width="13.85546875" style="898" customWidth="1"/>
    <col min="9989" max="9989" width="19.42578125" style="898" customWidth="1"/>
    <col min="9990" max="9990" width="13.85546875" style="898" customWidth="1"/>
    <col min="9991" max="9991" width="15.140625" style="898" bestFit="1" customWidth="1"/>
    <col min="9992" max="9992" width="13.140625" style="898" customWidth="1"/>
    <col min="9993" max="9993" width="13.7109375" style="898" customWidth="1"/>
    <col min="9994" max="10240" width="9.140625" style="898"/>
    <col min="10241" max="10241" width="5.85546875" style="898" customWidth="1"/>
    <col min="10242" max="10242" width="45.7109375" style="898" customWidth="1"/>
    <col min="10243" max="10243" width="12.42578125" style="898" customWidth="1"/>
    <col min="10244" max="10244" width="13.85546875" style="898" customWidth="1"/>
    <col min="10245" max="10245" width="19.42578125" style="898" customWidth="1"/>
    <col min="10246" max="10246" width="13.85546875" style="898" customWidth="1"/>
    <col min="10247" max="10247" width="15.140625" style="898" bestFit="1" customWidth="1"/>
    <col min="10248" max="10248" width="13.140625" style="898" customWidth="1"/>
    <col min="10249" max="10249" width="13.7109375" style="898" customWidth="1"/>
    <col min="10250" max="10496" width="9.140625" style="898"/>
    <col min="10497" max="10497" width="5.85546875" style="898" customWidth="1"/>
    <col min="10498" max="10498" width="45.7109375" style="898" customWidth="1"/>
    <col min="10499" max="10499" width="12.42578125" style="898" customWidth="1"/>
    <col min="10500" max="10500" width="13.85546875" style="898" customWidth="1"/>
    <col min="10501" max="10501" width="19.42578125" style="898" customWidth="1"/>
    <col min="10502" max="10502" width="13.85546875" style="898" customWidth="1"/>
    <col min="10503" max="10503" width="15.140625" style="898" bestFit="1" customWidth="1"/>
    <col min="10504" max="10504" width="13.140625" style="898" customWidth="1"/>
    <col min="10505" max="10505" width="13.7109375" style="898" customWidth="1"/>
    <col min="10506" max="10752" width="9.140625" style="898"/>
    <col min="10753" max="10753" width="5.85546875" style="898" customWidth="1"/>
    <col min="10754" max="10754" width="45.7109375" style="898" customWidth="1"/>
    <col min="10755" max="10755" width="12.42578125" style="898" customWidth="1"/>
    <col min="10756" max="10756" width="13.85546875" style="898" customWidth="1"/>
    <col min="10757" max="10757" width="19.42578125" style="898" customWidth="1"/>
    <col min="10758" max="10758" width="13.85546875" style="898" customWidth="1"/>
    <col min="10759" max="10759" width="15.140625" style="898" bestFit="1" customWidth="1"/>
    <col min="10760" max="10760" width="13.140625" style="898" customWidth="1"/>
    <col min="10761" max="10761" width="13.7109375" style="898" customWidth="1"/>
    <col min="10762" max="11008" width="9.140625" style="898"/>
    <col min="11009" max="11009" width="5.85546875" style="898" customWidth="1"/>
    <col min="11010" max="11010" width="45.7109375" style="898" customWidth="1"/>
    <col min="11011" max="11011" width="12.42578125" style="898" customWidth="1"/>
    <col min="11012" max="11012" width="13.85546875" style="898" customWidth="1"/>
    <col min="11013" max="11013" width="19.42578125" style="898" customWidth="1"/>
    <col min="11014" max="11014" width="13.85546875" style="898" customWidth="1"/>
    <col min="11015" max="11015" width="15.140625" style="898" bestFit="1" customWidth="1"/>
    <col min="11016" max="11016" width="13.140625" style="898" customWidth="1"/>
    <col min="11017" max="11017" width="13.7109375" style="898" customWidth="1"/>
    <col min="11018" max="11264" width="9.140625" style="898"/>
    <col min="11265" max="11265" width="5.85546875" style="898" customWidth="1"/>
    <col min="11266" max="11266" width="45.7109375" style="898" customWidth="1"/>
    <col min="11267" max="11267" width="12.42578125" style="898" customWidth="1"/>
    <col min="11268" max="11268" width="13.85546875" style="898" customWidth="1"/>
    <col min="11269" max="11269" width="19.42578125" style="898" customWidth="1"/>
    <col min="11270" max="11270" width="13.85546875" style="898" customWidth="1"/>
    <col min="11271" max="11271" width="15.140625" style="898" bestFit="1" customWidth="1"/>
    <col min="11272" max="11272" width="13.140625" style="898" customWidth="1"/>
    <col min="11273" max="11273" width="13.7109375" style="898" customWidth="1"/>
    <col min="11274" max="11520" width="9.140625" style="898"/>
    <col min="11521" max="11521" width="5.85546875" style="898" customWidth="1"/>
    <col min="11522" max="11522" width="45.7109375" style="898" customWidth="1"/>
    <col min="11523" max="11523" width="12.42578125" style="898" customWidth="1"/>
    <col min="11524" max="11524" width="13.85546875" style="898" customWidth="1"/>
    <col min="11525" max="11525" width="19.42578125" style="898" customWidth="1"/>
    <col min="11526" max="11526" width="13.85546875" style="898" customWidth="1"/>
    <col min="11527" max="11527" width="15.140625" style="898" bestFit="1" customWidth="1"/>
    <col min="11528" max="11528" width="13.140625" style="898" customWidth="1"/>
    <col min="11529" max="11529" width="13.7109375" style="898" customWidth="1"/>
    <col min="11530" max="11776" width="9.140625" style="898"/>
    <col min="11777" max="11777" width="5.85546875" style="898" customWidth="1"/>
    <col min="11778" max="11778" width="45.7109375" style="898" customWidth="1"/>
    <col min="11779" max="11779" width="12.42578125" style="898" customWidth="1"/>
    <col min="11780" max="11780" width="13.85546875" style="898" customWidth="1"/>
    <col min="11781" max="11781" width="19.42578125" style="898" customWidth="1"/>
    <col min="11782" max="11782" width="13.85546875" style="898" customWidth="1"/>
    <col min="11783" max="11783" width="15.140625" style="898" bestFit="1" customWidth="1"/>
    <col min="11784" max="11784" width="13.140625" style="898" customWidth="1"/>
    <col min="11785" max="11785" width="13.7109375" style="898" customWidth="1"/>
    <col min="11786" max="12032" width="9.140625" style="898"/>
    <col min="12033" max="12033" width="5.85546875" style="898" customWidth="1"/>
    <col min="12034" max="12034" width="45.7109375" style="898" customWidth="1"/>
    <col min="12035" max="12035" width="12.42578125" style="898" customWidth="1"/>
    <col min="12036" max="12036" width="13.85546875" style="898" customWidth="1"/>
    <col min="12037" max="12037" width="19.42578125" style="898" customWidth="1"/>
    <col min="12038" max="12038" width="13.85546875" style="898" customWidth="1"/>
    <col min="12039" max="12039" width="15.140625" style="898" bestFit="1" customWidth="1"/>
    <col min="12040" max="12040" width="13.140625" style="898" customWidth="1"/>
    <col min="12041" max="12041" width="13.7109375" style="898" customWidth="1"/>
    <col min="12042" max="12288" width="9.140625" style="898"/>
    <col min="12289" max="12289" width="5.85546875" style="898" customWidth="1"/>
    <col min="12290" max="12290" width="45.7109375" style="898" customWidth="1"/>
    <col min="12291" max="12291" width="12.42578125" style="898" customWidth="1"/>
    <col min="12292" max="12292" width="13.85546875" style="898" customWidth="1"/>
    <col min="12293" max="12293" width="19.42578125" style="898" customWidth="1"/>
    <col min="12294" max="12294" width="13.85546875" style="898" customWidth="1"/>
    <col min="12295" max="12295" width="15.140625" style="898" bestFit="1" customWidth="1"/>
    <col min="12296" max="12296" width="13.140625" style="898" customWidth="1"/>
    <col min="12297" max="12297" width="13.7109375" style="898" customWidth="1"/>
    <col min="12298" max="12544" width="9.140625" style="898"/>
    <col min="12545" max="12545" width="5.85546875" style="898" customWidth="1"/>
    <col min="12546" max="12546" width="45.7109375" style="898" customWidth="1"/>
    <col min="12547" max="12547" width="12.42578125" style="898" customWidth="1"/>
    <col min="12548" max="12548" width="13.85546875" style="898" customWidth="1"/>
    <col min="12549" max="12549" width="19.42578125" style="898" customWidth="1"/>
    <col min="12550" max="12550" width="13.85546875" style="898" customWidth="1"/>
    <col min="12551" max="12551" width="15.140625" style="898" bestFit="1" customWidth="1"/>
    <col min="12552" max="12552" width="13.140625" style="898" customWidth="1"/>
    <col min="12553" max="12553" width="13.7109375" style="898" customWidth="1"/>
    <col min="12554" max="12800" width="9.140625" style="898"/>
    <col min="12801" max="12801" width="5.85546875" style="898" customWidth="1"/>
    <col min="12802" max="12802" width="45.7109375" style="898" customWidth="1"/>
    <col min="12803" max="12803" width="12.42578125" style="898" customWidth="1"/>
    <col min="12804" max="12804" width="13.85546875" style="898" customWidth="1"/>
    <col min="12805" max="12805" width="19.42578125" style="898" customWidth="1"/>
    <col min="12806" max="12806" width="13.85546875" style="898" customWidth="1"/>
    <col min="12807" max="12807" width="15.140625" style="898" bestFit="1" customWidth="1"/>
    <col min="12808" max="12808" width="13.140625" style="898" customWidth="1"/>
    <col min="12809" max="12809" width="13.7109375" style="898" customWidth="1"/>
    <col min="12810" max="13056" width="9.140625" style="898"/>
    <col min="13057" max="13057" width="5.85546875" style="898" customWidth="1"/>
    <col min="13058" max="13058" width="45.7109375" style="898" customWidth="1"/>
    <col min="13059" max="13059" width="12.42578125" style="898" customWidth="1"/>
    <col min="13060" max="13060" width="13.85546875" style="898" customWidth="1"/>
    <col min="13061" max="13061" width="19.42578125" style="898" customWidth="1"/>
    <col min="13062" max="13062" width="13.85546875" style="898" customWidth="1"/>
    <col min="13063" max="13063" width="15.140625" style="898" bestFit="1" customWidth="1"/>
    <col min="13064" max="13064" width="13.140625" style="898" customWidth="1"/>
    <col min="13065" max="13065" width="13.7109375" style="898" customWidth="1"/>
    <col min="13066" max="13312" width="9.140625" style="898"/>
    <col min="13313" max="13313" width="5.85546875" style="898" customWidth="1"/>
    <col min="13314" max="13314" width="45.7109375" style="898" customWidth="1"/>
    <col min="13315" max="13315" width="12.42578125" style="898" customWidth="1"/>
    <col min="13316" max="13316" width="13.85546875" style="898" customWidth="1"/>
    <col min="13317" max="13317" width="19.42578125" style="898" customWidth="1"/>
    <col min="13318" max="13318" width="13.85546875" style="898" customWidth="1"/>
    <col min="13319" max="13319" width="15.140625" style="898" bestFit="1" customWidth="1"/>
    <col min="13320" max="13320" width="13.140625" style="898" customWidth="1"/>
    <col min="13321" max="13321" width="13.7109375" style="898" customWidth="1"/>
    <col min="13322" max="13568" width="9.140625" style="898"/>
    <col min="13569" max="13569" width="5.85546875" style="898" customWidth="1"/>
    <col min="13570" max="13570" width="45.7109375" style="898" customWidth="1"/>
    <col min="13571" max="13571" width="12.42578125" style="898" customWidth="1"/>
    <col min="13572" max="13572" width="13.85546875" style="898" customWidth="1"/>
    <col min="13573" max="13573" width="19.42578125" style="898" customWidth="1"/>
    <col min="13574" max="13574" width="13.85546875" style="898" customWidth="1"/>
    <col min="13575" max="13575" width="15.140625" style="898" bestFit="1" customWidth="1"/>
    <col min="13576" max="13576" width="13.140625" style="898" customWidth="1"/>
    <col min="13577" max="13577" width="13.7109375" style="898" customWidth="1"/>
    <col min="13578" max="13824" width="9.140625" style="898"/>
    <col min="13825" max="13825" width="5.85546875" style="898" customWidth="1"/>
    <col min="13826" max="13826" width="45.7109375" style="898" customWidth="1"/>
    <col min="13827" max="13827" width="12.42578125" style="898" customWidth="1"/>
    <col min="13828" max="13828" width="13.85546875" style="898" customWidth="1"/>
    <col min="13829" max="13829" width="19.42578125" style="898" customWidth="1"/>
    <col min="13830" max="13830" width="13.85546875" style="898" customWidth="1"/>
    <col min="13831" max="13831" width="15.140625" style="898" bestFit="1" customWidth="1"/>
    <col min="13832" max="13832" width="13.140625" style="898" customWidth="1"/>
    <col min="13833" max="13833" width="13.7109375" style="898" customWidth="1"/>
    <col min="13834" max="14080" width="9.140625" style="898"/>
    <col min="14081" max="14081" width="5.85546875" style="898" customWidth="1"/>
    <col min="14082" max="14082" width="45.7109375" style="898" customWidth="1"/>
    <col min="14083" max="14083" width="12.42578125" style="898" customWidth="1"/>
    <col min="14084" max="14084" width="13.85546875" style="898" customWidth="1"/>
    <col min="14085" max="14085" width="19.42578125" style="898" customWidth="1"/>
    <col min="14086" max="14086" width="13.85546875" style="898" customWidth="1"/>
    <col min="14087" max="14087" width="15.140625" style="898" bestFit="1" customWidth="1"/>
    <col min="14088" max="14088" width="13.140625" style="898" customWidth="1"/>
    <col min="14089" max="14089" width="13.7109375" style="898" customWidth="1"/>
    <col min="14090" max="14336" width="9.140625" style="898"/>
    <col min="14337" max="14337" width="5.85546875" style="898" customWidth="1"/>
    <col min="14338" max="14338" width="45.7109375" style="898" customWidth="1"/>
    <col min="14339" max="14339" width="12.42578125" style="898" customWidth="1"/>
    <col min="14340" max="14340" width="13.85546875" style="898" customWidth="1"/>
    <col min="14341" max="14341" width="19.42578125" style="898" customWidth="1"/>
    <col min="14342" max="14342" width="13.85546875" style="898" customWidth="1"/>
    <col min="14343" max="14343" width="15.140625" style="898" bestFit="1" customWidth="1"/>
    <col min="14344" max="14344" width="13.140625" style="898" customWidth="1"/>
    <col min="14345" max="14345" width="13.7109375" style="898" customWidth="1"/>
    <col min="14346" max="14592" width="9.140625" style="898"/>
    <col min="14593" max="14593" width="5.85546875" style="898" customWidth="1"/>
    <col min="14594" max="14594" width="45.7109375" style="898" customWidth="1"/>
    <col min="14595" max="14595" width="12.42578125" style="898" customWidth="1"/>
    <col min="14596" max="14596" width="13.85546875" style="898" customWidth="1"/>
    <col min="14597" max="14597" width="19.42578125" style="898" customWidth="1"/>
    <col min="14598" max="14598" width="13.85546875" style="898" customWidth="1"/>
    <col min="14599" max="14599" width="15.140625" style="898" bestFit="1" customWidth="1"/>
    <col min="14600" max="14600" width="13.140625" style="898" customWidth="1"/>
    <col min="14601" max="14601" width="13.7109375" style="898" customWidth="1"/>
    <col min="14602" max="14848" width="9.140625" style="898"/>
    <col min="14849" max="14849" width="5.85546875" style="898" customWidth="1"/>
    <col min="14850" max="14850" width="45.7109375" style="898" customWidth="1"/>
    <col min="14851" max="14851" width="12.42578125" style="898" customWidth="1"/>
    <col min="14852" max="14852" width="13.85546875" style="898" customWidth="1"/>
    <col min="14853" max="14853" width="19.42578125" style="898" customWidth="1"/>
    <col min="14854" max="14854" width="13.85546875" style="898" customWidth="1"/>
    <col min="14855" max="14855" width="15.140625" style="898" bestFit="1" customWidth="1"/>
    <col min="14856" max="14856" width="13.140625" style="898" customWidth="1"/>
    <col min="14857" max="14857" width="13.7109375" style="898" customWidth="1"/>
    <col min="14858" max="15104" width="9.140625" style="898"/>
    <col min="15105" max="15105" width="5.85546875" style="898" customWidth="1"/>
    <col min="15106" max="15106" width="45.7109375" style="898" customWidth="1"/>
    <col min="15107" max="15107" width="12.42578125" style="898" customWidth="1"/>
    <col min="15108" max="15108" width="13.85546875" style="898" customWidth="1"/>
    <col min="15109" max="15109" width="19.42578125" style="898" customWidth="1"/>
    <col min="15110" max="15110" width="13.85546875" style="898" customWidth="1"/>
    <col min="15111" max="15111" width="15.140625" style="898" bestFit="1" customWidth="1"/>
    <col min="15112" max="15112" width="13.140625" style="898" customWidth="1"/>
    <col min="15113" max="15113" width="13.7109375" style="898" customWidth="1"/>
    <col min="15114" max="15360" width="9.140625" style="898"/>
    <col min="15361" max="15361" width="5.85546875" style="898" customWidth="1"/>
    <col min="15362" max="15362" width="45.7109375" style="898" customWidth="1"/>
    <col min="15363" max="15363" width="12.42578125" style="898" customWidth="1"/>
    <col min="15364" max="15364" width="13.85546875" style="898" customWidth="1"/>
    <col min="15365" max="15365" width="19.42578125" style="898" customWidth="1"/>
    <col min="15366" max="15366" width="13.85546875" style="898" customWidth="1"/>
    <col min="15367" max="15367" width="15.140625" style="898" bestFit="1" customWidth="1"/>
    <col min="15368" max="15368" width="13.140625" style="898" customWidth="1"/>
    <col min="15369" max="15369" width="13.7109375" style="898" customWidth="1"/>
    <col min="15370" max="15616" width="9.140625" style="898"/>
    <col min="15617" max="15617" width="5.85546875" style="898" customWidth="1"/>
    <col min="15618" max="15618" width="45.7109375" style="898" customWidth="1"/>
    <col min="15619" max="15619" width="12.42578125" style="898" customWidth="1"/>
    <col min="15620" max="15620" width="13.85546875" style="898" customWidth="1"/>
    <col min="15621" max="15621" width="19.42578125" style="898" customWidth="1"/>
    <col min="15622" max="15622" width="13.85546875" style="898" customWidth="1"/>
    <col min="15623" max="15623" width="15.140625" style="898" bestFit="1" customWidth="1"/>
    <col min="15624" max="15624" width="13.140625" style="898" customWidth="1"/>
    <col min="15625" max="15625" width="13.7109375" style="898" customWidth="1"/>
    <col min="15626" max="15872" width="9.140625" style="898"/>
    <col min="15873" max="15873" width="5.85546875" style="898" customWidth="1"/>
    <col min="15874" max="15874" width="45.7109375" style="898" customWidth="1"/>
    <col min="15875" max="15875" width="12.42578125" style="898" customWidth="1"/>
    <col min="15876" max="15876" width="13.85546875" style="898" customWidth="1"/>
    <col min="15877" max="15877" width="19.42578125" style="898" customWidth="1"/>
    <col min="15878" max="15878" width="13.85546875" style="898" customWidth="1"/>
    <col min="15879" max="15879" width="15.140625" style="898" bestFit="1" customWidth="1"/>
    <col min="15880" max="15880" width="13.140625" style="898" customWidth="1"/>
    <col min="15881" max="15881" width="13.7109375" style="898" customWidth="1"/>
    <col min="15882" max="16128" width="9.140625" style="898"/>
    <col min="16129" max="16129" width="5.85546875" style="898" customWidth="1"/>
    <col min="16130" max="16130" width="45.7109375" style="898" customWidth="1"/>
    <col min="16131" max="16131" width="12.42578125" style="898" customWidth="1"/>
    <col min="16132" max="16132" width="13.85546875" style="898" customWidth="1"/>
    <col min="16133" max="16133" width="19.42578125" style="898" customWidth="1"/>
    <col min="16134" max="16134" width="13.85546875" style="898" customWidth="1"/>
    <col min="16135" max="16135" width="15.140625" style="898" bestFit="1" customWidth="1"/>
    <col min="16136" max="16136" width="13.140625" style="898" customWidth="1"/>
    <col min="16137" max="16137" width="13.7109375" style="898" customWidth="1"/>
    <col min="16138" max="16384" width="9.140625" style="898"/>
  </cols>
  <sheetData>
    <row r="1" spans="1:256" ht="18.75" x14ac:dyDescent="0.3">
      <c r="A1" s="944" t="s">
        <v>1411</v>
      </c>
      <c r="B1" s="944"/>
      <c r="C1" s="944"/>
      <c r="D1" s="944"/>
      <c r="E1" s="944"/>
      <c r="F1" s="944"/>
      <c r="G1" s="944"/>
      <c r="H1" s="944"/>
      <c r="I1" s="944"/>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c r="CE1" s="897"/>
      <c r="CF1" s="897"/>
      <c r="CG1" s="897"/>
      <c r="CH1" s="897"/>
      <c r="CI1" s="897"/>
      <c r="CJ1" s="897"/>
      <c r="CK1" s="897"/>
      <c r="CL1" s="897"/>
      <c r="CM1" s="897"/>
      <c r="CN1" s="897"/>
      <c r="CO1" s="897"/>
      <c r="CP1" s="897"/>
      <c r="CQ1" s="897"/>
      <c r="CR1" s="897"/>
      <c r="CS1" s="897"/>
      <c r="CT1" s="897"/>
      <c r="CU1" s="897"/>
      <c r="CV1" s="897"/>
      <c r="CW1" s="897"/>
      <c r="CX1" s="897"/>
      <c r="CY1" s="897"/>
      <c r="CZ1" s="897"/>
      <c r="DA1" s="897"/>
      <c r="DB1" s="897"/>
      <c r="DC1" s="897"/>
      <c r="DD1" s="897"/>
      <c r="DE1" s="897"/>
      <c r="DF1" s="897"/>
      <c r="DG1" s="897"/>
      <c r="DH1" s="897"/>
      <c r="DI1" s="897"/>
      <c r="DJ1" s="897"/>
      <c r="DK1" s="897"/>
      <c r="DL1" s="897"/>
      <c r="DM1" s="897"/>
      <c r="DN1" s="897"/>
      <c r="DO1" s="897"/>
      <c r="DP1" s="897"/>
      <c r="DQ1" s="897"/>
      <c r="DR1" s="897"/>
      <c r="DS1" s="897"/>
      <c r="DT1" s="897"/>
      <c r="DU1" s="897"/>
      <c r="DV1" s="897"/>
      <c r="DW1" s="897"/>
      <c r="DX1" s="897"/>
      <c r="DY1" s="897"/>
      <c r="DZ1" s="897"/>
      <c r="EA1" s="897"/>
      <c r="EB1" s="897"/>
      <c r="EC1" s="897"/>
      <c r="ED1" s="897"/>
      <c r="EE1" s="897"/>
      <c r="EF1" s="897"/>
      <c r="EG1" s="897"/>
      <c r="EH1" s="897"/>
      <c r="EI1" s="897"/>
      <c r="EJ1" s="897"/>
      <c r="EK1" s="897"/>
      <c r="EL1" s="897"/>
      <c r="EM1" s="897"/>
      <c r="EN1" s="897"/>
      <c r="EO1" s="897"/>
      <c r="EP1" s="897"/>
      <c r="EQ1" s="897"/>
      <c r="ER1" s="897"/>
      <c r="ES1" s="897"/>
      <c r="ET1" s="897"/>
      <c r="EU1" s="897"/>
      <c r="EV1" s="897"/>
      <c r="EW1" s="897"/>
      <c r="EX1" s="897"/>
      <c r="EY1" s="897"/>
      <c r="EZ1" s="897"/>
      <c r="FA1" s="897"/>
      <c r="FB1" s="897"/>
      <c r="FC1" s="897"/>
      <c r="FD1" s="897"/>
      <c r="FE1" s="897"/>
      <c r="FF1" s="897"/>
      <c r="FG1" s="897"/>
      <c r="FH1" s="897"/>
      <c r="FI1" s="897"/>
      <c r="FJ1" s="897"/>
      <c r="FK1" s="897"/>
      <c r="FL1" s="897"/>
      <c r="FM1" s="897"/>
      <c r="FN1" s="897"/>
      <c r="FO1" s="897"/>
      <c r="FP1" s="897"/>
      <c r="FQ1" s="897"/>
      <c r="FR1" s="897"/>
      <c r="FS1" s="897"/>
      <c r="FT1" s="897"/>
      <c r="FU1" s="897"/>
      <c r="FV1" s="897"/>
      <c r="FW1" s="897"/>
      <c r="FX1" s="897"/>
      <c r="FY1" s="897"/>
      <c r="FZ1" s="897"/>
      <c r="GA1" s="897"/>
      <c r="GB1" s="897"/>
      <c r="GC1" s="897"/>
      <c r="GD1" s="897"/>
      <c r="GE1" s="897"/>
      <c r="GF1" s="897"/>
      <c r="GG1" s="897"/>
      <c r="GH1" s="897"/>
      <c r="GI1" s="897"/>
      <c r="GJ1" s="897"/>
      <c r="GK1" s="897"/>
      <c r="GL1" s="897"/>
      <c r="GM1" s="897"/>
      <c r="GN1" s="897"/>
      <c r="GO1" s="897"/>
      <c r="GP1" s="897"/>
      <c r="GQ1" s="897"/>
      <c r="GR1" s="897"/>
      <c r="GS1" s="897"/>
      <c r="GT1" s="897"/>
      <c r="GU1" s="897"/>
      <c r="GV1" s="897"/>
      <c r="GW1" s="897"/>
      <c r="GX1" s="897"/>
      <c r="GY1" s="897"/>
      <c r="GZ1" s="897"/>
      <c r="HA1" s="897"/>
      <c r="HB1" s="897"/>
      <c r="HC1" s="897"/>
      <c r="HD1" s="897"/>
      <c r="HE1" s="897"/>
      <c r="HF1" s="897"/>
      <c r="HG1" s="897"/>
      <c r="HH1" s="897"/>
      <c r="HI1" s="897"/>
      <c r="HJ1" s="897"/>
      <c r="HK1" s="897"/>
      <c r="HL1" s="897"/>
      <c r="HM1" s="897"/>
      <c r="HN1" s="897"/>
      <c r="HO1" s="897"/>
      <c r="HP1" s="897"/>
      <c r="HQ1" s="897"/>
      <c r="HR1" s="897"/>
      <c r="HS1" s="897"/>
      <c r="HT1" s="897"/>
      <c r="HU1" s="897"/>
      <c r="HV1" s="897"/>
      <c r="HW1" s="897"/>
      <c r="HX1" s="897"/>
      <c r="HY1" s="897"/>
      <c r="HZ1" s="897"/>
      <c r="IA1" s="897"/>
      <c r="IB1" s="897"/>
      <c r="IC1" s="897"/>
      <c r="ID1" s="897"/>
      <c r="IE1" s="897"/>
      <c r="IF1" s="897"/>
      <c r="IG1" s="897"/>
      <c r="IH1" s="897"/>
      <c r="II1" s="897"/>
      <c r="IJ1" s="897"/>
      <c r="IK1" s="897"/>
      <c r="IL1" s="897"/>
      <c r="IM1" s="897"/>
      <c r="IN1" s="897"/>
      <c r="IO1" s="897"/>
      <c r="IP1" s="897"/>
      <c r="IQ1" s="897"/>
      <c r="IR1" s="897"/>
      <c r="IS1" s="897"/>
      <c r="IT1" s="897"/>
      <c r="IU1" s="897"/>
      <c r="IV1" s="897"/>
    </row>
    <row r="2" spans="1:256" ht="18.75" x14ac:dyDescent="0.3">
      <c r="A2" s="945" t="s">
        <v>1403</v>
      </c>
      <c r="B2" s="945"/>
      <c r="C2" s="945"/>
      <c r="D2" s="945"/>
      <c r="E2" s="945"/>
      <c r="F2" s="945"/>
      <c r="G2" s="945"/>
      <c r="H2" s="945"/>
      <c r="I2" s="945"/>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c r="BI2" s="899"/>
      <c r="BJ2" s="899"/>
      <c r="BK2" s="899"/>
      <c r="BL2" s="899"/>
      <c r="BM2" s="899"/>
      <c r="BN2" s="899"/>
      <c r="BO2" s="899"/>
      <c r="BP2" s="899"/>
      <c r="BQ2" s="899"/>
      <c r="BR2" s="899"/>
      <c r="BS2" s="899"/>
      <c r="BT2" s="899"/>
      <c r="BU2" s="899"/>
      <c r="BV2" s="899"/>
      <c r="BW2" s="899"/>
      <c r="BX2" s="899"/>
      <c r="BY2" s="899"/>
      <c r="BZ2" s="899"/>
      <c r="CA2" s="899"/>
      <c r="CB2" s="899"/>
      <c r="CC2" s="899"/>
      <c r="CD2" s="899"/>
      <c r="CE2" s="899"/>
      <c r="CF2" s="899"/>
      <c r="CG2" s="899"/>
      <c r="CH2" s="899"/>
      <c r="CI2" s="899"/>
      <c r="CJ2" s="899"/>
      <c r="CK2" s="899"/>
      <c r="CL2" s="899"/>
      <c r="CM2" s="899"/>
      <c r="CN2" s="899"/>
      <c r="CO2" s="899"/>
      <c r="CP2" s="899"/>
      <c r="CQ2" s="899"/>
      <c r="CR2" s="899"/>
      <c r="CS2" s="899"/>
      <c r="CT2" s="899"/>
      <c r="CU2" s="899"/>
      <c r="CV2" s="899"/>
      <c r="CW2" s="899"/>
      <c r="CX2" s="899"/>
      <c r="CY2" s="899"/>
      <c r="CZ2" s="899"/>
      <c r="DA2" s="899"/>
      <c r="DB2" s="899"/>
      <c r="DC2" s="899"/>
      <c r="DD2" s="899"/>
      <c r="DE2" s="899"/>
      <c r="DF2" s="899"/>
      <c r="DG2" s="899"/>
      <c r="DH2" s="899"/>
      <c r="DI2" s="899"/>
      <c r="DJ2" s="899"/>
      <c r="DK2" s="899"/>
      <c r="DL2" s="899"/>
      <c r="DM2" s="899"/>
      <c r="DN2" s="899"/>
      <c r="DO2" s="899"/>
      <c r="DP2" s="899"/>
      <c r="DQ2" s="899"/>
      <c r="DR2" s="899"/>
      <c r="DS2" s="899"/>
      <c r="DT2" s="899"/>
      <c r="DU2" s="899"/>
      <c r="DV2" s="899"/>
      <c r="DW2" s="899"/>
      <c r="DX2" s="899"/>
      <c r="DY2" s="899"/>
      <c r="DZ2" s="899"/>
      <c r="EA2" s="899"/>
      <c r="EB2" s="899"/>
      <c r="EC2" s="899"/>
      <c r="ED2" s="899"/>
      <c r="EE2" s="899"/>
      <c r="EF2" s="899"/>
      <c r="EG2" s="899"/>
      <c r="EH2" s="899"/>
      <c r="EI2" s="899"/>
      <c r="EJ2" s="899"/>
      <c r="EK2" s="899"/>
      <c r="EL2" s="899"/>
      <c r="EM2" s="899"/>
      <c r="EN2" s="899"/>
      <c r="EO2" s="899"/>
      <c r="EP2" s="899"/>
      <c r="EQ2" s="899"/>
      <c r="ER2" s="899"/>
      <c r="ES2" s="899"/>
      <c r="ET2" s="899"/>
      <c r="EU2" s="899"/>
      <c r="EV2" s="899"/>
      <c r="EW2" s="899"/>
      <c r="EX2" s="899"/>
      <c r="EY2" s="899"/>
      <c r="EZ2" s="899"/>
      <c r="FA2" s="899"/>
      <c r="FB2" s="899"/>
      <c r="FC2" s="899"/>
      <c r="FD2" s="899"/>
      <c r="FE2" s="899"/>
      <c r="FF2" s="899"/>
      <c r="FG2" s="899"/>
      <c r="FH2" s="899"/>
      <c r="FI2" s="899"/>
      <c r="FJ2" s="899"/>
      <c r="FK2" s="899"/>
      <c r="FL2" s="899"/>
      <c r="FM2" s="899"/>
      <c r="FN2" s="899"/>
      <c r="FO2" s="899"/>
      <c r="FP2" s="899"/>
      <c r="FQ2" s="899"/>
      <c r="FR2" s="899"/>
      <c r="FS2" s="899"/>
      <c r="FT2" s="899"/>
      <c r="FU2" s="899"/>
      <c r="FV2" s="899"/>
      <c r="FW2" s="899"/>
      <c r="FX2" s="899"/>
      <c r="FY2" s="899"/>
      <c r="FZ2" s="899"/>
      <c r="GA2" s="899"/>
      <c r="GB2" s="899"/>
      <c r="GC2" s="899"/>
      <c r="GD2" s="899"/>
      <c r="GE2" s="899"/>
      <c r="GF2" s="899"/>
      <c r="GG2" s="899"/>
      <c r="GH2" s="899"/>
      <c r="GI2" s="899"/>
      <c r="GJ2" s="899"/>
      <c r="GK2" s="899"/>
      <c r="GL2" s="899"/>
      <c r="GM2" s="899"/>
      <c r="GN2" s="899"/>
      <c r="GO2" s="899"/>
      <c r="GP2" s="899"/>
      <c r="GQ2" s="899"/>
      <c r="GR2" s="899"/>
      <c r="GS2" s="899"/>
      <c r="GT2" s="899"/>
      <c r="GU2" s="899"/>
      <c r="GV2" s="899"/>
      <c r="GW2" s="899"/>
      <c r="GX2" s="899"/>
      <c r="GY2" s="899"/>
      <c r="GZ2" s="899"/>
      <c r="HA2" s="899"/>
      <c r="HB2" s="899"/>
      <c r="HC2" s="899"/>
      <c r="HD2" s="899"/>
      <c r="HE2" s="899"/>
      <c r="HF2" s="899"/>
      <c r="HG2" s="899"/>
      <c r="HH2" s="899"/>
      <c r="HI2" s="899"/>
      <c r="HJ2" s="899"/>
      <c r="HK2" s="899"/>
      <c r="HL2" s="899"/>
      <c r="HM2" s="899"/>
      <c r="HN2" s="899"/>
      <c r="HO2" s="899"/>
      <c r="HP2" s="899"/>
      <c r="HQ2" s="899"/>
      <c r="HR2" s="899"/>
      <c r="HS2" s="899"/>
      <c r="HT2" s="899"/>
      <c r="HU2" s="899"/>
      <c r="HV2" s="899"/>
      <c r="HW2" s="899"/>
      <c r="HX2" s="899"/>
      <c r="HY2" s="899"/>
      <c r="HZ2" s="899"/>
      <c r="IA2" s="899"/>
      <c r="IB2" s="899"/>
      <c r="IC2" s="899"/>
      <c r="ID2" s="899"/>
      <c r="IE2" s="899"/>
      <c r="IF2" s="899"/>
      <c r="IG2" s="899"/>
      <c r="IH2" s="899"/>
      <c r="II2" s="899"/>
      <c r="IJ2" s="899"/>
      <c r="IK2" s="899"/>
      <c r="IL2" s="899"/>
      <c r="IM2" s="899"/>
      <c r="IN2" s="899"/>
      <c r="IO2" s="899"/>
      <c r="IP2" s="899"/>
      <c r="IQ2" s="899"/>
      <c r="IR2" s="899"/>
      <c r="IS2" s="899"/>
      <c r="IT2" s="899"/>
      <c r="IU2" s="899"/>
      <c r="IV2" s="899"/>
    </row>
    <row r="3" spans="1:256" ht="18.75" x14ac:dyDescent="0.3">
      <c r="A3" s="946" t="s">
        <v>1412</v>
      </c>
      <c r="B3" s="946"/>
      <c r="C3" s="946"/>
      <c r="D3" s="946"/>
      <c r="E3" s="946"/>
      <c r="F3" s="946"/>
      <c r="G3" s="946"/>
      <c r="H3" s="946"/>
      <c r="I3" s="946"/>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899"/>
      <c r="CS3" s="899"/>
      <c r="CT3" s="899"/>
      <c r="CU3" s="899"/>
      <c r="CV3" s="899"/>
      <c r="CW3" s="899"/>
      <c r="CX3" s="899"/>
      <c r="CY3" s="899"/>
      <c r="CZ3" s="899"/>
      <c r="DA3" s="899"/>
      <c r="DB3" s="899"/>
      <c r="DC3" s="899"/>
      <c r="DD3" s="899"/>
      <c r="DE3" s="899"/>
      <c r="DF3" s="899"/>
      <c r="DG3" s="899"/>
      <c r="DH3" s="899"/>
      <c r="DI3" s="899"/>
      <c r="DJ3" s="899"/>
      <c r="DK3" s="899"/>
      <c r="DL3" s="899"/>
      <c r="DM3" s="899"/>
      <c r="DN3" s="899"/>
      <c r="DO3" s="899"/>
      <c r="DP3" s="899"/>
      <c r="DQ3" s="899"/>
      <c r="DR3" s="899"/>
      <c r="DS3" s="899"/>
      <c r="DT3" s="899"/>
      <c r="DU3" s="899"/>
      <c r="DV3" s="899"/>
      <c r="DW3" s="899"/>
      <c r="DX3" s="899"/>
      <c r="DY3" s="899"/>
      <c r="DZ3" s="899"/>
      <c r="EA3" s="899"/>
      <c r="EB3" s="899"/>
      <c r="EC3" s="899"/>
      <c r="ED3" s="899"/>
      <c r="EE3" s="899"/>
      <c r="EF3" s="899"/>
      <c r="EG3" s="899"/>
      <c r="EH3" s="899"/>
      <c r="EI3" s="899"/>
      <c r="EJ3" s="899"/>
      <c r="EK3" s="899"/>
      <c r="EL3" s="899"/>
      <c r="EM3" s="899"/>
      <c r="EN3" s="899"/>
      <c r="EO3" s="899"/>
      <c r="EP3" s="899"/>
      <c r="EQ3" s="899"/>
      <c r="ER3" s="899"/>
      <c r="ES3" s="899"/>
      <c r="ET3" s="899"/>
      <c r="EU3" s="899"/>
      <c r="EV3" s="899"/>
      <c r="EW3" s="899"/>
      <c r="EX3" s="899"/>
      <c r="EY3" s="899"/>
      <c r="EZ3" s="899"/>
      <c r="FA3" s="899"/>
      <c r="FB3" s="899"/>
      <c r="FC3" s="899"/>
      <c r="FD3" s="899"/>
      <c r="FE3" s="899"/>
      <c r="FF3" s="899"/>
      <c r="FG3" s="899"/>
      <c r="FH3" s="899"/>
      <c r="FI3" s="899"/>
      <c r="FJ3" s="899"/>
      <c r="FK3" s="899"/>
      <c r="FL3" s="899"/>
      <c r="FM3" s="899"/>
      <c r="FN3" s="899"/>
      <c r="FO3" s="899"/>
      <c r="FP3" s="899"/>
      <c r="FQ3" s="899"/>
      <c r="FR3" s="899"/>
      <c r="FS3" s="899"/>
      <c r="FT3" s="899"/>
      <c r="FU3" s="899"/>
      <c r="FV3" s="899"/>
      <c r="FW3" s="899"/>
      <c r="FX3" s="899"/>
      <c r="FY3" s="899"/>
      <c r="FZ3" s="899"/>
      <c r="GA3" s="899"/>
      <c r="GB3" s="899"/>
      <c r="GC3" s="899"/>
      <c r="GD3" s="899"/>
      <c r="GE3" s="899"/>
      <c r="GF3" s="899"/>
      <c r="GG3" s="899"/>
      <c r="GH3" s="899"/>
      <c r="GI3" s="899"/>
      <c r="GJ3" s="899"/>
      <c r="GK3" s="899"/>
      <c r="GL3" s="899"/>
      <c r="GM3" s="899"/>
      <c r="GN3" s="899"/>
      <c r="GO3" s="899"/>
      <c r="GP3" s="899"/>
      <c r="GQ3" s="899"/>
      <c r="GR3" s="899"/>
      <c r="GS3" s="899"/>
      <c r="GT3" s="899"/>
      <c r="GU3" s="899"/>
      <c r="GV3" s="899"/>
      <c r="GW3" s="899"/>
      <c r="GX3" s="899"/>
      <c r="GY3" s="899"/>
      <c r="GZ3" s="899"/>
      <c r="HA3" s="899"/>
      <c r="HB3" s="899"/>
      <c r="HC3" s="899"/>
      <c r="HD3" s="899"/>
      <c r="HE3" s="899"/>
      <c r="HF3" s="899"/>
      <c r="HG3" s="899"/>
      <c r="HH3" s="899"/>
      <c r="HI3" s="899"/>
      <c r="HJ3" s="899"/>
      <c r="HK3" s="899"/>
      <c r="HL3" s="899"/>
      <c r="HM3" s="899"/>
      <c r="HN3" s="899"/>
      <c r="HO3" s="899"/>
      <c r="HP3" s="899"/>
      <c r="HQ3" s="899"/>
      <c r="HR3" s="899"/>
      <c r="HS3" s="899"/>
      <c r="HT3" s="899"/>
      <c r="HU3" s="899"/>
      <c r="HV3" s="899"/>
      <c r="HW3" s="899"/>
      <c r="HX3" s="899"/>
      <c r="HY3" s="899"/>
      <c r="HZ3" s="899"/>
      <c r="IA3" s="899"/>
      <c r="IB3" s="899"/>
      <c r="IC3" s="899"/>
      <c r="ID3" s="899"/>
      <c r="IE3" s="899"/>
      <c r="IF3" s="899"/>
      <c r="IG3" s="899"/>
      <c r="IH3" s="899"/>
      <c r="II3" s="899"/>
      <c r="IJ3" s="899"/>
      <c r="IK3" s="899"/>
      <c r="IL3" s="899"/>
      <c r="IM3" s="899"/>
      <c r="IN3" s="899"/>
      <c r="IO3" s="899"/>
      <c r="IP3" s="899"/>
      <c r="IQ3" s="899"/>
      <c r="IR3" s="899"/>
      <c r="IS3" s="899"/>
      <c r="IT3" s="899"/>
      <c r="IU3" s="899"/>
      <c r="IV3" s="899"/>
    </row>
    <row r="4" spans="1:256" x14ac:dyDescent="0.25">
      <c r="A4" s="900"/>
      <c r="B4" s="900"/>
      <c r="C4" s="900"/>
      <c r="D4" s="901"/>
      <c r="E4" s="902"/>
      <c r="F4" s="902"/>
      <c r="G4" s="902"/>
      <c r="H4" s="903"/>
      <c r="I4" s="903"/>
    </row>
    <row r="5" spans="1:256" ht="93.75" x14ac:dyDescent="0.3">
      <c r="A5" s="904" t="s">
        <v>1413</v>
      </c>
      <c r="B5" s="904" t="s">
        <v>1414</v>
      </c>
      <c r="C5" s="904" t="s">
        <v>1415</v>
      </c>
      <c r="D5" s="904" t="s">
        <v>1416</v>
      </c>
      <c r="E5" s="904" t="s">
        <v>1417</v>
      </c>
      <c r="F5" s="904" t="s">
        <v>1418</v>
      </c>
      <c r="G5" s="904" t="s">
        <v>1419</v>
      </c>
      <c r="H5" s="904" t="s">
        <v>1420</v>
      </c>
      <c r="I5" s="904" t="s">
        <v>1421</v>
      </c>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897"/>
      <c r="BX5" s="897"/>
      <c r="BY5" s="897"/>
      <c r="BZ5" s="897"/>
      <c r="CA5" s="897"/>
      <c r="CB5" s="897"/>
      <c r="CC5" s="897"/>
      <c r="CD5" s="897"/>
      <c r="CE5" s="897"/>
      <c r="CF5" s="897"/>
      <c r="CG5" s="897"/>
      <c r="CH5" s="897"/>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7"/>
      <c r="FB5" s="897"/>
      <c r="FC5" s="897"/>
      <c r="FD5" s="897"/>
      <c r="FE5" s="897"/>
      <c r="FF5" s="897"/>
      <c r="FG5" s="897"/>
      <c r="FH5" s="897"/>
      <c r="FI5" s="897"/>
      <c r="FJ5" s="897"/>
      <c r="FK5" s="897"/>
      <c r="FL5" s="897"/>
      <c r="FM5" s="897"/>
      <c r="FN5" s="897"/>
      <c r="FO5" s="897"/>
      <c r="FP5" s="897"/>
      <c r="FQ5" s="897"/>
      <c r="FR5" s="897"/>
      <c r="FS5" s="897"/>
      <c r="FT5" s="897"/>
      <c r="FU5" s="897"/>
      <c r="FV5" s="897"/>
      <c r="FW5" s="897"/>
      <c r="FX5" s="897"/>
      <c r="FY5" s="897"/>
      <c r="FZ5" s="897"/>
      <c r="GA5" s="897"/>
      <c r="GB5" s="897"/>
      <c r="GC5" s="897"/>
      <c r="GD5" s="897"/>
      <c r="GE5" s="897"/>
      <c r="GF5" s="897"/>
      <c r="GG5" s="897"/>
      <c r="GH5" s="897"/>
      <c r="GI5" s="897"/>
      <c r="GJ5" s="897"/>
      <c r="GK5" s="897"/>
      <c r="GL5" s="897"/>
      <c r="GM5" s="897"/>
      <c r="GN5" s="897"/>
      <c r="GO5" s="897"/>
      <c r="GP5" s="897"/>
      <c r="GQ5" s="897"/>
      <c r="GR5" s="897"/>
      <c r="GS5" s="897"/>
      <c r="GT5" s="897"/>
      <c r="GU5" s="897"/>
      <c r="GV5" s="897"/>
      <c r="GW5" s="897"/>
      <c r="GX5" s="897"/>
      <c r="GY5" s="897"/>
      <c r="GZ5" s="897"/>
      <c r="HA5" s="897"/>
      <c r="HB5" s="897"/>
      <c r="HC5" s="897"/>
      <c r="HD5" s="897"/>
      <c r="HE5" s="897"/>
      <c r="HF5" s="897"/>
      <c r="HG5" s="897"/>
      <c r="HH5" s="897"/>
      <c r="HI5" s="897"/>
      <c r="HJ5" s="897"/>
      <c r="HK5" s="897"/>
      <c r="HL5" s="897"/>
      <c r="HM5" s="897"/>
      <c r="HN5" s="897"/>
      <c r="HO5" s="897"/>
      <c r="HP5" s="897"/>
      <c r="HQ5" s="897"/>
      <c r="HR5" s="897"/>
      <c r="HS5" s="897"/>
      <c r="HT5" s="897"/>
      <c r="HU5" s="897"/>
      <c r="HV5" s="897"/>
      <c r="HW5" s="897"/>
      <c r="HX5" s="897"/>
      <c r="HY5" s="897"/>
      <c r="HZ5" s="897"/>
      <c r="IA5" s="897"/>
      <c r="IB5" s="897"/>
      <c r="IC5" s="897"/>
      <c r="ID5" s="897"/>
      <c r="IE5" s="897"/>
      <c r="IF5" s="897"/>
      <c r="IG5" s="897"/>
      <c r="IH5" s="897"/>
      <c r="II5" s="897"/>
      <c r="IJ5" s="897"/>
      <c r="IK5" s="897"/>
      <c r="IL5" s="897"/>
      <c r="IM5" s="897"/>
      <c r="IN5" s="897"/>
      <c r="IO5" s="897"/>
      <c r="IP5" s="897"/>
      <c r="IQ5" s="897"/>
      <c r="IR5" s="897"/>
      <c r="IS5" s="897"/>
      <c r="IT5" s="897"/>
      <c r="IU5" s="897"/>
      <c r="IV5" s="897"/>
    </row>
    <row r="6" spans="1:256" ht="18.75" x14ac:dyDescent="0.3">
      <c r="A6" s="905" t="s">
        <v>489</v>
      </c>
      <c r="B6" s="906" t="s">
        <v>1422</v>
      </c>
      <c r="C6" s="907">
        <v>66730</v>
      </c>
      <c r="D6" s="947" t="s">
        <v>1435</v>
      </c>
      <c r="E6" s="908"/>
      <c r="F6" s="908"/>
      <c r="G6" s="908"/>
      <c r="H6" s="909"/>
      <c r="I6" s="909"/>
    </row>
    <row r="7" spans="1:256" ht="37.5" x14ac:dyDescent="0.3">
      <c r="A7" s="910" t="s">
        <v>47</v>
      </c>
      <c r="B7" s="911" t="s">
        <v>1423</v>
      </c>
      <c r="C7" s="912">
        <v>62410</v>
      </c>
      <c r="D7" s="948"/>
      <c r="E7" s="913"/>
      <c r="F7" s="913"/>
      <c r="G7" s="914" t="s">
        <v>1424</v>
      </c>
      <c r="H7" s="915"/>
      <c r="I7" s="915"/>
    </row>
    <row r="8" spans="1:256" ht="37.5" x14ac:dyDescent="0.3">
      <c r="A8" s="910">
        <v>2</v>
      </c>
      <c r="B8" s="911" t="s">
        <v>1425</v>
      </c>
      <c r="C8" s="912">
        <v>4320</v>
      </c>
      <c r="D8" s="948"/>
      <c r="E8" s="913"/>
      <c r="F8" s="913"/>
      <c r="G8" s="914" t="s">
        <v>1424</v>
      </c>
      <c r="H8" s="915"/>
      <c r="I8" s="915"/>
    </row>
    <row r="9" spans="1:256" ht="37.5" x14ac:dyDescent="0.3">
      <c r="A9" s="905" t="s">
        <v>548</v>
      </c>
      <c r="B9" s="916" t="s">
        <v>1426</v>
      </c>
      <c r="C9" s="907">
        <v>958697</v>
      </c>
      <c r="D9" s="948"/>
      <c r="E9" s="908"/>
      <c r="F9" s="908"/>
      <c r="G9" s="908"/>
      <c r="H9" s="909"/>
      <c r="I9" s="909"/>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0"/>
      <c r="BJ9" s="900"/>
      <c r="BK9" s="900"/>
      <c r="BL9" s="900"/>
      <c r="BM9" s="900"/>
      <c r="BN9" s="900"/>
      <c r="BO9" s="900"/>
      <c r="BP9" s="900"/>
      <c r="BQ9" s="900"/>
      <c r="BR9" s="900"/>
      <c r="BS9" s="900"/>
      <c r="BT9" s="900"/>
      <c r="BU9" s="900"/>
      <c r="BV9" s="900"/>
      <c r="BW9" s="900"/>
      <c r="BX9" s="900"/>
      <c r="BY9" s="900"/>
      <c r="BZ9" s="900"/>
      <c r="CA9" s="900"/>
      <c r="CB9" s="900"/>
      <c r="CC9" s="900"/>
      <c r="CD9" s="900"/>
      <c r="CE9" s="900"/>
      <c r="CF9" s="900"/>
      <c r="CG9" s="900"/>
      <c r="CH9" s="900"/>
      <c r="CI9" s="900"/>
      <c r="CJ9" s="900"/>
      <c r="CK9" s="900"/>
      <c r="CL9" s="900"/>
      <c r="CM9" s="900"/>
      <c r="CN9" s="900"/>
      <c r="CO9" s="900"/>
      <c r="CP9" s="900"/>
      <c r="CQ9" s="900"/>
      <c r="CR9" s="900"/>
      <c r="CS9" s="900"/>
      <c r="CT9" s="900"/>
      <c r="CU9" s="900"/>
      <c r="CV9" s="900"/>
      <c r="CW9" s="900"/>
      <c r="CX9" s="900"/>
      <c r="CY9" s="900"/>
      <c r="CZ9" s="900"/>
      <c r="DA9" s="900"/>
      <c r="DB9" s="900"/>
      <c r="DC9" s="900"/>
      <c r="DD9" s="900"/>
      <c r="DE9" s="900"/>
      <c r="DF9" s="900"/>
      <c r="DG9" s="900"/>
      <c r="DH9" s="900"/>
      <c r="DI9" s="900"/>
      <c r="DJ9" s="900"/>
      <c r="DK9" s="900"/>
      <c r="DL9" s="900"/>
      <c r="DM9" s="900"/>
      <c r="DN9" s="900"/>
      <c r="DO9" s="900"/>
      <c r="DP9" s="900"/>
      <c r="DQ9" s="900"/>
      <c r="DR9" s="900"/>
      <c r="DS9" s="900"/>
      <c r="DT9" s="900"/>
      <c r="DU9" s="900"/>
      <c r="DV9" s="900"/>
      <c r="DW9" s="900"/>
      <c r="DX9" s="900"/>
      <c r="DY9" s="900"/>
      <c r="DZ9" s="900"/>
      <c r="EA9" s="900"/>
      <c r="EB9" s="900"/>
      <c r="EC9" s="900"/>
      <c r="ED9" s="900"/>
      <c r="EE9" s="900"/>
      <c r="EF9" s="900"/>
      <c r="EG9" s="900"/>
      <c r="EH9" s="900"/>
      <c r="EI9" s="900"/>
      <c r="EJ9" s="900"/>
      <c r="EK9" s="900"/>
      <c r="EL9" s="900"/>
      <c r="EM9" s="900"/>
      <c r="EN9" s="900"/>
      <c r="EO9" s="900"/>
      <c r="EP9" s="900"/>
      <c r="EQ9" s="900"/>
      <c r="ER9" s="900"/>
      <c r="ES9" s="900"/>
      <c r="ET9" s="900"/>
      <c r="EU9" s="900"/>
      <c r="EV9" s="900"/>
      <c r="EW9" s="900"/>
      <c r="EX9" s="900"/>
      <c r="EY9" s="900"/>
      <c r="EZ9" s="900"/>
      <c r="FA9" s="900"/>
      <c r="FB9" s="900"/>
      <c r="FC9" s="900"/>
      <c r="FD9" s="900"/>
      <c r="FE9" s="900"/>
      <c r="FF9" s="900"/>
      <c r="FG9" s="900"/>
      <c r="FH9" s="900"/>
      <c r="FI9" s="900"/>
      <c r="FJ9" s="900"/>
      <c r="FK9" s="900"/>
      <c r="FL9" s="900"/>
      <c r="FM9" s="900"/>
      <c r="FN9" s="900"/>
      <c r="FO9" s="900"/>
      <c r="FP9" s="900"/>
      <c r="FQ9" s="900"/>
      <c r="FR9" s="900"/>
      <c r="FS9" s="900"/>
      <c r="FT9" s="900"/>
      <c r="FU9" s="900"/>
      <c r="FV9" s="900"/>
      <c r="FW9" s="900"/>
      <c r="FX9" s="900"/>
      <c r="FY9" s="900"/>
      <c r="FZ9" s="900"/>
      <c r="GA9" s="900"/>
      <c r="GB9" s="900"/>
      <c r="GC9" s="900"/>
      <c r="GD9" s="900"/>
      <c r="GE9" s="900"/>
      <c r="GF9" s="900"/>
      <c r="GG9" s="900"/>
      <c r="GH9" s="900"/>
      <c r="GI9" s="900"/>
      <c r="GJ9" s="900"/>
      <c r="GK9" s="900"/>
      <c r="GL9" s="900"/>
      <c r="GM9" s="900"/>
      <c r="GN9" s="900"/>
      <c r="GO9" s="900"/>
      <c r="GP9" s="900"/>
      <c r="GQ9" s="900"/>
      <c r="GR9" s="900"/>
      <c r="GS9" s="900"/>
      <c r="GT9" s="900"/>
      <c r="GU9" s="900"/>
      <c r="GV9" s="900"/>
      <c r="GW9" s="900"/>
      <c r="GX9" s="900"/>
      <c r="GY9" s="900"/>
      <c r="GZ9" s="900"/>
      <c r="HA9" s="900"/>
      <c r="HB9" s="900"/>
      <c r="HC9" s="900"/>
      <c r="HD9" s="900"/>
      <c r="HE9" s="900"/>
      <c r="HF9" s="900"/>
      <c r="HG9" s="900"/>
      <c r="HH9" s="900"/>
      <c r="HI9" s="900"/>
      <c r="HJ9" s="900"/>
      <c r="HK9" s="900"/>
      <c r="HL9" s="900"/>
      <c r="HM9" s="900"/>
      <c r="HN9" s="900"/>
      <c r="HO9" s="900"/>
      <c r="HP9" s="900"/>
      <c r="HQ9" s="900"/>
      <c r="HR9" s="900"/>
      <c r="HS9" s="900"/>
      <c r="HT9" s="900"/>
      <c r="HU9" s="900"/>
      <c r="HV9" s="900"/>
      <c r="HW9" s="900"/>
      <c r="HX9" s="900"/>
      <c r="HY9" s="900"/>
      <c r="HZ9" s="900"/>
      <c r="IA9" s="900"/>
      <c r="IB9" s="900"/>
      <c r="IC9" s="900"/>
      <c r="ID9" s="900"/>
      <c r="IE9" s="900"/>
      <c r="IF9" s="900"/>
      <c r="IG9" s="900"/>
      <c r="IH9" s="900"/>
      <c r="II9" s="900"/>
      <c r="IJ9" s="900"/>
      <c r="IK9" s="900"/>
      <c r="IL9" s="900"/>
      <c r="IM9" s="900"/>
      <c r="IN9" s="900"/>
      <c r="IO9" s="900"/>
      <c r="IP9" s="900"/>
      <c r="IQ9" s="900"/>
      <c r="IR9" s="900"/>
      <c r="IS9" s="900"/>
      <c r="IT9" s="900"/>
      <c r="IU9" s="900"/>
      <c r="IV9" s="900"/>
    </row>
    <row r="10" spans="1:256" ht="18.75" x14ac:dyDescent="0.25">
      <c r="A10" s="910">
        <v>1</v>
      </c>
      <c r="B10" s="911" t="s">
        <v>1427</v>
      </c>
      <c r="C10" s="912">
        <v>926698</v>
      </c>
      <c r="D10" s="948"/>
      <c r="E10" s="917" t="s">
        <v>1428</v>
      </c>
      <c r="F10" s="918"/>
      <c r="G10" s="917" t="s">
        <v>1436</v>
      </c>
      <c r="H10" s="919" t="s">
        <v>1429</v>
      </c>
      <c r="I10" s="919" t="s">
        <v>1437</v>
      </c>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c r="BG10" s="920"/>
      <c r="BH10" s="920"/>
      <c r="BI10" s="920"/>
      <c r="BJ10" s="920"/>
      <c r="BK10" s="920"/>
      <c r="BL10" s="920"/>
      <c r="BM10" s="920"/>
      <c r="BN10" s="920"/>
      <c r="BO10" s="920"/>
      <c r="BP10" s="920"/>
      <c r="BQ10" s="920"/>
      <c r="BR10" s="920"/>
      <c r="BS10" s="920"/>
      <c r="BT10" s="920"/>
      <c r="BU10" s="920"/>
      <c r="BV10" s="920"/>
      <c r="BW10" s="920"/>
      <c r="BX10" s="920"/>
      <c r="BY10" s="920"/>
      <c r="BZ10" s="920"/>
      <c r="CA10" s="920"/>
      <c r="CB10" s="920"/>
      <c r="CC10" s="920"/>
      <c r="CD10" s="920"/>
      <c r="CE10" s="920"/>
      <c r="CF10" s="920"/>
      <c r="CG10" s="920"/>
      <c r="CH10" s="920"/>
      <c r="CI10" s="920"/>
      <c r="CJ10" s="920"/>
      <c r="CK10" s="920"/>
      <c r="CL10" s="920"/>
      <c r="CM10" s="920"/>
      <c r="CN10" s="920"/>
      <c r="CO10" s="920"/>
      <c r="CP10" s="920"/>
      <c r="CQ10" s="920"/>
      <c r="CR10" s="920"/>
      <c r="CS10" s="920"/>
      <c r="CT10" s="920"/>
      <c r="CU10" s="920"/>
      <c r="CV10" s="920"/>
      <c r="CW10" s="920"/>
      <c r="CX10" s="920"/>
      <c r="CY10" s="920"/>
      <c r="CZ10" s="920"/>
      <c r="DA10" s="920"/>
      <c r="DB10" s="920"/>
      <c r="DC10" s="920"/>
      <c r="DD10" s="920"/>
      <c r="DE10" s="920"/>
      <c r="DF10" s="920"/>
      <c r="DG10" s="920"/>
      <c r="DH10" s="920"/>
      <c r="DI10" s="920"/>
      <c r="DJ10" s="920"/>
      <c r="DK10" s="920"/>
      <c r="DL10" s="920"/>
      <c r="DM10" s="920"/>
      <c r="DN10" s="920"/>
      <c r="DO10" s="920"/>
      <c r="DP10" s="920"/>
      <c r="DQ10" s="920"/>
      <c r="DR10" s="920"/>
      <c r="DS10" s="920"/>
      <c r="DT10" s="920"/>
      <c r="DU10" s="920"/>
      <c r="DV10" s="920"/>
      <c r="DW10" s="920"/>
      <c r="DX10" s="920"/>
      <c r="DY10" s="920"/>
      <c r="DZ10" s="920"/>
      <c r="EA10" s="920"/>
      <c r="EB10" s="920"/>
      <c r="EC10" s="920"/>
      <c r="ED10" s="920"/>
      <c r="EE10" s="920"/>
      <c r="EF10" s="920"/>
      <c r="EG10" s="920"/>
      <c r="EH10" s="920"/>
      <c r="EI10" s="920"/>
      <c r="EJ10" s="920"/>
      <c r="EK10" s="920"/>
      <c r="EL10" s="920"/>
      <c r="EM10" s="920"/>
      <c r="EN10" s="920"/>
      <c r="EO10" s="920"/>
      <c r="EP10" s="920"/>
      <c r="EQ10" s="920"/>
      <c r="ER10" s="920"/>
      <c r="ES10" s="920"/>
      <c r="ET10" s="920"/>
      <c r="EU10" s="920"/>
      <c r="EV10" s="920"/>
      <c r="EW10" s="920"/>
      <c r="EX10" s="920"/>
      <c r="EY10" s="920"/>
      <c r="EZ10" s="920"/>
      <c r="FA10" s="920"/>
      <c r="FB10" s="920"/>
      <c r="FC10" s="920"/>
      <c r="FD10" s="920"/>
      <c r="FE10" s="920"/>
      <c r="FF10" s="920"/>
      <c r="FG10" s="920"/>
      <c r="FH10" s="920"/>
      <c r="FI10" s="920"/>
      <c r="FJ10" s="920"/>
      <c r="FK10" s="920"/>
      <c r="FL10" s="920"/>
      <c r="FM10" s="920"/>
      <c r="FN10" s="920"/>
      <c r="FO10" s="920"/>
      <c r="FP10" s="920"/>
      <c r="FQ10" s="920"/>
      <c r="FR10" s="920"/>
      <c r="FS10" s="920"/>
      <c r="FT10" s="920"/>
      <c r="FU10" s="920"/>
      <c r="FV10" s="920"/>
      <c r="FW10" s="920"/>
      <c r="FX10" s="920"/>
      <c r="FY10" s="920"/>
      <c r="FZ10" s="920"/>
      <c r="GA10" s="920"/>
      <c r="GB10" s="920"/>
      <c r="GC10" s="920"/>
      <c r="GD10" s="920"/>
      <c r="GE10" s="920"/>
      <c r="GF10" s="920"/>
      <c r="GG10" s="920"/>
      <c r="GH10" s="920"/>
      <c r="GI10" s="920"/>
      <c r="GJ10" s="920"/>
      <c r="GK10" s="920"/>
      <c r="GL10" s="920"/>
      <c r="GM10" s="920"/>
      <c r="GN10" s="920"/>
      <c r="GO10" s="920"/>
      <c r="GP10" s="920"/>
      <c r="GQ10" s="920"/>
      <c r="GR10" s="920"/>
      <c r="GS10" s="920"/>
      <c r="GT10" s="920"/>
      <c r="GU10" s="920"/>
      <c r="GV10" s="920"/>
      <c r="GW10" s="920"/>
      <c r="GX10" s="920"/>
      <c r="GY10" s="920"/>
      <c r="GZ10" s="920"/>
      <c r="HA10" s="920"/>
      <c r="HB10" s="920"/>
      <c r="HC10" s="920"/>
      <c r="HD10" s="920"/>
      <c r="HE10" s="920"/>
      <c r="HF10" s="920"/>
      <c r="HG10" s="920"/>
      <c r="HH10" s="920"/>
      <c r="HI10" s="920"/>
      <c r="HJ10" s="920"/>
      <c r="HK10" s="920"/>
      <c r="HL10" s="920"/>
      <c r="HM10" s="920"/>
      <c r="HN10" s="920"/>
      <c r="HO10" s="920"/>
      <c r="HP10" s="920"/>
      <c r="HQ10" s="920"/>
      <c r="HR10" s="920"/>
      <c r="HS10" s="920"/>
      <c r="HT10" s="920"/>
      <c r="HU10" s="920"/>
      <c r="HV10" s="920"/>
      <c r="HW10" s="920"/>
      <c r="HX10" s="920"/>
      <c r="HY10" s="920"/>
      <c r="HZ10" s="920"/>
      <c r="IA10" s="920"/>
      <c r="IB10" s="920"/>
      <c r="IC10" s="920"/>
      <c r="ID10" s="920"/>
      <c r="IE10" s="920"/>
      <c r="IF10" s="920"/>
      <c r="IG10" s="920"/>
      <c r="IH10" s="920"/>
      <c r="II10" s="920"/>
      <c r="IJ10" s="920"/>
      <c r="IK10" s="920"/>
      <c r="IL10" s="920"/>
      <c r="IM10" s="920"/>
      <c r="IN10" s="920"/>
      <c r="IO10" s="920"/>
      <c r="IP10" s="920"/>
      <c r="IQ10" s="920"/>
      <c r="IR10" s="920"/>
      <c r="IS10" s="920"/>
      <c r="IT10" s="920"/>
      <c r="IU10" s="920"/>
      <c r="IV10" s="920"/>
    </row>
    <row r="11" spans="1:256" ht="18.75" x14ac:dyDescent="0.25">
      <c r="A11" s="910">
        <v>2</v>
      </c>
      <c r="B11" s="911" t="s">
        <v>1430</v>
      </c>
      <c r="C11" s="912">
        <v>29682</v>
      </c>
      <c r="D11" s="948"/>
      <c r="E11" s="917" t="s">
        <v>1428</v>
      </c>
      <c r="F11" s="918"/>
      <c r="G11" s="917" t="s">
        <v>1436</v>
      </c>
      <c r="H11" s="919" t="s">
        <v>1429</v>
      </c>
      <c r="I11" s="919" t="s">
        <v>1437</v>
      </c>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c r="BE11" s="920"/>
      <c r="BF11" s="920"/>
      <c r="BG11" s="920"/>
      <c r="BH11" s="920"/>
      <c r="BI11" s="920"/>
      <c r="BJ11" s="920"/>
      <c r="BK11" s="920"/>
      <c r="BL11" s="920"/>
      <c r="BM11" s="920"/>
      <c r="BN11" s="920"/>
      <c r="BO11" s="920"/>
      <c r="BP11" s="920"/>
      <c r="BQ11" s="920"/>
      <c r="BR11" s="920"/>
      <c r="BS11" s="920"/>
      <c r="BT11" s="920"/>
      <c r="BU11" s="920"/>
      <c r="BV11" s="920"/>
      <c r="BW11" s="920"/>
      <c r="BX11" s="920"/>
      <c r="BY11" s="920"/>
      <c r="BZ11" s="920"/>
      <c r="CA11" s="920"/>
      <c r="CB11" s="920"/>
      <c r="CC11" s="920"/>
      <c r="CD11" s="920"/>
      <c r="CE11" s="920"/>
      <c r="CF11" s="920"/>
      <c r="CG11" s="920"/>
      <c r="CH11" s="920"/>
      <c r="CI11" s="920"/>
      <c r="CJ11" s="920"/>
      <c r="CK11" s="920"/>
      <c r="CL11" s="920"/>
      <c r="CM11" s="920"/>
      <c r="CN11" s="920"/>
      <c r="CO11" s="920"/>
      <c r="CP11" s="920"/>
      <c r="CQ11" s="920"/>
      <c r="CR11" s="920"/>
      <c r="CS11" s="920"/>
      <c r="CT11" s="920"/>
      <c r="CU11" s="920"/>
      <c r="CV11" s="920"/>
      <c r="CW11" s="920"/>
      <c r="CX11" s="920"/>
      <c r="CY11" s="920"/>
      <c r="CZ11" s="920"/>
      <c r="DA11" s="920"/>
      <c r="DB11" s="920"/>
      <c r="DC11" s="920"/>
      <c r="DD11" s="920"/>
      <c r="DE11" s="920"/>
      <c r="DF11" s="920"/>
      <c r="DG11" s="920"/>
      <c r="DH11" s="920"/>
      <c r="DI11" s="920"/>
      <c r="DJ11" s="920"/>
      <c r="DK11" s="920"/>
      <c r="DL11" s="920"/>
      <c r="DM11" s="920"/>
      <c r="DN11" s="920"/>
      <c r="DO11" s="920"/>
      <c r="DP11" s="920"/>
      <c r="DQ11" s="920"/>
      <c r="DR11" s="920"/>
      <c r="DS11" s="920"/>
      <c r="DT11" s="920"/>
      <c r="DU11" s="920"/>
      <c r="DV11" s="920"/>
      <c r="DW11" s="920"/>
      <c r="DX11" s="920"/>
      <c r="DY11" s="920"/>
      <c r="DZ11" s="920"/>
      <c r="EA11" s="920"/>
      <c r="EB11" s="920"/>
      <c r="EC11" s="920"/>
      <c r="ED11" s="920"/>
      <c r="EE11" s="920"/>
      <c r="EF11" s="920"/>
      <c r="EG11" s="920"/>
      <c r="EH11" s="920"/>
      <c r="EI11" s="920"/>
      <c r="EJ11" s="920"/>
      <c r="EK11" s="920"/>
      <c r="EL11" s="920"/>
      <c r="EM11" s="920"/>
      <c r="EN11" s="920"/>
      <c r="EO11" s="920"/>
      <c r="EP11" s="920"/>
      <c r="EQ11" s="920"/>
      <c r="ER11" s="920"/>
      <c r="ES11" s="920"/>
      <c r="ET11" s="920"/>
      <c r="EU11" s="920"/>
      <c r="EV11" s="920"/>
      <c r="EW11" s="920"/>
      <c r="EX11" s="920"/>
      <c r="EY11" s="920"/>
      <c r="EZ11" s="920"/>
      <c r="FA11" s="920"/>
      <c r="FB11" s="920"/>
      <c r="FC11" s="920"/>
      <c r="FD11" s="920"/>
      <c r="FE11" s="920"/>
      <c r="FF11" s="920"/>
      <c r="FG11" s="920"/>
      <c r="FH11" s="920"/>
      <c r="FI11" s="920"/>
      <c r="FJ11" s="920"/>
      <c r="FK11" s="920"/>
      <c r="FL11" s="920"/>
      <c r="FM11" s="920"/>
      <c r="FN11" s="920"/>
      <c r="FO11" s="920"/>
      <c r="FP11" s="920"/>
      <c r="FQ11" s="920"/>
      <c r="FR11" s="920"/>
      <c r="FS11" s="920"/>
      <c r="FT11" s="920"/>
      <c r="FU11" s="920"/>
      <c r="FV11" s="920"/>
      <c r="FW11" s="920"/>
      <c r="FX11" s="920"/>
      <c r="FY11" s="920"/>
      <c r="FZ11" s="920"/>
      <c r="GA11" s="920"/>
      <c r="GB11" s="920"/>
      <c r="GC11" s="920"/>
      <c r="GD11" s="920"/>
      <c r="GE11" s="920"/>
      <c r="GF11" s="920"/>
      <c r="GG11" s="920"/>
      <c r="GH11" s="920"/>
      <c r="GI11" s="920"/>
      <c r="GJ11" s="920"/>
      <c r="GK11" s="920"/>
      <c r="GL11" s="920"/>
      <c r="GM11" s="920"/>
      <c r="GN11" s="920"/>
      <c r="GO11" s="920"/>
      <c r="GP11" s="920"/>
      <c r="GQ11" s="920"/>
      <c r="GR11" s="920"/>
      <c r="GS11" s="920"/>
      <c r="GT11" s="920"/>
      <c r="GU11" s="920"/>
      <c r="GV11" s="920"/>
      <c r="GW11" s="920"/>
      <c r="GX11" s="920"/>
      <c r="GY11" s="920"/>
      <c r="GZ11" s="920"/>
      <c r="HA11" s="920"/>
      <c r="HB11" s="920"/>
      <c r="HC11" s="920"/>
      <c r="HD11" s="920"/>
      <c r="HE11" s="920"/>
      <c r="HF11" s="920"/>
      <c r="HG11" s="920"/>
      <c r="HH11" s="920"/>
      <c r="HI11" s="920"/>
      <c r="HJ11" s="920"/>
      <c r="HK11" s="920"/>
      <c r="HL11" s="920"/>
      <c r="HM11" s="920"/>
      <c r="HN11" s="920"/>
      <c r="HO11" s="920"/>
      <c r="HP11" s="920"/>
      <c r="HQ11" s="920"/>
      <c r="HR11" s="920"/>
      <c r="HS11" s="920"/>
      <c r="HT11" s="920"/>
      <c r="HU11" s="920"/>
      <c r="HV11" s="920"/>
      <c r="HW11" s="920"/>
      <c r="HX11" s="920"/>
      <c r="HY11" s="920"/>
      <c r="HZ11" s="920"/>
      <c r="IA11" s="920"/>
      <c r="IB11" s="920"/>
      <c r="IC11" s="920"/>
      <c r="ID11" s="920"/>
      <c r="IE11" s="920"/>
      <c r="IF11" s="920"/>
      <c r="IG11" s="920"/>
      <c r="IH11" s="920"/>
      <c r="II11" s="920"/>
      <c r="IJ11" s="920"/>
      <c r="IK11" s="920"/>
      <c r="IL11" s="920"/>
      <c r="IM11" s="920"/>
      <c r="IN11" s="920"/>
      <c r="IO11" s="920"/>
      <c r="IP11" s="920"/>
      <c r="IQ11" s="920"/>
      <c r="IR11" s="920"/>
      <c r="IS11" s="920"/>
      <c r="IT11" s="920"/>
      <c r="IU11" s="920"/>
      <c r="IV11" s="920"/>
    </row>
    <row r="12" spans="1:256" ht="18.75" x14ac:dyDescent="0.25">
      <c r="A12" s="910">
        <v>3</v>
      </c>
      <c r="B12" s="911" t="s">
        <v>1431</v>
      </c>
      <c r="C12" s="912">
        <v>2317</v>
      </c>
      <c r="D12" s="948"/>
      <c r="E12" s="917" t="s">
        <v>1428</v>
      </c>
      <c r="F12" s="918"/>
      <c r="G12" s="917" t="s">
        <v>1436</v>
      </c>
      <c r="H12" s="919" t="s">
        <v>1429</v>
      </c>
      <c r="I12" s="919" t="s">
        <v>1437</v>
      </c>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c r="BE12" s="920"/>
      <c r="BF12" s="920"/>
      <c r="BG12" s="920"/>
      <c r="BH12" s="920"/>
      <c r="BI12" s="920"/>
      <c r="BJ12" s="920"/>
      <c r="BK12" s="920"/>
      <c r="BL12" s="920"/>
      <c r="BM12" s="920"/>
      <c r="BN12" s="920"/>
      <c r="BO12" s="920"/>
      <c r="BP12" s="920"/>
      <c r="BQ12" s="920"/>
      <c r="BR12" s="920"/>
      <c r="BS12" s="920"/>
      <c r="BT12" s="920"/>
      <c r="BU12" s="920"/>
      <c r="BV12" s="920"/>
      <c r="BW12" s="920"/>
      <c r="BX12" s="920"/>
      <c r="BY12" s="920"/>
      <c r="BZ12" s="920"/>
      <c r="CA12" s="920"/>
      <c r="CB12" s="920"/>
      <c r="CC12" s="920"/>
      <c r="CD12" s="920"/>
      <c r="CE12" s="920"/>
      <c r="CF12" s="920"/>
      <c r="CG12" s="920"/>
      <c r="CH12" s="920"/>
      <c r="CI12" s="920"/>
      <c r="CJ12" s="920"/>
      <c r="CK12" s="920"/>
      <c r="CL12" s="920"/>
      <c r="CM12" s="920"/>
      <c r="CN12" s="920"/>
      <c r="CO12" s="920"/>
      <c r="CP12" s="920"/>
      <c r="CQ12" s="920"/>
      <c r="CR12" s="920"/>
      <c r="CS12" s="920"/>
      <c r="CT12" s="920"/>
      <c r="CU12" s="920"/>
      <c r="CV12" s="920"/>
      <c r="CW12" s="920"/>
      <c r="CX12" s="920"/>
      <c r="CY12" s="920"/>
      <c r="CZ12" s="920"/>
      <c r="DA12" s="920"/>
      <c r="DB12" s="920"/>
      <c r="DC12" s="920"/>
      <c r="DD12" s="920"/>
      <c r="DE12" s="920"/>
      <c r="DF12" s="920"/>
      <c r="DG12" s="920"/>
      <c r="DH12" s="920"/>
      <c r="DI12" s="920"/>
      <c r="DJ12" s="920"/>
      <c r="DK12" s="920"/>
      <c r="DL12" s="920"/>
      <c r="DM12" s="920"/>
      <c r="DN12" s="920"/>
      <c r="DO12" s="920"/>
      <c r="DP12" s="920"/>
      <c r="DQ12" s="920"/>
      <c r="DR12" s="920"/>
      <c r="DS12" s="920"/>
      <c r="DT12" s="920"/>
      <c r="DU12" s="920"/>
      <c r="DV12" s="920"/>
      <c r="DW12" s="920"/>
      <c r="DX12" s="920"/>
      <c r="DY12" s="920"/>
      <c r="DZ12" s="920"/>
      <c r="EA12" s="920"/>
      <c r="EB12" s="920"/>
      <c r="EC12" s="920"/>
      <c r="ED12" s="920"/>
      <c r="EE12" s="920"/>
      <c r="EF12" s="920"/>
      <c r="EG12" s="920"/>
      <c r="EH12" s="920"/>
      <c r="EI12" s="920"/>
      <c r="EJ12" s="920"/>
      <c r="EK12" s="920"/>
      <c r="EL12" s="920"/>
      <c r="EM12" s="920"/>
      <c r="EN12" s="920"/>
      <c r="EO12" s="920"/>
      <c r="EP12" s="920"/>
      <c r="EQ12" s="920"/>
      <c r="ER12" s="920"/>
      <c r="ES12" s="920"/>
      <c r="ET12" s="920"/>
      <c r="EU12" s="920"/>
      <c r="EV12" s="920"/>
      <c r="EW12" s="920"/>
      <c r="EX12" s="920"/>
      <c r="EY12" s="920"/>
      <c r="EZ12" s="920"/>
      <c r="FA12" s="920"/>
      <c r="FB12" s="920"/>
      <c r="FC12" s="920"/>
      <c r="FD12" s="920"/>
      <c r="FE12" s="920"/>
      <c r="FF12" s="920"/>
      <c r="FG12" s="920"/>
      <c r="FH12" s="920"/>
      <c r="FI12" s="920"/>
      <c r="FJ12" s="920"/>
      <c r="FK12" s="920"/>
      <c r="FL12" s="920"/>
      <c r="FM12" s="920"/>
      <c r="FN12" s="920"/>
      <c r="FO12" s="920"/>
      <c r="FP12" s="920"/>
      <c r="FQ12" s="920"/>
      <c r="FR12" s="920"/>
      <c r="FS12" s="920"/>
      <c r="FT12" s="920"/>
      <c r="FU12" s="920"/>
      <c r="FV12" s="920"/>
      <c r="FW12" s="920"/>
      <c r="FX12" s="920"/>
      <c r="FY12" s="920"/>
      <c r="FZ12" s="920"/>
      <c r="GA12" s="920"/>
      <c r="GB12" s="920"/>
      <c r="GC12" s="920"/>
      <c r="GD12" s="920"/>
      <c r="GE12" s="920"/>
      <c r="GF12" s="920"/>
      <c r="GG12" s="920"/>
      <c r="GH12" s="920"/>
      <c r="GI12" s="920"/>
      <c r="GJ12" s="920"/>
      <c r="GK12" s="920"/>
      <c r="GL12" s="920"/>
      <c r="GM12" s="920"/>
      <c r="GN12" s="920"/>
      <c r="GO12" s="920"/>
      <c r="GP12" s="920"/>
      <c r="GQ12" s="920"/>
      <c r="GR12" s="920"/>
      <c r="GS12" s="920"/>
      <c r="GT12" s="920"/>
      <c r="GU12" s="920"/>
      <c r="GV12" s="920"/>
      <c r="GW12" s="920"/>
      <c r="GX12" s="920"/>
      <c r="GY12" s="920"/>
      <c r="GZ12" s="920"/>
      <c r="HA12" s="920"/>
      <c r="HB12" s="920"/>
      <c r="HC12" s="920"/>
      <c r="HD12" s="920"/>
      <c r="HE12" s="920"/>
      <c r="HF12" s="920"/>
      <c r="HG12" s="920"/>
      <c r="HH12" s="920"/>
      <c r="HI12" s="920"/>
      <c r="HJ12" s="920"/>
      <c r="HK12" s="920"/>
      <c r="HL12" s="920"/>
      <c r="HM12" s="920"/>
      <c r="HN12" s="920"/>
      <c r="HO12" s="920"/>
      <c r="HP12" s="920"/>
      <c r="HQ12" s="920"/>
      <c r="HR12" s="920"/>
      <c r="HS12" s="920"/>
      <c r="HT12" s="920"/>
      <c r="HU12" s="920"/>
      <c r="HV12" s="920"/>
      <c r="HW12" s="920"/>
      <c r="HX12" s="920"/>
      <c r="HY12" s="920"/>
      <c r="HZ12" s="920"/>
      <c r="IA12" s="920"/>
      <c r="IB12" s="920"/>
      <c r="IC12" s="920"/>
      <c r="ID12" s="920"/>
      <c r="IE12" s="920"/>
      <c r="IF12" s="920"/>
      <c r="IG12" s="920"/>
      <c r="IH12" s="920"/>
      <c r="II12" s="920"/>
      <c r="IJ12" s="920"/>
      <c r="IK12" s="920"/>
      <c r="IL12" s="920"/>
      <c r="IM12" s="920"/>
      <c r="IN12" s="920"/>
      <c r="IO12" s="920"/>
      <c r="IP12" s="920"/>
      <c r="IQ12" s="920"/>
      <c r="IR12" s="920"/>
      <c r="IS12" s="920"/>
      <c r="IT12" s="920"/>
      <c r="IU12" s="920"/>
      <c r="IV12" s="920"/>
    </row>
    <row r="13" spans="1:256" ht="56.25" x14ac:dyDescent="0.3">
      <c r="A13" s="905" t="s">
        <v>309</v>
      </c>
      <c r="B13" s="916" t="s">
        <v>1432</v>
      </c>
      <c r="C13" s="907">
        <v>32851</v>
      </c>
      <c r="D13" s="948"/>
      <c r="E13" s="908"/>
      <c r="F13" s="908"/>
      <c r="G13" s="908"/>
      <c r="H13" s="909"/>
      <c r="I13" s="909"/>
    </row>
    <row r="14" spans="1:256" ht="56.25" x14ac:dyDescent="0.3">
      <c r="A14" s="921">
        <v>1</v>
      </c>
      <c r="B14" s="922" t="s">
        <v>1438</v>
      </c>
      <c r="C14" s="923">
        <v>32851</v>
      </c>
      <c r="D14" s="948"/>
      <c r="E14" s="924" t="s">
        <v>1433</v>
      </c>
      <c r="F14" s="925"/>
      <c r="G14" s="925"/>
      <c r="H14" s="926"/>
      <c r="I14" s="926"/>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7"/>
      <c r="AY14" s="927"/>
      <c r="AZ14" s="927"/>
      <c r="BA14" s="927"/>
      <c r="BB14" s="927"/>
      <c r="BC14" s="927"/>
      <c r="BD14" s="927"/>
      <c r="BE14" s="927"/>
      <c r="BF14" s="927"/>
      <c r="BG14" s="927"/>
      <c r="BH14" s="927"/>
      <c r="BI14" s="927"/>
      <c r="BJ14" s="927"/>
      <c r="BK14" s="927"/>
      <c r="BL14" s="927"/>
      <c r="BM14" s="927"/>
      <c r="BN14" s="927"/>
      <c r="BO14" s="927"/>
      <c r="BP14" s="927"/>
      <c r="BQ14" s="927"/>
      <c r="BR14" s="927"/>
      <c r="BS14" s="927"/>
      <c r="BT14" s="927"/>
      <c r="BU14" s="927"/>
      <c r="BV14" s="927"/>
      <c r="BW14" s="927"/>
      <c r="BX14" s="927"/>
      <c r="BY14" s="927"/>
      <c r="BZ14" s="927"/>
      <c r="CA14" s="927"/>
      <c r="CB14" s="927"/>
      <c r="CC14" s="927"/>
      <c r="CD14" s="927"/>
      <c r="CE14" s="927"/>
      <c r="CF14" s="927"/>
      <c r="CG14" s="927"/>
      <c r="CH14" s="927"/>
      <c r="CI14" s="927"/>
      <c r="CJ14" s="927"/>
      <c r="CK14" s="927"/>
      <c r="CL14" s="927"/>
      <c r="CM14" s="927"/>
      <c r="CN14" s="927"/>
      <c r="CO14" s="927"/>
      <c r="CP14" s="927"/>
      <c r="CQ14" s="927"/>
      <c r="CR14" s="927"/>
      <c r="CS14" s="927"/>
      <c r="CT14" s="927"/>
      <c r="CU14" s="927"/>
      <c r="CV14" s="927"/>
      <c r="CW14" s="927"/>
      <c r="CX14" s="927"/>
      <c r="CY14" s="927"/>
      <c r="CZ14" s="927"/>
      <c r="DA14" s="927"/>
      <c r="DB14" s="927"/>
      <c r="DC14" s="927"/>
      <c r="DD14" s="927"/>
      <c r="DE14" s="927"/>
      <c r="DF14" s="927"/>
      <c r="DG14" s="927"/>
      <c r="DH14" s="927"/>
      <c r="DI14" s="927"/>
      <c r="DJ14" s="927"/>
      <c r="DK14" s="927"/>
      <c r="DL14" s="927"/>
      <c r="DM14" s="927"/>
      <c r="DN14" s="927"/>
      <c r="DO14" s="927"/>
      <c r="DP14" s="927"/>
      <c r="DQ14" s="927"/>
      <c r="DR14" s="927"/>
      <c r="DS14" s="927"/>
      <c r="DT14" s="927"/>
      <c r="DU14" s="927"/>
      <c r="DV14" s="927"/>
      <c r="DW14" s="927"/>
      <c r="DX14" s="927"/>
      <c r="DY14" s="927"/>
      <c r="DZ14" s="927"/>
      <c r="EA14" s="927"/>
      <c r="EB14" s="927"/>
      <c r="EC14" s="927"/>
      <c r="ED14" s="927"/>
      <c r="EE14" s="927"/>
      <c r="EF14" s="927"/>
      <c r="EG14" s="927"/>
      <c r="EH14" s="927"/>
      <c r="EI14" s="927"/>
      <c r="EJ14" s="927"/>
      <c r="EK14" s="927"/>
      <c r="EL14" s="927"/>
      <c r="EM14" s="927"/>
      <c r="EN14" s="927"/>
      <c r="EO14" s="927"/>
      <c r="EP14" s="927"/>
      <c r="EQ14" s="927"/>
      <c r="ER14" s="927"/>
      <c r="ES14" s="927"/>
      <c r="ET14" s="927"/>
      <c r="EU14" s="927"/>
      <c r="EV14" s="927"/>
      <c r="EW14" s="927"/>
      <c r="EX14" s="927"/>
      <c r="EY14" s="927"/>
      <c r="EZ14" s="927"/>
      <c r="FA14" s="927"/>
      <c r="FB14" s="927"/>
      <c r="FC14" s="927"/>
      <c r="FD14" s="927"/>
      <c r="FE14" s="927"/>
      <c r="FF14" s="927"/>
      <c r="FG14" s="927"/>
      <c r="FH14" s="927"/>
      <c r="FI14" s="927"/>
      <c r="FJ14" s="927"/>
      <c r="FK14" s="927"/>
      <c r="FL14" s="927"/>
      <c r="FM14" s="927"/>
      <c r="FN14" s="927"/>
      <c r="FO14" s="927"/>
      <c r="FP14" s="927"/>
      <c r="FQ14" s="927"/>
      <c r="FR14" s="927"/>
      <c r="FS14" s="927"/>
      <c r="FT14" s="927"/>
      <c r="FU14" s="927"/>
      <c r="FV14" s="927"/>
      <c r="FW14" s="927"/>
      <c r="FX14" s="927"/>
      <c r="FY14" s="927"/>
      <c r="FZ14" s="927"/>
      <c r="GA14" s="927"/>
      <c r="GB14" s="927"/>
      <c r="GC14" s="927"/>
      <c r="GD14" s="927"/>
      <c r="GE14" s="927"/>
      <c r="GF14" s="927"/>
      <c r="GG14" s="927"/>
      <c r="GH14" s="927"/>
      <c r="GI14" s="927"/>
      <c r="GJ14" s="927"/>
      <c r="GK14" s="927"/>
      <c r="GL14" s="927"/>
      <c r="GM14" s="927"/>
      <c r="GN14" s="927"/>
      <c r="GO14" s="927"/>
      <c r="GP14" s="927"/>
      <c r="GQ14" s="927"/>
      <c r="GR14" s="927"/>
      <c r="GS14" s="927"/>
      <c r="GT14" s="927"/>
      <c r="GU14" s="927"/>
      <c r="GV14" s="927"/>
      <c r="GW14" s="927"/>
      <c r="GX14" s="927"/>
      <c r="GY14" s="927"/>
      <c r="GZ14" s="927"/>
      <c r="HA14" s="927"/>
      <c r="HB14" s="927"/>
      <c r="HC14" s="927"/>
      <c r="HD14" s="927"/>
      <c r="HE14" s="927"/>
      <c r="HF14" s="927"/>
      <c r="HG14" s="927"/>
      <c r="HH14" s="927"/>
      <c r="HI14" s="927"/>
      <c r="HJ14" s="927"/>
      <c r="HK14" s="927"/>
      <c r="HL14" s="927"/>
      <c r="HM14" s="927"/>
      <c r="HN14" s="927"/>
      <c r="HO14" s="927"/>
      <c r="HP14" s="927"/>
      <c r="HQ14" s="927"/>
      <c r="HR14" s="927"/>
      <c r="HS14" s="927"/>
      <c r="HT14" s="927"/>
      <c r="HU14" s="927"/>
      <c r="HV14" s="927"/>
      <c r="HW14" s="927"/>
      <c r="HX14" s="927"/>
      <c r="HY14" s="927"/>
      <c r="HZ14" s="927"/>
      <c r="IA14" s="927"/>
      <c r="IB14" s="927"/>
      <c r="IC14" s="927"/>
      <c r="ID14" s="927"/>
      <c r="IE14" s="927"/>
      <c r="IF14" s="927"/>
      <c r="IG14" s="927"/>
      <c r="IH14" s="927"/>
      <c r="II14" s="927"/>
      <c r="IJ14" s="927"/>
      <c r="IK14" s="927"/>
      <c r="IL14" s="927"/>
      <c r="IM14" s="927"/>
      <c r="IN14" s="927"/>
      <c r="IO14" s="927"/>
      <c r="IP14" s="927"/>
      <c r="IQ14" s="927"/>
      <c r="IR14" s="927"/>
      <c r="IS14" s="927"/>
      <c r="IT14" s="927"/>
      <c r="IU14" s="927"/>
      <c r="IV14" s="927"/>
    </row>
    <row r="15" spans="1:256" ht="18.75" x14ac:dyDescent="0.3">
      <c r="A15" s="928" t="s">
        <v>609</v>
      </c>
      <c r="B15" s="929" t="s">
        <v>1434</v>
      </c>
      <c r="C15" s="930">
        <v>71722</v>
      </c>
      <c r="D15" s="931"/>
      <c r="E15" s="932"/>
      <c r="F15" s="932"/>
      <c r="G15" s="932"/>
      <c r="H15" s="933"/>
      <c r="I15" s="933"/>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934"/>
      <c r="BS15" s="934"/>
      <c r="BT15" s="934"/>
      <c r="BU15" s="934"/>
      <c r="BV15" s="934"/>
      <c r="BW15" s="934"/>
      <c r="BX15" s="934"/>
      <c r="BY15" s="934"/>
      <c r="BZ15" s="934"/>
      <c r="CA15" s="934"/>
      <c r="CB15" s="934"/>
      <c r="CC15" s="934"/>
      <c r="CD15" s="934"/>
      <c r="CE15" s="934"/>
      <c r="CF15" s="934"/>
      <c r="CG15" s="934"/>
      <c r="CH15" s="934"/>
      <c r="CI15" s="934"/>
      <c r="CJ15" s="934"/>
      <c r="CK15" s="934"/>
      <c r="CL15" s="934"/>
      <c r="CM15" s="934"/>
      <c r="CN15" s="934"/>
      <c r="CO15" s="934"/>
      <c r="CP15" s="934"/>
      <c r="CQ15" s="934"/>
      <c r="CR15" s="934"/>
      <c r="CS15" s="934"/>
      <c r="CT15" s="934"/>
      <c r="CU15" s="934"/>
      <c r="CV15" s="934"/>
      <c r="CW15" s="934"/>
      <c r="CX15" s="934"/>
      <c r="CY15" s="934"/>
      <c r="CZ15" s="934"/>
      <c r="DA15" s="934"/>
      <c r="DB15" s="934"/>
      <c r="DC15" s="934"/>
      <c r="DD15" s="934"/>
      <c r="DE15" s="934"/>
      <c r="DF15" s="934"/>
      <c r="DG15" s="934"/>
      <c r="DH15" s="934"/>
      <c r="DI15" s="934"/>
      <c r="DJ15" s="934"/>
      <c r="DK15" s="934"/>
      <c r="DL15" s="934"/>
      <c r="DM15" s="934"/>
      <c r="DN15" s="934"/>
      <c r="DO15" s="934"/>
      <c r="DP15" s="934"/>
      <c r="DQ15" s="934"/>
      <c r="DR15" s="934"/>
      <c r="DS15" s="934"/>
      <c r="DT15" s="934"/>
      <c r="DU15" s="934"/>
      <c r="DV15" s="934"/>
      <c r="DW15" s="934"/>
      <c r="DX15" s="934"/>
      <c r="DY15" s="934"/>
      <c r="DZ15" s="934"/>
      <c r="EA15" s="934"/>
      <c r="EB15" s="934"/>
      <c r="EC15" s="934"/>
      <c r="ED15" s="934"/>
      <c r="EE15" s="934"/>
      <c r="EF15" s="934"/>
      <c r="EG15" s="934"/>
      <c r="EH15" s="934"/>
      <c r="EI15" s="934"/>
      <c r="EJ15" s="934"/>
      <c r="EK15" s="934"/>
      <c r="EL15" s="934"/>
      <c r="EM15" s="934"/>
      <c r="EN15" s="934"/>
      <c r="EO15" s="934"/>
      <c r="EP15" s="934"/>
      <c r="EQ15" s="934"/>
      <c r="ER15" s="934"/>
      <c r="ES15" s="934"/>
      <c r="ET15" s="934"/>
      <c r="EU15" s="934"/>
      <c r="EV15" s="934"/>
      <c r="EW15" s="934"/>
      <c r="EX15" s="934"/>
      <c r="EY15" s="934"/>
      <c r="EZ15" s="934"/>
      <c r="FA15" s="934"/>
      <c r="FB15" s="934"/>
      <c r="FC15" s="934"/>
      <c r="FD15" s="934"/>
      <c r="FE15" s="934"/>
      <c r="FF15" s="934"/>
      <c r="FG15" s="934"/>
      <c r="FH15" s="934"/>
      <c r="FI15" s="934"/>
      <c r="FJ15" s="934"/>
      <c r="FK15" s="934"/>
      <c r="FL15" s="934"/>
      <c r="FM15" s="934"/>
      <c r="FN15" s="934"/>
      <c r="FO15" s="934"/>
      <c r="FP15" s="934"/>
      <c r="FQ15" s="934"/>
      <c r="FR15" s="934"/>
      <c r="FS15" s="934"/>
      <c r="FT15" s="934"/>
      <c r="FU15" s="934"/>
      <c r="FV15" s="934"/>
      <c r="FW15" s="934"/>
      <c r="FX15" s="934"/>
      <c r="FY15" s="934"/>
      <c r="FZ15" s="934"/>
      <c r="GA15" s="934"/>
      <c r="GB15" s="934"/>
      <c r="GC15" s="934"/>
      <c r="GD15" s="934"/>
      <c r="GE15" s="934"/>
      <c r="GF15" s="934"/>
      <c r="GG15" s="934"/>
      <c r="GH15" s="934"/>
      <c r="GI15" s="934"/>
      <c r="GJ15" s="934"/>
      <c r="GK15" s="934"/>
      <c r="GL15" s="934"/>
      <c r="GM15" s="934"/>
      <c r="GN15" s="934"/>
      <c r="GO15" s="934"/>
      <c r="GP15" s="934"/>
      <c r="GQ15" s="934"/>
      <c r="GR15" s="934"/>
      <c r="GS15" s="934"/>
      <c r="GT15" s="934"/>
      <c r="GU15" s="934"/>
      <c r="GV15" s="934"/>
      <c r="GW15" s="934"/>
      <c r="GX15" s="934"/>
      <c r="GY15" s="934"/>
      <c r="GZ15" s="934"/>
      <c r="HA15" s="934"/>
      <c r="HB15" s="934"/>
      <c r="HC15" s="934"/>
      <c r="HD15" s="934"/>
      <c r="HE15" s="934"/>
      <c r="HF15" s="934"/>
      <c r="HG15" s="934"/>
      <c r="HH15" s="934"/>
      <c r="HI15" s="934"/>
      <c r="HJ15" s="934"/>
      <c r="HK15" s="934"/>
      <c r="HL15" s="934"/>
      <c r="HM15" s="934"/>
      <c r="HN15" s="934"/>
      <c r="HO15" s="934"/>
      <c r="HP15" s="934"/>
      <c r="HQ15" s="934"/>
      <c r="HR15" s="934"/>
      <c r="HS15" s="934"/>
      <c r="HT15" s="934"/>
      <c r="HU15" s="934"/>
      <c r="HV15" s="934"/>
      <c r="HW15" s="934"/>
      <c r="HX15" s="934"/>
      <c r="HY15" s="934"/>
      <c r="HZ15" s="934"/>
      <c r="IA15" s="934"/>
      <c r="IB15" s="934"/>
      <c r="IC15" s="934"/>
      <c r="ID15" s="934"/>
      <c r="IE15" s="934"/>
      <c r="IF15" s="934"/>
      <c r="IG15" s="934"/>
      <c r="IH15" s="934"/>
      <c r="II15" s="934"/>
      <c r="IJ15" s="934"/>
      <c r="IK15" s="934"/>
      <c r="IL15" s="934"/>
      <c r="IM15" s="934"/>
      <c r="IN15" s="934"/>
      <c r="IO15" s="934"/>
      <c r="IP15" s="934"/>
      <c r="IQ15" s="934"/>
      <c r="IR15" s="934"/>
      <c r="IS15" s="934"/>
      <c r="IT15" s="934"/>
      <c r="IU15" s="934"/>
      <c r="IV15" s="934"/>
    </row>
    <row r="16" spans="1:256" ht="18.75" x14ac:dyDescent="0.3">
      <c r="A16" s="935" t="s">
        <v>98</v>
      </c>
      <c r="B16" s="916" t="s">
        <v>1123</v>
      </c>
      <c r="C16" s="907">
        <v>1130000</v>
      </c>
      <c r="D16" s="936"/>
      <c r="E16" s="913"/>
      <c r="F16" s="913"/>
      <c r="G16" s="913"/>
      <c r="H16" s="915"/>
      <c r="I16" s="915"/>
    </row>
  </sheetData>
  <mergeCells count="4">
    <mergeCell ref="A1:I1"/>
    <mergeCell ref="A2:I2"/>
    <mergeCell ref="A3:I3"/>
    <mergeCell ref="D6:D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09"/>
  <sheetViews>
    <sheetView showZeros="0" topLeftCell="B1" workbookViewId="0">
      <selection activeCell="E6" sqref="E6"/>
    </sheetView>
  </sheetViews>
  <sheetFormatPr defaultColWidth="9.140625" defaultRowHeight="15" x14ac:dyDescent="0.25"/>
  <cols>
    <col min="1" max="1" width="4.85546875" style="751" hidden="1" customWidth="1"/>
    <col min="2" max="2" width="4.85546875" style="751" bestFit="1" customWidth="1"/>
    <col min="3" max="3" width="8.140625" style="751" bestFit="1" customWidth="1"/>
    <col min="4" max="4" width="10.28515625" style="751" hidden="1" customWidth="1"/>
    <col min="5" max="5" width="42.85546875" style="751" customWidth="1"/>
    <col min="6" max="6" width="8.85546875" style="751" customWidth="1"/>
    <col min="7" max="7" width="9.5703125" style="751" hidden="1" customWidth="1"/>
    <col min="8" max="8" width="10" style="751" hidden="1" customWidth="1"/>
    <col min="9" max="9" width="9.140625" style="751" hidden="1" customWidth="1"/>
    <col min="10" max="11" width="12.85546875" style="751" customWidth="1"/>
    <col min="12" max="12" width="14.5703125" style="751" hidden="1" customWidth="1"/>
    <col min="13" max="13" width="9.42578125" style="751" hidden="1" customWidth="1"/>
    <col min="14" max="15" width="12.5703125" style="751" hidden="1" customWidth="1"/>
    <col min="16" max="16" width="12.42578125" style="751" hidden="1" customWidth="1"/>
    <col min="17" max="17" width="9.140625" style="751" hidden="1" customWidth="1"/>
    <col min="18" max="18" width="12.28515625" style="751" hidden="1" customWidth="1"/>
    <col min="19" max="19" width="11.7109375" style="751" hidden="1" customWidth="1"/>
    <col min="20" max="20" width="11.85546875" style="751" hidden="1" customWidth="1"/>
    <col min="21" max="21" width="13.5703125" style="751" hidden="1" customWidth="1"/>
    <col min="22" max="22" width="9.85546875" style="751" hidden="1" customWidth="1"/>
    <col min="23" max="23" width="12.140625" style="751" hidden="1" customWidth="1"/>
    <col min="24" max="24" width="12.85546875" style="751" customWidth="1"/>
    <col min="25" max="25" width="13.5703125" style="751" hidden="1" customWidth="1"/>
    <col min="26" max="27" width="12.85546875" style="751" customWidth="1"/>
    <col min="28" max="34" width="9.140625" style="751" hidden="1" customWidth="1"/>
    <col min="35" max="35" width="9.140625" style="751" customWidth="1"/>
    <col min="36" max="16384" width="9.140625" style="751"/>
  </cols>
  <sheetData>
    <row r="1" spans="1:27" ht="18.75" x14ac:dyDescent="0.3">
      <c r="A1" s="978" t="s">
        <v>325</v>
      </c>
      <c r="B1" s="978" t="s">
        <v>325</v>
      </c>
      <c r="C1" s="978" t="s">
        <v>325</v>
      </c>
      <c r="D1" s="978" t="s">
        <v>325</v>
      </c>
      <c r="E1" s="978" t="s">
        <v>325</v>
      </c>
      <c r="F1" s="978" t="s">
        <v>325</v>
      </c>
      <c r="G1" s="978" t="s">
        <v>325</v>
      </c>
      <c r="H1" s="978" t="s">
        <v>325</v>
      </c>
      <c r="I1" s="978" t="s">
        <v>325</v>
      </c>
      <c r="J1" s="978" t="s">
        <v>325</v>
      </c>
      <c r="K1" s="978" t="s">
        <v>325</v>
      </c>
      <c r="L1" s="978" t="s">
        <v>325</v>
      </c>
      <c r="M1" s="978" t="s">
        <v>325</v>
      </c>
      <c r="N1" s="978" t="s">
        <v>325</v>
      </c>
      <c r="O1" s="978" t="s">
        <v>325</v>
      </c>
      <c r="P1" s="978" t="s">
        <v>325</v>
      </c>
      <c r="Q1" s="978" t="s">
        <v>325</v>
      </c>
      <c r="R1" s="978" t="s">
        <v>325</v>
      </c>
      <c r="S1" s="978" t="s">
        <v>325</v>
      </c>
      <c r="T1" s="978" t="s">
        <v>325</v>
      </c>
      <c r="U1" s="978" t="s">
        <v>325</v>
      </c>
      <c r="V1" s="978" t="s">
        <v>325</v>
      </c>
      <c r="W1" s="978" t="s">
        <v>325</v>
      </c>
      <c r="X1" s="978" t="s">
        <v>325</v>
      </c>
      <c r="Y1" s="978" t="s">
        <v>325</v>
      </c>
      <c r="Z1" s="978" t="s">
        <v>325</v>
      </c>
      <c r="AA1" s="978" t="s">
        <v>325</v>
      </c>
    </row>
    <row r="2" spans="1:27" x14ac:dyDescent="0.25">
      <c r="A2" s="979" t="s">
        <v>315</v>
      </c>
      <c r="B2" s="979" t="s">
        <v>315</v>
      </c>
      <c r="C2" s="979" t="s">
        <v>315</v>
      </c>
      <c r="D2" s="979" t="s">
        <v>315</v>
      </c>
      <c r="E2" s="979" t="s">
        <v>315</v>
      </c>
      <c r="F2" s="979" t="s">
        <v>315</v>
      </c>
      <c r="G2" s="979" t="s">
        <v>315</v>
      </c>
      <c r="H2" s="979" t="s">
        <v>315</v>
      </c>
      <c r="I2" s="979" t="s">
        <v>315</v>
      </c>
      <c r="J2" s="979" t="s">
        <v>315</v>
      </c>
      <c r="K2" s="979" t="s">
        <v>315</v>
      </c>
      <c r="L2" s="979" t="s">
        <v>315</v>
      </c>
      <c r="M2" s="979" t="s">
        <v>315</v>
      </c>
      <c r="N2" s="979" t="s">
        <v>315</v>
      </c>
      <c r="O2" s="979" t="s">
        <v>315</v>
      </c>
      <c r="P2" s="979" t="s">
        <v>315</v>
      </c>
      <c r="Q2" s="979" t="s">
        <v>315</v>
      </c>
      <c r="R2" s="979" t="s">
        <v>315</v>
      </c>
      <c r="S2" s="979" t="s">
        <v>315</v>
      </c>
      <c r="T2" s="979" t="s">
        <v>315</v>
      </c>
      <c r="U2" s="979" t="s">
        <v>315</v>
      </c>
      <c r="V2" s="979" t="s">
        <v>315</v>
      </c>
      <c r="W2" s="979" t="s">
        <v>315</v>
      </c>
      <c r="X2" s="979" t="s">
        <v>315</v>
      </c>
      <c r="Y2" s="979" t="s">
        <v>315</v>
      </c>
      <c r="Z2" s="979" t="s">
        <v>315</v>
      </c>
      <c r="AA2" s="979" t="s">
        <v>315</v>
      </c>
    </row>
    <row r="3" spans="1:27" x14ac:dyDescent="0.25">
      <c r="A3" s="979" t="s">
        <v>60</v>
      </c>
      <c r="B3" s="979" t="s">
        <v>60</v>
      </c>
      <c r="C3" s="979" t="s">
        <v>60</v>
      </c>
      <c r="D3" s="979" t="s">
        <v>60</v>
      </c>
      <c r="E3" s="979" t="s">
        <v>60</v>
      </c>
      <c r="F3" s="979" t="s">
        <v>60</v>
      </c>
      <c r="G3" s="979" t="s">
        <v>60</v>
      </c>
      <c r="H3" s="979" t="s">
        <v>60</v>
      </c>
      <c r="I3" s="979" t="s">
        <v>60</v>
      </c>
      <c r="J3" s="979" t="s">
        <v>60</v>
      </c>
      <c r="K3" s="979" t="s">
        <v>60</v>
      </c>
      <c r="L3" s="979" t="s">
        <v>60</v>
      </c>
      <c r="M3" s="979" t="s">
        <v>60</v>
      </c>
      <c r="N3" s="979" t="s">
        <v>60</v>
      </c>
      <c r="O3" s="979" t="s">
        <v>60</v>
      </c>
      <c r="P3" s="979" t="s">
        <v>60</v>
      </c>
      <c r="Q3" s="979" t="s">
        <v>60</v>
      </c>
      <c r="R3" s="979" t="s">
        <v>60</v>
      </c>
      <c r="S3" s="979" t="s">
        <v>60</v>
      </c>
      <c r="T3" s="979" t="s">
        <v>60</v>
      </c>
      <c r="U3" s="979" t="s">
        <v>60</v>
      </c>
      <c r="V3" s="979" t="s">
        <v>60</v>
      </c>
      <c r="W3" s="979" t="s">
        <v>60</v>
      </c>
      <c r="X3" s="979" t="s">
        <v>60</v>
      </c>
      <c r="Y3" s="979" t="s">
        <v>60</v>
      </c>
      <c r="Z3" s="979" t="s">
        <v>60</v>
      </c>
      <c r="AA3" s="979" t="s">
        <v>60</v>
      </c>
    </row>
    <row r="4" spans="1:27" x14ac:dyDescent="0.25">
      <c r="A4" s="410"/>
      <c r="B4" s="980" t="s">
        <v>386</v>
      </c>
      <c r="C4" s="980" t="s">
        <v>752</v>
      </c>
      <c r="D4" s="588"/>
      <c r="E4" s="980" t="s">
        <v>925</v>
      </c>
      <c r="F4" s="980" t="s">
        <v>1136</v>
      </c>
      <c r="G4" s="980" t="s">
        <v>730</v>
      </c>
      <c r="H4" s="980" t="s">
        <v>1243</v>
      </c>
      <c r="I4" s="980" t="s">
        <v>972</v>
      </c>
      <c r="J4" s="980" t="s">
        <v>4</v>
      </c>
      <c r="K4" s="980" t="s">
        <v>915</v>
      </c>
      <c r="L4" s="980" t="s">
        <v>120</v>
      </c>
      <c r="M4" s="980" t="s">
        <v>57</v>
      </c>
      <c r="N4" s="980" t="s">
        <v>120</v>
      </c>
      <c r="O4" s="980" t="s">
        <v>999</v>
      </c>
      <c r="P4" s="980" t="s">
        <v>120</v>
      </c>
      <c r="Q4" s="980" t="s">
        <v>972</v>
      </c>
      <c r="R4" s="980" t="s">
        <v>568</v>
      </c>
      <c r="S4" s="980" t="s">
        <v>120</v>
      </c>
      <c r="T4" s="980" t="s">
        <v>999</v>
      </c>
      <c r="U4" s="980" t="s">
        <v>120</v>
      </c>
      <c r="V4" s="980" t="s">
        <v>345</v>
      </c>
      <c r="W4" s="980" t="s">
        <v>120</v>
      </c>
      <c r="X4" s="980" t="s">
        <v>848</v>
      </c>
      <c r="Y4" s="980" t="s">
        <v>120</v>
      </c>
      <c r="Z4" s="980" t="s">
        <v>999</v>
      </c>
      <c r="AA4" s="980" t="s">
        <v>120</v>
      </c>
    </row>
    <row r="5" spans="1:27" ht="7.15" customHeight="1" x14ac:dyDescent="0.25">
      <c r="A5" s="410"/>
      <c r="B5" s="980"/>
      <c r="C5" s="980"/>
      <c r="D5" s="588"/>
      <c r="E5" s="980"/>
      <c r="F5" s="980"/>
      <c r="G5" s="980" t="s">
        <v>730</v>
      </c>
      <c r="H5" s="980" t="s">
        <v>1243</v>
      </c>
      <c r="I5" s="980" t="s">
        <v>972</v>
      </c>
      <c r="J5" s="980" t="s">
        <v>4</v>
      </c>
      <c r="K5" s="980"/>
      <c r="L5" s="980"/>
      <c r="M5" s="980"/>
      <c r="N5" s="980"/>
      <c r="O5" s="980"/>
      <c r="P5" s="980"/>
      <c r="Q5" s="980"/>
      <c r="R5" s="980"/>
      <c r="S5" s="980"/>
      <c r="T5" s="980"/>
      <c r="U5" s="980"/>
      <c r="V5" s="980"/>
      <c r="W5" s="980"/>
      <c r="X5" s="980"/>
      <c r="Y5" s="980"/>
      <c r="Z5" s="980"/>
      <c r="AA5" s="980"/>
    </row>
    <row r="6" spans="1:27" x14ac:dyDescent="0.25">
      <c r="A6" s="421" t="s">
        <v>262</v>
      </c>
      <c r="B6" s="140">
        <v>1</v>
      </c>
      <c r="C6" s="465" t="s">
        <v>1045</v>
      </c>
      <c r="D6" s="465">
        <f>'Giá Máy'!D5</f>
        <v>0</v>
      </c>
      <c r="E6" s="227" t="str">
        <f>'Giá Máy'!E5</f>
        <v>Búa căn khí nén 3m3/ph</v>
      </c>
      <c r="F6" s="140" t="s">
        <v>717</v>
      </c>
      <c r="G6" s="455"/>
      <c r="H6" s="455"/>
      <c r="I6" s="455"/>
      <c r="J6" s="455">
        <f>SUM(J7:J7)</f>
        <v>8.2925000000000004</v>
      </c>
      <c r="K6" s="285">
        <f>'Giá Máy'!G5</f>
        <v>21147</v>
      </c>
      <c r="L6" s="285">
        <f>J6*K6</f>
        <v>175361.4975</v>
      </c>
      <c r="M6" s="285">
        <f>'Giá Máy'!H5</f>
        <v>21147</v>
      </c>
      <c r="N6" s="285">
        <f>J6*M6</f>
        <v>175361.4975</v>
      </c>
      <c r="O6" s="285">
        <f>M6-K6</f>
        <v>0</v>
      </c>
      <c r="P6" s="285">
        <f>J6*O6</f>
        <v>0</v>
      </c>
      <c r="Q6" s="285">
        <v>1</v>
      </c>
      <c r="R6" s="285">
        <f>M6*Q6</f>
        <v>21147</v>
      </c>
      <c r="S6" s="285">
        <f>J6*R6</f>
        <v>175361.4975</v>
      </c>
      <c r="T6" s="285">
        <v>0</v>
      </c>
      <c r="U6" s="285">
        <v>0</v>
      </c>
      <c r="V6" s="285">
        <f>'Giá Máy'!N5</f>
        <v>0</v>
      </c>
      <c r="W6" s="285">
        <f>J6*V6</f>
        <v>0</v>
      </c>
      <c r="X6" s="285">
        <f>'Giá Máy'!O5</f>
        <v>21147</v>
      </c>
      <c r="Y6" s="285">
        <f>J6*X6</f>
        <v>175361.4975</v>
      </c>
      <c r="Z6" s="285">
        <f>X6-K6</f>
        <v>0</v>
      </c>
      <c r="AA6" s="285">
        <f>J6*Z6</f>
        <v>0</v>
      </c>
    </row>
    <row r="7" spans="1:27" s="391" customFormat="1" ht="30" hidden="1" x14ac:dyDescent="0.25">
      <c r="A7" s="529"/>
      <c r="B7" s="76"/>
      <c r="C7" s="411" t="str">
        <f>'Du toan chi tiet'!C20</f>
        <v>AA.22112</v>
      </c>
      <c r="D7" s="411"/>
      <c r="E7" s="155" t="str">
        <f>'Du toan chi tiet'!D20</f>
        <v>Phá dỡ kết cấu bê tông không cốt thép bằng búa căn khí nén 3m3/ph</v>
      </c>
      <c r="F7" s="76" t="str">
        <f>'Du toan chi tiet'!E20</f>
        <v>m3</v>
      </c>
      <c r="G7" s="381">
        <f>'Du toan chi tiet'!M20</f>
        <v>33.17</v>
      </c>
      <c r="H7" s="381">
        <f>'Phan tich don gia'!G109</f>
        <v>0.25</v>
      </c>
      <c r="I7" s="381">
        <f>'Du toan chi tiet'!X20</f>
        <v>1</v>
      </c>
      <c r="J7" s="381">
        <f>PRODUCT(G7,H7,I7)</f>
        <v>8.2925000000000004</v>
      </c>
      <c r="K7" s="237"/>
      <c r="L7" s="237"/>
      <c r="M7" s="237"/>
      <c r="N7" s="237"/>
      <c r="O7" s="237"/>
      <c r="P7" s="237"/>
      <c r="Q7" s="237"/>
      <c r="R7" s="237"/>
      <c r="S7" s="237"/>
      <c r="T7" s="237"/>
      <c r="U7" s="237"/>
      <c r="V7" s="237"/>
      <c r="W7" s="237"/>
      <c r="X7" s="237"/>
      <c r="Y7" s="237"/>
      <c r="Z7" s="237"/>
      <c r="AA7" s="237"/>
    </row>
    <row r="8" spans="1:27" x14ac:dyDescent="0.25">
      <c r="A8" s="159" t="s">
        <v>262</v>
      </c>
      <c r="B8" s="649">
        <v>2</v>
      </c>
      <c r="C8" s="214" t="s">
        <v>208</v>
      </c>
      <c r="D8" s="214" t="e">
        <f>'Giá Máy'!#REF!</f>
        <v>#REF!</v>
      </c>
      <c r="E8" s="720" t="e">
        <f>'Giá Máy'!#REF!</f>
        <v>#REF!</v>
      </c>
      <c r="F8" s="649" t="s">
        <v>717</v>
      </c>
      <c r="G8" s="176"/>
      <c r="H8" s="176"/>
      <c r="I8" s="176"/>
      <c r="J8" s="176" t="e">
        <f>SUM(J9:J10)</f>
        <v>#REF!</v>
      </c>
      <c r="K8" s="10" t="e">
        <f>'Giá Máy'!#REF!</f>
        <v>#REF!</v>
      </c>
      <c r="L8" s="10" t="e">
        <f>J8*K8</f>
        <v>#REF!</v>
      </c>
      <c r="M8" s="10" t="e">
        <f>'Giá Máy'!#REF!</f>
        <v>#REF!</v>
      </c>
      <c r="N8" s="10" t="e">
        <f>J8*M8</f>
        <v>#REF!</v>
      </c>
      <c r="O8" s="10" t="e">
        <f>M8-K8</f>
        <v>#REF!</v>
      </c>
      <c r="P8" s="10" t="e">
        <f>J8*O8</f>
        <v>#REF!</v>
      </c>
      <c r="Q8" s="10">
        <v>1</v>
      </c>
      <c r="R8" s="10" t="e">
        <f>M8*Q8</f>
        <v>#REF!</v>
      </c>
      <c r="S8" s="10" t="e">
        <f>J8*R8</f>
        <v>#REF!</v>
      </c>
      <c r="T8" s="10">
        <v>0</v>
      </c>
      <c r="U8" s="10">
        <v>0</v>
      </c>
      <c r="V8" s="88" t="e">
        <f>'Giá Máy'!#REF!</f>
        <v>#REF!</v>
      </c>
      <c r="W8" s="10" t="e">
        <f>J8*V8</f>
        <v>#REF!</v>
      </c>
      <c r="X8" s="10" t="e">
        <f>'Giá Máy'!#REF!</f>
        <v>#REF!</v>
      </c>
      <c r="Y8" s="10" t="e">
        <f>J8*X8</f>
        <v>#REF!</v>
      </c>
      <c r="Z8" s="10" t="e">
        <f>X8-K8</f>
        <v>#REF!</v>
      </c>
      <c r="AA8" s="10" t="e">
        <f>J8*Z8</f>
        <v>#REF!</v>
      </c>
    </row>
    <row r="9" spans="1:27" s="391" customFormat="1" ht="30" hidden="1" x14ac:dyDescent="0.25">
      <c r="A9" s="529"/>
      <c r="B9" s="76"/>
      <c r="C9" s="411" t="str">
        <f>'Du toan chi tiet'!C35</f>
        <v>AF.86211</v>
      </c>
      <c r="D9" s="411"/>
      <c r="E9" s="155" t="str">
        <f>'Du toan chi tiet'!D35</f>
        <v>Ván khuôn thép, khung xương, cột chống giáo ống, tường, chiều cao ≤28m</v>
      </c>
      <c r="F9" s="76" t="str">
        <f>'Du toan chi tiet'!E35</f>
        <v>m2</v>
      </c>
      <c r="G9" s="381">
        <f>'Du toan chi tiet'!M35</f>
        <v>21.33</v>
      </c>
      <c r="H9" s="381" t="e">
        <f>'Phan tich don gia'!#REF!</f>
        <v>#REF!</v>
      </c>
      <c r="I9" s="381">
        <f>'Du toan chi tiet'!X35</f>
        <v>1</v>
      </c>
      <c r="J9" s="381" t="e">
        <f t="shared" ref="J9:J10" si="0">PRODUCT(G9,H9,I9)</f>
        <v>#REF!</v>
      </c>
      <c r="K9" s="237"/>
      <c r="L9" s="237"/>
      <c r="M9" s="237"/>
      <c r="N9" s="237"/>
      <c r="O9" s="237"/>
      <c r="P9" s="237"/>
      <c r="Q9" s="237"/>
      <c r="R9" s="237"/>
      <c r="S9" s="237"/>
      <c r="T9" s="237"/>
      <c r="U9" s="237"/>
      <c r="V9" s="237"/>
      <c r="W9" s="237"/>
      <c r="X9" s="237"/>
      <c r="Y9" s="237"/>
      <c r="Z9" s="237"/>
      <c r="AA9" s="237"/>
    </row>
    <row r="10" spans="1:27" s="391" customFormat="1" ht="30" hidden="1" x14ac:dyDescent="0.25">
      <c r="A10" s="529"/>
      <c r="B10" s="76"/>
      <c r="C10" s="411" t="str">
        <f>'Du toan chi tiet'!C39</f>
        <v>AF.86211</v>
      </c>
      <c r="D10" s="411"/>
      <c r="E10" s="155" t="str">
        <f>'Du toan chi tiet'!D39</f>
        <v>Ván khuôn thép, khung xương, cột chống giáo ống, tường cánh chiều cao ≤28m</v>
      </c>
      <c r="F10" s="76" t="str">
        <f>'Du toan chi tiet'!E39</f>
        <v>m2</v>
      </c>
      <c r="G10" s="381">
        <f>'Du toan chi tiet'!M39</f>
        <v>0.81</v>
      </c>
      <c r="H10" s="381" t="e">
        <f>'Phan tich don gia'!#REF!</f>
        <v>#REF!</v>
      </c>
      <c r="I10" s="381">
        <f>'Du toan chi tiet'!X39</f>
        <v>1</v>
      </c>
      <c r="J10" s="381" t="e">
        <f t="shared" si="0"/>
        <v>#REF!</v>
      </c>
      <c r="K10" s="237"/>
      <c r="L10" s="237"/>
      <c r="M10" s="237"/>
      <c r="N10" s="237"/>
      <c r="O10" s="237"/>
      <c r="P10" s="237"/>
      <c r="Q10" s="237"/>
      <c r="R10" s="237"/>
      <c r="S10" s="237"/>
      <c r="T10" s="237"/>
      <c r="U10" s="237"/>
      <c r="V10" s="237"/>
      <c r="W10" s="237"/>
      <c r="X10" s="237"/>
      <c r="Y10" s="237"/>
      <c r="Z10" s="237"/>
      <c r="AA10" s="237"/>
    </row>
    <row r="11" spans="1:27" x14ac:dyDescent="0.25">
      <c r="A11" s="159" t="s">
        <v>262</v>
      </c>
      <c r="B11" s="649">
        <v>3</v>
      </c>
      <c r="C11" s="214" t="s">
        <v>1101</v>
      </c>
      <c r="D11" s="214">
        <f>'Giá Máy'!D6</f>
        <v>0</v>
      </c>
      <c r="E11" s="720" t="str">
        <f>'Giá Máy'!E6</f>
        <v>Lò nấu sơn YHK 3A</v>
      </c>
      <c r="F11" s="649" t="s">
        <v>717</v>
      </c>
      <c r="G11" s="176"/>
      <c r="H11" s="176"/>
      <c r="I11" s="176"/>
      <c r="J11" s="176">
        <f>SUM(J12:J12)</f>
        <v>0.52800000000000002</v>
      </c>
      <c r="K11" s="10">
        <f>'Giá Máy'!G6</f>
        <v>908184.5</v>
      </c>
      <c r="L11" s="10">
        <f>J11*K11</f>
        <v>479521.41600000003</v>
      </c>
      <c r="M11" s="10">
        <f>'Giá Máy'!H6</f>
        <v>908184.5</v>
      </c>
      <c r="N11" s="10">
        <f>J11*M11</f>
        <v>479521.41600000003</v>
      </c>
      <c r="O11" s="10">
        <f>M11-K11</f>
        <v>0</v>
      </c>
      <c r="P11" s="10">
        <f>J11*O11</f>
        <v>0</v>
      </c>
      <c r="Q11" s="10">
        <v>1</v>
      </c>
      <c r="R11" s="10">
        <f>M11*Q11</f>
        <v>908184.5</v>
      </c>
      <c r="S11" s="10">
        <f>J11*R11</f>
        <v>479521.41600000003</v>
      </c>
      <c r="T11" s="10">
        <v>0</v>
      </c>
      <c r="U11" s="10">
        <v>0</v>
      </c>
      <c r="V11" s="88">
        <f>'Giá Máy'!N6</f>
        <v>0</v>
      </c>
      <c r="W11" s="10">
        <f>J11*V11</f>
        <v>0</v>
      </c>
      <c r="X11" s="10">
        <f>'Giá Máy'!O6</f>
        <v>908184.5</v>
      </c>
      <c r="Y11" s="10">
        <f>J11*X11</f>
        <v>479521.41600000003</v>
      </c>
      <c r="Z11" s="10">
        <f>X11-K11</f>
        <v>0</v>
      </c>
      <c r="AA11" s="10">
        <f>J11*Z11</f>
        <v>0</v>
      </c>
    </row>
    <row r="12" spans="1:27" s="391" customFormat="1" ht="30" hidden="1" x14ac:dyDescent="0.25">
      <c r="A12" s="529"/>
      <c r="B12" s="76"/>
      <c r="C12" s="411" t="str">
        <f>'Du toan chi tiet'!C24</f>
        <v>AK.91141vd</v>
      </c>
      <c r="D12" s="411"/>
      <c r="E12" s="155" t="str">
        <f>'Du toan chi tiet'!D24</f>
        <v>Sơn kẻ đường bằng sơn dẻo nhiệt phản quang, dày sơn 6mm</v>
      </c>
      <c r="F12" s="76" t="str">
        <f>'Du toan chi tiet'!E24</f>
        <v>m2</v>
      </c>
      <c r="G12" s="381">
        <f>'Du toan chi tiet'!M24</f>
        <v>6.6</v>
      </c>
      <c r="H12" s="381">
        <f>'Phan tich don gia'!G136</f>
        <v>0.08</v>
      </c>
      <c r="I12" s="381">
        <f>'Du toan chi tiet'!X24</f>
        <v>1</v>
      </c>
      <c r="J12" s="381">
        <f>PRODUCT(G12,H12,I12)</f>
        <v>0.52800000000000002</v>
      </c>
      <c r="K12" s="237"/>
      <c r="L12" s="237"/>
      <c r="M12" s="237"/>
      <c r="N12" s="237"/>
      <c r="O12" s="237"/>
      <c r="P12" s="237"/>
      <c r="Q12" s="237"/>
      <c r="R12" s="237"/>
      <c r="S12" s="237"/>
      <c r="T12" s="237"/>
      <c r="U12" s="237"/>
      <c r="V12" s="237"/>
      <c r="W12" s="237"/>
      <c r="X12" s="237"/>
      <c r="Y12" s="237"/>
      <c r="Z12" s="237"/>
      <c r="AA12" s="237"/>
    </row>
    <row r="13" spans="1:27" x14ac:dyDescent="0.25">
      <c r="A13" s="159" t="s">
        <v>262</v>
      </c>
      <c r="B13" s="649">
        <v>4</v>
      </c>
      <c r="C13" s="214" t="s">
        <v>177</v>
      </c>
      <c r="D13" s="214">
        <f>'Giá Máy'!D7</f>
        <v>0</v>
      </c>
      <c r="E13" s="720" t="str">
        <f>'Giá Máy'!E7</f>
        <v>Máy cắt bê tông 7,5kW</v>
      </c>
      <c r="F13" s="649" t="s">
        <v>717</v>
      </c>
      <c r="G13" s="176"/>
      <c r="H13" s="176"/>
      <c r="I13" s="176"/>
      <c r="J13" s="176">
        <f>SUM(J14:J15)</f>
        <v>0.26400000000000001</v>
      </c>
      <c r="K13" s="10">
        <f>'Giá Máy'!G7</f>
        <v>307653</v>
      </c>
      <c r="L13" s="10">
        <f>J13*K13</f>
        <v>81220.392000000007</v>
      </c>
      <c r="M13" s="10">
        <f>'Giá Máy'!H7</f>
        <v>307653</v>
      </c>
      <c r="N13" s="10">
        <f>J13*M13</f>
        <v>81220.392000000007</v>
      </c>
      <c r="O13" s="10">
        <f>M13-K13</f>
        <v>0</v>
      </c>
      <c r="P13" s="10">
        <f>J13*O13</f>
        <v>0</v>
      </c>
      <c r="Q13" s="10">
        <v>1</v>
      </c>
      <c r="R13" s="10">
        <f>M13*Q13</f>
        <v>307653</v>
      </c>
      <c r="S13" s="10">
        <f>J13*R13</f>
        <v>81220.392000000007</v>
      </c>
      <c r="T13" s="10">
        <v>0</v>
      </c>
      <c r="U13" s="10">
        <v>0</v>
      </c>
      <c r="V13" s="88">
        <f>'Giá Máy'!N7</f>
        <v>0</v>
      </c>
      <c r="W13" s="10">
        <f>J13*V13</f>
        <v>0</v>
      </c>
      <c r="X13" s="10">
        <f>'Giá Máy'!O7</f>
        <v>307653</v>
      </c>
      <c r="Y13" s="10">
        <f>J13*X13</f>
        <v>81220.392000000007</v>
      </c>
      <c r="Z13" s="10">
        <f>X13-K13</f>
        <v>0</v>
      </c>
      <c r="AA13" s="10">
        <f>J13*Z13</f>
        <v>0</v>
      </c>
    </row>
    <row r="14" spans="1:27" s="391" customFormat="1" hidden="1" x14ac:dyDescent="0.25">
      <c r="A14" s="529"/>
      <c r="B14" s="76"/>
      <c r="C14" s="411" t="str">
        <f>'Du toan chi tiet'!C15</f>
        <v>AL.22112</v>
      </c>
      <c r="D14" s="411"/>
      <c r="E14" s="155" t="str">
        <f>'Du toan chi tiet'!D15</f>
        <v>Cắt mặt đường bê tông hiện có</v>
      </c>
      <c r="F14" s="76" t="str">
        <f>'Du toan chi tiet'!E15</f>
        <v>10m</v>
      </c>
      <c r="G14" s="381">
        <f>'Du toan chi tiet'!M15</f>
        <v>0.6</v>
      </c>
      <c r="H14" s="381">
        <f>'Phan tich don gia'!G79</f>
        <v>0.22</v>
      </c>
      <c r="I14" s="381">
        <f>'Du toan chi tiet'!X15</f>
        <v>1</v>
      </c>
      <c r="J14" s="381">
        <f t="shared" ref="J14:J15" si="1">PRODUCT(G14,H14,I14)</f>
        <v>0.13200000000000001</v>
      </c>
      <c r="K14" s="237"/>
      <c r="L14" s="237"/>
      <c r="M14" s="237"/>
      <c r="N14" s="237"/>
      <c r="O14" s="237"/>
      <c r="P14" s="237"/>
      <c r="Q14" s="237"/>
      <c r="R14" s="237"/>
      <c r="S14" s="237"/>
      <c r="T14" s="237"/>
      <c r="U14" s="237"/>
      <c r="V14" s="237"/>
      <c r="W14" s="237"/>
      <c r="X14" s="237"/>
      <c r="Y14" s="237"/>
      <c r="Z14" s="237"/>
      <c r="AA14" s="237"/>
    </row>
    <row r="15" spans="1:27" s="391" customFormat="1" hidden="1" x14ac:dyDescent="0.25">
      <c r="A15" s="529"/>
      <c r="B15" s="76"/>
      <c r="C15" s="411" t="str">
        <f>'Du toan chi tiet'!C41</f>
        <v>AL.22112</v>
      </c>
      <c r="D15" s="411"/>
      <c r="E15" s="155" t="str">
        <f>'Du toan chi tiet'!D41</f>
        <v>Cắt mặt đường bê tông hiện có</v>
      </c>
      <c r="F15" s="76" t="str">
        <f>'Du toan chi tiet'!E41</f>
        <v>10m</v>
      </c>
      <c r="G15" s="381">
        <f>'Du toan chi tiet'!M41</f>
        <v>0.6</v>
      </c>
      <c r="H15" s="381">
        <f>'Phan tich don gia'!G270</f>
        <v>0.22</v>
      </c>
      <c r="I15" s="381">
        <f>'Du toan chi tiet'!X41</f>
        <v>1</v>
      </c>
      <c r="J15" s="381">
        <f t="shared" si="1"/>
        <v>0.13200000000000001</v>
      </c>
      <c r="K15" s="237"/>
      <c r="L15" s="237"/>
      <c r="M15" s="237"/>
      <c r="N15" s="237"/>
      <c r="O15" s="237"/>
      <c r="P15" s="237"/>
      <c r="Q15" s="237"/>
      <c r="R15" s="237"/>
      <c r="S15" s="237"/>
      <c r="T15" s="237"/>
      <c r="U15" s="237"/>
      <c r="V15" s="237"/>
      <c r="W15" s="237"/>
      <c r="X15" s="237"/>
      <c r="Y15" s="237"/>
      <c r="Z15" s="237"/>
      <c r="AA15" s="237"/>
    </row>
    <row r="16" spans="1:27" x14ac:dyDescent="0.25">
      <c r="A16" s="159" t="s">
        <v>262</v>
      </c>
      <c r="B16" s="649">
        <v>5</v>
      </c>
      <c r="C16" s="214" t="s">
        <v>750</v>
      </c>
      <c r="D16" s="214">
        <f>'Giá Máy'!D8</f>
        <v>0</v>
      </c>
      <c r="E16" s="720" t="str">
        <f>'Giá Máy'!E8</f>
        <v>Máy cắt bê tông 12CV (MCD 218)</v>
      </c>
      <c r="F16" s="649" t="s">
        <v>717</v>
      </c>
      <c r="G16" s="176"/>
      <c r="H16" s="176"/>
      <c r="I16" s="176"/>
      <c r="J16" s="176">
        <f>SUM(J17:J17)</f>
        <v>5.5E-2</v>
      </c>
      <c r="K16" s="10">
        <f>'Giá Máy'!G8</f>
        <v>507130.7</v>
      </c>
      <c r="L16" s="10">
        <f>J16*K16</f>
        <v>27892.1885</v>
      </c>
      <c r="M16" s="10">
        <f>'Giá Máy'!H8</f>
        <v>507130.7</v>
      </c>
      <c r="N16" s="10">
        <f>J16*M16</f>
        <v>27892.1885</v>
      </c>
      <c r="O16" s="10">
        <f>M16-K16</f>
        <v>0</v>
      </c>
      <c r="P16" s="10">
        <f>J16*O16</f>
        <v>0</v>
      </c>
      <c r="Q16" s="10">
        <v>1</v>
      </c>
      <c r="R16" s="10">
        <f>M16*Q16</f>
        <v>507130.7</v>
      </c>
      <c r="S16" s="10">
        <f>J16*R16</f>
        <v>27892.1885</v>
      </c>
      <c r="T16" s="10">
        <v>0</v>
      </c>
      <c r="U16" s="10">
        <v>0</v>
      </c>
      <c r="V16" s="88">
        <f>'Giá Máy'!N8</f>
        <v>0</v>
      </c>
      <c r="W16" s="10">
        <f>J16*V16</f>
        <v>0</v>
      </c>
      <c r="X16" s="10">
        <f>'Giá Máy'!O8</f>
        <v>507130.7</v>
      </c>
      <c r="Y16" s="10">
        <f>J16*X16</f>
        <v>27892.1885</v>
      </c>
      <c r="Z16" s="10">
        <f>X16-K16</f>
        <v>0</v>
      </c>
      <c r="AA16" s="10">
        <f>J16*Z16</f>
        <v>0</v>
      </c>
    </row>
    <row r="17" spans="1:27" s="391" customFormat="1" ht="30" hidden="1" x14ac:dyDescent="0.25">
      <c r="A17" s="529"/>
      <c r="B17" s="76"/>
      <c r="C17" s="411" t="str">
        <f>'Du toan chi tiet'!C14</f>
        <v>SE.11211</v>
      </c>
      <c r="D17" s="411"/>
      <c r="E17" s="155" t="str">
        <f>'Du toan chi tiet'!D14</f>
        <v>Cắt mặt đường bê tông Asphalt chiều dày lớp cắt ≤ 5cm</v>
      </c>
      <c r="F17" s="76" t="str">
        <f>'Du toan chi tiet'!E14</f>
        <v>m</v>
      </c>
      <c r="G17" s="381">
        <f>'Du toan chi tiet'!M14</f>
        <v>25</v>
      </c>
      <c r="H17" s="381">
        <f>'Phan tich don gia'!G71</f>
        <v>2.2000000000000001E-3</v>
      </c>
      <c r="I17" s="381">
        <f>'Du toan chi tiet'!X14</f>
        <v>1</v>
      </c>
      <c r="J17" s="381">
        <f>PRODUCT(G17,H17,I17)</f>
        <v>5.5E-2</v>
      </c>
      <c r="K17" s="237"/>
      <c r="L17" s="237"/>
      <c r="M17" s="237"/>
      <c r="N17" s="237"/>
      <c r="O17" s="237"/>
      <c r="P17" s="237"/>
      <c r="Q17" s="237"/>
      <c r="R17" s="237"/>
      <c r="S17" s="237"/>
      <c r="T17" s="237"/>
      <c r="U17" s="237"/>
      <c r="V17" s="237"/>
      <c r="W17" s="237"/>
      <c r="X17" s="237"/>
      <c r="Y17" s="237"/>
      <c r="Z17" s="237"/>
      <c r="AA17" s="237"/>
    </row>
    <row r="18" spans="1:27" x14ac:dyDescent="0.25">
      <c r="A18" s="159" t="s">
        <v>262</v>
      </c>
      <c r="B18" s="649">
        <v>6</v>
      </c>
      <c r="C18" s="214" t="s">
        <v>239</v>
      </c>
      <c r="D18" s="214">
        <f>'Giá Máy'!D9</f>
        <v>0</v>
      </c>
      <c r="E18" s="720" t="str">
        <f>'Giá Máy'!E9</f>
        <v>Máy cắt uốn cốt thép 5kW</v>
      </c>
      <c r="F18" s="649" t="s">
        <v>717</v>
      </c>
      <c r="G18" s="176"/>
      <c r="H18" s="176"/>
      <c r="I18" s="176"/>
      <c r="J18" s="176">
        <f>SUM(J19:J20)</f>
        <v>0.11576</v>
      </c>
      <c r="K18" s="10">
        <f>'Giá Máy'!G9</f>
        <v>273726</v>
      </c>
      <c r="L18" s="10">
        <f>J18*K18</f>
        <v>31686.52176</v>
      </c>
      <c r="M18" s="10">
        <f>'Giá Máy'!H9</f>
        <v>273726</v>
      </c>
      <c r="N18" s="10">
        <f>J18*M18</f>
        <v>31686.52176</v>
      </c>
      <c r="O18" s="10">
        <f>M18-K18</f>
        <v>0</v>
      </c>
      <c r="P18" s="10">
        <f>J18*O18</f>
        <v>0</v>
      </c>
      <c r="Q18" s="10">
        <v>1</v>
      </c>
      <c r="R18" s="10">
        <f>M18*Q18</f>
        <v>273726</v>
      </c>
      <c r="S18" s="10">
        <f>J18*R18</f>
        <v>31686.52176</v>
      </c>
      <c r="T18" s="10">
        <v>0</v>
      </c>
      <c r="U18" s="10">
        <v>0</v>
      </c>
      <c r="V18" s="88">
        <f>'Giá Máy'!N9</f>
        <v>0</v>
      </c>
      <c r="W18" s="10">
        <f>J18*V18</f>
        <v>0</v>
      </c>
      <c r="X18" s="10">
        <f>'Giá Máy'!O9</f>
        <v>273726</v>
      </c>
      <c r="Y18" s="10">
        <f>J18*X18</f>
        <v>31686.52176</v>
      </c>
      <c r="Z18" s="10">
        <f>X18-K18</f>
        <v>0</v>
      </c>
      <c r="AA18" s="10">
        <f>J18*Z18</f>
        <v>0</v>
      </c>
    </row>
    <row r="19" spans="1:27" s="391" customFormat="1" hidden="1" x14ac:dyDescent="0.25">
      <c r="A19" s="529"/>
      <c r="B19" s="76"/>
      <c r="C19" s="411" t="str">
        <f>'Du toan chi tiet'!C33</f>
        <v>AF.63310</v>
      </c>
      <c r="D19" s="411"/>
      <c r="E19" s="155" t="str">
        <f>'Du toan chi tiet'!D33</f>
        <v>Lắp dựng cốt thép cống, ĐK ≤10mm</v>
      </c>
      <c r="F19" s="76" t="str">
        <f>'Du toan chi tiet'!E33</f>
        <v>tấn</v>
      </c>
      <c r="G19" s="381">
        <f>'Du toan chi tiet'!M33</f>
        <v>0.23899999999999999</v>
      </c>
      <c r="H19" s="381">
        <f>'Phan tich don gia'!G190</f>
        <v>0.4</v>
      </c>
      <c r="I19" s="381">
        <f>'Du toan chi tiet'!X33</f>
        <v>1</v>
      </c>
      <c r="J19" s="381">
        <f t="shared" ref="J19:J20" si="2">PRODUCT(G19,H19,I19)</f>
        <v>9.5600000000000004E-2</v>
      </c>
      <c r="K19" s="237"/>
      <c r="L19" s="237"/>
      <c r="M19" s="237"/>
      <c r="N19" s="237"/>
      <c r="O19" s="237"/>
      <c r="P19" s="237"/>
      <c r="Q19" s="237"/>
      <c r="R19" s="237"/>
      <c r="S19" s="237"/>
      <c r="T19" s="237"/>
      <c r="U19" s="237"/>
      <c r="V19" s="237"/>
      <c r="W19" s="237"/>
      <c r="X19" s="237"/>
      <c r="Y19" s="237"/>
      <c r="Z19" s="237"/>
      <c r="AA19" s="237"/>
    </row>
    <row r="20" spans="1:27" s="391" customFormat="1" hidden="1" x14ac:dyDescent="0.25">
      <c r="A20" s="529"/>
      <c r="B20" s="76"/>
      <c r="C20" s="411" t="str">
        <f>'Du toan chi tiet'!C34</f>
        <v>AF.63320</v>
      </c>
      <c r="D20" s="411"/>
      <c r="E20" s="155" t="str">
        <f>'Du toan chi tiet'!D34</f>
        <v>Lắp dựng cốt thép cống, ĐK ≤18mm</v>
      </c>
      <c r="F20" s="76" t="str">
        <f>'Du toan chi tiet'!E34</f>
        <v>tấn</v>
      </c>
      <c r="G20" s="381">
        <f>'Du toan chi tiet'!M34</f>
        <v>6.3E-2</v>
      </c>
      <c r="H20" s="381">
        <f>'Phan tich don gia'!G200</f>
        <v>0.32</v>
      </c>
      <c r="I20" s="381">
        <f>'Du toan chi tiet'!X34</f>
        <v>1</v>
      </c>
      <c r="J20" s="381">
        <f t="shared" si="2"/>
        <v>2.0160000000000001E-2</v>
      </c>
      <c r="K20" s="237"/>
      <c r="L20" s="237"/>
      <c r="M20" s="237"/>
      <c r="N20" s="237"/>
      <c r="O20" s="237"/>
      <c r="P20" s="237"/>
      <c r="Q20" s="237"/>
      <c r="R20" s="237"/>
      <c r="S20" s="237"/>
      <c r="T20" s="237"/>
      <c r="U20" s="237"/>
      <c r="V20" s="237"/>
      <c r="W20" s="237"/>
      <c r="X20" s="237"/>
      <c r="Y20" s="237"/>
      <c r="Z20" s="237"/>
      <c r="AA20" s="237"/>
    </row>
    <row r="21" spans="1:27" x14ac:dyDescent="0.25">
      <c r="A21" s="159" t="s">
        <v>262</v>
      </c>
      <c r="B21" s="649">
        <v>7</v>
      </c>
      <c r="C21" s="214" t="s">
        <v>201</v>
      </c>
      <c r="D21" s="214">
        <f>'Giá Máy'!D10</f>
        <v>0</v>
      </c>
      <c r="E21" s="720" t="str">
        <f>'Giá Máy'!E10</f>
        <v>Máy đầm bàn 1kW</v>
      </c>
      <c r="F21" s="649" t="s">
        <v>717</v>
      </c>
      <c r="G21" s="176"/>
      <c r="H21" s="176"/>
      <c r="I21" s="176"/>
      <c r="J21" s="176">
        <f>SUM(J22:J23)</f>
        <v>11.964269999999999</v>
      </c>
      <c r="K21" s="10">
        <f>'Giá Máy'!G10</f>
        <v>257212</v>
      </c>
      <c r="L21" s="10">
        <f>J21*K21</f>
        <v>3077353.8152399999</v>
      </c>
      <c r="M21" s="10">
        <f>'Giá Máy'!H10</f>
        <v>257212</v>
      </c>
      <c r="N21" s="10">
        <f>J21*M21</f>
        <v>3077353.8152399999</v>
      </c>
      <c r="O21" s="10">
        <f>M21-K21</f>
        <v>0</v>
      </c>
      <c r="P21" s="10">
        <f>J21*O21</f>
        <v>0</v>
      </c>
      <c r="Q21" s="10">
        <v>1</v>
      </c>
      <c r="R21" s="10">
        <f>M21*Q21</f>
        <v>257212</v>
      </c>
      <c r="S21" s="10">
        <f>J21*R21</f>
        <v>3077353.8152399999</v>
      </c>
      <c r="T21" s="10">
        <v>0</v>
      </c>
      <c r="U21" s="10">
        <v>0</v>
      </c>
      <c r="V21" s="88">
        <f>'Giá Máy'!N10</f>
        <v>0</v>
      </c>
      <c r="W21" s="10">
        <f>J21*V21</f>
        <v>0</v>
      </c>
      <c r="X21" s="10">
        <f>'Giá Máy'!O10</f>
        <v>257212</v>
      </c>
      <c r="Y21" s="10">
        <f>J21*X21</f>
        <v>3077353.8152399999</v>
      </c>
      <c r="Z21" s="10">
        <f>X21-K21</f>
        <v>0</v>
      </c>
      <c r="AA21" s="10">
        <f>J21*Z21</f>
        <v>0</v>
      </c>
    </row>
    <row r="22" spans="1:27" s="391" customFormat="1" ht="45" hidden="1" x14ac:dyDescent="0.25">
      <c r="A22" s="529"/>
      <c r="B22" s="76"/>
      <c r="C22" s="411" t="str">
        <f>'Du toan chi tiet'!C10</f>
        <v>AF.15433</v>
      </c>
      <c r="D22" s="411"/>
      <c r="E22" s="155" t="str">
        <f>'Du toan chi tiet'!D10</f>
        <v>Bê tông thương phẩm, bê tông mặt đường dày mặt đường ≤25cm, bê tông M300, đá 2x4</v>
      </c>
      <c r="F22" s="76" t="str">
        <f>'Du toan chi tiet'!E10</f>
        <v>m3</v>
      </c>
      <c r="G22" s="381">
        <f>'Du toan chi tiet'!M10</f>
        <v>133.84</v>
      </c>
      <c r="H22" s="381">
        <f>'Phan tich don gia'!G37</f>
        <v>8.8999999999999996E-2</v>
      </c>
      <c r="I22" s="381">
        <f>'Du toan chi tiet'!X10</f>
        <v>1</v>
      </c>
      <c r="J22" s="381">
        <f t="shared" ref="J22:J23" si="3">PRODUCT(G22,H22,I22)</f>
        <v>11.911759999999999</v>
      </c>
      <c r="K22" s="237"/>
      <c r="L22" s="237"/>
      <c r="M22" s="237"/>
      <c r="N22" s="237"/>
      <c r="O22" s="237"/>
      <c r="P22" s="237"/>
      <c r="Q22" s="237"/>
      <c r="R22" s="237"/>
      <c r="S22" s="237"/>
      <c r="T22" s="237"/>
      <c r="U22" s="237"/>
      <c r="V22" s="237"/>
      <c r="W22" s="237"/>
      <c r="X22" s="237"/>
      <c r="Y22" s="237"/>
      <c r="Z22" s="237"/>
      <c r="AA22" s="237"/>
    </row>
    <row r="23" spans="1:27" s="391" customFormat="1" ht="45" hidden="1" x14ac:dyDescent="0.25">
      <c r="A23" s="529"/>
      <c r="B23" s="76"/>
      <c r="C23" s="411" t="str">
        <f>'Du toan chi tiet'!C45</f>
        <v>AF.15433</v>
      </c>
      <c r="D23" s="411"/>
      <c r="E23" s="155" t="str">
        <f>'Du toan chi tiet'!D45</f>
        <v>Bê tông thương phẩm, bê tông hoàn trả mặt đường dày mặt đường ≤25cm, bê tông M250, đá 2x4, PCB40</v>
      </c>
      <c r="F23" s="76" t="str">
        <f>'Du toan chi tiet'!E45</f>
        <v>m3</v>
      </c>
      <c r="G23" s="381">
        <f>'Du toan chi tiet'!M45</f>
        <v>0.59</v>
      </c>
      <c r="H23" s="381">
        <f>'Phan tich don gia'!G296</f>
        <v>8.8999999999999996E-2</v>
      </c>
      <c r="I23" s="381">
        <f>'Du toan chi tiet'!X45</f>
        <v>1</v>
      </c>
      <c r="J23" s="381">
        <f t="shared" si="3"/>
        <v>5.2509999999999994E-2</v>
      </c>
      <c r="K23" s="237"/>
      <c r="L23" s="237"/>
      <c r="M23" s="237"/>
      <c r="N23" s="237"/>
      <c r="O23" s="237"/>
      <c r="P23" s="237"/>
      <c r="Q23" s="237"/>
      <c r="R23" s="237"/>
      <c r="S23" s="237"/>
      <c r="T23" s="237"/>
      <c r="U23" s="237"/>
      <c r="V23" s="237"/>
      <c r="W23" s="237"/>
      <c r="X23" s="237"/>
      <c r="Y23" s="237"/>
      <c r="Z23" s="237"/>
      <c r="AA23" s="237"/>
    </row>
    <row r="24" spans="1:27" x14ac:dyDescent="0.25">
      <c r="A24" s="159" t="s">
        <v>262</v>
      </c>
      <c r="B24" s="649">
        <v>8</v>
      </c>
      <c r="C24" s="214" t="s">
        <v>551</v>
      </c>
      <c r="D24" s="214">
        <f>'Giá Máy'!D11</f>
        <v>0</v>
      </c>
      <c r="E24" s="720" t="str">
        <f>'Giá Máy'!E11</f>
        <v>Máy đầm đất cầm tay 70kg</v>
      </c>
      <c r="F24" s="649" t="s">
        <v>717</v>
      </c>
      <c r="G24" s="176"/>
      <c r="H24" s="176"/>
      <c r="I24" s="176"/>
      <c r="J24" s="176">
        <f>SUM(J25:J27)</f>
        <v>0.87424559999999996</v>
      </c>
      <c r="K24" s="10">
        <f>'Giá Máy'!G11</f>
        <v>380951</v>
      </c>
      <c r="L24" s="10">
        <f>J24*K24</f>
        <v>333044.73556559999</v>
      </c>
      <c r="M24" s="10">
        <f>'Giá Máy'!H11</f>
        <v>380951</v>
      </c>
      <c r="N24" s="10">
        <f>J24*M24</f>
        <v>333044.73556559999</v>
      </c>
      <c r="O24" s="10">
        <f>M24-K24</f>
        <v>0</v>
      </c>
      <c r="P24" s="10">
        <f>J24*O24</f>
        <v>0</v>
      </c>
      <c r="Q24" s="10">
        <v>1</v>
      </c>
      <c r="R24" s="10">
        <f>M24*Q24</f>
        <v>380951</v>
      </c>
      <c r="S24" s="10">
        <f>J24*R24</f>
        <v>333044.73556559999</v>
      </c>
      <c r="T24" s="10">
        <v>0</v>
      </c>
      <c r="U24" s="10">
        <v>0</v>
      </c>
      <c r="V24" s="88">
        <f>'Giá Máy'!N11</f>
        <v>0</v>
      </c>
      <c r="W24" s="10">
        <f>J24*V24</f>
        <v>0</v>
      </c>
      <c r="X24" s="10">
        <f>'Giá Máy'!O11</f>
        <v>380951</v>
      </c>
      <c r="Y24" s="10">
        <f>J24*X24</f>
        <v>333044.73556559999</v>
      </c>
      <c r="Z24" s="10">
        <f>X24-K24</f>
        <v>0</v>
      </c>
      <c r="AA24" s="10">
        <f>J24*Z24</f>
        <v>0</v>
      </c>
    </row>
    <row r="25" spans="1:27" s="391" customFormat="1" hidden="1" x14ac:dyDescent="0.25">
      <c r="A25" s="529"/>
      <c r="B25" s="76"/>
      <c r="C25" s="411" t="str">
        <f>'Du toan chi tiet'!C11</f>
        <v>AB.66141</v>
      </c>
      <c r="D25" s="411"/>
      <c r="E25" s="155" t="str">
        <f>'Du toan chi tiet'!D11</f>
        <v>Đắp bột đá công trình dày 5cm</v>
      </c>
      <c r="F25" s="76" t="str">
        <f>'Du toan chi tiet'!E11</f>
        <v>m3</v>
      </c>
      <c r="G25" s="381">
        <f>'Du toan chi tiet'!M11</f>
        <v>39.97</v>
      </c>
      <c r="H25" s="381">
        <f>'Phan tich don gia'!G46</f>
        <v>1.9E-2</v>
      </c>
      <c r="I25" s="381">
        <f>'Du toan chi tiet'!X11</f>
        <v>1</v>
      </c>
      <c r="J25" s="381">
        <f t="shared" ref="J25:J27" si="4">PRODUCT(G25,H25,I25)</f>
        <v>0.75942999999999994</v>
      </c>
      <c r="K25" s="237"/>
      <c r="L25" s="237"/>
      <c r="M25" s="237"/>
      <c r="N25" s="237"/>
      <c r="O25" s="237"/>
      <c r="P25" s="237"/>
      <c r="Q25" s="237"/>
      <c r="R25" s="237"/>
      <c r="S25" s="237"/>
      <c r="T25" s="237"/>
      <c r="U25" s="237"/>
      <c r="V25" s="237"/>
      <c r="W25" s="237"/>
      <c r="X25" s="237"/>
      <c r="Y25" s="237"/>
      <c r="Z25" s="237"/>
      <c r="AA25" s="237"/>
    </row>
    <row r="26" spans="1:27" s="391" customFormat="1" ht="30" hidden="1" x14ac:dyDescent="0.25">
      <c r="A26" s="529"/>
      <c r="B26" s="76"/>
      <c r="C26" s="411" t="str">
        <f>'Du toan chi tiet'!C44</f>
        <v>AB.65130</v>
      </c>
      <c r="D26" s="411"/>
      <c r="E26" s="155" t="str">
        <f>'Du toan chi tiet'!D44</f>
        <v>Đắp đất bằng đầm đất cầm tay 70kg, độ chặt Y/C K = 0,95</v>
      </c>
      <c r="F26" s="76" t="str">
        <f>'Du toan chi tiet'!E44</f>
        <v>m3</v>
      </c>
      <c r="G26" s="381">
        <f>'Du toan chi tiet'!M44</f>
        <v>2.52</v>
      </c>
      <c r="H26" s="381">
        <f>'Phan tich don gia'!G286</f>
        <v>4.428E-2</v>
      </c>
      <c r="I26" s="381">
        <f>'Du toan chi tiet'!X44</f>
        <v>1</v>
      </c>
      <c r="J26" s="381">
        <f t="shared" si="4"/>
        <v>0.11158560000000001</v>
      </c>
      <c r="K26" s="237"/>
      <c r="L26" s="237"/>
      <c r="M26" s="237"/>
      <c r="N26" s="237"/>
      <c r="O26" s="237"/>
      <c r="P26" s="237"/>
      <c r="Q26" s="237"/>
      <c r="R26" s="237"/>
      <c r="S26" s="237"/>
      <c r="T26" s="237"/>
      <c r="U26" s="237"/>
      <c r="V26" s="237"/>
      <c r="W26" s="237"/>
      <c r="X26" s="237"/>
      <c r="Y26" s="237"/>
      <c r="Z26" s="237"/>
      <c r="AA26" s="237"/>
    </row>
    <row r="27" spans="1:27" s="391" customFormat="1" hidden="1" x14ac:dyDescent="0.25">
      <c r="A27" s="529"/>
      <c r="B27" s="76"/>
      <c r="C27" s="411" t="str">
        <f>'Du toan chi tiet'!C46</f>
        <v>AB.66141</v>
      </c>
      <c r="D27" s="411"/>
      <c r="E27" s="155" t="str">
        <f>'Du toan chi tiet'!D46</f>
        <v>Đắpbột đáy dày 5cm</v>
      </c>
      <c r="F27" s="76" t="str">
        <f>'Du toan chi tiet'!E46</f>
        <v>m3</v>
      </c>
      <c r="G27" s="381">
        <f>'Du toan chi tiet'!M46</f>
        <v>0.17</v>
      </c>
      <c r="H27" s="381">
        <f>'Phan tich don gia'!G305</f>
        <v>1.9E-2</v>
      </c>
      <c r="I27" s="381">
        <f>'Du toan chi tiet'!X46</f>
        <v>1</v>
      </c>
      <c r="J27" s="381">
        <f t="shared" si="4"/>
        <v>3.2300000000000002E-3</v>
      </c>
      <c r="K27" s="237"/>
      <c r="L27" s="237"/>
      <c r="M27" s="237"/>
      <c r="N27" s="237"/>
      <c r="O27" s="237"/>
      <c r="P27" s="237"/>
      <c r="Q27" s="237"/>
      <c r="R27" s="237"/>
      <c r="S27" s="237"/>
      <c r="T27" s="237"/>
      <c r="U27" s="237"/>
      <c r="V27" s="237"/>
      <c r="W27" s="237"/>
      <c r="X27" s="237"/>
      <c r="Y27" s="237"/>
      <c r="Z27" s="237"/>
      <c r="AA27" s="237"/>
    </row>
    <row r="28" spans="1:27" x14ac:dyDescent="0.25">
      <c r="A28" s="159" t="s">
        <v>262</v>
      </c>
      <c r="B28" s="649">
        <v>9</v>
      </c>
      <c r="C28" s="214" t="s">
        <v>194</v>
      </c>
      <c r="D28" s="214">
        <f>'Giá Máy'!D12</f>
        <v>0</v>
      </c>
      <c r="E28" s="720" t="str">
        <f>'Giá Máy'!E12</f>
        <v>Máy đầm dùi 1,5kW</v>
      </c>
      <c r="F28" s="649" t="s">
        <v>717</v>
      </c>
      <c r="G28" s="176"/>
      <c r="H28" s="176"/>
      <c r="I28" s="176"/>
      <c r="J28" s="176">
        <f>SUM(J29:J33)</f>
        <v>12.277849999999997</v>
      </c>
      <c r="K28" s="10">
        <f>'Giá Máy'!G12</f>
        <v>265153</v>
      </c>
      <c r="L28" s="10">
        <f>J28*K28</f>
        <v>3255508.7610499994</v>
      </c>
      <c r="M28" s="10">
        <f>'Giá Máy'!H12</f>
        <v>265153</v>
      </c>
      <c r="N28" s="10">
        <f>J28*M28</f>
        <v>3255508.7610499994</v>
      </c>
      <c r="O28" s="10">
        <f>M28-K28</f>
        <v>0</v>
      </c>
      <c r="P28" s="10">
        <f>J28*O28</f>
        <v>0</v>
      </c>
      <c r="Q28" s="10">
        <v>1</v>
      </c>
      <c r="R28" s="10">
        <f>M28*Q28</f>
        <v>265153</v>
      </c>
      <c r="S28" s="10">
        <f>J28*R28</f>
        <v>3255508.7610499994</v>
      </c>
      <c r="T28" s="10">
        <v>0</v>
      </c>
      <c r="U28" s="10">
        <v>0</v>
      </c>
      <c r="V28" s="88">
        <f>'Giá Máy'!N12</f>
        <v>0</v>
      </c>
      <c r="W28" s="10">
        <f>J28*V28</f>
        <v>0</v>
      </c>
      <c r="X28" s="10">
        <f>'Giá Máy'!O12</f>
        <v>265153</v>
      </c>
      <c r="Y28" s="10">
        <f>J28*X28</f>
        <v>3255508.7610499994</v>
      </c>
      <c r="Z28" s="10">
        <f>X28-K28</f>
        <v>0</v>
      </c>
      <c r="AA28" s="10">
        <f>J28*Z28</f>
        <v>0</v>
      </c>
    </row>
    <row r="29" spans="1:27" s="391" customFormat="1" ht="45" hidden="1" x14ac:dyDescent="0.25">
      <c r="A29" s="529"/>
      <c r="B29" s="76"/>
      <c r="C29" s="411" t="str">
        <f>'Du toan chi tiet'!C10</f>
        <v>AF.15433</v>
      </c>
      <c r="D29" s="411"/>
      <c r="E29" s="155" t="str">
        <f>'Du toan chi tiet'!D10</f>
        <v>Bê tông thương phẩm, bê tông mặt đường dày mặt đường ≤25cm, bê tông M300, đá 2x4</v>
      </c>
      <c r="F29" s="76" t="str">
        <f>'Du toan chi tiet'!E10</f>
        <v>m3</v>
      </c>
      <c r="G29" s="381">
        <f>'Du toan chi tiet'!M10</f>
        <v>133.84</v>
      </c>
      <c r="H29" s="381">
        <f>'Phan tich don gia'!G38</f>
        <v>8.8999999999999996E-2</v>
      </c>
      <c r="I29" s="381">
        <f>'Du toan chi tiet'!X10</f>
        <v>1</v>
      </c>
      <c r="J29" s="381">
        <f t="shared" ref="J29:J33" si="5">PRODUCT(G29,H29,I29)</f>
        <v>11.911759999999999</v>
      </c>
      <c r="K29" s="237"/>
      <c r="L29" s="237"/>
      <c r="M29" s="237"/>
      <c r="N29" s="237"/>
      <c r="O29" s="237"/>
      <c r="P29" s="237"/>
      <c r="Q29" s="237"/>
      <c r="R29" s="237"/>
      <c r="S29" s="237"/>
      <c r="T29" s="237"/>
      <c r="U29" s="237"/>
      <c r="V29" s="237"/>
      <c r="W29" s="237"/>
      <c r="X29" s="237"/>
      <c r="Y29" s="237"/>
      <c r="Z29" s="237"/>
      <c r="AA29" s="237"/>
    </row>
    <row r="30" spans="1:27" s="391" customFormat="1" ht="45" hidden="1" x14ac:dyDescent="0.25">
      <c r="A30" s="529"/>
      <c r="B30" s="76"/>
      <c r="C30" s="411" t="str">
        <f>'Du toan chi tiet'!C32</f>
        <v>AF.13413</v>
      </c>
      <c r="D30" s="411"/>
      <c r="E30" s="155" t="str">
        <f>'Du toan chi tiet'!D32</f>
        <v>Bê tông ống cống hình hộp SX bằng máy trộn, đổ bằng thủ công, bê tông M250, đá 1x2, PCB40</v>
      </c>
      <c r="F30" s="76" t="str">
        <f>'Du toan chi tiet'!E32</f>
        <v>m3</v>
      </c>
      <c r="G30" s="381">
        <f>'Du toan chi tiet'!M32</f>
        <v>2.63</v>
      </c>
      <c r="H30" s="381">
        <f>'Phan tich don gia'!G182</f>
        <v>8.8999999999999996E-2</v>
      </c>
      <c r="I30" s="381">
        <f>'Du toan chi tiet'!X32</f>
        <v>1</v>
      </c>
      <c r="J30" s="381">
        <f t="shared" si="5"/>
        <v>0.23406999999999997</v>
      </c>
      <c r="K30" s="237"/>
      <c r="L30" s="237"/>
      <c r="M30" s="237"/>
      <c r="N30" s="237"/>
      <c r="O30" s="237"/>
      <c r="P30" s="237"/>
      <c r="Q30" s="237"/>
      <c r="R30" s="237"/>
      <c r="S30" s="237"/>
      <c r="T30" s="237"/>
      <c r="U30" s="237"/>
      <c r="V30" s="237"/>
      <c r="W30" s="237"/>
      <c r="X30" s="237"/>
      <c r="Y30" s="237"/>
      <c r="Z30" s="237"/>
      <c r="AA30" s="237"/>
    </row>
    <row r="31" spans="1:27" s="391" customFormat="1" ht="45" hidden="1" x14ac:dyDescent="0.25">
      <c r="A31" s="529"/>
      <c r="B31" s="76"/>
      <c r="C31" s="411" t="str">
        <f>'Du toan chi tiet'!C36</f>
        <v>AF.11231</v>
      </c>
      <c r="D31" s="411"/>
      <c r="E31" s="155" t="str">
        <f>'Du toan chi tiet'!D36</f>
        <v>Bê tông móng tường cánh SX bằng máy trộn, đổ bằng thủ công, rộng ≤250cm, M150, đá 2x4, PCB40</v>
      </c>
      <c r="F31" s="76" t="str">
        <f>'Du toan chi tiet'!E36</f>
        <v>m3</v>
      </c>
      <c r="G31" s="381">
        <f>'Du toan chi tiet'!M36</f>
        <v>0.59</v>
      </c>
      <c r="H31" s="381">
        <f>'Phan tich don gia'!G223</f>
        <v>8.8999999999999996E-2</v>
      </c>
      <c r="I31" s="381">
        <f>'Du toan chi tiet'!X36</f>
        <v>1</v>
      </c>
      <c r="J31" s="381">
        <f t="shared" si="5"/>
        <v>5.2509999999999994E-2</v>
      </c>
      <c r="K31" s="237"/>
      <c r="L31" s="237"/>
      <c r="M31" s="237"/>
      <c r="N31" s="237"/>
      <c r="O31" s="237"/>
      <c r="P31" s="237"/>
      <c r="Q31" s="237"/>
      <c r="R31" s="237"/>
      <c r="S31" s="237"/>
      <c r="T31" s="237"/>
      <c r="U31" s="237"/>
      <c r="V31" s="237"/>
      <c r="W31" s="237"/>
      <c r="X31" s="237"/>
      <c r="Y31" s="237"/>
      <c r="Z31" s="237"/>
      <c r="AA31" s="237"/>
    </row>
    <row r="32" spans="1:27" s="391" customFormat="1" ht="45" hidden="1" x14ac:dyDescent="0.25">
      <c r="A32" s="529"/>
      <c r="B32" s="76"/>
      <c r="C32" s="411" t="str">
        <f>'Du toan chi tiet'!C38</f>
        <v>AF.12151</v>
      </c>
      <c r="D32" s="411"/>
      <c r="E32" s="155" t="str">
        <f>'Du toan chi tiet'!D38</f>
        <v>Bê tông tường cánh SX bằng máy trộn, đổ bằng thủ công - Chiều dày ≤45cm, chiều cao ≤6m, M150, đá 2x4, PCB40</v>
      </c>
      <c r="F32" s="76" t="str">
        <f>'Du toan chi tiet'!E38</f>
        <v>m3</v>
      </c>
      <c r="G32" s="381">
        <f>'Du toan chi tiet'!M38</f>
        <v>0.15</v>
      </c>
      <c r="H32" s="381">
        <f>'Phan tich don gia'!G246</f>
        <v>0.18</v>
      </c>
      <c r="I32" s="381">
        <f>'Du toan chi tiet'!X38</f>
        <v>1</v>
      </c>
      <c r="J32" s="381">
        <f t="shared" si="5"/>
        <v>2.7E-2</v>
      </c>
      <c r="K32" s="237"/>
      <c r="L32" s="237"/>
      <c r="M32" s="237"/>
      <c r="N32" s="237"/>
      <c r="O32" s="237"/>
      <c r="P32" s="237"/>
      <c r="Q32" s="237"/>
      <c r="R32" s="237"/>
      <c r="S32" s="237"/>
      <c r="T32" s="237"/>
      <c r="U32" s="237"/>
      <c r="V32" s="237"/>
      <c r="W32" s="237"/>
      <c r="X32" s="237"/>
      <c r="Y32" s="237"/>
      <c r="Z32" s="237"/>
      <c r="AA32" s="237"/>
    </row>
    <row r="33" spans="1:27" s="391" customFormat="1" ht="45" hidden="1" x14ac:dyDescent="0.25">
      <c r="A33" s="529"/>
      <c r="B33" s="76"/>
      <c r="C33" s="411" t="str">
        <f>'Du toan chi tiet'!C45</f>
        <v>AF.15433</v>
      </c>
      <c r="D33" s="411"/>
      <c r="E33" s="155" t="str">
        <f>'Du toan chi tiet'!D45</f>
        <v>Bê tông thương phẩm, bê tông hoàn trả mặt đường dày mặt đường ≤25cm, bê tông M250, đá 2x4, PCB40</v>
      </c>
      <c r="F33" s="76" t="str">
        <f>'Du toan chi tiet'!E45</f>
        <v>m3</v>
      </c>
      <c r="G33" s="381">
        <f>'Du toan chi tiet'!M45</f>
        <v>0.59</v>
      </c>
      <c r="H33" s="381">
        <f>'Phan tich don gia'!G297</f>
        <v>8.8999999999999996E-2</v>
      </c>
      <c r="I33" s="381">
        <f>'Du toan chi tiet'!X45</f>
        <v>1</v>
      </c>
      <c r="J33" s="381">
        <f t="shared" si="5"/>
        <v>5.2509999999999994E-2</v>
      </c>
      <c r="K33" s="237"/>
      <c r="L33" s="237"/>
      <c r="M33" s="237"/>
      <c r="N33" s="237"/>
      <c r="O33" s="237"/>
      <c r="P33" s="237"/>
      <c r="Q33" s="237"/>
      <c r="R33" s="237"/>
      <c r="S33" s="237"/>
      <c r="T33" s="237"/>
      <c r="U33" s="237"/>
      <c r="V33" s="237"/>
      <c r="W33" s="237"/>
      <c r="X33" s="237"/>
      <c r="Y33" s="237"/>
      <c r="Z33" s="237"/>
      <c r="AA33" s="237"/>
    </row>
    <row r="34" spans="1:27" x14ac:dyDescent="0.25">
      <c r="A34" s="159" t="s">
        <v>262</v>
      </c>
      <c r="B34" s="649">
        <v>10</v>
      </c>
      <c r="C34" s="214" t="s">
        <v>1126</v>
      </c>
      <c r="D34" s="214">
        <f>'Giá Máy'!D13</f>
        <v>0</v>
      </c>
      <c r="E34" s="720" t="str">
        <f>'Giá Máy'!E13</f>
        <v>Máy đào 0,4m3</v>
      </c>
      <c r="F34" s="649" t="s">
        <v>717</v>
      </c>
      <c r="G34" s="176"/>
      <c r="H34" s="176"/>
      <c r="I34" s="176"/>
      <c r="J34" s="176">
        <f>SUM(J35:J35)</f>
        <v>0.10225800000000002</v>
      </c>
      <c r="K34" s="10">
        <f>'Giá Máy'!G13</f>
        <v>1941339.8</v>
      </c>
      <c r="L34" s="10">
        <f>J34*K34</f>
        <v>198517.52526840003</v>
      </c>
      <c r="M34" s="10">
        <f>'Giá Máy'!H13</f>
        <v>1941339.8</v>
      </c>
      <c r="N34" s="10">
        <f>J34*M34</f>
        <v>198517.52526840003</v>
      </c>
      <c r="O34" s="10">
        <f>M34-K34</f>
        <v>0</v>
      </c>
      <c r="P34" s="10">
        <f>J34*O34</f>
        <v>0</v>
      </c>
      <c r="Q34" s="10">
        <v>1</v>
      </c>
      <c r="R34" s="10">
        <f>M34*Q34</f>
        <v>1941339.8</v>
      </c>
      <c r="S34" s="10">
        <f>J34*R34</f>
        <v>198517.52526840003</v>
      </c>
      <c r="T34" s="10">
        <v>0</v>
      </c>
      <c r="U34" s="10">
        <v>0</v>
      </c>
      <c r="V34" s="88">
        <f>'Giá Máy'!N13</f>
        <v>0</v>
      </c>
      <c r="W34" s="10">
        <f>J34*V34</f>
        <v>0</v>
      </c>
      <c r="X34" s="10">
        <f>'Giá Máy'!O13</f>
        <v>1941339.8</v>
      </c>
      <c r="Y34" s="10">
        <f>J34*X34</f>
        <v>198517.52526840003</v>
      </c>
      <c r="Z34" s="10">
        <f>X34-K34</f>
        <v>0</v>
      </c>
      <c r="AA34" s="10">
        <f>J34*Z34</f>
        <v>0</v>
      </c>
    </row>
    <row r="35" spans="1:27" s="391" customFormat="1" ht="30" hidden="1" x14ac:dyDescent="0.25">
      <c r="A35" s="529"/>
      <c r="B35" s="76"/>
      <c r="C35" s="411" t="str">
        <f>'Du toan chi tiet'!C43</f>
        <v>AB.25103</v>
      </c>
      <c r="D35" s="411"/>
      <c r="E35" s="155" t="str">
        <f>'Du toan chi tiet'!D43</f>
        <v>Đào móng bằng máy đào 0,4m3, chiều rộng móng ≤6m - Cấp đất III</v>
      </c>
      <c r="F35" s="76" t="str">
        <f>'Du toan chi tiet'!E43</f>
        <v>m3</v>
      </c>
      <c r="G35" s="381">
        <f>'Du toan chi tiet'!M43</f>
        <v>11.4</v>
      </c>
      <c r="H35" s="381">
        <f>'Phan tich don gia'!G281</f>
        <v>8.9700000000000005E-3</v>
      </c>
      <c r="I35" s="381">
        <f>'Du toan chi tiet'!X43</f>
        <v>1</v>
      </c>
      <c r="J35" s="381">
        <f>PRODUCT(G35,H35,I35)</f>
        <v>0.10225800000000002</v>
      </c>
      <c r="K35" s="237"/>
      <c r="L35" s="237"/>
      <c r="M35" s="237"/>
      <c r="N35" s="237"/>
      <c r="O35" s="237"/>
      <c r="P35" s="237"/>
      <c r="Q35" s="237"/>
      <c r="R35" s="237"/>
      <c r="S35" s="237"/>
      <c r="T35" s="237"/>
      <c r="U35" s="237"/>
      <c r="V35" s="237"/>
      <c r="W35" s="237"/>
      <c r="X35" s="237"/>
      <c r="Y35" s="237"/>
      <c r="Z35" s="237"/>
      <c r="AA35" s="237"/>
    </row>
    <row r="36" spans="1:27" x14ac:dyDescent="0.25">
      <c r="A36" s="159" t="s">
        <v>262</v>
      </c>
      <c r="B36" s="649">
        <v>11</v>
      </c>
      <c r="C36" s="214" t="s">
        <v>759</v>
      </c>
      <c r="D36" s="214">
        <f>'Giá Máy'!D14</f>
        <v>0</v>
      </c>
      <c r="E36" s="720" t="str">
        <f>'Giá Máy'!E14</f>
        <v>Máy đào 1,25m3</v>
      </c>
      <c r="F36" s="649" t="s">
        <v>717</v>
      </c>
      <c r="G36" s="176"/>
      <c r="H36" s="176"/>
      <c r="I36" s="176"/>
      <c r="J36" s="176">
        <f>SUM(J37:J40)</f>
        <v>0.48124300000000003</v>
      </c>
      <c r="K36" s="10">
        <f>'Giá Máy'!G14</f>
        <v>3756595.3</v>
      </c>
      <c r="L36" s="10">
        <f>J36*K36</f>
        <v>1807835.1919579001</v>
      </c>
      <c r="M36" s="10">
        <f>'Giá Máy'!H14</f>
        <v>3756595.3</v>
      </c>
      <c r="N36" s="10">
        <f>J36*M36</f>
        <v>1807835.1919579001</v>
      </c>
      <c r="O36" s="10">
        <f>M36-K36</f>
        <v>0</v>
      </c>
      <c r="P36" s="10">
        <f>J36*O36</f>
        <v>0</v>
      </c>
      <c r="Q36" s="10">
        <v>1</v>
      </c>
      <c r="R36" s="10">
        <f>M36*Q36</f>
        <v>3756595.3</v>
      </c>
      <c r="S36" s="10">
        <f>J36*R36</f>
        <v>1807835.1919579001</v>
      </c>
      <c r="T36" s="10">
        <v>0</v>
      </c>
      <c r="U36" s="10">
        <v>0</v>
      </c>
      <c r="V36" s="88">
        <f>'Giá Máy'!N14</f>
        <v>0</v>
      </c>
      <c r="W36" s="10">
        <f>J36*V36</f>
        <v>0</v>
      </c>
      <c r="X36" s="10">
        <f>'Giá Máy'!O14</f>
        <v>3756595.3</v>
      </c>
      <c r="Y36" s="10">
        <f>J36*X36</f>
        <v>1807835.1919579001</v>
      </c>
      <c r="Z36" s="10">
        <f>X36-K36</f>
        <v>0</v>
      </c>
      <c r="AA36" s="10">
        <f>J36*Z36</f>
        <v>0</v>
      </c>
    </row>
    <row r="37" spans="1:27" s="391" customFormat="1" hidden="1" x14ac:dyDescent="0.25">
      <c r="A37" s="529"/>
      <c r="B37" s="76"/>
      <c r="C37" s="411" t="str">
        <f>'Du toan chi tiet'!C17</f>
        <v>AB.31134</v>
      </c>
      <c r="D37" s="411"/>
      <c r="E37" s="155" t="str">
        <f>'Du toan chi tiet'!D17</f>
        <v>Đào kết cấu mặt đường hiện có</v>
      </c>
      <c r="F37" s="76" t="str">
        <f>'Du toan chi tiet'!E17</f>
        <v>m3</v>
      </c>
      <c r="G37" s="381">
        <f>'Du toan chi tiet'!M17</f>
        <v>5.92</v>
      </c>
      <c r="H37" s="381">
        <f>'Phan tich don gia'!G91</f>
        <v>4.2399999999999998E-3</v>
      </c>
      <c r="I37" s="381">
        <f>'Du toan chi tiet'!X17</f>
        <v>1</v>
      </c>
      <c r="J37" s="381">
        <f t="shared" ref="J37:J40" si="6">PRODUCT(G37,H37,I37)</f>
        <v>2.51008E-2</v>
      </c>
      <c r="K37" s="237"/>
      <c r="L37" s="237"/>
      <c r="M37" s="237"/>
      <c r="N37" s="237"/>
      <c r="O37" s="237"/>
      <c r="P37" s="237"/>
      <c r="Q37" s="237"/>
      <c r="R37" s="237"/>
      <c r="S37" s="237"/>
      <c r="T37" s="237"/>
      <c r="U37" s="237"/>
      <c r="V37" s="237"/>
      <c r="W37" s="237"/>
      <c r="X37" s="237"/>
      <c r="Y37" s="237"/>
      <c r="Z37" s="237"/>
      <c r="AA37" s="237"/>
    </row>
    <row r="38" spans="1:27" s="391" customFormat="1" ht="30" hidden="1" x14ac:dyDescent="0.25">
      <c r="A38" s="529"/>
      <c r="B38" s="76"/>
      <c r="C38" s="411" t="str">
        <f>'Du toan chi tiet'!C18</f>
        <v>AB.21132</v>
      </c>
      <c r="D38" s="411"/>
      <c r="E38" s="155" t="str">
        <f>'Du toan chi tiet'!D18</f>
        <v>Đào đất hữu cơ bằng máy đào 1,25m3 - Cấp đất II</v>
      </c>
      <c r="F38" s="76" t="str">
        <f>'Du toan chi tiet'!E18</f>
        <v>m3</v>
      </c>
      <c r="G38" s="381">
        <f>'Du toan chi tiet'!M18</f>
        <v>185.83</v>
      </c>
      <c r="H38" s="381">
        <f>'Phan tich don gia'!G97</f>
        <v>2.1800000000000001E-3</v>
      </c>
      <c r="I38" s="381">
        <f>'Du toan chi tiet'!X18</f>
        <v>1</v>
      </c>
      <c r="J38" s="381">
        <f t="shared" si="6"/>
        <v>0.40510940000000006</v>
      </c>
      <c r="K38" s="237"/>
      <c r="L38" s="237"/>
      <c r="M38" s="237"/>
      <c r="N38" s="237"/>
      <c r="O38" s="237"/>
      <c r="P38" s="237"/>
      <c r="Q38" s="237"/>
      <c r="R38" s="237"/>
      <c r="S38" s="237"/>
      <c r="T38" s="237"/>
      <c r="U38" s="237"/>
      <c r="V38" s="237"/>
      <c r="W38" s="237"/>
      <c r="X38" s="237"/>
      <c r="Y38" s="237"/>
      <c r="Z38" s="237"/>
      <c r="AA38" s="237"/>
    </row>
    <row r="39" spans="1:27" s="391" customFormat="1" ht="30" hidden="1" x14ac:dyDescent="0.25">
      <c r="A39" s="529"/>
      <c r="B39" s="76"/>
      <c r="C39" s="411" t="str">
        <f>'Du toan chi tiet'!C19</f>
        <v>AB.31132</v>
      </c>
      <c r="D39" s="411"/>
      <c r="E39" s="155" t="str">
        <f>'Du toan chi tiet'!D19</f>
        <v>Đào đánh cấp bằng máy đào 1,25m3 - Cấp đất II</v>
      </c>
      <c r="F39" s="76" t="str">
        <f>'Du toan chi tiet'!E19</f>
        <v>m3</v>
      </c>
      <c r="G39" s="381">
        <f>'Du toan chi tiet'!M19</f>
        <v>18.11</v>
      </c>
      <c r="H39" s="381">
        <f>'Phan tich don gia'!G103</f>
        <v>2.64E-3</v>
      </c>
      <c r="I39" s="381">
        <f>'Du toan chi tiet'!X19</f>
        <v>1</v>
      </c>
      <c r="J39" s="381">
        <f t="shared" si="6"/>
        <v>4.7810399999999996E-2</v>
      </c>
      <c r="K39" s="237"/>
      <c r="L39" s="237"/>
      <c r="M39" s="237"/>
      <c r="N39" s="237"/>
      <c r="O39" s="237"/>
      <c r="P39" s="237"/>
      <c r="Q39" s="237"/>
      <c r="R39" s="237"/>
      <c r="S39" s="237"/>
      <c r="T39" s="237"/>
      <c r="U39" s="237"/>
      <c r="V39" s="237"/>
      <c r="W39" s="237"/>
      <c r="X39" s="237"/>
      <c r="Y39" s="237"/>
      <c r="Z39" s="237"/>
      <c r="AA39" s="237"/>
    </row>
    <row r="40" spans="1:27" s="391" customFormat="1" hidden="1" x14ac:dyDescent="0.25">
      <c r="A40" s="529"/>
      <c r="B40" s="76"/>
      <c r="C40" s="411" t="str">
        <f>'Du toan chi tiet'!C42</f>
        <v>AB.31134</v>
      </c>
      <c r="D40" s="411"/>
      <c r="E40" s="155" t="str">
        <f>'Du toan chi tiet'!D42</f>
        <v xml:space="preserve">Đào kết cấu mặt đường hiện có </v>
      </c>
      <c r="F40" s="76" t="str">
        <f>'Du toan chi tiet'!E42</f>
        <v>m3</v>
      </c>
      <c r="G40" s="381">
        <f>'Du toan chi tiet'!M42</f>
        <v>0.76</v>
      </c>
      <c r="H40" s="381">
        <f>'Phan tich don gia'!G275</f>
        <v>4.2399999999999998E-3</v>
      </c>
      <c r="I40" s="381">
        <f>'Du toan chi tiet'!X42</f>
        <v>1</v>
      </c>
      <c r="J40" s="381">
        <f t="shared" si="6"/>
        <v>3.2223999999999998E-3</v>
      </c>
      <c r="K40" s="237"/>
      <c r="L40" s="237"/>
      <c r="M40" s="237"/>
      <c r="N40" s="237"/>
      <c r="O40" s="237"/>
      <c r="P40" s="237"/>
      <c r="Q40" s="237"/>
      <c r="R40" s="237"/>
      <c r="S40" s="237"/>
      <c r="T40" s="237"/>
      <c r="U40" s="237"/>
      <c r="V40" s="237"/>
      <c r="W40" s="237"/>
      <c r="X40" s="237"/>
      <c r="Y40" s="237"/>
      <c r="Z40" s="237"/>
      <c r="AA40" s="237"/>
    </row>
    <row r="41" spans="1:27" x14ac:dyDescent="0.25">
      <c r="A41" s="159" t="s">
        <v>262</v>
      </c>
      <c r="B41" s="649">
        <v>12</v>
      </c>
      <c r="C41" s="214" t="s">
        <v>82</v>
      </c>
      <c r="D41" s="214">
        <f>'Giá Máy'!D15</f>
        <v>0</v>
      </c>
      <c r="E41" s="720" t="str">
        <f>'Giá Máy'!E15</f>
        <v>Máy hàn điện 23kW</v>
      </c>
      <c r="F41" s="649" t="s">
        <v>717</v>
      </c>
      <c r="G41" s="176"/>
      <c r="H41" s="176"/>
      <c r="I41" s="176"/>
      <c r="J41" s="176">
        <f>SUM(J42:J47)</f>
        <v>0.94754799999999995</v>
      </c>
      <c r="K41" s="10">
        <f>'Giá Máy'!G15</f>
        <v>477927</v>
      </c>
      <c r="L41" s="10">
        <f>J41*K41</f>
        <v>452858.77299599996</v>
      </c>
      <c r="M41" s="10">
        <f>'Giá Máy'!H15</f>
        <v>477927</v>
      </c>
      <c r="N41" s="10">
        <f>J41*M41</f>
        <v>452858.77299599996</v>
      </c>
      <c r="O41" s="10">
        <f>M41-K41</f>
        <v>0</v>
      </c>
      <c r="P41" s="10">
        <f>J41*O41</f>
        <v>0</v>
      </c>
      <c r="Q41" s="10">
        <v>1</v>
      </c>
      <c r="R41" s="10">
        <f>M41*Q41</f>
        <v>477927</v>
      </c>
      <c r="S41" s="10">
        <f>J41*R41</f>
        <v>452858.77299599996</v>
      </c>
      <c r="T41" s="10">
        <v>0</v>
      </c>
      <c r="U41" s="10">
        <v>0</v>
      </c>
      <c r="V41" s="88">
        <f>'Giá Máy'!N15</f>
        <v>0</v>
      </c>
      <c r="W41" s="10">
        <f>J41*V41</f>
        <v>0</v>
      </c>
      <c r="X41" s="10">
        <f>'Giá Máy'!O15</f>
        <v>477927</v>
      </c>
      <c r="Y41" s="10">
        <f>J41*X41</f>
        <v>452858.77299599996</v>
      </c>
      <c r="Z41" s="10">
        <f>X41-K41</f>
        <v>0</v>
      </c>
      <c r="AA41" s="10">
        <f>J41*Z41</f>
        <v>0</v>
      </c>
    </row>
    <row r="42" spans="1:27" s="391" customFormat="1" hidden="1" x14ac:dyDescent="0.25">
      <c r="A42" s="529"/>
      <c r="B42" s="76"/>
      <c r="C42" s="411" t="str">
        <f>'Du toan chi tiet'!C13</f>
        <v>AF.82411</v>
      </c>
      <c r="D42" s="411"/>
      <c r="E42" s="155" t="str">
        <f>'Du toan chi tiet'!D13</f>
        <v>Ván khuôn thép mặt đường bê tông</v>
      </c>
      <c r="F42" s="76" t="str">
        <f>'Du toan chi tiet'!E13</f>
        <v>m2</v>
      </c>
      <c r="G42" s="381">
        <f>'Du toan chi tiet'!M13</f>
        <v>105.49</v>
      </c>
      <c r="H42" s="381">
        <f>'Phan tich don gia'!G62</f>
        <v>4.1999999999999997E-3</v>
      </c>
      <c r="I42" s="381">
        <f>'Du toan chi tiet'!X13</f>
        <v>1</v>
      </c>
      <c r="J42" s="381">
        <f t="shared" ref="J42:J47" si="7">PRODUCT(G42,H42,I42)</f>
        <v>0.44305799999999995</v>
      </c>
      <c r="K42" s="237"/>
      <c r="L42" s="237"/>
      <c r="M42" s="237"/>
      <c r="N42" s="237"/>
      <c r="O42" s="237"/>
      <c r="P42" s="237"/>
      <c r="Q42" s="237"/>
      <c r="R42" s="237"/>
      <c r="S42" s="237"/>
      <c r="T42" s="237"/>
      <c r="U42" s="237"/>
      <c r="V42" s="237"/>
      <c r="W42" s="237"/>
      <c r="X42" s="237"/>
      <c r="Y42" s="237"/>
      <c r="Z42" s="237"/>
      <c r="AA42" s="237"/>
    </row>
    <row r="43" spans="1:27" s="391" customFormat="1" hidden="1" x14ac:dyDescent="0.25">
      <c r="A43" s="529"/>
      <c r="B43" s="76"/>
      <c r="C43" s="411" t="str">
        <f>'Du toan chi tiet'!C34</f>
        <v>AF.63320</v>
      </c>
      <c r="D43" s="411"/>
      <c r="E43" s="155" t="str">
        <f>'Du toan chi tiet'!D34</f>
        <v>Lắp dựng cốt thép cống, ĐK ≤18mm</v>
      </c>
      <c r="F43" s="76" t="str">
        <f>'Du toan chi tiet'!E34</f>
        <v>tấn</v>
      </c>
      <c r="G43" s="381">
        <f>'Du toan chi tiet'!M34</f>
        <v>6.3E-2</v>
      </c>
      <c r="H43" s="381">
        <f>'Phan tich don gia'!G199</f>
        <v>2.29</v>
      </c>
      <c r="I43" s="381">
        <f>'Du toan chi tiet'!X34</f>
        <v>1</v>
      </c>
      <c r="J43" s="381">
        <f t="shared" si="7"/>
        <v>0.14427000000000001</v>
      </c>
      <c r="K43" s="237"/>
      <c r="L43" s="237"/>
      <c r="M43" s="237"/>
      <c r="N43" s="237"/>
      <c r="O43" s="237"/>
      <c r="P43" s="237"/>
      <c r="Q43" s="237"/>
      <c r="R43" s="237"/>
      <c r="S43" s="237"/>
      <c r="T43" s="237"/>
      <c r="U43" s="237"/>
      <c r="V43" s="237"/>
      <c r="W43" s="237"/>
      <c r="X43" s="237"/>
      <c r="Y43" s="237"/>
      <c r="Z43" s="237"/>
      <c r="AA43" s="237"/>
    </row>
    <row r="44" spans="1:27" s="391" customFormat="1" ht="30" hidden="1" x14ac:dyDescent="0.25">
      <c r="A44" s="529"/>
      <c r="B44" s="76"/>
      <c r="C44" s="411" t="str">
        <f>'Du toan chi tiet'!C35</f>
        <v>AF.86211</v>
      </c>
      <c r="D44" s="411"/>
      <c r="E44" s="155" t="str">
        <f>'Du toan chi tiet'!D35</f>
        <v>Ván khuôn thép, khung xương, cột chống giáo ống, tường, chiều cao ≤28m</v>
      </c>
      <c r="F44" s="76" t="str">
        <f>'Du toan chi tiet'!E35</f>
        <v>m2</v>
      </c>
      <c r="G44" s="381">
        <f>'Du toan chi tiet'!M35</f>
        <v>21.33</v>
      </c>
      <c r="H44" s="381">
        <f>'Phan tich don gia'!G210</f>
        <v>1.4999999999999999E-2</v>
      </c>
      <c r="I44" s="381">
        <f>'Du toan chi tiet'!X35</f>
        <v>1</v>
      </c>
      <c r="J44" s="381">
        <f t="shared" si="7"/>
        <v>0.31994999999999996</v>
      </c>
      <c r="K44" s="237"/>
      <c r="L44" s="237"/>
      <c r="M44" s="237"/>
      <c r="N44" s="237"/>
      <c r="O44" s="237"/>
      <c r="P44" s="237"/>
      <c r="Q44" s="237"/>
      <c r="R44" s="237"/>
      <c r="S44" s="237"/>
      <c r="T44" s="237"/>
      <c r="U44" s="237"/>
      <c r="V44" s="237"/>
      <c r="W44" s="237"/>
      <c r="X44" s="237"/>
      <c r="Y44" s="237"/>
      <c r="Z44" s="237"/>
      <c r="AA44" s="237"/>
    </row>
    <row r="45" spans="1:27" s="391" customFormat="1" hidden="1" x14ac:dyDescent="0.25">
      <c r="A45" s="529"/>
      <c r="B45" s="76"/>
      <c r="C45" s="411" t="str">
        <f>'Du toan chi tiet'!C37</f>
        <v>AF.82511</v>
      </c>
      <c r="D45" s="411"/>
      <c r="E45" s="155" t="str">
        <f>'Du toan chi tiet'!D37</f>
        <v>Ván khuôn móng dài</v>
      </c>
      <c r="F45" s="76" t="str">
        <f>'Du toan chi tiet'!E37</f>
        <v>m2</v>
      </c>
      <c r="G45" s="381">
        <f>'Du toan chi tiet'!M37</f>
        <v>1.78</v>
      </c>
      <c r="H45" s="381">
        <f>'Phan tich don gia'!G233</f>
        <v>8.2000000000000007E-3</v>
      </c>
      <c r="I45" s="381">
        <f>'Du toan chi tiet'!X37</f>
        <v>1</v>
      </c>
      <c r="J45" s="381">
        <f t="shared" si="7"/>
        <v>1.4596000000000001E-2</v>
      </c>
      <c r="K45" s="237"/>
      <c r="L45" s="237"/>
      <c r="M45" s="237"/>
      <c r="N45" s="237"/>
      <c r="O45" s="237"/>
      <c r="P45" s="237"/>
      <c r="Q45" s="237"/>
      <c r="R45" s="237"/>
      <c r="S45" s="237"/>
      <c r="T45" s="237"/>
      <c r="U45" s="237"/>
      <c r="V45" s="237"/>
      <c r="W45" s="237"/>
      <c r="X45" s="237"/>
      <c r="Y45" s="237"/>
      <c r="Z45" s="237"/>
      <c r="AA45" s="237"/>
    </row>
    <row r="46" spans="1:27" s="391" customFormat="1" ht="30" hidden="1" x14ac:dyDescent="0.25">
      <c r="A46" s="529"/>
      <c r="B46" s="76"/>
      <c r="C46" s="411" t="str">
        <f>'Du toan chi tiet'!C39</f>
        <v>AF.86211</v>
      </c>
      <c r="D46" s="411"/>
      <c r="E46" s="155" t="str">
        <f>'Du toan chi tiet'!D39</f>
        <v>Ván khuôn thép, khung xương, cột chống giáo ống, tường cánh chiều cao ≤28m</v>
      </c>
      <c r="F46" s="76" t="str">
        <f>'Du toan chi tiet'!E39</f>
        <v>m2</v>
      </c>
      <c r="G46" s="381">
        <f>'Du toan chi tiet'!M39</f>
        <v>0.81</v>
      </c>
      <c r="H46" s="381">
        <f>'Phan tich don gia'!G256</f>
        <v>1.4999999999999999E-2</v>
      </c>
      <c r="I46" s="381">
        <f>'Du toan chi tiet'!X39</f>
        <v>1</v>
      </c>
      <c r="J46" s="381">
        <f t="shared" si="7"/>
        <v>1.2150000000000001E-2</v>
      </c>
      <c r="K46" s="237"/>
      <c r="L46" s="237"/>
      <c r="M46" s="237"/>
      <c r="N46" s="237"/>
      <c r="O46" s="237"/>
      <c r="P46" s="237"/>
      <c r="Q46" s="237"/>
      <c r="R46" s="237"/>
      <c r="S46" s="237"/>
      <c r="T46" s="237"/>
      <c r="U46" s="237"/>
      <c r="V46" s="237"/>
      <c r="W46" s="237"/>
      <c r="X46" s="237"/>
      <c r="Y46" s="237"/>
      <c r="Z46" s="237"/>
      <c r="AA46" s="237"/>
    </row>
    <row r="47" spans="1:27" s="391" customFormat="1" hidden="1" x14ac:dyDescent="0.25">
      <c r="A47" s="529"/>
      <c r="B47" s="76"/>
      <c r="C47" s="411" t="str">
        <f>'Du toan chi tiet'!C48</f>
        <v>AF.82411</v>
      </c>
      <c r="D47" s="411"/>
      <c r="E47" s="155" t="str">
        <f>'Du toan chi tiet'!D48</f>
        <v>Ván khuôn thép mặt đường bê tông</v>
      </c>
      <c r="F47" s="76" t="str">
        <f>'Du toan chi tiet'!E48</f>
        <v>m2</v>
      </c>
      <c r="G47" s="381">
        <f>'Du toan chi tiet'!M48</f>
        <v>3.22</v>
      </c>
      <c r="H47" s="381">
        <f>'Phan tich don gia'!G321</f>
        <v>4.1999999999999997E-3</v>
      </c>
      <c r="I47" s="381">
        <f>'Du toan chi tiet'!X48</f>
        <v>1</v>
      </c>
      <c r="J47" s="381">
        <f t="shared" si="7"/>
        <v>1.3524E-2</v>
      </c>
      <c r="K47" s="237"/>
      <c r="L47" s="237"/>
      <c r="M47" s="237"/>
      <c r="N47" s="237"/>
      <c r="O47" s="237"/>
      <c r="P47" s="237"/>
      <c r="Q47" s="237"/>
      <c r="R47" s="237"/>
      <c r="S47" s="237"/>
      <c r="T47" s="237"/>
      <c r="U47" s="237"/>
      <c r="V47" s="237"/>
      <c r="W47" s="237"/>
      <c r="X47" s="237"/>
      <c r="Y47" s="237"/>
      <c r="Z47" s="237"/>
      <c r="AA47" s="237"/>
    </row>
    <row r="48" spans="1:27" x14ac:dyDescent="0.25">
      <c r="A48" s="159" t="s">
        <v>262</v>
      </c>
      <c r="B48" s="649">
        <v>13</v>
      </c>
      <c r="C48" s="214" t="s">
        <v>5</v>
      </c>
      <c r="D48" s="214">
        <f>'Giá Máy'!D16</f>
        <v>0</v>
      </c>
      <c r="E48" s="720" t="str">
        <f>'Giá Máy'!E16</f>
        <v>Máy khoan bê tông 1,5kW</v>
      </c>
      <c r="F48" s="649" t="s">
        <v>717</v>
      </c>
      <c r="G48" s="176"/>
      <c r="H48" s="176"/>
      <c r="I48" s="176"/>
      <c r="J48" s="176">
        <f>SUM(J49:J49)</f>
        <v>0.14399999999999999</v>
      </c>
      <c r="K48" s="10">
        <f>'Giá Máy'!G16</f>
        <v>34285</v>
      </c>
      <c r="L48" s="10">
        <f>J48*K48</f>
        <v>4937.04</v>
      </c>
      <c r="M48" s="10">
        <f>'Giá Máy'!H16</f>
        <v>34285</v>
      </c>
      <c r="N48" s="10">
        <f>J48*M48</f>
        <v>4937.04</v>
      </c>
      <c r="O48" s="10">
        <f>M48-K48</f>
        <v>0</v>
      </c>
      <c r="P48" s="10">
        <f>J48*O48</f>
        <v>0</v>
      </c>
      <c r="Q48" s="10">
        <v>1</v>
      </c>
      <c r="R48" s="10">
        <f>M48*Q48</f>
        <v>34285</v>
      </c>
      <c r="S48" s="10">
        <f>J48*R48</f>
        <v>4937.04</v>
      </c>
      <c r="T48" s="10">
        <v>0</v>
      </c>
      <c r="U48" s="10">
        <v>0</v>
      </c>
      <c r="V48" s="88">
        <f>'Giá Máy'!N16</f>
        <v>0</v>
      </c>
      <c r="W48" s="10">
        <f>J48*V48</f>
        <v>0</v>
      </c>
      <c r="X48" s="10">
        <f>'Giá Máy'!O16</f>
        <v>34285</v>
      </c>
      <c r="Y48" s="10">
        <f>J48*X48</f>
        <v>4937.04</v>
      </c>
      <c r="Z48" s="10">
        <f>X48-K48</f>
        <v>0</v>
      </c>
      <c r="AA48" s="10">
        <f>J48*Z48</f>
        <v>0</v>
      </c>
    </row>
    <row r="49" spans="1:27" s="391" customFormat="1" ht="30" hidden="1" x14ac:dyDescent="0.25">
      <c r="A49" s="529"/>
      <c r="B49" s="76"/>
      <c r="C49" s="411" t="str">
        <f>'Du toan chi tiet'!C25</f>
        <v>AA.22212</v>
      </c>
      <c r="D49" s="411"/>
      <c r="E49" s="155" t="str">
        <f>'Du toan chi tiet'!D25</f>
        <v>Phá dỡ kết cấu bê tông không cốt thép bằng máy khoan bê tông 1,5kw cột biển báo</v>
      </c>
      <c r="F49" s="76" t="str">
        <f>'Du toan chi tiet'!E25</f>
        <v>m3</v>
      </c>
      <c r="G49" s="381">
        <f>'Du toan chi tiet'!M25</f>
        <v>0.2</v>
      </c>
      <c r="H49" s="381">
        <f>'Phan tich don gia'!G143</f>
        <v>0.72</v>
      </c>
      <c r="I49" s="381">
        <f>'Du toan chi tiet'!X25</f>
        <v>1</v>
      </c>
      <c r="J49" s="381">
        <f>PRODUCT(G49,H49,I49)</f>
        <v>0.14399999999999999</v>
      </c>
      <c r="K49" s="237"/>
      <c r="L49" s="237"/>
      <c r="M49" s="237"/>
      <c r="N49" s="237"/>
      <c r="O49" s="237"/>
      <c r="P49" s="237"/>
      <c r="Q49" s="237"/>
      <c r="R49" s="237"/>
      <c r="S49" s="237"/>
      <c r="T49" s="237"/>
      <c r="U49" s="237"/>
      <c r="V49" s="237"/>
      <c r="W49" s="237"/>
      <c r="X49" s="237"/>
      <c r="Y49" s="237"/>
      <c r="Z49" s="237"/>
      <c r="AA49" s="237"/>
    </row>
    <row r="50" spans="1:27" x14ac:dyDescent="0.25">
      <c r="A50" s="159" t="s">
        <v>262</v>
      </c>
      <c r="B50" s="649">
        <v>14</v>
      </c>
      <c r="C50" s="214" t="s">
        <v>1024</v>
      </c>
      <c r="D50" s="214">
        <f>'Giá Máy'!D17</f>
        <v>0</v>
      </c>
      <c r="E50" s="720" t="str">
        <f>'Giá Máy'!E17</f>
        <v>Máy nén khí diezel 360m3/h</v>
      </c>
      <c r="F50" s="649" t="s">
        <v>717</v>
      </c>
      <c r="G50" s="176"/>
      <c r="H50" s="176"/>
      <c r="I50" s="176"/>
      <c r="J50" s="176">
        <f>SUM(J51:J52)</f>
        <v>5.0858500000000006</v>
      </c>
      <c r="K50" s="10">
        <f>'Giá Máy'!G17</f>
        <v>1264509.6000000001</v>
      </c>
      <c r="L50" s="10">
        <f>J50*K50</f>
        <v>6431106.1491600014</v>
      </c>
      <c r="M50" s="10">
        <f>'Giá Máy'!H17</f>
        <v>1264509.6000000001</v>
      </c>
      <c r="N50" s="10">
        <f>J50*M50</f>
        <v>6431106.1491600014</v>
      </c>
      <c r="O50" s="10">
        <f>M50-K50</f>
        <v>0</v>
      </c>
      <c r="P50" s="10">
        <f>J50*O50</f>
        <v>0</v>
      </c>
      <c r="Q50" s="10">
        <v>1</v>
      </c>
      <c r="R50" s="10">
        <f>M50*Q50</f>
        <v>1264509.6000000001</v>
      </c>
      <c r="S50" s="10">
        <f>J50*R50</f>
        <v>6431106.1491600014</v>
      </c>
      <c r="T50" s="10">
        <v>0</v>
      </c>
      <c r="U50" s="10">
        <v>0</v>
      </c>
      <c r="V50" s="88">
        <f>'Giá Máy'!N17</f>
        <v>0</v>
      </c>
      <c r="W50" s="10">
        <f>J50*V50</f>
        <v>0</v>
      </c>
      <c r="X50" s="10">
        <f>'Giá Máy'!O17</f>
        <v>1264509.6000000001</v>
      </c>
      <c r="Y50" s="10">
        <f>J50*X50</f>
        <v>6431106.1491600014</v>
      </c>
      <c r="Z50" s="10">
        <f>X50-K50</f>
        <v>0</v>
      </c>
      <c r="AA50" s="10">
        <f>J50*Z50</f>
        <v>0</v>
      </c>
    </row>
    <row r="51" spans="1:27" s="391" customFormat="1" ht="30" hidden="1" x14ac:dyDescent="0.25">
      <c r="A51" s="529"/>
      <c r="B51" s="76"/>
      <c r="C51" s="411" t="str">
        <f>'Du toan chi tiet'!C16</f>
        <v>SF.12112</v>
      </c>
      <c r="D51" s="411"/>
      <c r="E51" s="155" t="str">
        <f>'Du toan chi tiet'!D16</f>
        <v>Bảo dưỡng khe co dãn mặt đường bê tông xi măng - Chiều dày mặt đường 25cm</v>
      </c>
      <c r="F51" s="76" t="str">
        <f>'Du toan chi tiet'!E16</f>
        <v>1m</v>
      </c>
      <c r="G51" s="381">
        <f>'Du toan chi tiet'!M16</f>
        <v>52.2</v>
      </c>
      <c r="H51" s="381">
        <f>'Phan tich don gia'!G86</f>
        <v>1.7999999999999999E-2</v>
      </c>
      <c r="I51" s="381">
        <f>'Du toan chi tiet'!X16</f>
        <v>1</v>
      </c>
      <c r="J51" s="381">
        <f t="shared" ref="J51:J52" si="8">PRODUCT(G51,H51,I51)</f>
        <v>0.93959999999999999</v>
      </c>
      <c r="K51" s="237"/>
      <c r="L51" s="237"/>
      <c r="M51" s="237"/>
      <c r="N51" s="237"/>
      <c r="O51" s="237"/>
      <c r="P51" s="237"/>
      <c r="Q51" s="237"/>
      <c r="R51" s="237"/>
      <c r="S51" s="237"/>
      <c r="T51" s="237"/>
      <c r="U51" s="237"/>
      <c r="V51" s="237"/>
      <c r="W51" s="237"/>
      <c r="X51" s="237"/>
      <c r="Y51" s="237"/>
      <c r="Z51" s="237"/>
      <c r="AA51" s="237"/>
    </row>
    <row r="52" spans="1:27" s="391" customFormat="1" ht="30" hidden="1" x14ac:dyDescent="0.25">
      <c r="A52" s="529"/>
      <c r="B52" s="76"/>
      <c r="C52" s="411" t="str">
        <f>'Du toan chi tiet'!C20</f>
        <v>AA.22112</v>
      </c>
      <c r="D52" s="411"/>
      <c r="E52" s="155" t="str">
        <f>'Du toan chi tiet'!D20</f>
        <v>Phá dỡ kết cấu bê tông không cốt thép bằng búa căn khí nén 3m3/ph</v>
      </c>
      <c r="F52" s="76" t="str">
        <f>'Du toan chi tiet'!E20</f>
        <v>m3</v>
      </c>
      <c r="G52" s="381">
        <f>'Du toan chi tiet'!M20</f>
        <v>33.17</v>
      </c>
      <c r="H52" s="381">
        <f>'Phan tich don gia'!G110</f>
        <v>0.125</v>
      </c>
      <c r="I52" s="381">
        <f>'Du toan chi tiet'!X20</f>
        <v>1</v>
      </c>
      <c r="J52" s="381">
        <f t="shared" si="8"/>
        <v>4.1462500000000002</v>
      </c>
      <c r="K52" s="237"/>
      <c r="L52" s="237"/>
      <c r="M52" s="237"/>
      <c r="N52" s="237"/>
      <c r="O52" s="237"/>
      <c r="P52" s="237"/>
      <c r="Q52" s="237"/>
      <c r="R52" s="237"/>
      <c r="S52" s="237"/>
      <c r="T52" s="237"/>
      <c r="U52" s="237"/>
      <c r="V52" s="237"/>
      <c r="W52" s="237"/>
      <c r="X52" s="237"/>
      <c r="Y52" s="237"/>
      <c r="Z52" s="237"/>
      <c r="AA52" s="237"/>
    </row>
    <row r="53" spans="1:27" x14ac:dyDescent="0.25">
      <c r="A53" s="159" t="s">
        <v>262</v>
      </c>
      <c r="B53" s="649">
        <v>15</v>
      </c>
      <c r="C53" s="214" t="s">
        <v>1089</v>
      </c>
      <c r="D53" s="214">
        <f>'Giá Máy'!D18</f>
        <v>0</v>
      </c>
      <c r="E53" s="720" t="str">
        <f>'Giá Máy'!E18</f>
        <v>Máy nén khí diezel 600m3/h</v>
      </c>
      <c r="F53" s="649" t="s">
        <v>717</v>
      </c>
      <c r="G53" s="176"/>
      <c r="H53" s="176"/>
      <c r="I53" s="176"/>
      <c r="J53" s="176" t="e">
        <f>SUM(J54:J58)</f>
        <v>#REF!</v>
      </c>
      <c r="K53" s="10">
        <f>'Giá Máy'!G18</f>
        <v>1703277.5</v>
      </c>
      <c r="L53" s="10" t="e">
        <f>J53*K53</f>
        <v>#REF!</v>
      </c>
      <c r="M53" s="10">
        <f>'Giá Máy'!H18</f>
        <v>1703277.5</v>
      </c>
      <c r="N53" s="10" t="e">
        <f>J53*M53</f>
        <v>#REF!</v>
      </c>
      <c r="O53" s="10">
        <f>M53-K53</f>
        <v>0</v>
      </c>
      <c r="P53" s="10" t="e">
        <f>J53*O53</f>
        <v>#REF!</v>
      </c>
      <c r="Q53" s="10">
        <v>1</v>
      </c>
      <c r="R53" s="10">
        <f>M53*Q53</f>
        <v>1703277.5</v>
      </c>
      <c r="S53" s="10" t="e">
        <f>J53*R53</f>
        <v>#REF!</v>
      </c>
      <c r="T53" s="10">
        <v>0</v>
      </c>
      <c r="U53" s="10">
        <v>0</v>
      </c>
      <c r="V53" s="88">
        <f>'Giá Máy'!N18</f>
        <v>0</v>
      </c>
      <c r="W53" s="10" t="e">
        <f>J53*V53</f>
        <v>#REF!</v>
      </c>
      <c r="X53" s="10">
        <f>'Giá Máy'!O18</f>
        <v>1703277.5</v>
      </c>
      <c r="Y53" s="10" t="e">
        <f>J53*X53</f>
        <v>#REF!</v>
      </c>
      <c r="Z53" s="10">
        <f>X53-K53</f>
        <v>0</v>
      </c>
      <c r="AA53" s="10" t="e">
        <f>J53*Z53</f>
        <v>#REF!</v>
      </c>
    </row>
    <row r="54" spans="1:27" s="391" customFormat="1" ht="45" hidden="1" x14ac:dyDescent="0.25">
      <c r="A54" s="529"/>
      <c r="B54" s="76"/>
      <c r="C54" s="411" t="str">
        <f>'Du toan chi tiet'!C8</f>
        <v>AD.23263</v>
      </c>
      <c r="D54" s="411"/>
      <c r="E54" s="155" t="str">
        <f>'Du toan chi tiet'!D8</f>
        <v>Rải thảm mặt đường Carboncor Asphalt, bằng phương pháp thủ cơ giới, chiều dày mặt đường đã lèn ép 3cm</v>
      </c>
      <c r="F54" s="76" t="str">
        <f>'Du toan chi tiet'!E8</f>
        <v>m2</v>
      </c>
      <c r="G54" s="381">
        <f>'Du toan chi tiet'!M8</f>
        <v>1631.42</v>
      </c>
      <c r="H54" s="381">
        <f>'Phan tich don gia'!G16</f>
        <v>3.1E-4</v>
      </c>
      <c r="I54" s="381">
        <f>'Du toan chi tiet'!X8</f>
        <v>1</v>
      </c>
      <c r="J54" s="381">
        <f t="shared" ref="J54:J58" si="9">PRODUCT(G54,H54,I54)</f>
        <v>0.50574019999999997</v>
      </c>
      <c r="K54" s="237"/>
      <c r="L54" s="237"/>
      <c r="M54" s="237"/>
      <c r="N54" s="237"/>
      <c r="O54" s="237"/>
      <c r="P54" s="237"/>
      <c r="Q54" s="237"/>
      <c r="R54" s="237"/>
      <c r="S54" s="237"/>
      <c r="T54" s="237"/>
      <c r="U54" s="237"/>
      <c r="V54" s="237"/>
      <c r="W54" s="237"/>
      <c r="X54" s="237"/>
      <c r="Y54" s="237"/>
      <c r="Z54" s="237"/>
      <c r="AA54" s="237"/>
    </row>
    <row r="55" spans="1:27" s="391" customFormat="1" ht="45" hidden="1" x14ac:dyDescent="0.25">
      <c r="A55" s="529"/>
      <c r="B55" s="76"/>
      <c r="C55" s="411" t="str">
        <f>'Du toan chi tiet'!C9</f>
        <v>AD.23261vd</v>
      </c>
      <c r="D55" s="411"/>
      <c r="E55" s="155" t="str">
        <f>'Du toan chi tiet'!D9</f>
        <v>Rải thảm mặt đường Carboncor Asphalt, bằng phương pháp thủ cơ giới, chiều dày mặt đường đã lèn ép 1cm</v>
      </c>
      <c r="F55" s="76" t="str">
        <f>'Du toan chi tiet'!E9</f>
        <v>m2</v>
      </c>
      <c r="G55" s="381">
        <f>'Du toan chi tiet'!M9</f>
        <v>856.71</v>
      </c>
      <c r="H55" s="381">
        <f>'Phan tich don gia'!G27</f>
        <v>2.0666666666666666E-4</v>
      </c>
      <c r="I55" s="381">
        <f>'Du toan chi tiet'!X9</f>
        <v>1</v>
      </c>
      <c r="J55" s="381">
        <f t="shared" si="9"/>
        <v>0.1770534</v>
      </c>
      <c r="K55" s="237"/>
      <c r="L55" s="237"/>
      <c r="M55" s="237"/>
      <c r="N55" s="237"/>
      <c r="O55" s="237"/>
      <c r="P55" s="237"/>
      <c r="Q55" s="237"/>
      <c r="R55" s="237"/>
      <c r="S55" s="237"/>
      <c r="T55" s="237"/>
      <c r="U55" s="237"/>
      <c r="V55" s="237"/>
      <c r="W55" s="237"/>
      <c r="X55" s="237"/>
      <c r="Y55" s="237"/>
      <c r="Z55" s="237"/>
      <c r="AA55" s="237"/>
    </row>
    <row r="56" spans="1:27" s="391" customFormat="1" hidden="1" x14ac:dyDescent="0.25">
      <c r="A56" s="529"/>
      <c r="B56" s="76"/>
      <c r="C56" s="411" t="e">
        <f>'Du toan chi tiet'!#REF!</f>
        <v>#REF!</v>
      </c>
      <c r="D56" s="411"/>
      <c r="E56" s="155" t="e">
        <f>'Du toan chi tiet'!#REF!</f>
        <v>#REF!</v>
      </c>
      <c r="F56" s="76" t="e">
        <f>'Du toan chi tiet'!#REF!</f>
        <v>#REF!</v>
      </c>
      <c r="G56" s="381" t="e">
        <f>'Du toan chi tiet'!#REF!</f>
        <v>#REF!</v>
      </c>
      <c r="H56" s="381" t="e">
        <f>'Phan tich don gia'!#REF!</f>
        <v>#REF!</v>
      </c>
      <c r="I56" s="381" t="e">
        <f>'Du toan chi tiet'!#REF!</f>
        <v>#REF!</v>
      </c>
      <c r="J56" s="381" t="e">
        <f t="shared" si="9"/>
        <v>#REF!</v>
      </c>
      <c r="K56" s="237"/>
      <c r="L56" s="237"/>
      <c r="M56" s="237"/>
      <c r="N56" s="237"/>
      <c r="O56" s="237"/>
      <c r="P56" s="237"/>
      <c r="Q56" s="237"/>
      <c r="R56" s="237"/>
      <c r="S56" s="237"/>
      <c r="T56" s="237"/>
      <c r="U56" s="237"/>
      <c r="V56" s="237"/>
      <c r="W56" s="237"/>
      <c r="X56" s="237"/>
      <c r="Y56" s="237"/>
      <c r="Z56" s="237"/>
      <c r="AA56" s="237"/>
    </row>
    <row r="57" spans="1:27" s="391" customFormat="1" ht="45" hidden="1" x14ac:dyDescent="0.25">
      <c r="A57" s="529"/>
      <c r="B57" s="76"/>
      <c r="C57" s="411" t="str">
        <f>'Du toan chi tiet'!C49</f>
        <v>AD.23263</v>
      </c>
      <c r="D57" s="411"/>
      <c r="E57" s="155" t="str">
        <f>'Du toan chi tiet'!D49</f>
        <v>Rải thảm mặt đường Carboncor Asphalt, bằng phương pháp thủ cơ giới, chiều dày mặt đường đã lèn ép 3cm</v>
      </c>
      <c r="F57" s="76" t="str">
        <f>'Du toan chi tiet'!E49</f>
        <v>m2</v>
      </c>
      <c r="G57" s="381">
        <f>'Du toan chi tiet'!M49</f>
        <v>1.2</v>
      </c>
      <c r="H57" s="381">
        <f>'Phan tich don gia'!G333</f>
        <v>3.1E-4</v>
      </c>
      <c r="I57" s="381">
        <f>'Du toan chi tiet'!X49</f>
        <v>1</v>
      </c>
      <c r="J57" s="381">
        <f t="shared" si="9"/>
        <v>3.7199999999999999E-4</v>
      </c>
      <c r="K57" s="237"/>
      <c r="L57" s="237"/>
      <c r="M57" s="237"/>
      <c r="N57" s="237"/>
      <c r="O57" s="237"/>
      <c r="P57" s="237"/>
      <c r="Q57" s="237"/>
      <c r="R57" s="237"/>
      <c r="S57" s="237"/>
      <c r="T57" s="237"/>
      <c r="U57" s="237"/>
      <c r="V57" s="237"/>
      <c r="W57" s="237"/>
      <c r="X57" s="237"/>
      <c r="Y57" s="237"/>
      <c r="Z57" s="237"/>
      <c r="AA57" s="237"/>
    </row>
    <row r="58" spans="1:27" s="391" customFormat="1" hidden="1" x14ac:dyDescent="0.25">
      <c r="A58" s="529"/>
      <c r="B58" s="76"/>
      <c r="C58" s="411" t="e">
        <f>'Du toan chi tiet'!#REF!</f>
        <v>#REF!</v>
      </c>
      <c r="D58" s="411"/>
      <c r="E58" s="155" t="e">
        <f>'Du toan chi tiet'!#REF!</f>
        <v>#REF!</v>
      </c>
      <c r="F58" s="76" t="e">
        <f>'Du toan chi tiet'!#REF!</f>
        <v>#REF!</v>
      </c>
      <c r="G58" s="381" t="e">
        <f>'Du toan chi tiet'!#REF!</f>
        <v>#REF!</v>
      </c>
      <c r="H58" s="381" t="e">
        <f>'Phan tich don gia'!#REF!</f>
        <v>#REF!</v>
      </c>
      <c r="I58" s="381" t="e">
        <f>'Du toan chi tiet'!#REF!</f>
        <v>#REF!</v>
      </c>
      <c r="J58" s="381" t="e">
        <f t="shared" si="9"/>
        <v>#REF!</v>
      </c>
      <c r="K58" s="237"/>
      <c r="L58" s="237"/>
      <c r="M58" s="237"/>
      <c r="N58" s="237"/>
      <c r="O58" s="237"/>
      <c r="P58" s="237"/>
      <c r="Q58" s="237"/>
      <c r="R58" s="237"/>
      <c r="S58" s="237"/>
      <c r="T58" s="237"/>
      <c r="U58" s="237"/>
      <c r="V58" s="237"/>
      <c r="W58" s="237"/>
      <c r="X58" s="237"/>
      <c r="Y58" s="237"/>
      <c r="Z58" s="237"/>
      <c r="AA58" s="237"/>
    </row>
    <row r="59" spans="1:27" x14ac:dyDescent="0.25">
      <c r="A59" s="159" t="s">
        <v>262</v>
      </c>
      <c r="B59" s="649">
        <v>16</v>
      </c>
      <c r="C59" s="214" t="s">
        <v>811</v>
      </c>
      <c r="D59" s="214" t="e">
        <f>'Giá Máy'!#REF!</f>
        <v>#REF!</v>
      </c>
      <c r="E59" s="720" t="e">
        <f>'Giá Máy'!#REF!</f>
        <v>#REF!</v>
      </c>
      <c r="F59" s="649" t="s">
        <v>717</v>
      </c>
      <c r="G59" s="176"/>
      <c r="H59" s="176"/>
      <c r="I59" s="176"/>
      <c r="J59" s="176" t="e">
        <f>SUM(J60:J61)</f>
        <v>#REF!</v>
      </c>
      <c r="K59" s="10" t="e">
        <f>'Giá Máy'!#REF!</f>
        <v>#REF!</v>
      </c>
      <c r="L59" s="10" t="e">
        <f>J59*K59</f>
        <v>#REF!</v>
      </c>
      <c r="M59" s="10" t="e">
        <f>'Giá Máy'!#REF!</f>
        <v>#REF!</v>
      </c>
      <c r="N59" s="10" t="e">
        <f>J59*M59</f>
        <v>#REF!</v>
      </c>
      <c r="O59" s="10" t="e">
        <f>M59-K59</f>
        <v>#REF!</v>
      </c>
      <c r="P59" s="10" t="e">
        <f>J59*O59</f>
        <v>#REF!</v>
      </c>
      <c r="Q59" s="10">
        <v>1</v>
      </c>
      <c r="R59" s="10" t="e">
        <f>M59*Q59</f>
        <v>#REF!</v>
      </c>
      <c r="S59" s="10" t="e">
        <f>J59*R59</f>
        <v>#REF!</v>
      </c>
      <c r="T59" s="10">
        <v>0</v>
      </c>
      <c r="U59" s="10">
        <v>0</v>
      </c>
      <c r="V59" s="88" t="e">
        <f>'Giá Máy'!#REF!</f>
        <v>#REF!</v>
      </c>
      <c r="W59" s="10" t="e">
        <f>J59*V59</f>
        <v>#REF!</v>
      </c>
      <c r="X59" s="10" t="e">
        <f>'Giá Máy'!#REF!</f>
        <v>#REF!</v>
      </c>
      <c r="Y59" s="10" t="e">
        <f>J59*X59</f>
        <v>#REF!</v>
      </c>
      <c r="Z59" s="10" t="e">
        <f>X59-K59</f>
        <v>#REF!</v>
      </c>
      <c r="AA59" s="10" t="e">
        <f>J59*Z59</f>
        <v>#REF!</v>
      </c>
    </row>
    <row r="60" spans="1:27" s="391" customFormat="1" hidden="1" x14ac:dyDescent="0.25">
      <c r="A60" s="529"/>
      <c r="B60" s="76"/>
      <c r="C60" s="411" t="e">
        <f>'Du toan chi tiet'!#REF!</f>
        <v>#REF!</v>
      </c>
      <c r="D60" s="411"/>
      <c r="E60" s="155" t="e">
        <f>'Du toan chi tiet'!#REF!</f>
        <v>#REF!</v>
      </c>
      <c r="F60" s="76" t="e">
        <f>'Du toan chi tiet'!#REF!</f>
        <v>#REF!</v>
      </c>
      <c r="G60" s="381" t="e">
        <f>'Du toan chi tiet'!#REF!</f>
        <v>#REF!</v>
      </c>
      <c r="H60" s="381" t="e">
        <f>'Phan tich don gia'!#REF!</f>
        <v>#REF!</v>
      </c>
      <c r="I60" s="381" t="e">
        <f>'Du toan chi tiet'!#REF!</f>
        <v>#REF!</v>
      </c>
      <c r="J60" s="381" t="e">
        <f t="shared" ref="J60:J61" si="10">PRODUCT(G60,H60,I60)</f>
        <v>#REF!</v>
      </c>
      <c r="K60" s="237"/>
      <c r="L60" s="237"/>
      <c r="M60" s="237"/>
      <c r="N60" s="237"/>
      <c r="O60" s="237"/>
      <c r="P60" s="237"/>
      <c r="Q60" s="237"/>
      <c r="R60" s="237"/>
      <c r="S60" s="237"/>
      <c r="T60" s="237"/>
      <c r="U60" s="237"/>
      <c r="V60" s="237"/>
      <c r="W60" s="237"/>
      <c r="X60" s="237"/>
      <c r="Y60" s="237"/>
      <c r="Z60" s="237"/>
      <c r="AA60" s="237"/>
    </row>
    <row r="61" spans="1:27" s="391" customFormat="1" hidden="1" x14ac:dyDescent="0.25">
      <c r="A61" s="529"/>
      <c r="B61" s="76"/>
      <c r="C61" s="411" t="e">
        <f>'Du toan chi tiet'!#REF!</f>
        <v>#REF!</v>
      </c>
      <c r="D61" s="411"/>
      <c r="E61" s="155" t="e">
        <f>'Du toan chi tiet'!#REF!</f>
        <v>#REF!</v>
      </c>
      <c r="F61" s="76" t="e">
        <f>'Du toan chi tiet'!#REF!</f>
        <v>#REF!</v>
      </c>
      <c r="G61" s="381" t="e">
        <f>'Du toan chi tiet'!#REF!</f>
        <v>#REF!</v>
      </c>
      <c r="H61" s="381" t="e">
        <f>'Phan tich don gia'!#REF!</f>
        <v>#REF!</v>
      </c>
      <c r="I61" s="381" t="e">
        <f>'Du toan chi tiet'!#REF!</f>
        <v>#REF!</v>
      </c>
      <c r="J61" s="381" t="e">
        <f t="shared" si="10"/>
        <v>#REF!</v>
      </c>
      <c r="K61" s="237"/>
      <c r="L61" s="237"/>
      <c r="M61" s="237"/>
      <c r="N61" s="237"/>
      <c r="O61" s="237"/>
      <c r="P61" s="237"/>
      <c r="Q61" s="237"/>
      <c r="R61" s="237"/>
      <c r="S61" s="237"/>
      <c r="T61" s="237"/>
      <c r="U61" s="237"/>
      <c r="V61" s="237"/>
      <c r="W61" s="237"/>
      <c r="X61" s="237"/>
      <c r="Y61" s="237"/>
      <c r="Z61" s="237"/>
      <c r="AA61" s="237"/>
    </row>
    <row r="62" spans="1:27" x14ac:dyDescent="0.25">
      <c r="A62" s="159" t="s">
        <v>262</v>
      </c>
      <c r="B62" s="649">
        <v>17</v>
      </c>
      <c r="C62" s="214" t="s">
        <v>1248</v>
      </c>
      <c r="D62" s="214">
        <f>'Giá Máy'!D19</f>
        <v>0</v>
      </c>
      <c r="E62" s="720" t="str">
        <f>'Giá Máy'!E19</f>
        <v>Máy rải hỗn hợp bê tông nhựa 130 - 140CV</v>
      </c>
      <c r="F62" s="649" t="s">
        <v>717</v>
      </c>
      <c r="G62" s="176"/>
      <c r="H62" s="176"/>
      <c r="I62" s="176"/>
      <c r="J62" s="176">
        <f>SUM(J63:J65)</f>
        <v>0.68154959999999998</v>
      </c>
      <c r="K62" s="10">
        <f>'Giá Máy'!G19</f>
        <v>5455372</v>
      </c>
      <c r="L62" s="10">
        <f>J62*K62</f>
        <v>3718106.6044512</v>
      </c>
      <c r="M62" s="10">
        <f>'Giá Máy'!H19</f>
        <v>5455372</v>
      </c>
      <c r="N62" s="10">
        <f>J62*M62</f>
        <v>3718106.6044512</v>
      </c>
      <c r="O62" s="10">
        <f>M62-K62</f>
        <v>0</v>
      </c>
      <c r="P62" s="10">
        <f>J62*O62</f>
        <v>0</v>
      </c>
      <c r="Q62" s="10">
        <v>1</v>
      </c>
      <c r="R62" s="10">
        <f>M62*Q62</f>
        <v>5455372</v>
      </c>
      <c r="S62" s="10">
        <f>J62*R62</f>
        <v>3718106.6044512</v>
      </c>
      <c r="T62" s="10">
        <v>0</v>
      </c>
      <c r="U62" s="10">
        <v>0</v>
      </c>
      <c r="V62" s="88">
        <f>'Giá Máy'!N19</f>
        <v>0</v>
      </c>
      <c r="W62" s="10">
        <f>J62*V62</f>
        <v>0</v>
      </c>
      <c r="X62" s="10">
        <f>'Giá Máy'!O19</f>
        <v>5455372</v>
      </c>
      <c r="Y62" s="10">
        <f>J62*X62</f>
        <v>3718106.6044512</v>
      </c>
      <c r="Z62" s="10">
        <f>X62-K62</f>
        <v>0</v>
      </c>
      <c r="AA62" s="10">
        <f>J62*Z62</f>
        <v>0</v>
      </c>
    </row>
    <row r="63" spans="1:27" s="391" customFormat="1" ht="45" hidden="1" x14ac:dyDescent="0.25">
      <c r="A63" s="529"/>
      <c r="B63" s="76"/>
      <c r="C63" s="411" t="str">
        <f>'Du toan chi tiet'!C8</f>
        <v>AD.23263</v>
      </c>
      <c r="D63" s="411"/>
      <c r="E63" s="155" t="str">
        <f>'Du toan chi tiet'!D8</f>
        <v>Rải thảm mặt đường Carboncor Asphalt, bằng phương pháp thủ cơ giới, chiều dày mặt đường đã lèn ép 3cm</v>
      </c>
      <c r="F63" s="76" t="str">
        <f>'Du toan chi tiet'!E8</f>
        <v>m2</v>
      </c>
      <c r="G63" s="381">
        <f>'Du toan chi tiet'!M8</f>
        <v>1631.42</v>
      </c>
      <c r="H63" s="381">
        <f>'Phan tich don gia'!G13</f>
        <v>3.3E-4</v>
      </c>
      <c r="I63" s="381">
        <f>'Du toan chi tiet'!X8</f>
        <v>1</v>
      </c>
      <c r="J63" s="381">
        <f t="shared" ref="J63:J65" si="11">PRODUCT(G63,H63,I63)</f>
        <v>0.53836859999999997</v>
      </c>
      <c r="K63" s="237"/>
      <c r="L63" s="237"/>
      <c r="M63" s="237"/>
      <c r="N63" s="237"/>
      <c r="O63" s="237"/>
      <c r="P63" s="237"/>
      <c r="Q63" s="237"/>
      <c r="R63" s="237"/>
      <c r="S63" s="237"/>
      <c r="T63" s="237"/>
      <c r="U63" s="237"/>
      <c r="V63" s="237"/>
      <c r="W63" s="237"/>
      <c r="X63" s="237"/>
      <c r="Y63" s="237"/>
      <c r="Z63" s="237"/>
      <c r="AA63" s="237"/>
    </row>
    <row r="64" spans="1:27" s="391" customFormat="1" ht="45" hidden="1" x14ac:dyDescent="0.25">
      <c r="A64" s="529"/>
      <c r="B64" s="76"/>
      <c r="C64" s="411" t="str">
        <f>'Du toan chi tiet'!C9</f>
        <v>AD.23261vd</v>
      </c>
      <c r="D64" s="411"/>
      <c r="E64" s="155" t="str">
        <f>'Du toan chi tiet'!D9</f>
        <v>Rải thảm mặt đường Carboncor Asphalt, bằng phương pháp thủ cơ giới, chiều dày mặt đường đã lèn ép 1cm</v>
      </c>
      <c r="F64" s="76" t="str">
        <f>'Du toan chi tiet'!E9</f>
        <v>m2</v>
      </c>
      <c r="G64" s="381">
        <f>'Du toan chi tiet'!M9</f>
        <v>856.71</v>
      </c>
      <c r="H64" s="381">
        <f>'Phan tich don gia'!G24</f>
        <v>1.6666666666666666E-4</v>
      </c>
      <c r="I64" s="381">
        <f>'Du toan chi tiet'!X9</f>
        <v>1</v>
      </c>
      <c r="J64" s="381">
        <f t="shared" si="11"/>
        <v>0.142785</v>
      </c>
      <c r="K64" s="237"/>
      <c r="L64" s="237"/>
      <c r="M64" s="237"/>
      <c r="N64" s="237"/>
      <c r="O64" s="237"/>
      <c r="P64" s="237"/>
      <c r="Q64" s="237"/>
      <c r="R64" s="237"/>
      <c r="S64" s="237"/>
      <c r="T64" s="237"/>
      <c r="U64" s="237"/>
      <c r="V64" s="237"/>
      <c r="W64" s="237"/>
      <c r="X64" s="237"/>
      <c r="Y64" s="237"/>
      <c r="Z64" s="237"/>
      <c r="AA64" s="237"/>
    </row>
    <row r="65" spans="1:27" s="391" customFormat="1" ht="45" hidden="1" x14ac:dyDescent="0.25">
      <c r="A65" s="529"/>
      <c r="B65" s="76"/>
      <c r="C65" s="411" t="str">
        <f>'Du toan chi tiet'!C49</f>
        <v>AD.23263</v>
      </c>
      <c r="D65" s="411"/>
      <c r="E65" s="155" t="str">
        <f>'Du toan chi tiet'!D49</f>
        <v>Rải thảm mặt đường Carboncor Asphalt, bằng phương pháp thủ cơ giới, chiều dày mặt đường đã lèn ép 3cm</v>
      </c>
      <c r="F65" s="76" t="str">
        <f>'Du toan chi tiet'!E49</f>
        <v>m2</v>
      </c>
      <c r="G65" s="381">
        <f>'Du toan chi tiet'!M49</f>
        <v>1.2</v>
      </c>
      <c r="H65" s="381">
        <f>'Phan tich don gia'!G330</f>
        <v>3.3E-4</v>
      </c>
      <c r="I65" s="381">
        <f>'Du toan chi tiet'!X49</f>
        <v>1</v>
      </c>
      <c r="J65" s="381">
        <f t="shared" si="11"/>
        <v>3.9599999999999998E-4</v>
      </c>
      <c r="K65" s="237"/>
      <c r="L65" s="237"/>
      <c r="M65" s="237"/>
      <c r="N65" s="237"/>
      <c r="O65" s="237"/>
      <c r="P65" s="237"/>
      <c r="Q65" s="237"/>
      <c r="R65" s="237"/>
      <c r="S65" s="237"/>
      <c r="T65" s="237"/>
      <c r="U65" s="237"/>
      <c r="V65" s="237"/>
      <c r="W65" s="237"/>
      <c r="X65" s="237"/>
      <c r="Y65" s="237"/>
      <c r="Z65" s="237"/>
      <c r="AA65" s="237"/>
    </row>
    <row r="66" spans="1:27" x14ac:dyDescent="0.25">
      <c r="A66" s="159" t="s">
        <v>262</v>
      </c>
      <c r="B66" s="649">
        <v>18</v>
      </c>
      <c r="C66" s="214" t="s">
        <v>113</v>
      </c>
      <c r="D66" s="214">
        <f>'Giá Máy'!D20</f>
        <v>0</v>
      </c>
      <c r="E66" s="720" t="str">
        <f>'Giá Máy'!E20</f>
        <v>Máy trộn bê tông 250 lít</v>
      </c>
      <c r="F66" s="649" t="s">
        <v>717</v>
      </c>
      <c r="G66" s="176"/>
      <c r="H66" s="176"/>
      <c r="I66" s="176"/>
      <c r="J66" s="176" t="e">
        <f>SUM(J67:J71)</f>
        <v>#REF!</v>
      </c>
      <c r="K66" s="10">
        <f>'Giá Máy'!G20</f>
        <v>317242</v>
      </c>
      <c r="L66" s="10" t="e">
        <f>J66*K66</f>
        <v>#REF!</v>
      </c>
      <c r="M66" s="10">
        <f>'Giá Máy'!H20</f>
        <v>317242</v>
      </c>
      <c r="N66" s="10" t="e">
        <f>J66*M66</f>
        <v>#REF!</v>
      </c>
      <c r="O66" s="10">
        <f>M66-K66</f>
        <v>0</v>
      </c>
      <c r="P66" s="10" t="e">
        <f>J66*O66</f>
        <v>#REF!</v>
      </c>
      <c r="Q66" s="10">
        <v>1</v>
      </c>
      <c r="R66" s="10">
        <f>M66*Q66</f>
        <v>317242</v>
      </c>
      <c r="S66" s="10" t="e">
        <f>J66*R66</f>
        <v>#REF!</v>
      </c>
      <c r="T66" s="10">
        <v>0</v>
      </c>
      <c r="U66" s="10">
        <v>0</v>
      </c>
      <c r="V66" s="88">
        <f>'Giá Máy'!N20</f>
        <v>0</v>
      </c>
      <c r="W66" s="10" t="e">
        <f>J66*V66</f>
        <v>#REF!</v>
      </c>
      <c r="X66" s="10">
        <f>'Giá Máy'!O20</f>
        <v>317242</v>
      </c>
      <c r="Y66" s="10" t="e">
        <f>J66*X66</f>
        <v>#REF!</v>
      </c>
      <c r="Z66" s="10">
        <f>X66-K66</f>
        <v>0</v>
      </c>
      <c r="AA66" s="10" t="e">
        <f>J66*Z66</f>
        <v>#REF!</v>
      </c>
    </row>
    <row r="67" spans="1:27" s="391" customFormat="1" ht="45" hidden="1" x14ac:dyDescent="0.25">
      <c r="A67" s="529"/>
      <c r="B67" s="76"/>
      <c r="C67" s="411" t="str">
        <f>'Du toan chi tiet'!C10</f>
        <v>AF.15433</v>
      </c>
      <c r="D67" s="411"/>
      <c r="E67" s="155" t="str">
        <f>'Du toan chi tiet'!D10</f>
        <v>Bê tông thương phẩm, bê tông mặt đường dày mặt đường ≤25cm, bê tông M300, đá 2x4</v>
      </c>
      <c r="F67" s="76" t="str">
        <f>'Du toan chi tiet'!E10</f>
        <v>m3</v>
      </c>
      <c r="G67" s="381">
        <f>'Du toan chi tiet'!M10</f>
        <v>133.84</v>
      </c>
      <c r="H67" s="381" t="e">
        <f>'Phan tich don gia'!#REF!</f>
        <v>#REF!</v>
      </c>
      <c r="I67" s="381">
        <f>'Du toan chi tiet'!X10</f>
        <v>1</v>
      </c>
      <c r="J67" s="381" t="e">
        <f t="shared" ref="J67:J71" si="12">PRODUCT(G67,H67,I67)</f>
        <v>#REF!</v>
      </c>
      <c r="K67" s="237"/>
      <c r="L67" s="237"/>
      <c r="M67" s="237"/>
      <c r="N67" s="237"/>
      <c r="O67" s="237"/>
      <c r="P67" s="237"/>
      <c r="Q67" s="237"/>
      <c r="R67" s="237"/>
      <c r="S67" s="237"/>
      <c r="T67" s="237"/>
      <c r="U67" s="237"/>
      <c r="V67" s="237"/>
      <c r="W67" s="237"/>
      <c r="X67" s="237"/>
      <c r="Y67" s="237"/>
      <c r="Z67" s="237"/>
      <c r="AA67" s="237"/>
    </row>
    <row r="68" spans="1:27" s="391" customFormat="1" ht="45" hidden="1" x14ac:dyDescent="0.25">
      <c r="A68" s="529"/>
      <c r="B68" s="76"/>
      <c r="C68" s="411" t="str">
        <f>'Du toan chi tiet'!C32</f>
        <v>AF.13413</v>
      </c>
      <c r="D68" s="411"/>
      <c r="E68" s="155" t="str">
        <f>'Du toan chi tiet'!D32</f>
        <v>Bê tông ống cống hình hộp SX bằng máy trộn, đổ bằng thủ công, bê tông M250, đá 1x2, PCB40</v>
      </c>
      <c r="F68" s="76" t="str">
        <f>'Du toan chi tiet'!E32</f>
        <v>m3</v>
      </c>
      <c r="G68" s="381">
        <f>'Du toan chi tiet'!M32</f>
        <v>2.63</v>
      </c>
      <c r="H68" s="381">
        <f>'Phan tich don gia'!G181</f>
        <v>9.5000000000000001E-2</v>
      </c>
      <c r="I68" s="381">
        <f>'Du toan chi tiet'!X32</f>
        <v>1</v>
      </c>
      <c r="J68" s="381">
        <f t="shared" si="12"/>
        <v>0.24984999999999999</v>
      </c>
      <c r="K68" s="237"/>
      <c r="L68" s="237"/>
      <c r="M68" s="237"/>
      <c r="N68" s="237"/>
      <c r="O68" s="237"/>
      <c r="P68" s="237"/>
      <c r="Q68" s="237"/>
      <c r="R68" s="237"/>
      <c r="S68" s="237"/>
      <c r="T68" s="237"/>
      <c r="U68" s="237"/>
      <c r="V68" s="237"/>
      <c r="W68" s="237"/>
      <c r="X68" s="237"/>
      <c r="Y68" s="237"/>
      <c r="Z68" s="237"/>
      <c r="AA68" s="237"/>
    </row>
    <row r="69" spans="1:27" s="391" customFormat="1" ht="45" hidden="1" x14ac:dyDescent="0.25">
      <c r="A69" s="529"/>
      <c r="B69" s="76"/>
      <c r="C69" s="411" t="str">
        <f>'Du toan chi tiet'!C36</f>
        <v>AF.11231</v>
      </c>
      <c r="D69" s="411"/>
      <c r="E69" s="155" t="str">
        <f>'Du toan chi tiet'!D36</f>
        <v>Bê tông móng tường cánh SX bằng máy trộn, đổ bằng thủ công, rộng ≤250cm, M150, đá 2x4, PCB40</v>
      </c>
      <c r="F69" s="76" t="str">
        <f>'Du toan chi tiet'!E36</f>
        <v>m3</v>
      </c>
      <c r="G69" s="381">
        <f>'Du toan chi tiet'!M36</f>
        <v>0.59</v>
      </c>
      <c r="H69" s="381">
        <f>'Phan tich don gia'!G222</f>
        <v>9.5000000000000001E-2</v>
      </c>
      <c r="I69" s="381">
        <f>'Du toan chi tiet'!X36</f>
        <v>1</v>
      </c>
      <c r="J69" s="381">
        <f t="shared" si="12"/>
        <v>5.6049999999999996E-2</v>
      </c>
      <c r="K69" s="237"/>
      <c r="L69" s="237"/>
      <c r="M69" s="237"/>
      <c r="N69" s="237"/>
      <c r="O69" s="237"/>
      <c r="P69" s="237"/>
      <c r="Q69" s="237"/>
      <c r="R69" s="237"/>
      <c r="S69" s="237"/>
      <c r="T69" s="237"/>
      <c r="U69" s="237"/>
      <c r="V69" s="237"/>
      <c r="W69" s="237"/>
      <c r="X69" s="237"/>
      <c r="Y69" s="237"/>
      <c r="Z69" s="237"/>
      <c r="AA69" s="237"/>
    </row>
    <row r="70" spans="1:27" s="391" customFormat="1" ht="45" hidden="1" x14ac:dyDescent="0.25">
      <c r="A70" s="529"/>
      <c r="B70" s="76"/>
      <c r="C70" s="411" t="str">
        <f>'Du toan chi tiet'!C38</f>
        <v>AF.12151</v>
      </c>
      <c r="D70" s="411"/>
      <c r="E70" s="155" t="str">
        <f>'Du toan chi tiet'!D38</f>
        <v>Bê tông tường cánh SX bằng máy trộn, đổ bằng thủ công - Chiều dày ≤45cm, chiều cao ≤6m, M150, đá 2x4, PCB40</v>
      </c>
      <c r="F70" s="76" t="str">
        <f>'Du toan chi tiet'!E38</f>
        <v>m3</v>
      </c>
      <c r="G70" s="381">
        <f>'Du toan chi tiet'!M38</f>
        <v>0.15</v>
      </c>
      <c r="H70" s="381">
        <f>'Phan tich don gia'!G245</f>
        <v>9.5000000000000001E-2</v>
      </c>
      <c r="I70" s="381">
        <f>'Du toan chi tiet'!X38</f>
        <v>1</v>
      </c>
      <c r="J70" s="381">
        <f t="shared" si="12"/>
        <v>1.4249999999999999E-2</v>
      </c>
      <c r="K70" s="237"/>
      <c r="L70" s="237"/>
      <c r="M70" s="237"/>
      <c r="N70" s="237"/>
      <c r="O70" s="237"/>
      <c r="P70" s="237"/>
      <c r="Q70" s="237"/>
      <c r="R70" s="237"/>
      <c r="S70" s="237"/>
      <c r="T70" s="237"/>
      <c r="U70" s="237"/>
      <c r="V70" s="237"/>
      <c r="W70" s="237"/>
      <c r="X70" s="237"/>
      <c r="Y70" s="237"/>
      <c r="Z70" s="237"/>
      <c r="AA70" s="237"/>
    </row>
    <row r="71" spans="1:27" s="391" customFormat="1" ht="45" hidden="1" x14ac:dyDescent="0.25">
      <c r="A71" s="529"/>
      <c r="B71" s="76"/>
      <c r="C71" s="411" t="str">
        <f>'Du toan chi tiet'!C45</f>
        <v>AF.15433</v>
      </c>
      <c r="D71" s="411"/>
      <c r="E71" s="155" t="str">
        <f>'Du toan chi tiet'!D45</f>
        <v>Bê tông thương phẩm, bê tông hoàn trả mặt đường dày mặt đường ≤25cm, bê tông M250, đá 2x4, PCB40</v>
      </c>
      <c r="F71" s="76" t="str">
        <f>'Du toan chi tiet'!E45</f>
        <v>m3</v>
      </c>
      <c r="G71" s="381">
        <f>'Du toan chi tiet'!M45</f>
        <v>0.59</v>
      </c>
      <c r="H71" s="381" t="e">
        <f>'Phan tich don gia'!#REF!</f>
        <v>#REF!</v>
      </c>
      <c r="I71" s="381">
        <f>'Du toan chi tiet'!X45</f>
        <v>1</v>
      </c>
      <c r="J71" s="381" t="e">
        <f t="shared" si="12"/>
        <v>#REF!</v>
      </c>
      <c r="K71" s="237"/>
      <c r="L71" s="237"/>
      <c r="M71" s="237"/>
      <c r="N71" s="237"/>
      <c r="O71" s="237"/>
      <c r="P71" s="237"/>
      <c r="Q71" s="237"/>
      <c r="R71" s="237"/>
      <c r="S71" s="237"/>
      <c r="T71" s="237"/>
      <c r="U71" s="237"/>
      <c r="V71" s="237"/>
      <c r="W71" s="237"/>
      <c r="X71" s="237"/>
      <c r="Y71" s="237"/>
      <c r="Z71" s="237"/>
      <c r="AA71" s="237"/>
    </row>
    <row r="72" spans="1:27" x14ac:dyDescent="0.25">
      <c r="A72" s="159" t="s">
        <v>262</v>
      </c>
      <c r="B72" s="649">
        <v>19</v>
      </c>
      <c r="C72" s="214" t="s">
        <v>1055</v>
      </c>
      <c r="D72" s="214">
        <f>'Giá Máy'!D21</f>
        <v>0</v>
      </c>
      <c r="E72" s="720" t="str">
        <f>'Giá Máy'!E21</f>
        <v>Máy ủi 110CV</v>
      </c>
      <c r="F72" s="649" t="s">
        <v>717</v>
      </c>
      <c r="G72" s="176"/>
      <c r="H72" s="176"/>
      <c r="I72" s="176"/>
      <c r="J72" s="176">
        <f>SUM(J73:J76)</f>
        <v>6.4103600000000011E-2</v>
      </c>
      <c r="K72" s="10">
        <f>'Giá Máy'!G21</f>
        <v>1960743.5</v>
      </c>
      <c r="L72" s="10">
        <f>J72*K72</f>
        <v>125690.71702660002</v>
      </c>
      <c r="M72" s="10">
        <f>'Giá Máy'!H21</f>
        <v>1960743.5</v>
      </c>
      <c r="N72" s="10">
        <f>J72*M72</f>
        <v>125690.71702660002</v>
      </c>
      <c r="O72" s="10">
        <f>M72-K72</f>
        <v>0</v>
      </c>
      <c r="P72" s="10">
        <f>J72*O72</f>
        <v>0</v>
      </c>
      <c r="Q72" s="10">
        <v>1</v>
      </c>
      <c r="R72" s="10">
        <f>M72*Q72</f>
        <v>1960743.5</v>
      </c>
      <c r="S72" s="10">
        <f>J72*R72</f>
        <v>125690.71702660002</v>
      </c>
      <c r="T72" s="10">
        <v>0</v>
      </c>
      <c r="U72" s="10">
        <v>0</v>
      </c>
      <c r="V72" s="88">
        <f>'Giá Máy'!N21</f>
        <v>0</v>
      </c>
      <c r="W72" s="10">
        <f>J72*V72</f>
        <v>0</v>
      </c>
      <c r="X72" s="10">
        <f>'Giá Máy'!O21</f>
        <v>1960743.5</v>
      </c>
      <c r="Y72" s="10">
        <f>J72*X72</f>
        <v>125690.71702660002</v>
      </c>
      <c r="Z72" s="10">
        <f>X72-K72</f>
        <v>0</v>
      </c>
      <c r="AA72" s="10">
        <f>J72*Z72</f>
        <v>0</v>
      </c>
    </row>
    <row r="73" spans="1:27" s="391" customFormat="1" hidden="1" x14ac:dyDescent="0.25">
      <c r="A73" s="529"/>
      <c r="B73" s="76"/>
      <c r="C73" s="411" t="str">
        <f>'Du toan chi tiet'!C17</f>
        <v>AB.31134</v>
      </c>
      <c r="D73" s="411"/>
      <c r="E73" s="155" t="str">
        <f>'Du toan chi tiet'!D17</f>
        <v>Đào kết cấu mặt đường hiện có</v>
      </c>
      <c r="F73" s="76" t="str">
        <f>'Du toan chi tiet'!E17</f>
        <v>m3</v>
      </c>
      <c r="G73" s="381">
        <f>'Du toan chi tiet'!M17</f>
        <v>5.92</v>
      </c>
      <c r="H73" s="381">
        <f>'Phan tich don gia'!G92</f>
        <v>5.8E-4</v>
      </c>
      <c r="I73" s="381">
        <f>'Du toan chi tiet'!X17</f>
        <v>1</v>
      </c>
      <c r="J73" s="381">
        <f t="shared" ref="J73:J76" si="13">PRODUCT(G73,H73,I73)</f>
        <v>3.4336000000000002E-3</v>
      </c>
      <c r="K73" s="237"/>
      <c r="L73" s="237"/>
      <c r="M73" s="237"/>
      <c r="N73" s="237"/>
      <c r="O73" s="237"/>
      <c r="P73" s="237"/>
      <c r="Q73" s="237"/>
      <c r="R73" s="237"/>
      <c r="S73" s="237"/>
      <c r="T73" s="237"/>
      <c r="U73" s="237"/>
      <c r="V73" s="237"/>
      <c r="W73" s="237"/>
      <c r="X73" s="237"/>
      <c r="Y73" s="237"/>
      <c r="Z73" s="237"/>
      <c r="AA73" s="237"/>
    </row>
    <row r="74" spans="1:27" s="391" customFormat="1" ht="30" hidden="1" x14ac:dyDescent="0.25">
      <c r="A74" s="529"/>
      <c r="B74" s="76"/>
      <c r="C74" s="411" t="str">
        <f>'Du toan chi tiet'!C18</f>
        <v>AB.21132</v>
      </c>
      <c r="D74" s="411"/>
      <c r="E74" s="155" t="str">
        <f>'Du toan chi tiet'!D18</f>
        <v>Đào đất hữu cơ bằng máy đào 1,25m3 - Cấp đất II</v>
      </c>
      <c r="F74" s="76" t="str">
        <f>'Du toan chi tiet'!E18</f>
        <v>m3</v>
      </c>
      <c r="G74" s="381">
        <f>'Du toan chi tiet'!M18</f>
        <v>185.83</v>
      </c>
      <c r="H74" s="381">
        <f>'Phan tich don gia'!G98</f>
        <v>2.9E-4</v>
      </c>
      <c r="I74" s="381">
        <f>'Du toan chi tiet'!X18</f>
        <v>1</v>
      </c>
      <c r="J74" s="381">
        <f t="shared" si="13"/>
        <v>5.3890700000000007E-2</v>
      </c>
      <c r="K74" s="237"/>
      <c r="L74" s="237"/>
      <c r="M74" s="237"/>
      <c r="N74" s="237"/>
      <c r="O74" s="237"/>
      <c r="P74" s="237"/>
      <c r="Q74" s="237"/>
      <c r="R74" s="237"/>
      <c r="S74" s="237"/>
      <c r="T74" s="237"/>
      <c r="U74" s="237"/>
      <c r="V74" s="237"/>
      <c r="W74" s="237"/>
      <c r="X74" s="237"/>
      <c r="Y74" s="237"/>
      <c r="Z74" s="237"/>
      <c r="AA74" s="237"/>
    </row>
    <row r="75" spans="1:27" s="391" customFormat="1" ht="30" hidden="1" x14ac:dyDescent="0.25">
      <c r="A75" s="529"/>
      <c r="B75" s="76"/>
      <c r="C75" s="411" t="str">
        <f>'Du toan chi tiet'!C19</f>
        <v>AB.31132</v>
      </c>
      <c r="D75" s="411"/>
      <c r="E75" s="155" t="str">
        <f>'Du toan chi tiet'!D19</f>
        <v>Đào đánh cấp bằng máy đào 1,25m3 - Cấp đất II</v>
      </c>
      <c r="F75" s="76" t="str">
        <f>'Du toan chi tiet'!E19</f>
        <v>m3</v>
      </c>
      <c r="G75" s="381">
        <f>'Du toan chi tiet'!M19</f>
        <v>18.11</v>
      </c>
      <c r="H75" s="381">
        <f>'Phan tich don gia'!G104</f>
        <v>3.5E-4</v>
      </c>
      <c r="I75" s="381">
        <f>'Du toan chi tiet'!X19</f>
        <v>1</v>
      </c>
      <c r="J75" s="381">
        <f t="shared" si="13"/>
        <v>6.3384999999999995E-3</v>
      </c>
      <c r="K75" s="237"/>
      <c r="L75" s="237"/>
      <c r="M75" s="237"/>
      <c r="N75" s="237"/>
      <c r="O75" s="237"/>
      <c r="P75" s="237"/>
      <c r="Q75" s="237"/>
      <c r="R75" s="237"/>
      <c r="S75" s="237"/>
      <c r="T75" s="237"/>
      <c r="U75" s="237"/>
      <c r="V75" s="237"/>
      <c r="W75" s="237"/>
      <c r="X75" s="237"/>
      <c r="Y75" s="237"/>
      <c r="Z75" s="237"/>
      <c r="AA75" s="237"/>
    </row>
    <row r="76" spans="1:27" s="391" customFormat="1" hidden="1" x14ac:dyDescent="0.25">
      <c r="A76" s="529"/>
      <c r="B76" s="76"/>
      <c r="C76" s="411" t="str">
        <f>'Du toan chi tiet'!C42</f>
        <v>AB.31134</v>
      </c>
      <c r="D76" s="411"/>
      <c r="E76" s="155" t="str">
        <f>'Du toan chi tiet'!D42</f>
        <v xml:space="preserve">Đào kết cấu mặt đường hiện có </v>
      </c>
      <c r="F76" s="76" t="str">
        <f>'Du toan chi tiet'!E42</f>
        <v>m3</v>
      </c>
      <c r="G76" s="381">
        <f>'Du toan chi tiet'!M42</f>
        <v>0.76</v>
      </c>
      <c r="H76" s="381">
        <f>'Phan tich don gia'!G276</f>
        <v>5.8E-4</v>
      </c>
      <c r="I76" s="381">
        <f>'Du toan chi tiet'!X42</f>
        <v>1</v>
      </c>
      <c r="J76" s="381">
        <f t="shared" si="13"/>
        <v>4.4079999999999998E-4</v>
      </c>
      <c r="K76" s="237"/>
      <c r="L76" s="237"/>
      <c r="M76" s="237"/>
      <c r="N76" s="237"/>
      <c r="O76" s="237"/>
      <c r="P76" s="237"/>
      <c r="Q76" s="237"/>
      <c r="R76" s="237"/>
      <c r="S76" s="237"/>
      <c r="T76" s="237"/>
      <c r="U76" s="237"/>
      <c r="V76" s="237"/>
      <c r="W76" s="237"/>
      <c r="X76" s="237"/>
      <c r="Y76" s="237"/>
      <c r="Z76" s="237"/>
      <c r="AA76" s="237"/>
    </row>
    <row r="77" spans="1:27" x14ac:dyDescent="0.25">
      <c r="A77" s="159" t="s">
        <v>262</v>
      </c>
      <c r="B77" s="649">
        <v>20</v>
      </c>
      <c r="C77" s="214" t="s">
        <v>271</v>
      </c>
      <c r="D77" s="214" t="e">
        <f>'Giá Máy'!#REF!</f>
        <v>#REF!</v>
      </c>
      <c r="E77" s="720" t="e">
        <f>'Giá Máy'!#REF!</f>
        <v>#REF!</v>
      </c>
      <c r="F77" s="649" t="s">
        <v>717</v>
      </c>
      <c r="G77" s="176"/>
      <c r="H77" s="176"/>
      <c r="I77" s="176"/>
      <c r="J77" s="176" t="e">
        <f>SUM(J78:J79)</f>
        <v>#REF!</v>
      </c>
      <c r="K77" s="10" t="e">
        <f>'Giá Máy'!#REF!</f>
        <v>#REF!</v>
      </c>
      <c r="L77" s="10" t="e">
        <f>J77*K77</f>
        <v>#REF!</v>
      </c>
      <c r="M77" s="10" t="e">
        <f>'Giá Máy'!#REF!</f>
        <v>#REF!</v>
      </c>
      <c r="N77" s="10" t="e">
        <f>J77*M77</f>
        <v>#REF!</v>
      </c>
      <c r="O77" s="10" t="e">
        <f>M77-K77</f>
        <v>#REF!</v>
      </c>
      <c r="P77" s="10" t="e">
        <f>J77*O77</f>
        <v>#REF!</v>
      </c>
      <c r="Q77" s="10">
        <v>1</v>
      </c>
      <c r="R77" s="10" t="e">
        <f>M77*Q77</f>
        <v>#REF!</v>
      </c>
      <c r="S77" s="10" t="e">
        <f>J77*R77</f>
        <v>#REF!</v>
      </c>
      <c r="T77" s="10">
        <v>0</v>
      </c>
      <c r="U77" s="10">
        <v>0</v>
      </c>
      <c r="V77" s="88" t="e">
        <f>'Giá Máy'!#REF!</f>
        <v>#REF!</v>
      </c>
      <c r="W77" s="10" t="e">
        <f>J77*V77</f>
        <v>#REF!</v>
      </c>
      <c r="X77" s="10" t="e">
        <f>'Giá Máy'!#REF!</f>
        <v>#REF!</v>
      </c>
      <c r="Y77" s="10" t="e">
        <f>J77*X77</f>
        <v>#REF!</v>
      </c>
      <c r="Z77" s="10" t="e">
        <f>X77-K77</f>
        <v>#REF!</v>
      </c>
      <c r="AA77" s="10" t="e">
        <f>J77*Z77</f>
        <v>#REF!</v>
      </c>
    </row>
    <row r="78" spans="1:27" s="391" customFormat="1" ht="30" hidden="1" x14ac:dyDescent="0.25">
      <c r="A78" s="529"/>
      <c r="B78" s="76"/>
      <c r="C78" s="411" t="str">
        <f>'Du toan chi tiet'!C35</f>
        <v>AF.86211</v>
      </c>
      <c r="D78" s="411"/>
      <c r="E78" s="155" t="str">
        <f>'Du toan chi tiet'!D35</f>
        <v>Ván khuôn thép, khung xương, cột chống giáo ống, tường, chiều cao ≤28m</v>
      </c>
      <c r="F78" s="76" t="str">
        <f>'Du toan chi tiet'!E35</f>
        <v>m2</v>
      </c>
      <c r="G78" s="381">
        <f>'Du toan chi tiet'!M35</f>
        <v>21.33</v>
      </c>
      <c r="H78" s="381" t="e">
        <f>'Phan tich don gia'!#REF!</f>
        <v>#REF!</v>
      </c>
      <c r="I78" s="381">
        <f>'Du toan chi tiet'!X35</f>
        <v>1</v>
      </c>
      <c r="J78" s="381" t="e">
        <f t="shared" ref="J78:J79" si="14">PRODUCT(G78,H78,I78)</f>
        <v>#REF!</v>
      </c>
      <c r="K78" s="237"/>
      <c r="L78" s="237"/>
      <c r="M78" s="237"/>
      <c r="N78" s="237"/>
      <c r="O78" s="237"/>
      <c r="P78" s="237"/>
      <c r="Q78" s="237"/>
      <c r="R78" s="237"/>
      <c r="S78" s="237"/>
      <c r="T78" s="237"/>
      <c r="U78" s="237"/>
      <c r="V78" s="237"/>
      <c r="W78" s="237"/>
      <c r="X78" s="237"/>
      <c r="Y78" s="237"/>
      <c r="Z78" s="237"/>
      <c r="AA78" s="237"/>
    </row>
    <row r="79" spans="1:27" s="391" customFormat="1" ht="30" hidden="1" x14ac:dyDescent="0.25">
      <c r="A79" s="529"/>
      <c r="B79" s="76"/>
      <c r="C79" s="411" t="str">
        <f>'Du toan chi tiet'!C39</f>
        <v>AF.86211</v>
      </c>
      <c r="D79" s="411"/>
      <c r="E79" s="155" t="str">
        <f>'Du toan chi tiet'!D39</f>
        <v>Ván khuôn thép, khung xương, cột chống giáo ống, tường cánh chiều cao ≤28m</v>
      </c>
      <c r="F79" s="76" t="str">
        <f>'Du toan chi tiet'!E39</f>
        <v>m2</v>
      </c>
      <c r="G79" s="381">
        <f>'Du toan chi tiet'!M39</f>
        <v>0.81</v>
      </c>
      <c r="H79" s="381" t="e">
        <f>'Phan tich don gia'!#REF!</f>
        <v>#REF!</v>
      </c>
      <c r="I79" s="381">
        <f>'Du toan chi tiet'!X39</f>
        <v>1</v>
      </c>
      <c r="J79" s="381" t="e">
        <f t="shared" si="14"/>
        <v>#REF!</v>
      </c>
      <c r="K79" s="237"/>
      <c r="L79" s="237"/>
      <c r="M79" s="237"/>
      <c r="N79" s="237"/>
      <c r="O79" s="237"/>
      <c r="P79" s="237"/>
      <c r="Q79" s="237"/>
      <c r="R79" s="237"/>
      <c r="S79" s="237"/>
      <c r="T79" s="237"/>
      <c r="U79" s="237"/>
      <c r="V79" s="237"/>
      <c r="W79" s="237"/>
      <c r="X79" s="237"/>
      <c r="Y79" s="237"/>
      <c r="Z79" s="237"/>
      <c r="AA79" s="237"/>
    </row>
    <row r="80" spans="1:27" x14ac:dyDescent="0.25">
      <c r="A80" s="159" t="s">
        <v>262</v>
      </c>
      <c r="B80" s="649">
        <v>21</v>
      </c>
      <c r="C80" s="214" t="s">
        <v>1060</v>
      </c>
      <c r="D80" s="214">
        <f>'Giá Máy'!D22</f>
        <v>0</v>
      </c>
      <c r="E80" s="720" t="str">
        <f>'Giá Máy'!E22</f>
        <v>Ô tô vận tải thùng 2,5T</v>
      </c>
      <c r="F80" s="649" t="s">
        <v>717</v>
      </c>
      <c r="G80" s="176"/>
      <c r="H80" s="176"/>
      <c r="I80" s="176"/>
      <c r="J80" s="176">
        <f>SUM(J81:J82)</f>
        <v>0.45740000000000003</v>
      </c>
      <c r="K80" s="10">
        <f>'Giá Máy'!G22</f>
        <v>752384</v>
      </c>
      <c r="L80" s="10">
        <f>J80*K80</f>
        <v>344140.44160000002</v>
      </c>
      <c r="M80" s="10">
        <f>'Giá Máy'!H22</f>
        <v>752384</v>
      </c>
      <c r="N80" s="10">
        <f>J80*M80</f>
        <v>344140.44160000002</v>
      </c>
      <c r="O80" s="10">
        <f>M80-K80</f>
        <v>0</v>
      </c>
      <c r="P80" s="10">
        <f>J80*O80</f>
        <v>0</v>
      </c>
      <c r="Q80" s="10">
        <v>1</v>
      </c>
      <c r="R80" s="10">
        <f>M80*Q80</f>
        <v>752384</v>
      </c>
      <c r="S80" s="10">
        <f>J80*R80</f>
        <v>344140.44160000002</v>
      </c>
      <c r="T80" s="10">
        <v>0</v>
      </c>
      <c r="U80" s="10">
        <v>0</v>
      </c>
      <c r="V80" s="88">
        <f>'Giá Máy'!N22</f>
        <v>0</v>
      </c>
      <c r="W80" s="10">
        <f>J80*V80</f>
        <v>0</v>
      </c>
      <c r="X80" s="10">
        <f>'Giá Máy'!O22</f>
        <v>752384</v>
      </c>
      <c r="Y80" s="10">
        <f>J80*X80</f>
        <v>344140.44160000002</v>
      </c>
      <c r="Z80" s="10">
        <f>X80-K80</f>
        <v>0</v>
      </c>
      <c r="AA80" s="10">
        <f>J80*Z80</f>
        <v>0</v>
      </c>
    </row>
    <row r="81" spans="1:27" s="391" customFormat="1" ht="30" hidden="1" x14ac:dyDescent="0.25">
      <c r="A81" s="529"/>
      <c r="B81" s="76"/>
      <c r="C81" s="411" t="str">
        <f>'Du toan chi tiet'!C24</f>
        <v>AK.91141vd</v>
      </c>
      <c r="D81" s="411"/>
      <c r="E81" s="155" t="str">
        <f>'Du toan chi tiet'!D24</f>
        <v>Sơn kẻ đường bằng sơn dẻo nhiệt phản quang, dày sơn 6mm</v>
      </c>
      <c r="F81" s="76" t="str">
        <f>'Du toan chi tiet'!E24</f>
        <v>m2</v>
      </c>
      <c r="G81" s="381">
        <f>'Du toan chi tiet'!M24</f>
        <v>6.6</v>
      </c>
      <c r="H81" s="381">
        <f>'Phan tich don gia'!G137</f>
        <v>6.4000000000000001E-2</v>
      </c>
      <c r="I81" s="381">
        <f>'Du toan chi tiet'!X24</f>
        <v>1</v>
      </c>
      <c r="J81" s="381">
        <f t="shared" ref="J81:J82" si="15">PRODUCT(G81,H81,I81)</f>
        <v>0.4224</v>
      </c>
      <c r="K81" s="237"/>
      <c r="L81" s="237"/>
      <c r="M81" s="237"/>
      <c r="N81" s="237"/>
      <c r="O81" s="237"/>
      <c r="P81" s="237"/>
      <c r="Q81" s="237"/>
      <c r="R81" s="237"/>
      <c r="S81" s="237"/>
      <c r="T81" s="237"/>
      <c r="U81" s="237"/>
      <c r="V81" s="237"/>
      <c r="W81" s="237"/>
      <c r="X81" s="237"/>
      <c r="Y81" s="237"/>
      <c r="Z81" s="237"/>
      <c r="AA81" s="237"/>
    </row>
    <row r="82" spans="1:27" s="391" customFormat="1" ht="45" hidden="1" x14ac:dyDescent="0.25">
      <c r="A82" s="529"/>
      <c r="B82" s="76"/>
      <c r="C82" s="411" t="str">
        <f>'Du toan chi tiet'!C28</f>
        <v>AD.32531</v>
      </c>
      <c r="D82" s="411"/>
      <c r="E82" s="155" t="str">
        <f>'Du toan chi tiet'!D28</f>
        <v>Lắp đặt cột và biển báo phản quang - Loại biển báo phản quang: Biển tam giác cạnh 70cm</v>
      </c>
      <c r="F82" s="76" t="str">
        <f>'Du toan chi tiet'!E28</f>
        <v>cái</v>
      </c>
      <c r="G82" s="381">
        <f>'Du toan chi tiet'!M28</f>
        <v>1</v>
      </c>
      <c r="H82" s="381">
        <f>'Phan tich don gia'!G164</f>
        <v>3.5000000000000003E-2</v>
      </c>
      <c r="I82" s="381">
        <f>'Du toan chi tiet'!X28</f>
        <v>1</v>
      </c>
      <c r="J82" s="381">
        <f t="shared" si="15"/>
        <v>3.5000000000000003E-2</v>
      </c>
      <c r="K82" s="237"/>
      <c r="L82" s="237"/>
      <c r="M82" s="237"/>
      <c r="N82" s="237"/>
      <c r="O82" s="237"/>
      <c r="P82" s="237"/>
      <c r="Q82" s="237"/>
      <c r="R82" s="237"/>
      <c r="S82" s="237"/>
      <c r="T82" s="237"/>
      <c r="U82" s="237"/>
      <c r="V82" s="237"/>
      <c r="W82" s="237"/>
      <c r="X82" s="237"/>
      <c r="Y82" s="237"/>
      <c r="Z82" s="237"/>
      <c r="AA82" s="237"/>
    </row>
    <row r="83" spans="1:27" x14ac:dyDescent="0.25">
      <c r="A83" s="159" t="s">
        <v>262</v>
      </c>
      <c r="B83" s="649">
        <v>22</v>
      </c>
      <c r="C83" s="214" t="s">
        <v>970</v>
      </c>
      <c r="D83" s="214">
        <f>'Giá Máy'!D23</f>
        <v>0</v>
      </c>
      <c r="E83" s="720" t="str">
        <f>'Giá Máy'!E23</f>
        <v>Ô tô tưới nước 5m3</v>
      </c>
      <c r="F83" s="649" t="s">
        <v>717</v>
      </c>
      <c r="G83" s="176"/>
      <c r="H83" s="176"/>
      <c r="I83" s="176"/>
      <c r="J83" s="176">
        <f>SUM(J84:J86)</f>
        <v>0.46278960000000002</v>
      </c>
      <c r="K83" s="10">
        <f>'Giá Máy'!G23</f>
        <v>1202488</v>
      </c>
      <c r="L83" s="10">
        <f>J83*K83</f>
        <v>556498.94052479998</v>
      </c>
      <c r="M83" s="10">
        <f>'Giá Máy'!H23</f>
        <v>1202488</v>
      </c>
      <c r="N83" s="10">
        <f>J83*M83</f>
        <v>556498.94052479998</v>
      </c>
      <c r="O83" s="10">
        <f>M83-K83</f>
        <v>0</v>
      </c>
      <c r="P83" s="10">
        <f>J83*O83</f>
        <v>0</v>
      </c>
      <c r="Q83" s="10">
        <v>1</v>
      </c>
      <c r="R83" s="10">
        <f>M83*Q83</f>
        <v>1202488</v>
      </c>
      <c r="S83" s="10">
        <f>J83*R83</f>
        <v>556498.94052479998</v>
      </c>
      <c r="T83" s="10">
        <v>0</v>
      </c>
      <c r="U83" s="10">
        <v>0</v>
      </c>
      <c r="V83" s="88">
        <f>'Giá Máy'!N23</f>
        <v>0</v>
      </c>
      <c r="W83" s="10">
        <f>J83*V83</f>
        <v>0</v>
      </c>
      <c r="X83" s="10">
        <f>'Giá Máy'!O23</f>
        <v>1202488</v>
      </c>
      <c r="Y83" s="10">
        <f>J83*X83</f>
        <v>556498.94052479998</v>
      </c>
      <c r="Z83" s="10">
        <f>X83-K83</f>
        <v>0</v>
      </c>
      <c r="AA83" s="10">
        <f>J83*Z83</f>
        <v>0</v>
      </c>
    </row>
    <row r="84" spans="1:27" s="391" customFormat="1" ht="45" hidden="1" x14ac:dyDescent="0.25">
      <c r="A84" s="529"/>
      <c r="B84" s="76"/>
      <c r="C84" s="411" t="str">
        <f>'Du toan chi tiet'!C8</f>
        <v>AD.23263</v>
      </c>
      <c r="D84" s="411"/>
      <c r="E84" s="155" t="str">
        <f>'Du toan chi tiet'!D8</f>
        <v>Rải thảm mặt đường Carboncor Asphalt, bằng phương pháp thủ cơ giới, chiều dày mặt đường đã lèn ép 3cm</v>
      </c>
      <c r="F84" s="76" t="str">
        <f>'Du toan chi tiet'!E8</f>
        <v>m2</v>
      </c>
      <c r="G84" s="381">
        <f>'Du toan chi tiet'!M8</f>
        <v>1631.42</v>
      </c>
      <c r="H84" s="381">
        <f>'Phan tich don gia'!G15</f>
        <v>2.1000000000000001E-4</v>
      </c>
      <c r="I84" s="381">
        <f>'Du toan chi tiet'!X8</f>
        <v>1</v>
      </c>
      <c r="J84" s="381">
        <f t="shared" ref="J84:J86" si="16">PRODUCT(G84,H84,I84)</f>
        <v>0.34259820000000002</v>
      </c>
      <c r="K84" s="237"/>
      <c r="L84" s="237"/>
      <c r="M84" s="237"/>
      <c r="N84" s="237"/>
      <c r="O84" s="237"/>
      <c r="P84" s="237"/>
      <c r="Q84" s="237"/>
      <c r="R84" s="237"/>
      <c r="S84" s="237"/>
      <c r="T84" s="237"/>
      <c r="U84" s="237"/>
      <c r="V84" s="237"/>
      <c r="W84" s="237"/>
      <c r="X84" s="237"/>
      <c r="Y84" s="237"/>
      <c r="Z84" s="237"/>
      <c r="AA84" s="237"/>
    </row>
    <row r="85" spans="1:27" s="391" customFormat="1" ht="45" hidden="1" x14ac:dyDescent="0.25">
      <c r="A85" s="529"/>
      <c r="B85" s="76"/>
      <c r="C85" s="411" t="str">
        <f>'Du toan chi tiet'!C9</f>
        <v>AD.23261vd</v>
      </c>
      <c r="D85" s="411"/>
      <c r="E85" s="155" t="str">
        <f>'Du toan chi tiet'!D9</f>
        <v>Rải thảm mặt đường Carboncor Asphalt, bằng phương pháp thủ cơ giới, chiều dày mặt đường đã lèn ép 1cm</v>
      </c>
      <c r="F85" s="76" t="str">
        <f>'Du toan chi tiet'!E9</f>
        <v>m2</v>
      </c>
      <c r="G85" s="381">
        <f>'Du toan chi tiet'!M9</f>
        <v>856.71</v>
      </c>
      <c r="H85" s="381">
        <f>'Phan tich don gia'!G26</f>
        <v>1.4000000000000001E-4</v>
      </c>
      <c r="I85" s="381">
        <f>'Du toan chi tiet'!X9</f>
        <v>1</v>
      </c>
      <c r="J85" s="381">
        <f t="shared" si="16"/>
        <v>0.11993940000000002</v>
      </c>
      <c r="K85" s="237"/>
      <c r="L85" s="237"/>
      <c r="M85" s="237"/>
      <c r="N85" s="237"/>
      <c r="O85" s="237"/>
      <c r="P85" s="237"/>
      <c r="Q85" s="237"/>
      <c r="R85" s="237"/>
      <c r="S85" s="237"/>
      <c r="T85" s="237"/>
      <c r="U85" s="237"/>
      <c r="V85" s="237"/>
      <c r="W85" s="237"/>
      <c r="X85" s="237"/>
      <c r="Y85" s="237"/>
      <c r="Z85" s="237"/>
      <c r="AA85" s="237"/>
    </row>
    <row r="86" spans="1:27" s="391" customFormat="1" ht="45" hidden="1" x14ac:dyDescent="0.25">
      <c r="A86" s="529"/>
      <c r="B86" s="76"/>
      <c r="C86" s="411" t="str">
        <f>'Du toan chi tiet'!C49</f>
        <v>AD.23263</v>
      </c>
      <c r="D86" s="411"/>
      <c r="E86" s="155" t="str">
        <f>'Du toan chi tiet'!D49</f>
        <v>Rải thảm mặt đường Carboncor Asphalt, bằng phương pháp thủ cơ giới, chiều dày mặt đường đã lèn ép 3cm</v>
      </c>
      <c r="F86" s="76" t="str">
        <f>'Du toan chi tiet'!E49</f>
        <v>m2</v>
      </c>
      <c r="G86" s="381">
        <f>'Du toan chi tiet'!M49</f>
        <v>1.2</v>
      </c>
      <c r="H86" s="381">
        <f>'Phan tich don gia'!G332</f>
        <v>2.1000000000000001E-4</v>
      </c>
      <c r="I86" s="381">
        <f>'Du toan chi tiet'!X49</f>
        <v>1</v>
      </c>
      <c r="J86" s="381">
        <f t="shared" si="16"/>
        <v>2.52E-4</v>
      </c>
      <c r="K86" s="237"/>
      <c r="L86" s="237"/>
      <c r="M86" s="237"/>
      <c r="N86" s="237"/>
      <c r="O86" s="237"/>
      <c r="P86" s="237"/>
      <c r="Q86" s="237"/>
      <c r="R86" s="237"/>
      <c r="S86" s="237"/>
      <c r="T86" s="237"/>
      <c r="U86" s="237"/>
      <c r="V86" s="237"/>
      <c r="W86" s="237"/>
      <c r="X86" s="237"/>
      <c r="Y86" s="237"/>
      <c r="Z86" s="237"/>
      <c r="AA86" s="237"/>
    </row>
    <row r="87" spans="1:27" x14ac:dyDescent="0.25">
      <c r="A87" s="159" t="s">
        <v>262</v>
      </c>
      <c r="B87" s="649">
        <v>23</v>
      </c>
      <c r="C87" s="214" t="s">
        <v>995</v>
      </c>
      <c r="D87" s="214">
        <f>'Giá Máy'!D24</f>
        <v>0</v>
      </c>
      <c r="E87" s="720" t="str">
        <f>'Giá Máy'!E24</f>
        <v>Thiết bị sơn kẻ vạch YHK 10A</v>
      </c>
      <c r="F87" s="649" t="s">
        <v>717</v>
      </c>
      <c r="G87" s="176"/>
      <c r="H87" s="176"/>
      <c r="I87" s="176"/>
      <c r="J87" s="176">
        <f>SUM(J88:J88)</f>
        <v>0.52800000000000002</v>
      </c>
      <c r="K87" s="10">
        <f>'Giá Máy'!G24</f>
        <v>366617</v>
      </c>
      <c r="L87" s="10">
        <f>J87*K87</f>
        <v>193573.77600000001</v>
      </c>
      <c r="M87" s="10">
        <f>'Giá Máy'!H24</f>
        <v>366617</v>
      </c>
      <c r="N87" s="10">
        <f>J87*M87</f>
        <v>193573.77600000001</v>
      </c>
      <c r="O87" s="10">
        <f>M87-K87</f>
        <v>0</v>
      </c>
      <c r="P87" s="10">
        <f>J87*O87</f>
        <v>0</v>
      </c>
      <c r="Q87" s="10">
        <v>1</v>
      </c>
      <c r="R87" s="10">
        <f>M87*Q87</f>
        <v>366617</v>
      </c>
      <c r="S87" s="10">
        <f>J87*R87</f>
        <v>193573.77600000001</v>
      </c>
      <c r="T87" s="10">
        <v>0</v>
      </c>
      <c r="U87" s="10">
        <v>0</v>
      </c>
      <c r="V87" s="10">
        <f>'Giá Máy'!N24</f>
        <v>0</v>
      </c>
      <c r="W87" s="10">
        <f>J87*V87</f>
        <v>0</v>
      </c>
      <c r="X87" s="10">
        <f>'Giá Máy'!O24</f>
        <v>366617</v>
      </c>
      <c r="Y87" s="10">
        <f>J87*X87</f>
        <v>193573.77600000001</v>
      </c>
      <c r="Z87" s="10">
        <f>X87-K87</f>
        <v>0</v>
      </c>
      <c r="AA87" s="10">
        <f>J87*Z87</f>
        <v>0</v>
      </c>
    </row>
    <row r="88" spans="1:27" s="391" customFormat="1" ht="30" hidden="1" x14ac:dyDescent="0.25">
      <c r="A88" s="529"/>
      <c r="B88" s="76"/>
      <c r="C88" s="411" t="str">
        <f>'Du toan chi tiet'!C24</f>
        <v>AK.91141vd</v>
      </c>
      <c r="D88" s="411"/>
      <c r="E88" s="155" t="str">
        <f>'Du toan chi tiet'!D24</f>
        <v>Sơn kẻ đường bằng sơn dẻo nhiệt phản quang, dày sơn 6mm</v>
      </c>
      <c r="F88" s="76" t="str">
        <f>'Du toan chi tiet'!E24</f>
        <v>m2</v>
      </c>
      <c r="G88" s="381">
        <f>'Du toan chi tiet'!M24</f>
        <v>6.6</v>
      </c>
      <c r="H88" s="381">
        <f>'Phan tich don gia'!G135</f>
        <v>0.08</v>
      </c>
      <c r="I88" s="381">
        <f>'Du toan chi tiet'!X24</f>
        <v>1</v>
      </c>
      <c r="J88" s="381">
        <f>PRODUCT(G88,H88,I88)</f>
        <v>0.52800000000000002</v>
      </c>
      <c r="K88" s="237"/>
      <c r="L88" s="237"/>
      <c r="M88" s="237"/>
      <c r="N88" s="237"/>
      <c r="O88" s="237"/>
      <c r="P88" s="237"/>
      <c r="Q88" s="237"/>
      <c r="R88" s="237"/>
      <c r="S88" s="237"/>
      <c r="T88" s="237"/>
      <c r="U88" s="237"/>
      <c r="V88" s="237"/>
      <c r="W88" s="237"/>
      <c r="X88" s="237"/>
      <c r="Y88" s="237"/>
      <c r="Z88" s="237"/>
      <c r="AA88" s="237"/>
    </row>
    <row r="89" spans="1:27" x14ac:dyDescent="0.25">
      <c r="A89" s="159" t="s">
        <v>262</v>
      </c>
      <c r="B89" s="649">
        <v>24</v>
      </c>
      <c r="C89" s="214" t="s">
        <v>798</v>
      </c>
      <c r="D89" s="214">
        <f>'Giá Máy'!D25</f>
        <v>0</v>
      </c>
      <c r="E89" s="720" t="str">
        <f>'Giá Máy'!E25</f>
        <v>Máy lu bánh thép 6T</v>
      </c>
      <c r="F89" s="649" t="s">
        <v>717</v>
      </c>
      <c r="G89" s="176"/>
      <c r="H89" s="176"/>
      <c r="I89" s="176"/>
      <c r="J89" s="176">
        <f>SUM(J90:J92)</f>
        <v>1.3598118000000001</v>
      </c>
      <c r="K89" s="10">
        <f>'Giá Máy'!G25</f>
        <v>953819</v>
      </c>
      <c r="L89" s="10">
        <f>J89*K89</f>
        <v>1297014.3312642002</v>
      </c>
      <c r="M89" s="10">
        <f>'Giá Máy'!H25</f>
        <v>953819</v>
      </c>
      <c r="N89" s="10">
        <f>J89*M89</f>
        <v>1297014.3312642002</v>
      </c>
      <c r="O89" s="10">
        <f>M89-K89</f>
        <v>0</v>
      </c>
      <c r="P89" s="10">
        <f>J89*O89</f>
        <v>0</v>
      </c>
      <c r="Q89" s="10">
        <v>1</v>
      </c>
      <c r="R89" s="10">
        <f>M89*Q89</f>
        <v>953819</v>
      </c>
      <c r="S89" s="10">
        <f>J89*R89</f>
        <v>1297014.3312642002</v>
      </c>
      <c r="T89" s="10">
        <v>0</v>
      </c>
      <c r="U89" s="10">
        <v>0</v>
      </c>
      <c r="V89" s="88">
        <f>'Giá Máy'!N25</f>
        <v>0</v>
      </c>
      <c r="W89" s="10">
        <f>J89*V89</f>
        <v>0</v>
      </c>
      <c r="X89" s="10">
        <f>'Giá Máy'!O25</f>
        <v>953819</v>
      </c>
      <c r="Y89" s="10">
        <f>J89*X89</f>
        <v>1297014.3312642002</v>
      </c>
      <c r="Z89" s="10">
        <f>X89-K89</f>
        <v>0</v>
      </c>
      <c r="AA89" s="10">
        <f>J89*Z89</f>
        <v>0</v>
      </c>
    </row>
    <row r="90" spans="1:27" s="391" customFormat="1" ht="45" hidden="1" x14ac:dyDescent="0.25">
      <c r="A90" s="529"/>
      <c r="B90" s="76"/>
      <c r="C90" s="411" t="str">
        <f>'Du toan chi tiet'!C8</f>
        <v>AD.23263</v>
      </c>
      <c r="D90" s="411"/>
      <c r="E90" s="155" t="str">
        <f>'Du toan chi tiet'!D8</f>
        <v>Rải thảm mặt đường Carboncor Asphalt, bằng phương pháp thủ cơ giới, chiều dày mặt đường đã lèn ép 3cm</v>
      </c>
      <c r="F90" s="76" t="str">
        <f>'Du toan chi tiet'!E8</f>
        <v>m2</v>
      </c>
      <c r="G90" s="381">
        <f>'Du toan chi tiet'!M8</f>
        <v>1631.42</v>
      </c>
      <c r="H90" s="381">
        <f>'Phan tich don gia'!G14</f>
        <v>6.3000000000000003E-4</v>
      </c>
      <c r="I90" s="381">
        <f>'Du toan chi tiet'!X8</f>
        <v>1</v>
      </c>
      <c r="J90" s="381">
        <f t="shared" ref="J90:J92" si="17">PRODUCT(G90,H90,I90)</f>
        <v>1.0277946</v>
      </c>
      <c r="K90" s="237"/>
      <c r="L90" s="237"/>
      <c r="M90" s="237"/>
      <c r="N90" s="237"/>
      <c r="O90" s="237"/>
      <c r="P90" s="237"/>
      <c r="Q90" s="237"/>
      <c r="R90" s="237"/>
      <c r="S90" s="237"/>
      <c r="T90" s="237"/>
      <c r="U90" s="237"/>
      <c r="V90" s="237"/>
      <c r="W90" s="237"/>
      <c r="X90" s="237"/>
      <c r="Y90" s="237"/>
      <c r="Z90" s="237"/>
      <c r="AA90" s="237"/>
    </row>
    <row r="91" spans="1:27" s="391" customFormat="1" ht="45" hidden="1" x14ac:dyDescent="0.25">
      <c r="A91" s="529"/>
      <c r="B91" s="76"/>
      <c r="C91" s="411" t="str">
        <f>'Du toan chi tiet'!C9</f>
        <v>AD.23261vd</v>
      </c>
      <c r="D91" s="411"/>
      <c r="E91" s="155" t="str">
        <f>'Du toan chi tiet'!D9</f>
        <v>Rải thảm mặt đường Carboncor Asphalt, bằng phương pháp thủ cơ giới, chiều dày mặt đường đã lèn ép 1cm</v>
      </c>
      <c r="F91" s="76" t="str">
        <f>'Du toan chi tiet'!E9</f>
        <v>m2</v>
      </c>
      <c r="G91" s="381">
        <f>'Du toan chi tiet'!M9</f>
        <v>856.71</v>
      </c>
      <c r="H91" s="381">
        <f>'Phan tich don gia'!G25</f>
        <v>3.8666666666666667E-4</v>
      </c>
      <c r="I91" s="381">
        <f>'Du toan chi tiet'!X9</f>
        <v>1</v>
      </c>
      <c r="J91" s="381">
        <f t="shared" si="17"/>
        <v>0.33126120000000003</v>
      </c>
      <c r="K91" s="237"/>
      <c r="L91" s="237"/>
      <c r="M91" s="237"/>
      <c r="N91" s="237"/>
      <c r="O91" s="237"/>
      <c r="P91" s="237"/>
      <c r="Q91" s="237"/>
      <c r="R91" s="237"/>
      <c r="S91" s="237"/>
      <c r="T91" s="237"/>
      <c r="U91" s="237"/>
      <c r="V91" s="237"/>
      <c r="W91" s="237"/>
      <c r="X91" s="237"/>
      <c r="Y91" s="237"/>
      <c r="Z91" s="237"/>
      <c r="AA91" s="237"/>
    </row>
    <row r="92" spans="1:27" s="391" customFormat="1" ht="45" hidden="1" x14ac:dyDescent="0.25">
      <c r="A92" s="529"/>
      <c r="B92" s="76"/>
      <c r="C92" s="411" t="str">
        <f>'Du toan chi tiet'!C49</f>
        <v>AD.23263</v>
      </c>
      <c r="D92" s="411"/>
      <c r="E92" s="155" t="str">
        <f>'Du toan chi tiet'!D49</f>
        <v>Rải thảm mặt đường Carboncor Asphalt, bằng phương pháp thủ cơ giới, chiều dày mặt đường đã lèn ép 3cm</v>
      </c>
      <c r="F92" s="76" t="str">
        <f>'Du toan chi tiet'!E49</f>
        <v>m2</v>
      </c>
      <c r="G92" s="381">
        <f>'Du toan chi tiet'!M49</f>
        <v>1.2</v>
      </c>
      <c r="H92" s="381">
        <f>'Phan tich don gia'!G331</f>
        <v>6.3000000000000003E-4</v>
      </c>
      <c r="I92" s="381">
        <f>'Du toan chi tiet'!X49</f>
        <v>1</v>
      </c>
      <c r="J92" s="381">
        <f t="shared" si="17"/>
        <v>7.5600000000000005E-4</v>
      </c>
      <c r="K92" s="237"/>
      <c r="L92" s="237"/>
      <c r="M92" s="237"/>
      <c r="N92" s="237"/>
      <c r="O92" s="237"/>
      <c r="P92" s="237"/>
      <c r="Q92" s="237"/>
      <c r="R92" s="237"/>
      <c r="S92" s="237"/>
      <c r="T92" s="237"/>
      <c r="U92" s="237"/>
      <c r="V92" s="237"/>
      <c r="W92" s="237"/>
      <c r="X92" s="237"/>
      <c r="Y92" s="237"/>
      <c r="Z92" s="237"/>
      <c r="AA92" s="237"/>
    </row>
    <row r="93" spans="1:27" x14ac:dyDescent="0.25">
      <c r="A93" s="159" t="s">
        <v>262</v>
      </c>
      <c r="B93" s="649">
        <v>25</v>
      </c>
      <c r="C93" s="214" t="s">
        <v>1162</v>
      </c>
      <c r="D93" s="214"/>
      <c r="E93" s="720" t="s">
        <v>1166</v>
      </c>
      <c r="F93" s="649" t="s">
        <v>1113</v>
      </c>
      <c r="G93" s="176"/>
      <c r="H93" s="176"/>
      <c r="I93" s="176"/>
      <c r="J93" s="176" t="e">
        <f>SUM(J94:J105)</f>
        <v>#REF!</v>
      </c>
      <c r="K93" s="10">
        <v>0</v>
      </c>
      <c r="L93" s="10" t="e">
        <f>SUM(L94:L105)</f>
        <v>#REF!</v>
      </c>
      <c r="M93" s="10">
        <v>0</v>
      </c>
      <c r="N93" s="10" t="e">
        <f>SUM(N94:N105)</f>
        <v>#REF!</v>
      </c>
      <c r="O93" s="10">
        <v>0</v>
      </c>
      <c r="P93" s="10">
        <v>0</v>
      </c>
      <c r="Q93" s="10">
        <v>1</v>
      </c>
      <c r="R93" s="10">
        <v>0</v>
      </c>
      <c r="S93" s="10" t="e">
        <f>SUM(S94:S105)</f>
        <v>#REF!</v>
      </c>
      <c r="T93" s="10">
        <v>0</v>
      </c>
      <c r="U93" s="10">
        <v>0</v>
      </c>
      <c r="V93" s="10">
        <v>0</v>
      </c>
      <c r="W93" s="10" t="e">
        <f>SUM(W94:W105)</f>
        <v>#REF!</v>
      </c>
      <c r="X93" s="10">
        <v>0</v>
      </c>
      <c r="Y93" s="10" t="e">
        <f>SUM(Y94:Y105)</f>
        <v>#REF!</v>
      </c>
      <c r="Z93" s="10"/>
      <c r="AA93" s="10" t="e">
        <f>SUM(AA94:AA105)</f>
        <v>#REF!</v>
      </c>
    </row>
    <row r="94" spans="1:27" s="391" customFormat="1" hidden="1" x14ac:dyDescent="0.25">
      <c r="A94" s="529"/>
      <c r="B94" s="76"/>
      <c r="C94" s="411" t="str">
        <f>'Du toan chi tiet'!C13</f>
        <v>AF.82411</v>
      </c>
      <c r="D94" s="411"/>
      <c r="E94" s="155" t="str">
        <f>'Du toan chi tiet'!D13</f>
        <v>Ván khuôn thép mặt đường bê tông</v>
      </c>
      <c r="F94" s="76" t="str">
        <f>'Du toan chi tiet'!E13</f>
        <v>m2</v>
      </c>
      <c r="G94" s="381">
        <f>'Du toan chi tiet'!M13</f>
        <v>105.49</v>
      </c>
      <c r="H94" s="381">
        <f>'Phan tich don gia'!G63</f>
        <v>2</v>
      </c>
      <c r="I94" s="381">
        <f>'Du toan chi tiet'!X13</f>
        <v>1</v>
      </c>
      <c r="J94" s="381">
        <f t="shared" ref="J94:J105" si="18">PRODUCT(G94,H94,I94)</f>
        <v>210.98</v>
      </c>
      <c r="K94" s="237">
        <f>'Phan tich don gia'!J63</f>
        <v>20.072933999999997</v>
      </c>
      <c r="L94" s="237">
        <f t="shared" ref="L94:L105" si="19">J94*K94</f>
        <v>4234.9876153199993</v>
      </c>
      <c r="M94" s="237">
        <f>'Phan tich don gia'!L63</f>
        <v>20.072933999999997</v>
      </c>
      <c r="N94" s="237">
        <f t="shared" ref="N94:N105" si="20">J94*M94</f>
        <v>4234.9876153199993</v>
      </c>
      <c r="O94" s="237">
        <f t="shared" ref="O94:O105" si="21">M94-K94</f>
        <v>0</v>
      </c>
      <c r="P94" s="237">
        <f t="shared" ref="P94:P105" si="22">J94*O94</f>
        <v>0</v>
      </c>
      <c r="Q94" s="237">
        <v>1</v>
      </c>
      <c r="R94" s="237">
        <f t="shared" ref="R94:R105" si="23">M94*Q94</f>
        <v>20.072933999999997</v>
      </c>
      <c r="S94" s="237">
        <f t="shared" ref="S94:S105" si="24">J94*R94</f>
        <v>4234.9876153199993</v>
      </c>
      <c r="T94" s="237"/>
      <c r="U94" s="237"/>
      <c r="V94" s="237">
        <v>4.0650459897599998</v>
      </c>
      <c r="W94" s="237">
        <f t="shared" ref="W94:W105" si="25">J94*V94</f>
        <v>857.64340291956466</v>
      </c>
      <c r="X94" s="237">
        <f>'Phan tich don gia'!P63</f>
        <v>20.072933999999997</v>
      </c>
      <c r="Y94" s="237">
        <f t="shared" ref="Y94:Y105" si="26">J94*X94</f>
        <v>4234.9876153199993</v>
      </c>
      <c r="Z94" s="237">
        <f t="shared" ref="Z94:Z105" si="27">X94-K94</f>
        <v>0</v>
      </c>
      <c r="AA94" s="237">
        <f t="shared" ref="AA94:AA105" si="28">J94*Z94</f>
        <v>0</v>
      </c>
    </row>
    <row r="95" spans="1:27" s="391" customFormat="1" hidden="1" x14ac:dyDescent="0.25">
      <c r="A95" s="529"/>
      <c r="B95" s="76"/>
      <c r="C95" s="411" t="str">
        <f>'Du toan chi tiet'!C48</f>
        <v>AF.82411</v>
      </c>
      <c r="D95" s="411"/>
      <c r="E95" s="155" t="str">
        <f>'Du toan chi tiet'!D48</f>
        <v>Ván khuôn thép mặt đường bê tông</v>
      </c>
      <c r="F95" s="76" t="str">
        <f>'Du toan chi tiet'!E48</f>
        <v>m2</v>
      </c>
      <c r="G95" s="381">
        <f>'Du toan chi tiet'!M48</f>
        <v>3.22</v>
      </c>
      <c r="H95" s="381">
        <f>'Phan tich don gia'!G322</f>
        <v>2</v>
      </c>
      <c r="I95" s="381">
        <f>'Du toan chi tiet'!X48</f>
        <v>1</v>
      </c>
      <c r="J95" s="381">
        <f t="shared" si="18"/>
        <v>6.44</v>
      </c>
      <c r="K95" s="237">
        <f>'Phan tich don gia'!J322</f>
        <v>20.072933999999997</v>
      </c>
      <c r="L95" s="237">
        <f t="shared" si="19"/>
        <v>129.26969495999998</v>
      </c>
      <c r="M95" s="237">
        <f>'Phan tich don gia'!L322</f>
        <v>20.072933999999997</v>
      </c>
      <c r="N95" s="237">
        <f t="shared" si="20"/>
        <v>129.26969495999998</v>
      </c>
      <c r="O95" s="237">
        <f t="shared" si="21"/>
        <v>0</v>
      </c>
      <c r="P95" s="237">
        <f t="shared" si="22"/>
        <v>0</v>
      </c>
      <c r="Q95" s="237">
        <v>1</v>
      </c>
      <c r="R95" s="237">
        <f t="shared" si="23"/>
        <v>20.072933999999997</v>
      </c>
      <c r="S95" s="237">
        <f t="shared" si="24"/>
        <v>129.26969495999998</v>
      </c>
      <c r="T95" s="237"/>
      <c r="U95" s="237"/>
      <c r="V95" s="237">
        <v>4.0650459897599998</v>
      </c>
      <c r="W95" s="237">
        <f t="shared" si="25"/>
        <v>26.178896174054401</v>
      </c>
      <c r="X95" s="237">
        <f>'Phan tich don gia'!P322</f>
        <v>20.072933999999997</v>
      </c>
      <c r="Y95" s="237">
        <f t="shared" si="26"/>
        <v>129.26969495999998</v>
      </c>
      <c r="Z95" s="237">
        <f t="shared" si="27"/>
        <v>0</v>
      </c>
      <c r="AA95" s="237">
        <f t="shared" si="28"/>
        <v>0</v>
      </c>
    </row>
    <row r="96" spans="1:27" s="391" customFormat="1" hidden="1" x14ac:dyDescent="0.25">
      <c r="A96" s="529"/>
      <c r="B96" s="76"/>
      <c r="C96" s="411" t="e">
        <f>'Du toan chi tiet'!#REF!</f>
        <v>#REF!</v>
      </c>
      <c r="D96" s="411"/>
      <c r="E96" s="155" t="e">
        <f>'Du toan chi tiet'!#REF!</f>
        <v>#REF!</v>
      </c>
      <c r="F96" s="76" t="e">
        <f>'Du toan chi tiet'!#REF!</f>
        <v>#REF!</v>
      </c>
      <c r="G96" s="381" t="e">
        <f>'Du toan chi tiet'!#REF!</f>
        <v>#REF!</v>
      </c>
      <c r="H96" s="381" t="e">
        <f>'Phan tich don gia'!#REF!</f>
        <v>#REF!</v>
      </c>
      <c r="I96" s="381" t="e">
        <f>'Du toan chi tiet'!#REF!</f>
        <v>#REF!</v>
      </c>
      <c r="J96" s="381" t="e">
        <f t="shared" si="18"/>
        <v>#REF!</v>
      </c>
      <c r="K96" s="237" t="e">
        <f>'Phan tich don gia'!#REF!</f>
        <v>#REF!</v>
      </c>
      <c r="L96" s="237" t="e">
        <f t="shared" si="19"/>
        <v>#REF!</v>
      </c>
      <c r="M96" s="237" t="e">
        <f>'Phan tich don gia'!#REF!</f>
        <v>#REF!</v>
      </c>
      <c r="N96" s="237" t="e">
        <f t="shared" si="20"/>
        <v>#REF!</v>
      </c>
      <c r="O96" s="237" t="e">
        <f t="shared" si="21"/>
        <v>#REF!</v>
      </c>
      <c r="P96" s="237" t="e">
        <f t="shared" si="22"/>
        <v>#REF!</v>
      </c>
      <c r="Q96" s="237">
        <v>1</v>
      </c>
      <c r="R96" s="237" t="e">
        <f t="shared" si="23"/>
        <v>#REF!</v>
      </c>
      <c r="S96" s="237" t="e">
        <f t="shared" si="24"/>
        <v>#REF!</v>
      </c>
      <c r="T96" s="237"/>
      <c r="U96" s="237"/>
      <c r="V96" s="237">
        <v>11.681264196000001</v>
      </c>
      <c r="W96" s="237" t="e">
        <f t="shared" si="25"/>
        <v>#REF!</v>
      </c>
      <c r="X96" s="237" t="e">
        <f>'Phan tich don gia'!#REF!</f>
        <v>#REF!</v>
      </c>
      <c r="Y96" s="237" t="e">
        <f t="shared" si="26"/>
        <v>#REF!</v>
      </c>
      <c r="Z96" s="237" t="e">
        <f t="shared" si="27"/>
        <v>#REF!</v>
      </c>
      <c r="AA96" s="237" t="e">
        <f t="shared" si="28"/>
        <v>#REF!</v>
      </c>
    </row>
    <row r="97" spans="1:27" s="391" customFormat="1" hidden="1" x14ac:dyDescent="0.25">
      <c r="A97" s="529"/>
      <c r="B97" s="76"/>
      <c r="C97" s="411" t="e">
        <f>'Du toan chi tiet'!#REF!</f>
        <v>#REF!</v>
      </c>
      <c r="D97" s="411"/>
      <c r="E97" s="155" t="e">
        <f>'Du toan chi tiet'!#REF!</f>
        <v>#REF!</v>
      </c>
      <c r="F97" s="76" t="e">
        <f>'Du toan chi tiet'!#REF!</f>
        <v>#REF!</v>
      </c>
      <c r="G97" s="381" t="e">
        <f>'Du toan chi tiet'!#REF!</f>
        <v>#REF!</v>
      </c>
      <c r="H97" s="381" t="e">
        <f>'Phan tich don gia'!#REF!</f>
        <v>#REF!</v>
      </c>
      <c r="I97" s="381" t="e">
        <f>'Du toan chi tiet'!#REF!</f>
        <v>#REF!</v>
      </c>
      <c r="J97" s="381" t="e">
        <f t="shared" si="18"/>
        <v>#REF!</v>
      </c>
      <c r="K97" s="237" t="e">
        <f>'Phan tich don gia'!#REF!</f>
        <v>#REF!</v>
      </c>
      <c r="L97" s="237" t="e">
        <f t="shared" si="19"/>
        <v>#REF!</v>
      </c>
      <c r="M97" s="237" t="e">
        <f>'Phan tich don gia'!#REF!</f>
        <v>#REF!</v>
      </c>
      <c r="N97" s="237" t="e">
        <f t="shared" si="20"/>
        <v>#REF!</v>
      </c>
      <c r="O97" s="237" t="e">
        <f t="shared" si="21"/>
        <v>#REF!</v>
      </c>
      <c r="P97" s="237" t="e">
        <f t="shared" si="22"/>
        <v>#REF!</v>
      </c>
      <c r="Q97" s="237">
        <v>1</v>
      </c>
      <c r="R97" s="237" t="e">
        <f t="shared" si="23"/>
        <v>#REF!</v>
      </c>
      <c r="S97" s="237" t="e">
        <f t="shared" si="24"/>
        <v>#REF!</v>
      </c>
      <c r="T97" s="237"/>
      <c r="U97" s="237"/>
      <c r="V97" s="237">
        <v>11.681264196000001</v>
      </c>
      <c r="W97" s="237" t="e">
        <f t="shared" si="25"/>
        <v>#REF!</v>
      </c>
      <c r="X97" s="237" t="e">
        <f>'Phan tich don gia'!#REF!</f>
        <v>#REF!</v>
      </c>
      <c r="Y97" s="237" t="e">
        <f t="shared" si="26"/>
        <v>#REF!</v>
      </c>
      <c r="Z97" s="237" t="e">
        <f t="shared" si="27"/>
        <v>#REF!</v>
      </c>
      <c r="AA97" s="237" t="e">
        <f t="shared" si="28"/>
        <v>#REF!</v>
      </c>
    </row>
    <row r="98" spans="1:27" s="391" customFormat="1" hidden="1" x14ac:dyDescent="0.25">
      <c r="A98" s="529"/>
      <c r="B98" s="76"/>
      <c r="C98" s="411" t="str">
        <f>'Du toan chi tiet'!C37</f>
        <v>AF.82511</v>
      </c>
      <c r="D98" s="411"/>
      <c r="E98" s="155" t="str">
        <f>'Du toan chi tiet'!D37</f>
        <v>Ván khuôn móng dài</v>
      </c>
      <c r="F98" s="76" t="str">
        <f>'Du toan chi tiet'!E37</f>
        <v>m2</v>
      </c>
      <c r="G98" s="381">
        <f>'Du toan chi tiet'!M37</f>
        <v>1.78</v>
      </c>
      <c r="H98" s="381">
        <f>'Phan tich don gia'!G234</f>
        <v>2</v>
      </c>
      <c r="I98" s="381">
        <f>'Du toan chi tiet'!X37</f>
        <v>1</v>
      </c>
      <c r="J98" s="381">
        <f t="shared" si="18"/>
        <v>3.56</v>
      </c>
      <c r="K98" s="237">
        <f>'Phan tich don gia'!J234</f>
        <v>39.190013999999998</v>
      </c>
      <c r="L98" s="237">
        <f t="shared" si="19"/>
        <v>139.51644984000001</v>
      </c>
      <c r="M98" s="237">
        <f>'Phan tich don gia'!L234</f>
        <v>39.190013999999998</v>
      </c>
      <c r="N98" s="237">
        <f t="shared" si="20"/>
        <v>139.51644984000001</v>
      </c>
      <c r="O98" s="237">
        <f t="shared" si="21"/>
        <v>0</v>
      </c>
      <c r="P98" s="237">
        <f t="shared" si="22"/>
        <v>0</v>
      </c>
      <c r="Q98" s="237">
        <v>1</v>
      </c>
      <c r="R98" s="237">
        <f t="shared" si="23"/>
        <v>39.190013999999998</v>
      </c>
      <c r="S98" s="237">
        <f t="shared" si="24"/>
        <v>139.51644984000001</v>
      </c>
      <c r="T98" s="237"/>
      <c r="U98" s="237"/>
      <c r="V98" s="237">
        <v>7.9365183609600001</v>
      </c>
      <c r="W98" s="237">
        <f t="shared" si="25"/>
        <v>28.254005365017601</v>
      </c>
      <c r="X98" s="237">
        <f>'Phan tich don gia'!P234</f>
        <v>39.190013999999998</v>
      </c>
      <c r="Y98" s="237">
        <f t="shared" si="26"/>
        <v>139.51644984000001</v>
      </c>
      <c r="Z98" s="237">
        <f t="shared" si="27"/>
        <v>0</v>
      </c>
      <c r="AA98" s="237">
        <f t="shared" si="28"/>
        <v>0</v>
      </c>
    </row>
    <row r="99" spans="1:27" s="391" customFormat="1" hidden="1" x14ac:dyDescent="0.25">
      <c r="A99" s="529"/>
      <c r="B99" s="76"/>
      <c r="C99" s="411" t="str">
        <f>'Du toan chi tiet'!C11</f>
        <v>AB.66141</v>
      </c>
      <c r="D99" s="411"/>
      <c r="E99" s="155" t="str">
        <f>'Du toan chi tiet'!D11</f>
        <v>Đắp bột đá công trình dày 5cm</v>
      </c>
      <c r="F99" s="76" t="str">
        <f>'Du toan chi tiet'!E11</f>
        <v>m3</v>
      </c>
      <c r="G99" s="381">
        <f>'Du toan chi tiet'!M11</f>
        <v>39.97</v>
      </c>
      <c r="H99" s="381">
        <f>'Phan tich don gia'!G47</f>
        <v>2</v>
      </c>
      <c r="I99" s="381">
        <f>'Du toan chi tiet'!X11</f>
        <v>1</v>
      </c>
      <c r="J99" s="381">
        <f t="shared" si="18"/>
        <v>79.94</v>
      </c>
      <c r="K99" s="237">
        <f>'Phan tich don gia'!J47</f>
        <v>72.380690000000001</v>
      </c>
      <c r="L99" s="237">
        <f t="shared" si="19"/>
        <v>5786.1123586000003</v>
      </c>
      <c r="M99" s="237">
        <f>'Phan tich don gia'!L47</f>
        <v>72.380690000000001</v>
      </c>
      <c r="N99" s="237">
        <f t="shared" si="20"/>
        <v>5786.1123586000003</v>
      </c>
      <c r="O99" s="237">
        <f t="shared" si="21"/>
        <v>0</v>
      </c>
      <c r="P99" s="237">
        <f t="shared" si="22"/>
        <v>0</v>
      </c>
      <c r="Q99" s="237">
        <v>1</v>
      </c>
      <c r="R99" s="237">
        <f t="shared" si="23"/>
        <v>72.380690000000001</v>
      </c>
      <c r="S99" s="237">
        <f t="shared" si="24"/>
        <v>5786.1123586000003</v>
      </c>
      <c r="T99" s="237"/>
      <c r="U99" s="237"/>
      <c r="V99" s="237">
        <v>16.765250399999999</v>
      </c>
      <c r="W99" s="237">
        <f t="shared" si="25"/>
        <v>1340.214116976</v>
      </c>
      <c r="X99" s="237">
        <f>'Phan tich don gia'!P47</f>
        <v>72.380690000000001</v>
      </c>
      <c r="Y99" s="237">
        <f t="shared" si="26"/>
        <v>5786.1123586000003</v>
      </c>
      <c r="Z99" s="237">
        <f t="shared" si="27"/>
        <v>0</v>
      </c>
      <c r="AA99" s="237">
        <f t="shared" si="28"/>
        <v>0</v>
      </c>
    </row>
    <row r="100" spans="1:27" s="391" customFormat="1" hidden="1" x14ac:dyDescent="0.25">
      <c r="A100" s="529"/>
      <c r="B100" s="76"/>
      <c r="C100" s="411" t="str">
        <f>'Du toan chi tiet'!C46</f>
        <v>AB.66141</v>
      </c>
      <c r="D100" s="411"/>
      <c r="E100" s="155" t="str">
        <f>'Du toan chi tiet'!D46</f>
        <v>Đắpbột đáy dày 5cm</v>
      </c>
      <c r="F100" s="76" t="str">
        <f>'Du toan chi tiet'!E46</f>
        <v>m3</v>
      </c>
      <c r="G100" s="381">
        <f>'Du toan chi tiet'!M46</f>
        <v>0.17</v>
      </c>
      <c r="H100" s="381">
        <f>'Phan tich don gia'!G306</f>
        <v>2</v>
      </c>
      <c r="I100" s="381">
        <f>'Du toan chi tiet'!X46</f>
        <v>1</v>
      </c>
      <c r="J100" s="381">
        <f t="shared" si="18"/>
        <v>0.34</v>
      </c>
      <c r="K100" s="237">
        <f>'Phan tich don gia'!J306</f>
        <v>72.380690000000001</v>
      </c>
      <c r="L100" s="237">
        <f t="shared" si="19"/>
        <v>24.609434600000004</v>
      </c>
      <c r="M100" s="237">
        <f>'Phan tich don gia'!L306</f>
        <v>72.380690000000001</v>
      </c>
      <c r="N100" s="237">
        <f t="shared" si="20"/>
        <v>24.609434600000004</v>
      </c>
      <c r="O100" s="237">
        <f t="shared" si="21"/>
        <v>0</v>
      </c>
      <c r="P100" s="237">
        <f t="shared" si="22"/>
        <v>0</v>
      </c>
      <c r="Q100" s="237">
        <v>1</v>
      </c>
      <c r="R100" s="237">
        <f t="shared" si="23"/>
        <v>72.380690000000001</v>
      </c>
      <c r="S100" s="237">
        <f t="shared" si="24"/>
        <v>24.609434600000004</v>
      </c>
      <c r="T100" s="237"/>
      <c r="U100" s="237"/>
      <c r="V100" s="237">
        <v>16.765250399999999</v>
      </c>
      <c r="W100" s="237">
        <f t="shared" si="25"/>
        <v>5.700185136</v>
      </c>
      <c r="X100" s="237">
        <f>'Phan tich don gia'!P306</f>
        <v>72.380690000000001</v>
      </c>
      <c r="Y100" s="237">
        <f t="shared" si="26"/>
        <v>24.609434600000004</v>
      </c>
      <c r="Z100" s="237">
        <f t="shared" si="27"/>
        <v>0</v>
      </c>
      <c r="AA100" s="237">
        <f t="shared" si="28"/>
        <v>0</v>
      </c>
    </row>
    <row r="101" spans="1:27" s="391" customFormat="1" ht="30" hidden="1" x14ac:dyDescent="0.25">
      <c r="A101" s="529"/>
      <c r="B101" s="76"/>
      <c r="C101" s="411" t="str">
        <f>'Du toan chi tiet'!C35</f>
        <v>AF.86211</v>
      </c>
      <c r="D101" s="411"/>
      <c r="E101" s="155" t="str">
        <f>'Du toan chi tiet'!D35</f>
        <v>Ván khuôn thép, khung xương, cột chống giáo ống, tường, chiều cao ≤28m</v>
      </c>
      <c r="F101" s="76" t="str">
        <f>'Du toan chi tiet'!E35</f>
        <v>m2</v>
      </c>
      <c r="G101" s="381">
        <f>'Du toan chi tiet'!M35</f>
        <v>21.33</v>
      </c>
      <c r="H101" s="381">
        <f>'Phan tich don gia'!G211</f>
        <v>2</v>
      </c>
      <c r="I101" s="381">
        <f>'Du toan chi tiet'!X35</f>
        <v>1</v>
      </c>
      <c r="J101" s="381">
        <f t="shared" si="18"/>
        <v>42.66</v>
      </c>
      <c r="K101" s="237" t="e">
        <f>'Phan tich don gia'!J211</f>
        <v>#REF!</v>
      </c>
      <c r="L101" s="237" t="e">
        <f t="shared" si="19"/>
        <v>#REF!</v>
      </c>
      <c r="M101" s="237" t="e">
        <f>'Phan tich don gia'!L211</f>
        <v>#REF!</v>
      </c>
      <c r="N101" s="237" t="e">
        <f t="shared" si="20"/>
        <v>#REF!</v>
      </c>
      <c r="O101" s="237" t="e">
        <f t="shared" si="21"/>
        <v>#REF!</v>
      </c>
      <c r="P101" s="237" t="e">
        <f t="shared" si="22"/>
        <v>#REF!</v>
      </c>
      <c r="Q101" s="237">
        <v>1</v>
      </c>
      <c r="R101" s="237" t="e">
        <f t="shared" si="23"/>
        <v>#REF!</v>
      </c>
      <c r="S101" s="237" t="e">
        <f t="shared" si="24"/>
        <v>#REF!</v>
      </c>
      <c r="T101" s="237"/>
      <c r="U101" s="237"/>
      <c r="V101" s="237">
        <v>18.558870679439998</v>
      </c>
      <c r="W101" s="237">
        <f t="shared" si="25"/>
        <v>791.72142318491024</v>
      </c>
      <c r="X101" s="237">
        <f>'Phan tich don gia'!P211</f>
        <v>71.689049999999995</v>
      </c>
      <c r="Y101" s="237">
        <f t="shared" si="26"/>
        <v>3058.2548729999994</v>
      </c>
      <c r="Z101" s="237" t="e">
        <f t="shared" si="27"/>
        <v>#REF!</v>
      </c>
      <c r="AA101" s="237" t="e">
        <f t="shared" si="28"/>
        <v>#REF!</v>
      </c>
    </row>
    <row r="102" spans="1:27" s="391" customFormat="1" ht="30" hidden="1" x14ac:dyDescent="0.25">
      <c r="A102" s="529"/>
      <c r="B102" s="76"/>
      <c r="C102" s="411" t="str">
        <f>'Du toan chi tiet'!C39</f>
        <v>AF.86211</v>
      </c>
      <c r="D102" s="411"/>
      <c r="E102" s="155" t="str">
        <f>'Du toan chi tiet'!D39</f>
        <v>Ván khuôn thép, khung xương, cột chống giáo ống, tường cánh chiều cao ≤28m</v>
      </c>
      <c r="F102" s="76" t="str">
        <f>'Du toan chi tiet'!E39</f>
        <v>m2</v>
      </c>
      <c r="G102" s="381">
        <f>'Du toan chi tiet'!M39</f>
        <v>0.81</v>
      </c>
      <c r="H102" s="381">
        <f>'Phan tich don gia'!G257</f>
        <v>2</v>
      </c>
      <c r="I102" s="381">
        <f>'Du toan chi tiet'!X39</f>
        <v>1</v>
      </c>
      <c r="J102" s="381">
        <f t="shared" si="18"/>
        <v>1.62</v>
      </c>
      <c r="K102" s="237" t="e">
        <f>'Phan tich don gia'!J257</f>
        <v>#REF!</v>
      </c>
      <c r="L102" s="237" t="e">
        <f t="shared" si="19"/>
        <v>#REF!</v>
      </c>
      <c r="M102" s="237" t="e">
        <f>'Phan tich don gia'!L257</f>
        <v>#REF!</v>
      </c>
      <c r="N102" s="237" t="e">
        <f t="shared" si="20"/>
        <v>#REF!</v>
      </c>
      <c r="O102" s="237" t="e">
        <f t="shared" si="21"/>
        <v>#REF!</v>
      </c>
      <c r="P102" s="237" t="e">
        <f t="shared" si="22"/>
        <v>#REF!</v>
      </c>
      <c r="Q102" s="237">
        <v>1</v>
      </c>
      <c r="R102" s="237" t="e">
        <f t="shared" si="23"/>
        <v>#REF!</v>
      </c>
      <c r="S102" s="237" t="e">
        <f t="shared" si="24"/>
        <v>#REF!</v>
      </c>
      <c r="T102" s="237"/>
      <c r="U102" s="237"/>
      <c r="V102" s="237">
        <v>18.558870679439998</v>
      </c>
      <c r="W102" s="237">
        <f t="shared" si="25"/>
        <v>30.065370500692801</v>
      </c>
      <c r="X102" s="237">
        <f>'Phan tich don gia'!P257</f>
        <v>71.689049999999995</v>
      </c>
      <c r="Y102" s="237">
        <f t="shared" si="26"/>
        <v>116.136261</v>
      </c>
      <c r="Z102" s="237" t="e">
        <f t="shared" si="27"/>
        <v>#REF!</v>
      </c>
      <c r="AA102" s="237" t="e">
        <f t="shared" si="28"/>
        <v>#REF!</v>
      </c>
    </row>
    <row r="103" spans="1:27" s="391" customFormat="1" ht="30" hidden="1" x14ac:dyDescent="0.25">
      <c r="A103" s="529"/>
      <c r="B103" s="76"/>
      <c r="C103" s="411" t="str">
        <f>'Du toan chi tiet'!C24</f>
        <v>AK.91141vd</v>
      </c>
      <c r="D103" s="411"/>
      <c r="E103" s="155" t="str">
        <f>'Du toan chi tiet'!D24</f>
        <v>Sơn kẻ đường bằng sơn dẻo nhiệt phản quang, dày sơn 6mm</v>
      </c>
      <c r="F103" s="76" t="str">
        <f>'Du toan chi tiet'!E24</f>
        <v>m2</v>
      </c>
      <c r="G103" s="381">
        <f>'Du toan chi tiet'!M24</f>
        <v>6.6</v>
      </c>
      <c r="H103" s="381">
        <f>'Phan tich don gia'!G138</f>
        <v>2</v>
      </c>
      <c r="I103" s="381">
        <f>'Du toan chi tiet'!X24</f>
        <v>1</v>
      </c>
      <c r="J103" s="381">
        <f t="shared" si="18"/>
        <v>13.2</v>
      </c>
      <c r="K103" s="237">
        <f>'Phan tich don gia'!J138</f>
        <v>1501.3669600000001</v>
      </c>
      <c r="L103" s="237">
        <f t="shared" si="19"/>
        <v>19818.043871999998</v>
      </c>
      <c r="M103" s="237">
        <f>'Phan tich don gia'!L138</f>
        <v>1501.3669600000001</v>
      </c>
      <c r="N103" s="237">
        <f t="shared" si="20"/>
        <v>19818.043871999998</v>
      </c>
      <c r="O103" s="237">
        <f t="shared" si="21"/>
        <v>0</v>
      </c>
      <c r="P103" s="237">
        <f t="shared" si="22"/>
        <v>0</v>
      </c>
      <c r="Q103" s="237">
        <v>1</v>
      </c>
      <c r="R103" s="237">
        <f t="shared" si="23"/>
        <v>1501.3669600000001</v>
      </c>
      <c r="S103" s="237">
        <f t="shared" si="24"/>
        <v>19818.043871999998</v>
      </c>
      <c r="T103" s="237"/>
      <c r="U103" s="237"/>
      <c r="V103" s="237">
        <v>185.66166240000001</v>
      </c>
      <c r="W103" s="237">
        <f t="shared" si="25"/>
        <v>2450.7339436799998</v>
      </c>
      <c r="X103" s="237">
        <f>'Phan tich don gia'!P138</f>
        <v>1501.3669600000001</v>
      </c>
      <c r="Y103" s="237">
        <f t="shared" si="26"/>
        <v>19818.043871999998</v>
      </c>
      <c r="Z103" s="237">
        <f t="shared" si="27"/>
        <v>0</v>
      </c>
      <c r="AA103" s="237">
        <f t="shared" si="28"/>
        <v>0</v>
      </c>
    </row>
    <row r="104" spans="1:27" s="391" customFormat="1" ht="45" hidden="1" x14ac:dyDescent="0.25">
      <c r="A104" s="529"/>
      <c r="B104" s="76"/>
      <c r="C104" s="411" t="str">
        <f>'Du toan chi tiet'!C10</f>
        <v>AF.15433</v>
      </c>
      <c r="D104" s="411"/>
      <c r="E104" s="155" t="str">
        <f>'Du toan chi tiet'!D10</f>
        <v>Bê tông thương phẩm, bê tông mặt đường dày mặt đường ≤25cm, bê tông M300, đá 2x4</v>
      </c>
      <c r="F104" s="76" t="str">
        <f>'Du toan chi tiet'!E10</f>
        <v>m3</v>
      </c>
      <c r="G104" s="381">
        <f>'Du toan chi tiet'!M10</f>
        <v>133.84</v>
      </c>
      <c r="H104" s="381">
        <f>'Phan tich don gia'!G39</f>
        <v>2</v>
      </c>
      <c r="I104" s="381">
        <f>'Du toan chi tiet'!X10</f>
        <v>1</v>
      </c>
      <c r="J104" s="381">
        <f t="shared" si="18"/>
        <v>267.68</v>
      </c>
      <c r="K104" s="237" t="e">
        <f>'Phan tich don gia'!J39</f>
        <v>#REF!</v>
      </c>
      <c r="L104" s="237" t="e">
        <f t="shared" si="19"/>
        <v>#REF!</v>
      </c>
      <c r="M104" s="237" t="e">
        <f>'Phan tich don gia'!L39</f>
        <v>#REF!</v>
      </c>
      <c r="N104" s="237" t="e">
        <f t="shared" si="20"/>
        <v>#REF!</v>
      </c>
      <c r="O104" s="237" t="e">
        <f t="shared" si="21"/>
        <v>#REF!</v>
      </c>
      <c r="P104" s="237" t="e">
        <f t="shared" si="22"/>
        <v>#REF!</v>
      </c>
      <c r="Q104" s="237">
        <v>1</v>
      </c>
      <c r="R104" s="237" t="e">
        <f t="shared" si="23"/>
        <v>#REF!</v>
      </c>
      <c r="S104" s="237" t="e">
        <f t="shared" si="24"/>
        <v>#REF!</v>
      </c>
      <c r="T104" s="237"/>
      <c r="U104" s="237"/>
      <c r="V104" s="237">
        <v>42.606360001799999</v>
      </c>
      <c r="W104" s="237">
        <f t="shared" si="25"/>
        <v>11404.870445281824</v>
      </c>
      <c r="X104" s="237">
        <f>'Phan tich don gia'!P39</f>
        <v>464.90485000000001</v>
      </c>
      <c r="Y104" s="237">
        <f t="shared" si="26"/>
        <v>124445.73024800001</v>
      </c>
      <c r="Z104" s="237" t="e">
        <f t="shared" si="27"/>
        <v>#REF!</v>
      </c>
      <c r="AA104" s="237" t="e">
        <f t="shared" si="28"/>
        <v>#REF!</v>
      </c>
    </row>
    <row r="105" spans="1:27" s="391" customFormat="1" ht="45" hidden="1" x14ac:dyDescent="0.25">
      <c r="A105" s="529"/>
      <c r="B105" s="76"/>
      <c r="C105" s="411" t="str">
        <f>'Du toan chi tiet'!C45</f>
        <v>AF.15433</v>
      </c>
      <c r="D105" s="411"/>
      <c r="E105" s="155" t="str">
        <f>'Du toan chi tiet'!D45</f>
        <v>Bê tông thương phẩm, bê tông hoàn trả mặt đường dày mặt đường ≤25cm, bê tông M250, đá 2x4, PCB40</v>
      </c>
      <c r="F105" s="76" t="str">
        <f>'Du toan chi tiet'!E45</f>
        <v>m3</v>
      </c>
      <c r="G105" s="381">
        <f>'Du toan chi tiet'!M45</f>
        <v>0.59</v>
      </c>
      <c r="H105" s="381">
        <f>'Phan tich don gia'!G298</f>
        <v>2</v>
      </c>
      <c r="I105" s="381">
        <f>'Du toan chi tiet'!X45</f>
        <v>1</v>
      </c>
      <c r="J105" s="381">
        <f t="shared" si="18"/>
        <v>1.18</v>
      </c>
      <c r="K105" s="237" t="e">
        <f>'Phan tich don gia'!J298</f>
        <v>#REF!</v>
      </c>
      <c r="L105" s="237" t="e">
        <f t="shared" si="19"/>
        <v>#REF!</v>
      </c>
      <c r="M105" s="237" t="e">
        <f>'Phan tich don gia'!L298</f>
        <v>#REF!</v>
      </c>
      <c r="N105" s="237" t="e">
        <f t="shared" si="20"/>
        <v>#REF!</v>
      </c>
      <c r="O105" s="237" t="e">
        <f t="shared" si="21"/>
        <v>#REF!</v>
      </c>
      <c r="P105" s="237" t="e">
        <f t="shared" si="22"/>
        <v>#REF!</v>
      </c>
      <c r="Q105" s="237">
        <v>1</v>
      </c>
      <c r="R105" s="237" t="e">
        <f t="shared" si="23"/>
        <v>#REF!</v>
      </c>
      <c r="S105" s="237" t="e">
        <f t="shared" si="24"/>
        <v>#REF!</v>
      </c>
      <c r="T105" s="237"/>
      <c r="U105" s="237"/>
      <c r="V105" s="237">
        <v>42.606360001799999</v>
      </c>
      <c r="W105" s="237">
        <f t="shared" si="25"/>
        <v>50.275504802123997</v>
      </c>
      <c r="X105" s="237">
        <f>'Phan tich don gia'!P298</f>
        <v>464.90485000000001</v>
      </c>
      <c r="Y105" s="237">
        <f t="shared" si="26"/>
        <v>548.58772299999998</v>
      </c>
      <c r="Z105" s="237" t="e">
        <f t="shared" si="27"/>
        <v>#REF!</v>
      </c>
      <c r="AA105" s="237" t="e">
        <f t="shared" si="28"/>
        <v>#REF!</v>
      </c>
    </row>
    <row r="106" spans="1:27" x14ac:dyDescent="0.25">
      <c r="A106" s="446"/>
      <c r="B106" s="562"/>
      <c r="C106" s="108"/>
      <c r="D106" s="108"/>
      <c r="E106" s="629" t="s">
        <v>607</v>
      </c>
      <c r="F106" s="562"/>
      <c r="G106" s="70"/>
      <c r="H106" s="70"/>
      <c r="I106" s="70"/>
      <c r="J106" s="70"/>
      <c r="K106" s="689"/>
      <c r="L106" s="689" t="e">
        <f>SUMIF(A6:A105,"VT",L6:L105)</f>
        <v>#REF!</v>
      </c>
      <c r="M106" s="689"/>
      <c r="N106" s="689" t="e">
        <f>SUMIF(A6:A105,"VT",N6:N105)</f>
        <v>#REF!</v>
      </c>
      <c r="O106" s="689"/>
      <c r="P106" s="689" t="e">
        <f>SUMIF(A6:A105,"VT",P6:P105)</f>
        <v>#REF!</v>
      </c>
      <c r="Q106" s="689"/>
      <c r="R106" s="689"/>
      <c r="S106" s="689" t="e">
        <f>SUMIF(A6:A105,"VT",S6:S105)</f>
        <v>#REF!</v>
      </c>
      <c r="T106" s="689"/>
      <c r="U106" s="689">
        <f>SUMIF(A6:A105,"VT",U6:U105)</f>
        <v>0</v>
      </c>
      <c r="V106" s="689"/>
      <c r="W106" s="689" t="e">
        <f>SUMIF(A6:A105,"VT",W6:W105)</f>
        <v>#REF!</v>
      </c>
      <c r="X106" s="689"/>
      <c r="Y106" s="689" t="e">
        <f>SUMIF(A6:A105,"VT",Y6:Y105)</f>
        <v>#REF!</v>
      </c>
      <c r="Z106" s="689"/>
      <c r="AA106" s="689" t="e">
        <f>SUMIF(A6:A105,"VT",AA6:AA105)</f>
        <v>#REF!</v>
      </c>
    </row>
    <row r="107" spans="1:27" x14ac:dyDescent="0.25">
      <c r="A107" s="749"/>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spans="1:27" x14ac:dyDescent="0.25">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row>
    <row r="109" spans="1:27" x14ac:dyDescent="0.2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row>
  </sheetData>
  <mergeCells count="28">
    <mergeCell ref="Z4:Z5"/>
    <mergeCell ref="AA4:AA5"/>
    <mergeCell ref="U4:U5"/>
    <mergeCell ref="V4:V5"/>
    <mergeCell ref="W4:W5"/>
    <mergeCell ref="X4:X5"/>
    <mergeCell ref="Y4:Y5"/>
    <mergeCell ref="P4:P5"/>
    <mergeCell ref="Q4:Q5"/>
    <mergeCell ref="R4:R5"/>
    <mergeCell ref="S4:S5"/>
    <mergeCell ref="T4:T5"/>
    <mergeCell ref="A1:AA1"/>
    <mergeCell ref="A2:AA2"/>
    <mergeCell ref="A3:AA3"/>
    <mergeCell ref="B4:B5"/>
    <mergeCell ref="C4:C5"/>
    <mergeCell ref="E4:E5"/>
    <mergeCell ref="F4:F5"/>
    <mergeCell ref="G4:G5"/>
    <mergeCell ref="H4:H5"/>
    <mergeCell ref="I4:I5"/>
    <mergeCell ref="J4:J5"/>
    <mergeCell ref="K4:K5"/>
    <mergeCell ref="L4:L5"/>
    <mergeCell ref="M4:M5"/>
    <mergeCell ref="N4:N5"/>
    <mergeCell ref="O4:O5"/>
  </mergeCells>
  <pageMargins left="0.75" right="0.75" top="0.79" bottom="0.79" header="0.3" footer="0.3"/>
  <pageSetup paperSize="9" orientation="landscape" useFirstPageNumber="1" horizontalDpi="65532"/>
  <headerFooter>
    <oddFooter>&amp;CTrang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79"/>
  <sheetViews>
    <sheetView showZeros="0" topLeftCell="B52" workbookViewId="0">
      <selection activeCell="M26" sqref="M26"/>
    </sheetView>
  </sheetViews>
  <sheetFormatPr defaultColWidth="9.42578125" defaultRowHeight="15" x14ac:dyDescent="0.25"/>
  <cols>
    <col min="1" max="1" width="9.42578125" hidden="1" customWidth="1"/>
    <col min="2" max="2" width="4.85546875" bestFit="1" customWidth="1"/>
    <col min="3" max="3" width="8.140625" bestFit="1" customWidth="1"/>
    <col min="4" max="4" width="31.7109375" customWidth="1"/>
    <col min="5" max="5" width="8" customWidth="1"/>
    <col min="6" max="6" width="10.5703125" customWidth="1"/>
    <col min="7" max="7" width="8.28515625" customWidth="1"/>
    <col min="8" max="8" width="10.140625" customWidth="1"/>
    <col min="9" max="9" width="8.5703125" customWidth="1"/>
    <col min="10" max="11" width="8.140625" customWidth="1"/>
    <col min="12" max="12" width="11.5703125" customWidth="1"/>
    <col min="13" max="13" width="10.5703125" customWidth="1"/>
    <col min="15" max="15" width="9.42578125" customWidth="1"/>
    <col min="16" max="16" width="6.7109375" bestFit="1" customWidth="1"/>
  </cols>
  <sheetData>
    <row r="1" spans="1:27" ht="18.75" x14ac:dyDescent="0.3">
      <c r="A1" s="983" t="s">
        <v>1021</v>
      </c>
      <c r="B1" s="983" t="s">
        <v>1021</v>
      </c>
      <c r="C1" s="983" t="s">
        <v>1021</v>
      </c>
      <c r="D1" s="983" t="s">
        <v>1021</v>
      </c>
      <c r="E1" s="983" t="s">
        <v>1021</v>
      </c>
      <c r="F1" s="983" t="s">
        <v>1021</v>
      </c>
      <c r="G1" s="983" t="s">
        <v>1021</v>
      </c>
      <c r="H1" s="983" t="s">
        <v>1021</v>
      </c>
      <c r="I1" s="983" t="s">
        <v>1021</v>
      </c>
      <c r="J1" s="983" t="s">
        <v>1021</v>
      </c>
      <c r="K1" s="983" t="s">
        <v>1021</v>
      </c>
      <c r="L1" s="983" t="s">
        <v>1021</v>
      </c>
      <c r="M1" s="983" t="s">
        <v>1021</v>
      </c>
      <c r="N1" s="472"/>
      <c r="O1" s="472"/>
      <c r="P1" s="472"/>
      <c r="Q1" s="472"/>
      <c r="R1" s="472"/>
    </row>
    <row r="2" spans="1:27" x14ac:dyDescent="0.25">
      <c r="A2" s="1000" t="s">
        <v>315</v>
      </c>
      <c r="B2" s="1000" t="s">
        <v>315</v>
      </c>
      <c r="C2" s="1000" t="s">
        <v>315</v>
      </c>
      <c r="D2" s="1000" t="s">
        <v>315</v>
      </c>
      <c r="E2" s="1000" t="s">
        <v>315</v>
      </c>
      <c r="F2" s="1000" t="s">
        <v>315</v>
      </c>
      <c r="G2" s="1000" t="s">
        <v>315</v>
      </c>
      <c r="H2" s="1000" t="s">
        <v>315</v>
      </c>
      <c r="I2" s="1000" t="s">
        <v>315</v>
      </c>
      <c r="J2" s="1000" t="s">
        <v>315</v>
      </c>
      <c r="K2" s="1000" t="s">
        <v>315</v>
      </c>
      <c r="L2" s="1000" t="s">
        <v>315</v>
      </c>
      <c r="M2" s="1000" t="s">
        <v>315</v>
      </c>
      <c r="N2" s="472"/>
      <c r="O2" s="472"/>
      <c r="P2" s="472"/>
      <c r="Q2" s="472"/>
      <c r="R2" s="472"/>
    </row>
    <row r="3" spans="1:27" x14ac:dyDescent="0.25">
      <c r="A3" s="1000" t="s">
        <v>60</v>
      </c>
      <c r="B3" s="1000" t="s">
        <v>60</v>
      </c>
      <c r="C3" s="1000" t="s">
        <v>60</v>
      </c>
      <c r="D3" s="1000" t="s">
        <v>60</v>
      </c>
      <c r="E3" s="1000" t="s">
        <v>60</v>
      </c>
      <c r="F3" s="1000" t="s">
        <v>60</v>
      </c>
      <c r="G3" s="1000" t="s">
        <v>60</v>
      </c>
      <c r="H3" s="1000" t="s">
        <v>60</v>
      </c>
      <c r="I3" s="1000" t="s">
        <v>60</v>
      </c>
      <c r="J3" s="1000" t="s">
        <v>60</v>
      </c>
      <c r="K3" s="1000" t="s">
        <v>60</v>
      </c>
      <c r="L3" s="1000" t="s">
        <v>60</v>
      </c>
      <c r="M3" s="1000" t="s">
        <v>60</v>
      </c>
      <c r="N3" s="472"/>
      <c r="O3" s="472"/>
      <c r="P3" s="472"/>
      <c r="Q3" s="472"/>
      <c r="R3" s="472"/>
    </row>
    <row r="4" spans="1:27" x14ac:dyDescent="0.25">
      <c r="A4" s="1057"/>
      <c r="B4" s="1058" t="s">
        <v>386</v>
      </c>
      <c r="C4" s="1058" t="s">
        <v>752</v>
      </c>
      <c r="D4" s="1058" t="s">
        <v>97</v>
      </c>
      <c r="E4" s="1058" t="s">
        <v>1136</v>
      </c>
      <c r="F4" s="1058" t="s">
        <v>219</v>
      </c>
      <c r="G4" s="1058" t="s">
        <v>219</v>
      </c>
      <c r="H4" s="1058" t="s">
        <v>219</v>
      </c>
      <c r="I4" s="1058" t="s">
        <v>100</v>
      </c>
      <c r="J4" s="1058" t="s">
        <v>100</v>
      </c>
      <c r="K4" s="1058" t="s">
        <v>100</v>
      </c>
      <c r="L4" s="1058" t="s">
        <v>100</v>
      </c>
      <c r="M4" s="1058" t="s">
        <v>345</v>
      </c>
      <c r="N4" s="242"/>
      <c r="O4" s="1056" t="s">
        <v>833</v>
      </c>
      <c r="P4" s="1056" t="s">
        <v>833</v>
      </c>
      <c r="Q4" s="1056" t="s">
        <v>833</v>
      </c>
      <c r="R4" s="1056" t="s">
        <v>833</v>
      </c>
      <c r="S4" s="676"/>
      <c r="T4" s="676"/>
      <c r="U4" s="676"/>
      <c r="V4" s="676"/>
      <c r="W4" s="676"/>
      <c r="X4" s="676"/>
      <c r="Y4" s="676"/>
      <c r="Z4" s="676"/>
      <c r="AA4" s="676"/>
    </row>
    <row r="5" spans="1:27" x14ac:dyDescent="0.25">
      <c r="A5" s="1057"/>
      <c r="B5" s="1058" t="s">
        <v>386</v>
      </c>
      <c r="C5" s="1058" t="s">
        <v>752</v>
      </c>
      <c r="D5" s="1058" t="s">
        <v>97</v>
      </c>
      <c r="E5" s="1058" t="s">
        <v>1136</v>
      </c>
      <c r="F5" s="464" t="s">
        <v>1243</v>
      </c>
      <c r="G5" s="464" t="s">
        <v>101</v>
      </c>
      <c r="H5" s="464" t="s">
        <v>825</v>
      </c>
      <c r="I5" s="464" t="s">
        <v>915</v>
      </c>
      <c r="J5" s="464" t="s">
        <v>972</v>
      </c>
      <c r="K5" s="464" t="s">
        <v>848</v>
      </c>
      <c r="L5" s="464" t="s">
        <v>999</v>
      </c>
      <c r="M5" s="1058" t="s">
        <v>345</v>
      </c>
      <c r="N5" s="242"/>
      <c r="O5" s="257" t="s">
        <v>646</v>
      </c>
      <c r="P5" s="257" t="s">
        <v>1136</v>
      </c>
      <c r="Q5" s="257" t="s">
        <v>915</v>
      </c>
      <c r="R5" s="257" t="s">
        <v>848</v>
      </c>
      <c r="S5" s="676"/>
      <c r="T5" s="676"/>
      <c r="U5" s="676"/>
      <c r="V5" s="676"/>
      <c r="W5" s="676"/>
      <c r="X5" s="676"/>
      <c r="Y5" s="676"/>
      <c r="Z5" s="676"/>
      <c r="AA5" s="676"/>
    </row>
    <row r="6" spans="1:27" x14ac:dyDescent="0.25">
      <c r="A6" s="317"/>
      <c r="B6" s="253">
        <v>1</v>
      </c>
      <c r="C6" s="551" t="s">
        <v>1045</v>
      </c>
      <c r="D6" s="321" t="s">
        <v>738</v>
      </c>
      <c r="E6" s="253" t="s">
        <v>717</v>
      </c>
      <c r="F6" s="439"/>
      <c r="G6" s="743"/>
      <c r="H6" s="743"/>
      <c r="I6" s="123"/>
      <c r="J6" s="51"/>
      <c r="K6" s="123"/>
      <c r="L6" s="123"/>
      <c r="M6" s="123">
        <f>H6*L6</f>
        <v>0</v>
      </c>
      <c r="N6" s="242"/>
      <c r="O6" s="625" t="s">
        <v>1186</v>
      </c>
      <c r="P6" s="741" t="s">
        <v>434</v>
      </c>
      <c r="Q6" s="322">
        <v>0</v>
      </c>
      <c r="R6" s="322">
        <f t="shared" ref="R6:R7" si="0">0</f>
        <v>0</v>
      </c>
      <c r="S6" s="676"/>
      <c r="T6" s="676"/>
      <c r="U6" s="676"/>
      <c r="V6" s="676"/>
      <c r="W6" s="676"/>
      <c r="X6" s="676"/>
      <c r="Y6" s="676"/>
      <c r="Z6" s="676"/>
      <c r="AA6" s="676"/>
    </row>
    <row r="7" spans="1:27" x14ac:dyDescent="0.25">
      <c r="A7" s="30"/>
      <c r="B7" s="739">
        <v>2</v>
      </c>
      <c r="C7" s="311" t="s">
        <v>208</v>
      </c>
      <c r="D7" s="34" t="s">
        <v>682</v>
      </c>
      <c r="E7" s="739" t="s">
        <v>717</v>
      </c>
      <c r="F7" s="183"/>
      <c r="G7" s="501"/>
      <c r="H7" s="501"/>
      <c r="I7" s="639"/>
      <c r="J7" s="579"/>
      <c r="K7" s="639"/>
      <c r="L7" s="639"/>
      <c r="M7" s="639">
        <f>SUM(M8:M10)</f>
        <v>241967.0232</v>
      </c>
      <c r="N7" s="242"/>
      <c r="O7" s="373" t="s">
        <v>292</v>
      </c>
      <c r="P7" s="497" t="s">
        <v>434</v>
      </c>
      <c r="Q7" s="33">
        <v>0</v>
      </c>
      <c r="R7" s="33">
        <f t="shared" si="0"/>
        <v>0</v>
      </c>
      <c r="S7" s="676"/>
      <c r="T7" s="676"/>
      <c r="U7" s="676"/>
      <c r="V7" s="676"/>
      <c r="W7" s="676"/>
      <c r="X7" s="676"/>
      <c r="Y7" s="676"/>
      <c r="Z7" s="676"/>
      <c r="AA7" s="676"/>
    </row>
    <row r="8" spans="1:27" x14ac:dyDescent="0.25">
      <c r="A8" s="139"/>
      <c r="B8" s="32"/>
      <c r="C8" s="366" t="s">
        <v>1186</v>
      </c>
      <c r="D8" s="107" t="s">
        <v>1125</v>
      </c>
      <c r="E8" s="32" t="s">
        <v>434</v>
      </c>
      <c r="F8" s="236">
        <v>1</v>
      </c>
      <c r="G8" s="561"/>
      <c r="H8" s="561">
        <f t="shared" ref="H8:H10" si="1">PRODUCT(F8,G8)</f>
        <v>1</v>
      </c>
      <c r="I8" s="677">
        <f t="shared" ref="I8:I10" si="2">Q6</f>
        <v>0</v>
      </c>
      <c r="J8" s="637">
        <v>1</v>
      </c>
      <c r="K8" s="677">
        <f t="shared" ref="K8:K10" si="3">R6</f>
        <v>0</v>
      </c>
      <c r="L8" s="677">
        <f t="shared" ref="L8:L10" si="4">K8-I8</f>
        <v>0</v>
      </c>
      <c r="M8" s="677">
        <f t="shared" ref="M8:M10" si="5">H8*L8</f>
        <v>0</v>
      </c>
      <c r="N8" s="242"/>
      <c r="O8" s="373" t="s">
        <v>641</v>
      </c>
      <c r="P8" s="497" t="s">
        <v>1266</v>
      </c>
      <c r="Q8" s="33">
        <v>0</v>
      </c>
      <c r="R8" s="33">
        <v>1920.3732</v>
      </c>
      <c r="S8" s="676"/>
      <c r="T8" s="676"/>
      <c r="U8" s="676"/>
      <c r="V8" s="676"/>
      <c r="W8" s="676"/>
      <c r="X8" s="676"/>
      <c r="Y8" s="676"/>
      <c r="Z8" s="676"/>
      <c r="AA8" s="676"/>
    </row>
    <row r="9" spans="1:27" x14ac:dyDescent="0.25">
      <c r="A9" s="139"/>
      <c r="B9" s="32"/>
      <c r="C9" s="366" t="s">
        <v>292</v>
      </c>
      <c r="D9" s="107" t="s">
        <v>1213</v>
      </c>
      <c r="E9" s="32" t="s">
        <v>434</v>
      </c>
      <c r="F9" s="236">
        <v>1</v>
      </c>
      <c r="G9" s="561"/>
      <c r="H9" s="561">
        <f t="shared" si="1"/>
        <v>1</v>
      </c>
      <c r="I9" s="677">
        <f t="shared" si="2"/>
        <v>0</v>
      </c>
      <c r="J9" s="637">
        <v>1</v>
      </c>
      <c r="K9" s="677">
        <f t="shared" si="3"/>
        <v>0</v>
      </c>
      <c r="L9" s="677">
        <f t="shared" si="4"/>
        <v>0</v>
      </c>
      <c r="M9" s="677">
        <f t="shared" si="5"/>
        <v>0</v>
      </c>
      <c r="N9" s="242"/>
      <c r="O9" s="373" t="s">
        <v>197</v>
      </c>
      <c r="P9" s="497" t="s">
        <v>434</v>
      </c>
      <c r="Q9" s="33">
        <v>0</v>
      </c>
      <c r="R9" s="33">
        <f>0</f>
        <v>0</v>
      </c>
      <c r="S9" s="676"/>
      <c r="T9" s="676"/>
      <c r="U9" s="676"/>
      <c r="V9" s="676"/>
      <c r="W9" s="676"/>
      <c r="X9" s="676"/>
      <c r="Y9" s="676"/>
      <c r="Z9" s="676"/>
      <c r="AA9" s="676"/>
    </row>
    <row r="10" spans="1:27" x14ac:dyDescent="0.25">
      <c r="A10" s="139"/>
      <c r="B10" s="32"/>
      <c r="C10" s="366" t="s">
        <v>1232</v>
      </c>
      <c r="D10" s="107" t="s">
        <v>80</v>
      </c>
      <c r="E10" s="32" t="s">
        <v>1266</v>
      </c>
      <c r="F10" s="236">
        <v>120</v>
      </c>
      <c r="G10" s="539">
        <v>1.05</v>
      </c>
      <c r="H10" s="561">
        <f t="shared" si="1"/>
        <v>126</v>
      </c>
      <c r="I10" s="658">
        <f t="shared" si="2"/>
        <v>0</v>
      </c>
      <c r="J10" s="637">
        <v>0</v>
      </c>
      <c r="K10" s="658">
        <f t="shared" si="3"/>
        <v>1920.3732</v>
      </c>
      <c r="L10" s="677">
        <f t="shared" si="4"/>
        <v>1920.3732</v>
      </c>
      <c r="M10" s="677">
        <f t="shared" si="5"/>
        <v>241967.0232</v>
      </c>
      <c r="N10" s="242"/>
      <c r="O10" s="373" t="s">
        <v>385</v>
      </c>
      <c r="P10" s="497" t="s">
        <v>447</v>
      </c>
      <c r="Q10" s="33">
        <v>0</v>
      </c>
      <c r="R10" s="33">
        <v>20220</v>
      </c>
      <c r="S10" s="676"/>
      <c r="T10" s="676"/>
      <c r="U10" s="676"/>
      <c r="V10" s="676"/>
      <c r="W10" s="676"/>
      <c r="X10" s="676"/>
      <c r="Y10" s="676"/>
      <c r="Z10" s="676"/>
      <c r="AA10" s="676"/>
    </row>
    <row r="11" spans="1:27" x14ac:dyDescent="0.25">
      <c r="A11" s="30"/>
      <c r="B11" s="739">
        <v>3</v>
      </c>
      <c r="C11" s="311" t="s">
        <v>1101</v>
      </c>
      <c r="D11" s="34" t="s">
        <v>632</v>
      </c>
      <c r="E11" s="739" t="s">
        <v>717</v>
      </c>
      <c r="F11" s="183"/>
      <c r="G11" s="501"/>
      <c r="H11" s="501"/>
      <c r="I11" s="639"/>
      <c r="J11" s="579"/>
      <c r="K11" s="639"/>
      <c r="L11" s="639"/>
      <c r="M11" s="639">
        <f>SUM(M12:M13)</f>
        <v>229092.6</v>
      </c>
      <c r="N11" s="242"/>
      <c r="O11" s="373" t="s">
        <v>810</v>
      </c>
      <c r="P11" s="497" t="s">
        <v>447</v>
      </c>
      <c r="Q11" s="33">
        <v>0</v>
      </c>
      <c r="R11" s="33">
        <v>21313</v>
      </c>
      <c r="S11" s="676"/>
      <c r="T11" s="676"/>
      <c r="U11" s="676"/>
      <c r="V11" s="676"/>
      <c r="W11" s="676"/>
      <c r="X11" s="676"/>
      <c r="Y11" s="676"/>
      <c r="Z11" s="676"/>
      <c r="AA11" s="676"/>
    </row>
    <row r="12" spans="1:27" x14ac:dyDescent="0.25">
      <c r="A12" s="139"/>
      <c r="B12" s="32"/>
      <c r="C12" s="366" t="s">
        <v>197</v>
      </c>
      <c r="D12" s="107" t="s">
        <v>535</v>
      </c>
      <c r="E12" s="32" t="s">
        <v>434</v>
      </c>
      <c r="F12" s="236">
        <v>1</v>
      </c>
      <c r="G12" s="561"/>
      <c r="H12" s="561">
        <f t="shared" ref="H12:H13" si="6">PRODUCT(F12,G12)</f>
        <v>1</v>
      </c>
      <c r="I12" s="677">
        <f t="shared" ref="I12:I13" si="7">Q9</f>
        <v>0</v>
      </c>
      <c r="J12" s="637">
        <v>1</v>
      </c>
      <c r="K12" s="677">
        <f t="shared" ref="K12:K13" si="8">R9</f>
        <v>0</v>
      </c>
      <c r="L12" s="677">
        <f t="shared" ref="L12:L13" si="9">K12-I12</f>
        <v>0</v>
      </c>
      <c r="M12" s="677">
        <f t="shared" ref="M12:M13" si="10">H12*L12</f>
        <v>0</v>
      </c>
      <c r="N12" s="242"/>
      <c r="O12" s="373" t="s">
        <v>85</v>
      </c>
      <c r="P12" s="497" t="s">
        <v>434</v>
      </c>
      <c r="Q12" s="33">
        <v>0</v>
      </c>
      <c r="R12" s="33">
        <f t="shared" ref="R12:R15" si="11">0</f>
        <v>0</v>
      </c>
      <c r="S12" s="676"/>
      <c r="T12" s="676"/>
      <c r="U12" s="676"/>
      <c r="V12" s="676"/>
      <c r="W12" s="676"/>
      <c r="X12" s="676"/>
      <c r="Y12" s="676"/>
      <c r="Z12" s="676"/>
      <c r="AA12" s="676"/>
    </row>
    <row r="13" spans="1:27" x14ac:dyDescent="0.25">
      <c r="A13" s="139"/>
      <c r="B13" s="32"/>
      <c r="C13" s="366" t="s">
        <v>479</v>
      </c>
      <c r="D13" s="107" t="s">
        <v>372</v>
      </c>
      <c r="E13" s="32" t="s">
        <v>447</v>
      </c>
      <c r="F13" s="236">
        <v>11</v>
      </c>
      <c r="G13" s="539">
        <v>1.03</v>
      </c>
      <c r="H13" s="561">
        <f t="shared" si="6"/>
        <v>11.33</v>
      </c>
      <c r="I13" s="658">
        <f t="shared" si="7"/>
        <v>0</v>
      </c>
      <c r="J13" s="637">
        <v>0</v>
      </c>
      <c r="K13" s="658">
        <f t="shared" si="8"/>
        <v>20220</v>
      </c>
      <c r="L13" s="677">
        <f t="shared" si="9"/>
        <v>20220</v>
      </c>
      <c r="M13" s="677">
        <f t="shared" si="10"/>
        <v>229092.6</v>
      </c>
      <c r="N13" s="242"/>
      <c r="O13" s="373" t="s">
        <v>200</v>
      </c>
      <c r="P13" s="497" t="s">
        <v>434</v>
      </c>
      <c r="Q13" s="33">
        <v>0</v>
      </c>
      <c r="R13" s="33">
        <f t="shared" si="11"/>
        <v>0</v>
      </c>
      <c r="S13" s="676"/>
      <c r="T13" s="676"/>
      <c r="U13" s="676"/>
      <c r="V13" s="676"/>
      <c r="W13" s="676"/>
      <c r="X13" s="676"/>
      <c r="Y13" s="676"/>
      <c r="Z13" s="676"/>
      <c r="AA13" s="676"/>
    </row>
    <row r="14" spans="1:27" x14ac:dyDescent="0.25">
      <c r="A14" s="30"/>
      <c r="B14" s="739">
        <v>4</v>
      </c>
      <c r="C14" s="311" t="s">
        <v>177</v>
      </c>
      <c r="D14" s="34" t="s">
        <v>747</v>
      </c>
      <c r="E14" s="739" t="s">
        <v>717</v>
      </c>
      <c r="F14" s="183"/>
      <c r="G14" s="501"/>
      <c r="H14" s="501"/>
      <c r="I14" s="639"/>
      <c r="J14" s="579"/>
      <c r="K14" s="639"/>
      <c r="L14" s="639"/>
      <c r="M14" s="639">
        <f>SUM(M15:M16)</f>
        <v>22180.310460000001</v>
      </c>
      <c r="N14" s="242"/>
      <c r="O14" s="373" t="s">
        <v>1269</v>
      </c>
      <c r="P14" s="497" t="s">
        <v>434</v>
      </c>
      <c r="Q14" s="33">
        <v>0</v>
      </c>
      <c r="R14" s="33">
        <f t="shared" si="11"/>
        <v>0</v>
      </c>
      <c r="S14" s="676"/>
      <c r="T14" s="676"/>
      <c r="U14" s="676"/>
      <c r="V14" s="676"/>
      <c r="W14" s="676"/>
      <c r="X14" s="676"/>
      <c r="Y14" s="676"/>
      <c r="Z14" s="676"/>
      <c r="AA14" s="676"/>
    </row>
    <row r="15" spans="1:27" x14ac:dyDescent="0.25">
      <c r="A15" s="139"/>
      <c r="B15" s="32"/>
      <c r="C15" s="366" t="s">
        <v>1186</v>
      </c>
      <c r="D15" s="107" t="s">
        <v>1125</v>
      </c>
      <c r="E15" s="32" t="s">
        <v>434</v>
      </c>
      <c r="F15" s="236">
        <v>1</v>
      </c>
      <c r="G15" s="561"/>
      <c r="H15" s="561">
        <f t="shared" ref="H15:H16" si="12">PRODUCT(F15,G15)</f>
        <v>1</v>
      </c>
      <c r="I15" s="677">
        <f>Q6</f>
        <v>0</v>
      </c>
      <c r="J15" s="637">
        <v>1</v>
      </c>
      <c r="K15" s="677">
        <f>R6</f>
        <v>0</v>
      </c>
      <c r="L15" s="677">
        <f t="shared" ref="L15:L16" si="13">K15-I15</f>
        <v>0</v>
      </c>
      <c r="M15" s="677">
        <f t="shared" ref="M15:M16" si="14">H15*L15</f>
        <v>0</v>
      </c>
      <c r="N15" s="242"/>
      <c r="O15" s="373" t="s">
        <v>140</v>
      </c>
      <c r="P15" s="497" t="s">
        <v>434</v>
      </c>
      <c r="Q15" s="33">
        <v>0</v>
      </c>
      <c r="R15" s="33">
        <f t="shared" si="11"/>
        <v>0</v>
      </c>
      <c r="S15" s="676"/>
      <c r="T15" s="676"/>
      <c r="U15" s="676"/>
      <c r="V15" s="676"/>
      <c r="W15" s="676"/>
      <c r="X15" s="676"/>
      <c r="Y15" s="676"/>
      <c r="Z15" s="676"/>
      <c r="AA15" s="676"/>
    </row>
    <row r="16" spans="1:27" x14ac:dyDescent="0.25">
      <c r="A16" s="139"/>
      <c r="B16" s="32"/>
      <c r="C16" s="366" t="s">
        <v>1232</v>
      </c>
      <c r="D16" s="107" t="s">
        <v>80</v>
      </c>
      <c r="E16" s="32" t="s">
        <v>1266</v>
      </c>
      <c r="F16" s="236">
        <v>11</v>
      </c>
      <c r="G16" s="539">
        <v>1.05</v>
      </c>
      <c r="H16" s="561">
        <f t="shared" si="12"/>
        <v>11.55</v>
      </c>
      <c r="I16" s="658">
        <f>Q8</f>
        <v>0</v>
      </c>
      <c r="J16" s="637">
        <v>0</v>
      </c>
      <c r="K16" s="658">
        <f>R8</f>
        <v>1920.3732</v>
      </c>
      <c r="L16" s="677">
        <f t="shared" si="13"/>
        <v>1920.3732</v>
      </c>
      <c r="M16" s="677">
        <f t="shared" si="14"/>
        <v>22180.310460000001</v>
      </c>
      <c r="N16" s="242"/>
      <c r="O16" s="315"/>
      <c r="P16" s="315"/>
      <c r="Q16" s="315"/>
      <c r="R16" s="315"/>
      <c r="S16" s="676"/>
      <c r="T16" s="676"/>
      <c r="U16" s="676"/>
      <c r="V16" s="676"/>
      <c r="W16" s="676"/>
      <c r="X16" s="676"/>
      <c r="Y16" s="676"/>
      <c r="Z16" s="676"/>
      <c r="AA16" s="676"/>
    </row>
    <row r="17" spans="1:27" ht="28.5" x14ac:dyDescent="0.25">
      <c r="A17" s="30"/>
      <c r="B17" s="739">
        <v>5</v>
      </c>
      <c r="C17" s="311" t="s">
        <v>750</v>
      </c>
      <c r="D17" s="34" t="s">
        <v>76</v>
      </c>
      <c r="E17" s="739" t="s">
        <v>717</v>
      </c>
      <c r="F17" s="183"/>
      <c r="G17" s="501"/>
      <c r="H17" s="501"/>
      <c r="I17" s="639"/>
      <c r="J17" s="579"/>
      <c r="K17" s="639"/>
      <c r="L17" s="639"/>
      <c r="M17" s="639">
        <f>SUM(M18:M19)</f>
        <v>173914.08000000002</v>
      </c>
      <c r="N17" s="242"/>
      <c r="O17" s="242"/>
      <c r="P17" s="242"/>
      <c r="Q17" s="242"/>
      <c r="R17" s="242"/>
      <c r="S17" s="676"/>
      <c r="T17" s="676"/>
      <c r="U17" s="676"/>
      <c r="V17" s="676"/>
      <c r="W17" s="676"/>
      <c r="X17" s="676"/>
      <c r="Y17" s="676"/>
      <c r="Z17" s="676"/>
      <c r="AA17" s="676"/>
    </row>
    <row r="18" spans="1:27" x14ac:dyDescent="0.25">
      <c r="A18" s="139"/>
      <c r="B18" s="32"/>
      <c r="C18" s="366" t="s">
        <v>1186</v>
      </c>
      <c r="D18" s="107" t="s">
        <v>1125</v>
      </c>
      <c r="E18" s="32" t="s">
        <v>434</v>
      </c>
      <c r="F18" s="236">
        <v>1</v>
      </c>
      <c r="G18" s="561"/>
      <c r="H18" s="561">
        <f t="shared" ref="H18:H19" si="15">PRODUCT(F18,G18)</f>
        <v>1</v>
      </c>
      <c r="I18" s="677">
        <f>Q6</f>
        <v>0</v>
      </c>
      <c r="J18" s="637">
        <v>1</v>
      </c>
      <c r="K18" s="677">
        <f>R6</f>
        <v>0</v>
      </c>
      <c r="L18" s="677">
        <f t="shared" ref="L18:L19" si="16">K18-I18</f>
        <v>0</v>
      </c>
      <c r="M18" s="677">
        <f t="shared" ref="M18:M19" si="17">H18*L18</f>
        <v>0</v>
      </c>
      <c r="N18" s="242"/>
      <c r="O18" s="242"/>
      <c r="P18" s="242"/>
      <c r="Q18" s="242"/>
      <c r="R18" s="242"/>
      <c r="S18" s="676"/>
      <c r="T18" s="676"/>
      <c r="U18" s="676"/>
      <c r="V18" s="676"/>
      <c r="W18" s="676"/>
      <c r="X18" s="676"/>
      <c r="Y18" s="676"/>
      <c r="Z18" s="676"/>
      <c r="AA18" s="676"/>
    </row>
    <row r="19" spans="1:27" x14ac:dyDescent="0.25">
      <c r="A19" s="139"/>
      <c r="B19" s="32"/>
      <c r="C19" s="366" t="s">
        <v>8</v>
      </c>
      <c r="D19" s="107" t="s">
        <v>237</v>
      </c>
      <c r="E19" s="32" t="s">
        <v>447</v>
      </c>
      <c r="F19" s="236">
        <v>8</v>
      </c>
      <c r="G19" s="539">
        <v>1.02</v>
      </c>
      <c r="H19" s="561">
        <f t="shared" si="15"/>
        <v>8.16</v>
      </c>
      <c r="I19" s="658">
        <f>Q11</f>
        <v>0</v>
      </c>
      <c r="J19" s="637">
        <v>0</v>
      </c>
      <c r="K19" s="658">
        <f>R11</f>
        <v>21313</v>
      </c>
      <c r="L19" s="677">
        <f t="shared" si="16"/>
        <v>21313</v>
      </c>
      <c r="M19" s="677">
        <f t="shared" si="17"/>
        <v>173914.08000000002</v>
      </c>
      <c r="N19" s="242"/>
      <c r="O19" s="242"/>
      <c r="P19" s="242"/>
      <c r="Q19" s="242"/>
      <c r="R19" s="242"/>
      <c r="S19" s="676"/>
      <c r="T19" s="676"/>
      <c r="U19" s="676"/>
      <c r="V19" s="676"/>
      <c r="W19" s="676"/>
      <c r="X19" s="676"/>
      <c r="Y19" s="676"/>
      <c r="Z19" s="676"/>
      <c r="AA19" s="676"/>
    </row>
    <row r="20" spans="1:27" x14ac:dyDescent="0.25">
      <c r="A20" s="30"/>
      <c r="B20" s="739">
        <v>6</v>
      </c>
      <c r="C20" s="311" t="s">
        <v>239</v>
      </c>
      <c r="D20" s="34" t="s">
        <v>209</v>
      </c>
      <c r="E20" s="739" t="s">
        <v>717</v>
      </c>
      <c r="F20" s="183"/>
      <c r="G20" s="501"/>
      <c r="H20" s="501"/>
      <c r="I20" s="639"/>
      <c r="J20" s="579"/>
      <c r="K20" s="639"/>
      <c r="L20" s="639"/>
      <c r="M20" s="639">
        <f>SUM(M21:M22)</f>
        <v>18147.526740000001</v>
      </c>
      <c r="N20" s="242"/>
      <c r="O20" s="242"/>
      <c r="P20" s="242"/>
      <c r="Q20" s="242"/>
      <c r="R20" s="242"/>
      <c r="S20" s="676"/>
      <c r="T20" s="676"/>
      <c r="U20" s="676"/>
      <c r="V20" s="676"/>
      <c r="W20" s="676"/>
      <c r="X20" s="676"/>
      <c r="Y20" s="676"/>
      <c r="Z20" s="676"/>
      <c r="AA20" s="676"/>
    </row>
    <row r="21" spans="1:27" x14ac:dyDescent="0.25">
      <c r="A21" s="139"/>
      <c r="B21" s="32"/>
      <c r="C21" s="366" t="s">
        <v>1186</v>
      </c>
      <c r="D21" s="107" t="s">
        <v>1125</v>
      </c>
      <c r="E21" s="32" t="s">
        <v>434</v>
      </c>
      <c r="F21" s="236">
        <v>1</v>
      </c>
      <c r="G21" s="561"/>
      <c r="H21" s="561">
        <f t="shared" ref="H21:H22" si="18">PRODUCT(F21,G21)</f>
        <v>1</v>
      </c>
      <c r="I21" s="677">
        <f>Q6</f>
        <v>0</v>
      </c>
      <c r="J21" s="637">
        <v>1</v>
      </c>
      <c r="K21" s="677">
        <f>R6</f>
        <v>0</v>
      </c>
      <c r="L21" s="677">
        <f t="shared" ref="L21:L22" si="19">K21-I21</f>
        <v>0</v>
      </c>
      <c r="M21" s="677">
        <f t="shared" ref="M21:M22" si="20">H21*L21</f>
        <v>0</v>
      </c>
      <c r="N21" s="242"/>
      <c r="O21" s="242"/>
      <c r="P21" s="242"/>
      <c r="Q21" s="242"/>
      <c r="R21" s="242"/>
      <c r="S21" s="676"/>
      <c r="T21" s="676"/>
      <c r="U21" s="676"/>
      <c r="V21" s="676"/>
      <c r="W21" s="676"/>
      <c r="X21" s="676"/>
      <c r="Y21" s="676"/>
      <c r="Z21" s="676"/>
      <c r="AA21" s="676"/>
    </row>
    <row r="22" spans="1:27" x14ac:dyDescent="0.25">
      <c r="A22" s="139"/>
      <c r="B22" s="32"/>
      <c r="C22" s="366" t="s">
        <v>1232</v>
      </c>
      <c r="D22" s="107" t="s">
        <v>80</v>
      </c>
      <c r="E22" s="32" t="s">
        <v>1266</v>
      </c>
      <c r="F22" s="236">
        <v>9</v>
      </c>
      <c r="G22" s="539">
        <v>1.05</v>
      </c>
      <c r="H22" s="561">
        <f t="shared" si="18"/>
        <v>9.4500000000000011</v>
      </c>
      <c r="I22" s="658">
        <f>Q8</f>
        <v>0</v>
      </c>
      <c r="J22" s="637">
        <v>0</v>
      </c>
      <c r="K22" s="658">
        <f>R8</f>
        <v>1920.3732</v>
      </c>
      <c r="L22" s="677">
        <f t="shared" si="19"/>
        <v>1920.3732</v>
      </c>
      <c r="M22" s="677">
        <f t="shared" si="20"/>
        <v>18147.526740000001</v>
      </c>
      <c r="N22" s="242"/>
      <c r="O22" s="242"/>
      <c r="P22" s="242"/>
      <c r="Q22" s="242"/>
      <c r="R22" s="242"/>
      <c r="S22" s="676"/>
      <c r="T22" s="676"/>
      <c r="U22" s="676"/>
      <c r="V22" s="676"/>
      <c r="W22" s="676"/>
      <c r="X22" s="676"/>
      <c r="Y22" s="676"/>
      <c r="Z22" s="676"/>
      <c r="AA22" s="676"/>
    </row>
    <row r="23" spans="1:27" x14ac:dyDescent="0.25">
      <c r="A23" s="30"/>
      <c r="B23" s="739">
        <v>7</v>
      </c>
      <c r="C23" s="311" t="s">
        <v>201</v>
      </c>
      <c r="D23" s="34" t="s">
        <v>202</v>
      </c>
      <c r="E23" s="739" t="s">
        <v>717</v>
      </c>
      <c r="F23" s="183"/>
      <c r="G23" s="501"/>
      <c r="H23" s="501"/>
      <c r="I23" s="639"/>
      <c r="J23" s="579"/>
      <c r="K23" s="639"/>
      <c r="L23" s="639"/>
      <c r="M23" s="639">
        <f>SUM(M24:M25)</f>
        <v>10081.9593</v>
      </c>
      <c r="N23" s="242"/>
      <c r="O23" s="242"/>
      <c r="P23" s="242"/>
      <c r="Q23" s="242"/>
      <c r="R23" s="242"/>
      <c r="S23" s="676"/>
      <c r="T23" s="676"/>
      <c r="U23" s="676"/>
      <c r="V23" s="676"/>
      <c r="W23" s="676"/>
      <c r="X23" s="676"/>
      <c r="Y23" s="676"/>
      <c r="Z23" s="676"/>
      <c r="AA23" s="676"/>
    </row>
    <row r="24" spans="1:27" x14ac:dyDescent="0.25">
      <c r="A24" s="139"/>
      <c r="B24" s="32"/>
      <c r="C24" s="366" t="s">
        <v>1186</v>
      </c>
      <c r="D24" s="107" t="s">
        <v>1125</v>
      </c>
      <c r="E24" s="32" t="s">
        <v>434</v>
      </c>
      <c r="F24" s="236">
        <v>1</v>
      </c>
      <c r="G24" s="561"/>
      <c r="H24" s="561">
        <f t="shared" ref="H24:H25" si="21">PRODUCT(F24,G24)</f>
        <v>1</v>
      </c>
      <c r="I24" s="677">
        <f>Q6</f>
        <v>0</v>
      </c>
      <c r="J24" s="637">
        <v>1</v>
      </c>
      <c r="K24" s="677">
        <f>R6</f>
        <v>0</v>
      </c>
      <c r="L24" s="677">
        <f t="shared" ref="L24:L25" si="22">K24-I24</f>
        <v>0</v>
      </c>
      <c r="M24" s="677">
        <f t="shared" ref="M24:M25" si="23">H24*L24</f>
        <v>0</v>
      </c>
      <c r="N24" s="242"/>
      <c r="O24" s="242"/>
      <c r="P24" s="242"/>
      <c r="Q24" s="242"/>
      <c r="R24" s="242"/>
      <c r="S24" s="676"/>
      <c r="T24" s="676"/>
      <c r="U24" s="676"/>
      <c r="V24" s="676"/>
      <c r="W24" s="676"/>
      <c r="X24" s="676"/>
      <c r="Y24" s="676"/>
      <c r="Z24" s="676"/>
      <c r="AA24" s="676"/>
    </row>
    <row r="25" spans="1:27" x14ac:dyDescent="0.25">
      <c r="A25" s="139"/>
      <c r="B25" s="32"/>
      <c r="C25" s="366" t="s">
        <v>1232</v>
      </c>
      <c r="D25" s="107" t="s">
        <v>80</v>
      </c>
      <c r="E25" s="32" t="s">
        <v>1266</v>
      </c>
      <c r="F25" s="236">
        <v>5</v>
      </c>
      <c r="G25" s="539">
        <v>1.05</v>
      </c>
      <c r="H25" s="561">
        <f t="shared" si="21"/>
        <v>5.25</v>
      </c>
      <c r="I25" s="658">
        <f>Q8</f>
        <v>0</v>
      </c>
      <c r="J25" s="637">
        <v>0</v>
      </c>
      <c r="K25" s="658">
        <f>R8</f>
        <v>1920.3732</v>
      </c>
      <c r="L25" s="677">
        <f t="shared" si="22"/>
        <v>1920.3732</v>
      </c>
      <c r="M25" s="677">
        <f t="shared" si="23"/>
        <v>10081.9593</v>
      </c>
      <c r="N25" s="242"/>
      <c r="O25" s="242"/>
      <c r="P25" s="242"/>
      <c r="Q25" s="242"/>
      <c r="R25" s="242"/>
      <c r="S25" s="676"/>
      <c r="T25" s="676"/>
      <c r="U25" s="676"/>
      <c r="V25" s="676"/>
      <c r="W25" s="676"/>
      <c r="X25" s="676"/>
      <c r="Y25" s="676"/>
      <c r="Z25" s="676"/>
      <c r="AA25" s="676"/>
    </row>
    <row r="26" spans="1:27" x14ac:dyDescent="0.25">
      <c r="A26" s="30"/>
      <c r="B26" s="739">
        <v>8</v>
      </c>
      <c r="C26" s="311" t="s">
        <v>551</v>
      </c>
      <c r="D26" s="34" t="s">
        <v>330</v>
      </c>
      <c r="E26" s="739" t="s">
        <v>717</v>
      </c>
      <c r="F26" s="183"/>
      <c r="G26" s="501"/>
      <c r="H26" s="501"/>
      <c r="I26" s="639"/>
      <c r="J26" s="579"/>
      <c r="K26" s="639"/>
      <c r="L26" s="639"/>
      <c r="M26" s="639">
        <f>SUM(M27:M28)</f>
        <v>86957.040000000008</v>
      </c>
      <c r="N26" s="242"/>
      <c r="O26" s="242"/>
      <c r="P26" s="242"/>
      <c r="Q26" s="242"/>
      <c r="R26" s="242"/>
      <c r="S26" s="676"/>
      <c r="T26" s="676"/>
      <c r="U26" s="676"/>
      <c r="V26" s="676"/>
      <c r="W26" s="676"/>
      <c r="X26" s="676"/>
      <c r="Y26" s="676"/>
      <c r="Z26" s="676"/>
      <c r="AA26" s="676"/>
    </row>
    <row r="27" spans="1:27" x14ac:dyDescent="0.25">
      <c r="A27" s="139"/>
      <c r="B27" s="32"/>
      <c r="C27" s="366" t="s">
        <v>1186</v>
      </c>
      <c r="D27" s="107" t="s">
        <v>1125</v>
      </c>
      <c r="E27" s="32" t="s">
        <v>434</v>
      </c>
      <c r="F27" s="236">
        <v>1</v>
      </c>
      <c r="G27" s="561"/>
      <c r="H27" s="561">
        <f t="shared" ref="H27:H28" si="24">PRODUCT(F27,G27)</f>
        <v>1</v>
      </c>
      <c r="I27" s="677">
        <f>Q6</f>
        <v>0</v>
      </c>
      <c r="J27" s="637">
        <v>1</v>
      </c>
      <c r="K27" s="677">
        <f>R6</f>
        <v>0</v>
      </c>
      <c r="L27" s="677">
        <f t="shared" ref="L27:L28" si="25">K27-I27</f>
        <v>0</v>
      </c>
      <c r="M27" s="677">
        <f t="shared" ref="M27:M28" si="26">H27*L27</f>
        <v>0</v>
      </c>
      <c r="N27" s="242"/>
      <c r="O27" s="242"/>
      <c r="P27" s="242"/>
      <c r="Q27" s="242"/>
      <c r="R27" s="242"/>
      <c r="S27" s="676"/>
      <c r="T27" s="676"/>
      <c r="U27" s="676"/>
      <c r="V27" s="676"/>
      <c r="W27" s="676"/>
      <c r="X27" s="676"/>
      <c r="Y27" s="676"/>
      <c r="Z27" s="676"/>
      <c r="AA27" s="676"/>
    </row>
    <row r="28" spans="1:27" x14ac:dyDescent="0.25">
      <c r="A28" s="139"/>
      <c r="B28" s="32"/>
      <c r="C28" s="366" t="s">
        <v>8</v>
      </c>
      <c r="D28" s="107" t="s">
        <v>237</v>
      </c>
      <c r="E28" s="32" t="s">
        <v>447</v>
      </c>
      <c r="F28" s="236">
        <v>4</v>
      </c>
      <c r="G28" s="539">
        <v>1.02</v>
      </c>
      <c r="H28" s="561">
        <f t="shared" si="24"/>
        <v>4.08</v>
      </c>
      <c r="I28" s="658">
        <f>Q11</f>
        <v>0</v>
      </c>
      <c r="J28" s="637">
        <v>0</v>
      </c>
      <c r="K28" s="658">
        <f>R11</f>
        <v>21313</v>
      </c>
      <c r="L28" s="677">
        <f t="shared" si="25"/>
        <v>21313</v>
      </c>
      <c r="M28" s="677">
        <f t="shared" si="26"/>
        <v>86957.040000000008</v>
      </c>
      <c r="N28" s="242"/>
      <c r="O28" s="242"/>
      <c r="P28" s="242"/>
      <c r="Q28" s="242"/>
      <c r="R28" s="242"/>
      <c r="S28" s="676"/>
      <c r="T28" s="676"/>
      <c r="U28" s="676"/>
      <c r="V28" s="676"/>
      <c r="W28" s="676"/>
      <c r="X28" s="676"/>
      <c r="Y28" s="676"/>
      <c r="Z28" s="676"/>
      <c r="AA28" s="676"/>
    </row>
    <row r="29" spans="1:27" x14ac:dyDescent="0.25">
      <c r="A29" s="30"/>
      <c r="B29" s="739">
        <v>9</v>
      </c>
      <c r="C29" s="311" t="s">
        <v>194</v>
      </c>
      <c r="D29" s="34" t="s">
        <v>1193</v>
      </c>
      <c r="E29" s="739" t="s">
        <v>717</v>
      </c>
      <c r="F29" s="183"/>
      <c r="G29" s="501"/>
      <c r="H29" s="501"/>
      <c r="I29" s="639"/>
      <c r="J29" s="579"/>
      <c r="K29" s="639"/>
      <c r="L29" s="639"/>
      <c r="M29" s="639">
        <f>SUM(M30:M31)</f>
        <v>14114.743020000002</v>
      </c>
      <c r="N29" s="242"/>
      <c r="O29" s="242"/>
      <c r="P29" s="242"/>
      <c r="Q29" s="242"/>
      <c r="R29" s="242"/>
      <c r="S29" s="676"/>
      <c r="T29" s="676"/>
      <c r="U29" s="676"/>
      <c r="V29" s="676"/>
      <c r="W29" s="676"/>
      <c r="X29" s="676"/>
      <c r="Y29" s="676"/>
      <c r="Z29" s="676"/>
      <c r="AA29" s="676"/>
    </row>
    <row r="30" spans="1:27" x14ac:dyDescent="0.25">
      <c r="A30" s="139"/>
      <c r="B30" s="32"/>
      <c r="C30" s="366" t="s">
        <v>1186</v>
      </c>
      <c r="D30" s="107" t="s">
        <v>1125</v>
      </c>
      <c r="E30" s="32" t="s">
        <v>434</v>
      </c>
      <c r="F30" s="236">
        <v>1</v>
      </c>
      <c r="G30" s="561"/>
      <c r="H30" s="561">
        <f t="shared" ref="H30:H31" si="27">PRODUCT(F30,G30)</f>
        <v>1</v>
      </c>
      <c r="I30" s="677">
        <f>Q6</f>
        <v>0</v>
      </c>
      <c r="J30" s="637">
        <v>1</v>
      </c>
      <c r="K30" s="677">
        <f>R6</f>
        <v>0</v>
      </c>
      <c r="L30" s="677">
        <f t="shared" ref="L30:L31" si="28">K30-I30</f>
        <v>0</v>
      </c>
      <c r="M30" s="677">
        <f t="shared" ref="M30:M31" si="29">H30*L30</f>
        <v>0</v>
      </c>
      <c r="N30" s="242"/>
      <c r="O30" s="242"/>
      <c r="P30" s="242"/>
      <c r="Q30" s="242"/>
      <c r="R30" s="242"/>
      <c r="S30" s="676"/>
      <c r="T30" s="676"/>
      <c r="U30" s="676"/>
      <c r="V30" s="676"/>
      <c r="W30" s="676"/>
      <c r="X30" s="676"/>
      <c r="Y30" s="676"/>
      <c r="Z30" s="676"/>
      <c r="AA30" s="676"/>
    </row>
    <row r="31" spans="1:27" x14ac:dyDescent="0.25">
      <c r="A31" s="139"/>
      <c r="B31" s="32"/>
      <c r="C31" s="366" t="s">
        <v>1232</v>
      </c>
      <c r="D31" s="107" t="s">
        <v>80</v>
      </c>
      <c r="E31" s="32" t="s">
        <v>1266</v>
      </c>
      <c r="F31" s="236">
        <v>7</v>
      </c>
      <c r="G31" s="539">
        <v>1.05</v>
      </c>
      <c r="H31" s="561">
        <f t="shared" si="27"/>
        <v>7.3500000000000005</v>
      </c>
      <c r="I31" s="658">
        <f>Q8</f>
        <v>0</v>
      </c>
      <c r="J31" s="637">
        <v>0</v>
      </c>
      <c r="K31" s="658">
        <f>R8</f>
        <v>1920.3732</v>
      </c>
      <c r="L31" s="677">
        <f t="shared" si="28"/>
        <v>1920.3732</v>
      </c>
      <c r="M31" s="677">
        <f t="shared" si="29"/>
        <v>14114.743020000002</v>
      </c>
      <c r="N31" s="242"/>
      <c r="O31" s="242"/>
      <c r="P31" s="242"/>
      <c r="Q31" s="242"/>
      <c r="R31" s="242"/>
      <c r="S31" s="676"/>
      <c r="T31" s="676"/>
      <c r="U31" s="676"/>
      <c r="V31" s="676"/>
      <c r="W31" s="676"/>
      <c r="X31" s="676"/>
      <c r="Y31" s="676"/>
      <c r="Z31" s="676"/>
      <c r="AA31" s="676"/>
    </row>
    <row r="32" spans="1:27" x14ac:dyDescent="0.25">
      <c r="A32" s="30"/>
      <c r="B32" s="739">
        <v>10</v>
      </c>
      <c r="C32" s="311" t="s">
        <v>1126</v>
      </c>
      <c r="D32" s="34" t="s">
        <v>585</v>
      </c>
      <c r="E32" s="739" t="s">
        <v>717</v>
      </c>
      <c r="F32" s="183"/>
      <c r="G32" s="501"/>
      <c r="H32" s="501"/>
      <c r="I32" s="639"/>
      <c r="J32" s="579"/>
      <c r="K32" s="639"/>
      <c r="L32" s="639"/>
      <c r="M32" s="639">
        <f>SUM(M33:M34)</f>
        <v>895543.79999999993</v>
      </c>
      <c r="N32" s="242"/>
      <c r="O32" s="242"/>
      <c r="P32" s="242"/>
      <c r="Q32" s="242"/>
      <c r="R32" s="242"/>
      <c r="S32" s="676"/>
      <c r="T32" s="676"/>
      <c r="U32" s="676"/>
      <c r="V32" s="676"/>
      <c r="W32" s="676"/>
      <c r="X32" s="676"/>
      <c r="Y32" s="676"/>
      <c r="Z32" s="676"/>
      <c r="AA32" s="676"/>
    </row>
    <row r="33" spans="1:27" x14ac:dyDescent="0.25">
      <c r="A33" s="139"/>
      <c r="B33" s="32"/>
      <c r="C33" s="366" t="s">
        <v>197</v>
      </c>
      <c r="D33" s="107" t="s">
        <v>535</v>
      </c>
      <c r="E33" s="32" t="s">
        <v>434</v>
      </c>
      <c r="F33" s="236">
        <v>1</v>
      </c>
      <c r="G33" s="561"/>
      <c r="H33" s="561">
        <f t="shared" ref="H33:H34" si="30">PRODUCT(F33,G33)</f>
        <v>1</v>
      </c>
      <c r="I33" s="677">
        <f t="shared" ref="I33:I34" si="31">Q9</f>
        <v>0</v>
      </c>
      <c r="J33" s="637">
        <v>1</v>
      </c>
      <c r="K33" s="677">
        <f t="shared" ref="K33:K34" si="32">R9</f>
        <v>0</v>
      </c>
      <c r="L33" s="677">
        <f t="shared" ref="L33:L34" si="33">K33-I33</f>
        <v>0</v>
      </c>
      <c r="M33" s="677">
        <f t="shared" ref="M33:M34" si="34">H33*L33</f>
        <v>0</v>
      </c>
      <c r="N33" s="242"/>
      <c r="O33" s="242"/>
      <c r="P33" s="242"/>
      <c r="Q33" s="242"/>
      <c r="R33" s="242"/>
      <c r="S33" s="676"/>
      <c r="T33" s="676"/>
      <c r="U33" s="676"/>
      <c r="V33" s="676"/>
      <c r="W33" s="676"/>
      <c r="X33" s="676"/>
      <c r="Y33" s="676"/>
      <c r="Z33" s="676"/>
      <c r="AA33" s="676"/>
    </row>
    <row r="34" spans="1:27" x14ac:dyDescent="0.25">
      <c r="A34" s="139"/>
      <c r="B34" s="32"/>
      <c r="C34" s="366" t="s">
        <v>479</v>
      </c>
      <c r="D34" s="107" t="s">
        <v>372</v>
      </c>
      <c r="E34" s="32" t="s">
        <v>447</v>
      </c>
      <c r="F34" s="236">
        <v>43</v>
      </c>
      <c r="G34" s="539">
        <v>1.03</v>
      </c>
      <c r="H34" s="561">
        <f t="shared" si="30"/>
        <v>44.29</v>
      </c>
      <c r="I34" s="658">
        <f t="shared" si="31"/>
        <v>0</v>
      </c>
      <c r="J34" s="637">
        <v>0</v>
      </c>
      <c r="K34" s="658">
        <f t="shared" si="32"/>
        <v>20220</v>
      </c>
      <c r="L34" s="677">
        <f t="shared" si="33"/>
        <v>20220</v>
      </c>
      <c r="M34" s="677">
        <f t="shared" si="34"/>
        <v>895543.79999999993</v>
      </c>
      <c r="N34" s="242"/>
      <c r="O34" s="242"/>
      <c r="P34" s="242"/>
      <c r="Q34" s="242"/>
      <c r="R34" s="242"/>
      <c r="S34" s="676"/>
      <c r="T34" s="676"/>
      <c r="U34" s="676"/>
      <c r="V34" s="676"/>
      <c r="W34" s="676"/>
      <c r="X34" s="676"/>
      <c r="Y34" s="676"/>
      <c r="Z34" s="676"/>
      <c r="AA34" s="676"/>
    </row>
    <row r="35" spans="1:27" x14ac:dyDescent="0.25">
      <c r="A35" s="30"/>
      <c r="B35" s="739">
        <v>11</v>
      </c>
      <c r="C35" s="311" t="s">
        <v>759</v>
      </c>
      <c r="D35" s="34" t="s">
        <v>42</v>
      </c>
      <c r="E35" s="739" t="s">
        <v>717</v>
      </c>
      <c r="F35" s="183"/>
      <c r="G35" s="501"/>
      <c r="H35" s="501"/>
      <c r="I35" s="639"/>
      <c r="J35" s="579"/>
      <c r="K35" s="639"/>
      <c r="L35" s="639"/>
      <c r="M35" s="639">
        <f>SUM(M36:M37)</f>
        <v>1728607.8000000003</v>
      </c>
      <c r="N35" s="242"/>
      <c r="O35" s="242"/>
      <c r="P35" s="242"/>
      <c r="Q35" s="242"/>
      <c r="R35" s="242"/>
      <c r="S35" s="676"/>
      <c r="T35" s="676"/>
      <c r="U35" s="676"/>
      <c r="V35" s="676"/>
      <c r="W35" s="676"/>
      <c r="X35" s="676"/>
      <c r="Y35" s="676"/>
      <c r="Z35" s="676"/>
      <c r="AA35" s="676"/>
    </row>
    <row r="36" spans="1:27" x14ac:dyDescent="0.25">
      <c r="A36" s="139"/>
      <c r="B36" s="32"/>
      <c r="C36" s="366" t="s">
        <v>197</v>
      </c>
      <c r="D36" s="107" t="s">
        <v>535</v>
      </c>
      <c r="E36" s="32" t="s">
        <v>434</v>
      </c>
      <c r="F36" s="236">
        <v>1</v>
      </c>
      <c r="G36" s="561"/>
      <c r="H36" s="561">
        <f t="shared" ref="H36:H37" si="35">PRODUCT(F36,G36)</f>
        <v>1</v>
      </c>
      <c r="I36" s="677">
        <f t="shared" ref="I36:I37" si="36">Q9</f>
        <v>0</v>
      </c>
      <c r="J36" s="637">
        <v>1</v>
      </c>
      <c r="K36" s="677">
        <f t="shared" ref="K36:K37" si="37">R9</f>
        <v>0</v>
      </c>
      <c r="L36" s="677">
        <f t="shared" ref="L36:L37" si="38">K36-I36</f>
        <v>0</v>
      </c>
      <c r="M36" s="677">
        <f t="shared" ref="M36:M37" si="39">H36*L36</f>
        <v>0</v>
      </c>
      <c r="N36" s="242"/>
      <c r="O36" s="242"/>
      <c r="P36" s="242"/>
      <c r="Q36" s="242"/>
      <c r="R36" s="242"/>
      <c r="S36" s="676"/>
      <c r="T36" s="676"/>
      <c r="U36" s="676"/>
      <c r="V36" s="676"/>
      <c r="W36" s="676"/>
      <c r="X36" s="676"/>
      <c r="Y36" s="676"/>
      <c r="Z36" s="676"/>
      <c r="AA36" s="676"/>
    </row>
    <row r="37" spans="1:27" x14ac:dyDescent="0.25">
      <c r="A37" s="139"/>
      <c r="B37" s="32"/>
      <c r="C37" s="366" t="s">
        <v>479</v>
      </c>
      <c r="D37" s="107" t="s">
        <v>372</v>
      </c>
      <c r="E37" s="32" t="s">
        <v>447</v>
      </c>
      <c r="F37" s="236">
        <v>83</v>
      </c>
      <c r="G37" s="539">
        <v>1.03</v>
      </c>
      <c r="H37" s="561">
        <f t="shared" si="35"/>
        <v>85.490000000000009</v>
      </c>
      <c r="I37" s="658">
        <f t="shared" si="36"/>
        <v>0</v>
      </c>
      <c r="J37" s="637">
        <v>0</v>
      </c>
      <c r="K37" s="658">
        <f t="shared" si="37"/>
        <v>20220</v>
      </c>
      <c r="L37" s="677">
        <f t="shared" si="38"/>
        <v>20220</v>
      </c>
      <c r="M37" s="677">
        <f t="shared" si="39"/>
        <v>1728607.8000000003</v>
      </c>
      <c r="N37" s="242"/>
      <c r="O37" s="242"/>
      <c r="P37" s="242"/>
      <c r="Q37" s="242"/>
      <c r="R37" s="242"/>
      <c r="S37" s="676"/>
      <c r="T37" s="676"/>
      <c r="U37" s="676"/>
      <c r="V37" s="676"/>
      <c r="W37" s="676"/>
      <c r="X37" s="676"/>
      <c r="Y37" s="676"/>
      <c r="Z37" s="676"/>
      <c r="AA37" s="676"/>
    </row>
    <row r="38" spans="1:27" x14ac:dyDescent="0.25">
      <c r="A38" s="30"/>
      <c r="B38" s="739">
        <v>12</v>
      </c>
      <c r="C38" s="311" t="s">
        <v>82</v>
      </c>
      <c r="D38" s="34" t="s">
        <v>363</v>
      </c>
      <c r="E38" s="739" t="s">
        <v>717</v>
      </c>
      <c r="F38" s="183"/>
      <c r="G38" s="501"/>
      <c r="H38" s="501"/>
      <c r="I38" s="639"/>
      <c r="J38" s="579"/>
      <c r="K38" s="639"/>
      <c r="L38" s="639"/>
      <c r="M38" s="639">
        <f>SUM(M39:M40)</f>
        <v>96786.809280000016</v>
      </c>
      <c r="N38" s="242"/>
      <c r="O38" s="242"/>
      <c r="P38" s="242"/>
      <c r="Q38" s="242"/>
      <c r="R38" s="242"/>
      <c r="S38" s="676"/>
      <c r="T38" s="676"/>
      <c r="U38" s="676"/>
      <c r="V38" s="676"/>
      <c r="W38" s="676"/>
      <c r="X38" s="676"/>
      <c r="Y38" s="676"/>
      <c r="Z38" s="676"/>
      <c r="AA38" s="676"/>
    </row>
    <row r="39" spans="1:27" x14ac:dyDescent="0.25">
      <c r="A39" s="139"/>
      <c r="B39" s="32"/>
      <c r="C39" s="366" t="s">
        <v>197</v>
      </c>
      <c r="D39" s="107" t="s">
        <v>535</v>
      </c>
      <c r="E39" s="32" t="s">
        <v>434</v>
      </c>
      <c r="F39" s="236">
        <v>1</v>
      </c>
      <c r="G39" s="561"/>
      <c r="H39" s="561">
        <f t="shared" ref="H39:H40" si="40">PRODUCT(F39,G39)</f>
        <v>1</v>
      </c>
      <c r="I39" s="677">
        <f>Q9</f>
        <v>0</v>
      </c>
      <c r="J39" s="637">
        <v>1</v>
      </c>
      <c r="K39" s="677">
        <f>R9</f>
        <v>0</v>
      </c>
      <c r="L39" s="677">
        <f t="shared" ref="L39:L40" si="41">K39-I39</f>
        <v>0</v>
      </c>
      <c r="M39" s="677">
        <f t="shared" ref="M39:M40" si="42">H39*L39</f>
        <v>0</v>
      </c>
      <c r="N39" s="242"/>
      <c r="O39" s="242"/>
      <c r="P39" s="242"/>
      <c r="Q39" s="242"/>
      <c r="R39" s="242"/>
      <c r="S39" s="676"/>
      <c r="T39" s="676"/>
      <c r="U39" s="676"/>
      <c r="V39" s="676"/>
      <c r="W39" s="676"/>
      <c r="X39" s="676"/>
      <c r="Y39" s="676"/>
      <c r="Z39" s="676"/>
      <c r="AA39" s="676"/>
    </row>
    <row r="40" spans="1:27" x14ac:dyDescent="0.25">
      <c r="A40" s="139"/>
      <c r="B40" s="32"/>
      <c r="C40" s="366" t="s">
        <v>1232</v>
      </c>
      <c r="D40" s="107" t="s">
        <v>80</v>
      </c>
      <c r="E40" s="32" t="s">
        <v>1266</v>
      </c>
      <c r="F40" s="236">
        <v>48</v>
      </c>
      <c r="G40" s="539">
        <v>1.05</v>
      </c>
      <c r="H40" s="561">
        <f t="shared" si="40"/>
        <v>50.400000000000006</v>
      </c>
      <c r="I40" s="658">
        <f>Q8</f>
        <v>0</v>
      </c>
      <c r="J40" s="637">
        <v>0</v>
      </c>
      <c r="K40" s="658">
        <f>R8</f>
        <v>1920.3732</v>
      </c>
      <c r="L40" s="677">
        <f t="shared" si="41"/>
        <v>1920.3732</v>
      </c>
      <c r="M40" s="677">
        <f t="shared" si="42"/>
        <v>96786.809280000016</v>
      </c>
      <c r="N40" s="242"/>
      <c r="O40" s="242"/>
      <c r="P40" s="242"/>
      <c r="Q40" s="242"/>
      <c r="R40" s="242"/>
      <c r="S40" s="676"/>
      <c r="T40" s="676"/>
      <c r="U40" s="676"/>
      <c r="V40" s="676"/>
      <c r="W40" s="676"/>
      <c r="X40" s="676"/>
      <c r="Y40" s="676"/>
      <c r="Z40" s="676"/>
      <c r="AA40" s="676"/>
    </row>
    <row r="41" spans="1:27" x14ac:dyDescent="0.25">
      <c r="A41" s="30"/>
      <c r="B41" s="739">
        <v>13</v>
      </c>
      <c r="C41" s="311" t="s">
        <v>5</v>
      </c>
      <c r="D41" s="34" t="s">
        <v>1180</v>
      </c>
      <c r="E41" s="739" t="s">
        <v>717</v>
      </c>
      <c r="F41" s="183"/>
      <c r="G41" s="501"/>
      <c r="H41" s="501"/>
      <c r="I41" s="639"/>
      <c r="J41" s="579"/>
      <c r="K41" s="639"/>
      <c r="L41" s="639"/>
      <c r="M41" s="639">
        <f>SUM(M42:M42)</f>
        <v>4637.7012780000005</v>
      </c>
      <c r="N41" s="242"/>
      <c r="O41" s="242"/>
      <c r="P41" s="242"/>
      <c r="Q41" s="242"/>
      <c r="R41" s="242"/>
      <c r="S41" s="676"/>
      <c r="T41" s="676"/>
      <c r="U41" s="676"/>
      <c r="V41" s="676"/>
      <c r="W41" s="676"/>
      <c r="X41" s="676"/>
      <c r="Y41" s="676"/>
      <c r="Z41" s="676"/>
      <c r="AA41" s="676"/>
    </row>
    <row r="42" spans="1:27" x14ac:dyDescent="0.25">
      <c r="A42" s="139"/>
      <c r="B42" s="32"/>
      <c r="C42" s="366" t="s">
        <v>1232</v>
      </c>
      <c r="D42" s="107" t="s">
        <v>80</v>
      </c>
      <c r="E42" s="32" t="s">
        <v>1266</v>
      </c>
      <c r="F42" s="236">
        <v>2.2999999999999998</v>
      </c>
      <c r="G42" s="539">
        <v>1.05</v>
      </c>
      <c r="H42" s="561">
        <f>PRODUCT(F42,G42)</f>
        <v>2.415</v>
      </c>
      <c r="I42" s="658">
        <f>Q8</f>
        <v>0</v>
      </c>
      <c r="J42" s="637">
        <v>0</v>
      </c>
      <c r="K42" s="658">
        <f>R8</f>
        <v>1920.3732</v>
      </c>
      <c r="L42" s="677">
        <f>K42-I42</f>
        <v>1920.3732</v>
      </c>
      <c r="M42" s="677">
        <f>H42*L42</f>
        <v>4637.7012780000005</v>
      </c>
      <c r="N42" s="242"/>
      <c r="O42" s="242"/>
      <c r="P42" s="242"/>
      <c r="Q42" s="242"/>
      <c r="R42" s="242"/>
      <c r="S42" s="676"/>
      <c r="T42" s="676"/>
      <c r="U42" s="676"/>
      <c r="V42" s="676"/>
      <c r="W42" s="676"/>
      <c r="X42" s="676"/>
      <c r="Y42" s="676"/>
      <c r="Z42" s="676"/>
      <c r="AA42" s="676"/>
    </row>
    <row r="43" spans="1:27" x14ac:dyDescent="0.25">
      <c r="A43" s="30"/>
      <c r="B43" s="739">
        <v>14</v>
      </c>
      <c r="C43" s="311" t="s">
        <v>1024</v>
      </c>
      <c r="D43" s="34" t="s">
        <v>128</v>
      </c>
      <c r="E43" s="739" t="s">
        <v>717</v>
      </c>
      <c r="F43" s="183"/>
      <c r="G43" s="501"/>
      <c r="H43" s="501"/>
      <c r="I43" s="639"/>
      <c r="J43" s="579"/>
      <c r="K43" s="639"/>
      <c r="L43" s="639"/>
      <c r="M43" s="639">
        <f>SUM(M44:M45)</f>
        <v>728931.00000000012</v>
      </c>
      <c r="N43" s="242"/>
      <c r="O43" s="242"/>
      <c r="P43" s="242"/>
      <c r="Q43" s="242"/>
      <c r="R43" s="242"/>
      <c r="S43" s="676"/>
      <c r="T43" s="676"/>
      <c r="U43" s="676"/>
      <c r="V43" s="676"/>
      <c r="W43" s="676"/>
      <c r="X43" s="676"/>
      <c r="Y43" s="676"/>
      <c r="Z43" s="676"/>
      <c r="AA43" s="676"/>
    </row>
    <row r="44" spans="1:27" x14ac:dyDescent="0.25">
      <c r="A44" s="139"/>
      <c r="B44" s="32"/>
      <c r="C44" s="366" t="s">
        <v>197</v>
      </c>
      <c r="D44" s="107" t="s">
        <v>535</v>
      </c>
      <c r="E44" s="32" t="s">
        <v>434</v>
      </c>
      <c r="F44" s="236">
        <v>1</v>
      </c>
      <c r="G44" s="561"/>
      <c r="H44" s="561">
        <f t="shared" ref="H44:H45" si="43">PRODUCT(F44,G44)</f>
        <v>1</v>
      </c>
      <c r="I44" s="677">
        <f t="shared" ref="I44:I45" si="44">Q9</f>
        <v>0</v>
      </c>
      <c r="J44" s="637">
        <v>1</v>
      </c>
      <c r="K44" s="677">
        <f t="shared" ref="K44:K45" si="45">R9</f>
        <v>0</v>
      </c>
      <c r="L44" s="677">
        <f t="shared" ref="L44:L45" si="46">K44-I44</f>
        <v>0</v>
      </c>
      <c r="M44" s="677">
        <f t="shared" ref="M44:M45" si="47">H44*L44</f>
        <v>0</v>
      </c>
      <c r="N44" s="242"/>
      <c r="O44" s="242"/>
      <c r="P44" s="242"/>
      <c r="Q44" s="242"/>
      <c r="R44" s="242"/>
      <c r="S44" s="676"/>
      <c r="T44" s="676"/>
      <c r="U44" s="676"/>
      <c r="V44" s="676"/>
      <c r="W44" s="676"/>
      <c r="X44" s="676"/>
      <c r="Y44" s="676"/>
      <c r="Z44" s="676"/>
      <c r="AA44" s="676"/>
    </row>
    <row r="45" spans="1:27" x14ac:dyDescent="0.25">
      <c r="A45" s="139"/>
      <c r="B45" s="32"/>
      <c r="C45" s="366" t="s">
        <v>479</v>
      </c>
      <c r="D45" s="107" t="s">
        <v>372</v>
      </c>
      <c r="E45" s="32" t="s">
        <v>447</v>
      </c>
      <c r="F45" s="236">
        <v>35</v>
      </c>
      <c r="G45" s="539">
        <v>1.03</v>
      </c>
      <c r="H45" s="561">
        <f t="shared" si="43"/>
        <v>36.050000000000004</v>
      </c>
      <c r="I45" s="658">
        <f t="shared" si="44"/>
        <v>0</v>
      </c>
      <c r="J45" s="637">
        <v>0</v>
      </c>
      <c r="K45" s="658">
        <f t="shared" si="45"/>
        <v>20220</v>
      </c>
      <c r="L45" s="677">
        <f t="shared" si="46"/>
        <v>20220</v>
      </c>
      <c r="M45" s="677">
        <f t="shared" si="47"/>
        <v>728931.00000000012</v>
      </c>
      <c r="N45" s="242"/>
      <c r="O45" s="242"/>
      <c r="P45" s="242"/>
      <c r="Q45" s="242"/>
      <c r="R45" s="242"/>
      <c r="S45" s="676"/>
      <c r="T45" s="676"/>
      <c r="U45" s="676"/>
      <c r="V45" s="676"/>
      <c r="W45" s="676"/>
      <c r="X45" s="676"/>
      <c r="Y45" s="676"/>
      <c r="Z45" s="676"/>
      <c r="AA45" s="676"/>
    </row>
    <row r="46" spans="1:27" x14ac:dyDescent="0.25">
      <c r="A46" s="30"/>
      <c r="B46" s="739">
        <v>15</v>
      </c>
      <c r="C46" s="311" t="s">
        <v>1089</v>
      </c>
      <c r="D46" s="34" t="s">
        <v>949</v>
      </c>
      <c r="E46" s="739" t="s">
        <v>717</v>
      </c>
      <c r="F46" s="183"/>
      <c r="G46" s="501"/>
      <c r="H46" s="501"/>
      <c r="I46" s="639"/>
      <c r="J46" s="579"/>
      <c r="K46" s="639"/>
      <c r="L46" s="639"/>
      <c r="M46" s="639">
        <f>SUM(M47:M48)</f>
        <v>978850.20000000007</v>
      </c>
      <c r="N46" s="242"/>
      <c r="O46" s="242"/>
      <c r="P46" s="242"/>
      <c r="Q46" s="242"/>
      <c r="R46" s="242"/>
      <c r="S46" s="676"/>
      <c r="T46" s="676"/>
      <c r="U46" s="676"/>
      <c r="V46" s="676"/>
      <c r="W46" s="676"/>
      <c r="X46" s="676"/>
      <c r="Y46" s="676"/>
      <c r="Z46" s="676"/>
      <c r="AA46" s="676"/>
    </row>
    <row r="47" spans="1:27" x14ac:dyDescent="0.25">
      <c r="A47" s="139"/>
      <c r="B47" s="32"/>
      <c r="C47" s="366" t="s">
        <v>197</v>
      </c>
      <c r="D47" s="107" t="s">
        <v>535</v>
      </c>
      <c r="E47" s="32" t="s">
        <v>434</v>
      </c>
      <c r="F47" s="236">
        <v>1</v>
      </c>
      <c r="G47" s="561"/>
      <c r="H47" s="561">
        <f t="shared" ref="H47:H48" si="48">PRODUCT(F47,G47)</f>
        <v>1</v>
      </c>
      <c r="I47" s="677">
        <f t="shared" ref="I47:I48" si="49">Q9</f>
        <v>0</v>
      </c>
      <c r="J47" s="637">
        <v>1</v>
      </c>
      <c r="K47" s="677">
        <f t="shared" ref="K47:K48" si="50">R9</f>
        <v>0</v>
      </c>
      <c r="L47" s="677">
        <f t="shared" ref="L47:L48" si="51">K47-I47</f>
        <v>0</v>
      </c>
      <c r="M47" s="677">
        <f t="shared" ref="M47:M48" si="52">H47*L47</f>
        <v>0</v>
      </c>
      <c r="N47" s="242"/>
      <c r="O47" s="242"/>
      <c r="P47" s="242"/>
      <c r="Q47" s="242"/>
      <c r="R47" s="242"/>
      <c r="S47" s="676"/>
      <c r="T47" s="676"/>
      <c r="U47" s="676"/>
      <c r="V47" s="676"/>
      <c r="W47" s="676"/>
      <c r="X47" s="676"/>
      <c r="Y47" s="676"/>
      <c r="Z47" s="676"/>
      <c r="AA47" s="676"/>
    </row>
    <row r="48" spans="1:27" x14ac:dyDescent="0.25">
      <c r="A48" s="139"/>
      <c r="B48" s="32"/>
      <c r="C48" s="366" t="s">
        <v>479</v>
      </c>
      <c r="D48" s="107" t="s">
        <v>372</v>
      </c>
      <c r="E48" s="32" t="s">
        <v>447</v>
      </c>
      <c r="F48" s="236">
        <v>47</v>
      </c>
      <c r="G48" s="539">
        <v>1.03</v>
      </c>
      <c r="H48" s="561">
        <f t="shared" si="48"/>
        <v>48.410000000000004</v>
      </c>
      <c r="I48" s="658">
        <f t="shared" si="49"/>
        <v>0</v>
      </c>
      <c r="J48" s="637">
        <v>0</v>
      </c>
      <c r="K48" s="658">
        <f t="shared" si="50"/>
        <v>20220</v>
      </c>
      <c r="L48" s="677">
        <f t="shared" si="51"/>
        <v>20220</v>
      </c>
      <c r="M48" s="677">
        <f t="shared" si="52"/>
        <v>978850.20000000007</v>
      </c>
      <c r="N48" s="242"/>
      <c r="O48" s="242"/>
      <c r="P48" s="242"/>
      <c r="Q48" s="242"/>
      <c r="R48" s="242"/>
      <c r="S48" s="676"/>
      <c r="T48" s="676"/>
      <c r="U48" s="676"/>
      <c r="V48" s="676"/>
      <c r="W48" s="676"/>
      <c r="X48" s="676"/>
      <c r="Y48" s="676"/>
      <c r="Z48" s="676"/>
      <c r="AA48" s="676"/>
    </row>
    <row r="49" spans="1:27" x14ac:dyDescent="0.25">
      <c r="A49" s="30"/>
      <c r="B49" s="739">
        <v>16</v>
      </c>
      <c r="C49" s="311" t="s">
        <v>811</v>
      </c>
      <c r="D49" s="34" t="s">
        <v>929</v>
      </c>
      <c r="E49" s="739" t="s">
        <v>717</v>
      </c>
      <c r="F49" s="183"/>
      <c r="G49" s="501"/>
      <c r="H49" s="501"/>
      <c r="I49" s="639"/>
      <c r="J49" s="579"/>
      <c r="K49" s="639"/>
      <c r="L49" s="639"/>
      <c r="M49" s="639">
        <f>SUM(M50:M52)</f>
        <v>1187116.2</v>
      </c>
      <c r="N49" s="242"/>
      <c r="O49" s="242"/>
      <c r="P49" s="242"/>
      <c r="Q49" s="242"/>
      <c r="R49" s="242"/>
      <c r="S49" s="676"/>
      <c r="T49" s="676"/>
      <c r="U49" s="676"/>
      <c r="V49" s="676"/>
      <c r="W49" s="676"/>
      <c r="X49" s="676"/>
      <c r="Y49" s="676"/>
      <c r="Z49" s="676"/>
      <c r="AA49" s="676"/>
    </row>
    <row r="50" spans="1:27" x14ac:dyDescent="0.25">
      <c r="A50" s="139"/>
      <c r="B50" s="32"/>
      <c r="C50" s="366" t="s">
        <v>85</v>
      </c>
      <c r="D50" s="107" t="s">
        <v>1003</v>
      </c>
      <c r="E50" s="32" t="s">
        <v>434</v>
      </c>
      <c r="F50" s="236">
        <v>1</v>
      </c>
      <c r="G50" s="561"/>
      <c r="H50" s="561">
        <f t="shared" ref="H50:H52" si="53">PRODUCT(F50,G50)</f>
        <v>1</v>
      </c>
      <c r="I50" s="677">
        <f t="shared" ref="I50:I51" si="54">Q12</f>
        <v>0</v>
      </c>
      <c r="J50" s="637">
        <v>1</v>
      </c>
      <c r="K50" s="677">
        <f t="shared" ref="K50:K51" si="55">R12</f>
        <v>0</v>
      </c>
      <c r="L50" s="677">
        <f t="shared" ref="L50:L52" si="56">K50-I50</f>
        <v>0</v>
      </c>
      <c r="M50" s="677">
        <f t="shared" ref="M50:M52" si="57">H50*L50</f>
        <v>0</v>
      </c>
      <c r="N50" s="242"/>
      <c r="O50" s="242"/>
      <c r="P50" s="242"/>
      <c r="Q50" s="242"/>
      <c r="R50" s="242"/>
      <c r="S50" s="676"/>
      <c r="T50" s="676"/>
      <c r="U50" s="676"/>
      <c r="V50" s="676"/>
      <c r="W50" s="676"/>
      <c r="X50" s="676"/>
      <c r="Y50" s="676"/>
      <c r="Z50" s="676"/>
      <c r="AA50" s="676"/>
    </row>
    <row r="51" spans="1:27" x14ac:dyDescent="0.25">
      <c r="A51" s="139"/>
      <c r="B51" s="32"/>
      <c r="C51" s="366" t="s">
        <v>200</v>
      </c>
      <c r="D51" s="107" t="s">
        <v>389</v>
      </c>
      <c r="E51" s="32" t="s">
        <v>434</v>
      </c>
      <c r="F51" s="236">
        <v>1</v>
      </c>
      <c r="G51" s="561"/>
      <c r="H51" s="561">
        <f t="shared" si="53"/>
        <v>1</v>
      </c>
      <c r="I51" s="677">
        <f t="shared" si="54"/>
        <v>0</v>
      </c>
      <c r="J51" s="637">
        <v>1</v>
      </c>
      <c r="K51" s="677">
        <f t="shared" si="55"/>
        <v>0</v>
      </c>
      <c r="L51" s="677">
        <f t="shared" si="56"/>
        <v>0</v>
      </c>
      <c r="M51" s="677">
        <f t="shared" si="57"/>
        <v>0</v>
      </c>
      <c r="N51" s="242"/>
      <c r="O51" s="242"/>
      <c r="P51" s="242"/>
      <c r="Q51" s="242"/>
      <c r="R51" s="242"/>
      <c r="S51" s="676"/>
      <c r="T51" s="676"/>
      <c r="U51" s="676"/>
      <c r="V51" s="676"/>
      <c r="W51" s="676"/>
      <c r="X51" s="676"/>
      <c r="Y51" s="676"/>
      <c r="Z51" s="676"/>
      <c r="AA51" s="676"/>
    </row>
    <row r="52" spans="1:27" x14ac:dyDescent="0.25">
      <c r="A52" s="139"/>
      <c r="B52" s="32"/>
      <c r="C52" s="366" t="s">
        <v>479</v>
      </c>
      <c r="D52" s="107" t="s">
        <v>372</v>
      </c>
      <c r="E52" s="32" t="s">
        <v>447</v>
      </c>
      <c r="F52" s="236">
        <v>57</v>
      </c>
      <c r="G52" s="539">
        <v>1.03</v>
      </c>
      <c r="H52" s="561">
        <f t="shared" si="53"/>
        <v>58.71</v>
      </c>
      <c r="I52" s="658">
        <f>Q10</f>
        <v>0</v>
      </c>
      <c r="J52" s="637">
        <v>0</v>
      </c>
      <c r="K52" s="658">
        <f>R10</f>
        <v>20220</v>
      </c>
      <c r="L52" s="677">
        <f t="shared" si="56"/>
        <v>20220</v>
      </c>
      <c r="M52" s="677">
        <f t="shared" si="57"/>
        <v>1187116.2</v>
      </c>
      <c r="N52" s="242"/>
      <c r="O52" s="242"/>
      <c r="P52" s="242"/>
      <c r="Q52" s="242"/>
      <c r="R52" s="242"/>
      <c r="S52" s="676"/>
      <c r="T52" s="676"/>
      <c r="U52" s="676"/>
      <c r="V52" s="676"/>
      <c r="W52" s="676"/>
      <c r="X52" s="676"/>
      <c r="Y52" s="676"/>
      <c r="Z52" s="676"/>
      <c r="AA52" s="676"/>
    </row>
    <row r="53" spans="1:27" ht="28.5" x14ac:dyDescent="0.25">
      <c r="A53" s="30"/>
      <c r="B53" s="739">
        <v>17</v>
      </c>
      <c r="C53" s="311" t="s">
        <v>1248</v>
      </c>
      <c r="D53" s="34" t="s">
        <v>196</v>
      </c>
      <c r="E53" s="739" t="s">
        <v>717</v>
      </c>
      <c r="F53" s="183"/>
      <c r="G53" s="501"/>
      <c r="H53" s="501"/>
      <c r="I53" s="639"/>
      <c r="J53" s="579"/>
      <c r="K53" s="639"/>
      <c r="L53" s="639"/>
      <c r="M53" s="639">
        <f>SUM(M54:M56)</f>
        <v>1312075.8</v>
      </c>
      <c r="N53" s="242"/>
      <c r="O53" s="242"/>
      <c r="P53" s="242"/>
      <c r="Q53" s="242"/>
      <c r="R53" s="242"/>
      <c r="S53" s="676"/>
      <c r="T53" s="676"/>
      <c r="U53" s="676"/>
      <c r="V53" s="676"/>
      <c r="W53" s="676"/>
      <c r="X53" s="676"/>
      <c r="Y53" s="676"/>
      <c r="Z53" s="676"/>
      <c r="AA53" s="676"/>
    </row>
    <row r="54" spans="1:27" x14ac:dyDescent="0.25">
      <c r="A54" s="139"/>
      <c r="B54" s="32"/>
      <c r="C54" s="366" t="s">
        <v>1186</v>
      </c>
      <c r="D54" s="107" t="s">
        <v>1125</v>
      </c>
      <c r="E54" s="32" t="s">
        <v>434</v>
      </c>
      <c r="F54" s="236">
        <v>1</v>
      </c>
      <c r="G54" s="561"/>
      <c r="H54" s="561">
        <f t="shared" ref="H54:H56" si="58">PRODUCT(F54,G54)</f>
        <v>1</v>
      </c>
      <c r="I54" s="677">
        <f>Q6</f>
        <v>0</v>
      </c>
      <c r="J54" s="637">
        <v>1</v>
      </c>
      <c r="K54" s="677">
        <f>R6</f>
        <v>0</v>
      </c>
      <c r="L54" s="677">
        <f t="shared" ref="L54:L56" si="59">K54-I54</f>
        <v>0</v>
      </c>
      <c r="M54" s="677">
        <f t="shared" ref="M54:M56" si="60">H54*L54</f>
        <v>0</v>
      </c>
      <c r="N54" s="242"/>
      <c r="O54" s="242"/>
      <c r="P54" s="242"/>
      <c r="Q54" s="242"/>
      <c r="R54" s="242"/>
      <c r="S54" s="676"/>
      <c r="T54" s="676"/>
      <c r="U54" s="676"/>
      <c r="V54" s="676"/>
      <c r="W54" s="676"/>
      <c r="X54" s="676"/>
      <c r="Y54" s="676"/>
      <c r="Z54" s="676"/>
      <c r="AA54" s="676"/>
    </row>
    <row r="55" spans="1:27" x14ac:dyDescent="0.25">
      <c r="A55" s="139"/>
      <c r="B55" s="32"/>
      <c r="C55" s="366" t="s">
        <v>1269</v>
      </c>
      <c r="D55" s="107" t="s">
        <v>492</v>
      </c>
      <c r="E55" s="32" t="s">
        <v>434</v>
      </c>
      <c r="F55" s="236">
        <v>1</v>
      </c>
      <c r="G55" s="561"/>
      <c r="H55" s="561">
        <f t="shared" si="58"/>
        <v>1</v>
      </c>
      <c r="I55" s="677">
        <f>Q14</f>
        <v>0</v>
      </c>
      <c r="J55" s="637">
        <v>1</v>
      </c>
      <c r="K55" s="677">
        <f>R14</f>
        <v>0</v>
      </c>
      <c r="L55" s="677">
        <f t="shared" si="59"/>
        <v>0</v>
      </c>
      <c r="M55" s="677">
        <f t="shared" si="60"/>
        <v>0</v>
      </c>
      <c r="N55" s="242"/>
      <c r="O55" s="242"/>
      <c r="P55" s="242"/>
      <c r="Q55" s="242"/>
      <c r="R55" s="242"/>
      <c r="S55" s="676"/>
      <c r="T55" s="676"/>
      <c r="U55" s="676"/>
      <c r="V55" s="676"/>
      <c r="W55" s="676"/>
      <c r="X55" s="676"/>
      <c r="Y55" s="676"/>
      <c r="Z55" s="676"/>
      <c r="AA55" s="676"/>
    </row>
    <row r="56" spans="1:27" x14ac:dyDescent="0.25">
      <c r="A56" s="139"/>
      <c r="B56" s="32"/>
      <c r="C56" s="366" t="s">
        <v>479</v>
      </c>
      <c r="D56" s="107" t="s">
        <v>372</v>
      </c>
      <c r="E56" s="32" t="s">
        <v>447</v>
      </c>
      <c r="F56" s="236">
        <v>63</v>
      </c>
      <c r="G56" s="539">
        <v>1.03</v>
      </c>
      <c r="H56" s="561">
        <f t="shared" si="58"/>
        <v>64.89</v>
      </c>
      <c r="I56" s="658">
        <f>Q10</f>
        <v>0</v>
      </c>
      <c r="J56" s="637">
        <v>0</v>
      </c>
      <c r="K56" s="658">
        <f>R10</f>
        <v>20220</v>
      </c>
      <c r="L56" s="677">
        <f t="shared" si="59"/>
        <v>20220</v>
      </c>
      <c r="M56" s="677">
        <f t="shared" si="60"/>
        <v>1312075.8</v>
      </c>
      <c r="N56" s="242"/>
      <c r="O56" s="242"/>
      <c r="P56" s="242"/>
      <c r="Q56" s="242"/>
      <c r="R56" s="242"/>
      <c r="S56" s="676"/>
      <c r="T56" s="676"/>
      <c r="U56" s="676"/>
      <c r="V56" s="676"/>
      <c r="W56" s="676"/>
      <c r="X56" s="676"/>
      <c r="Y56" s="676"/>
      <c r="Z56" s="676"/>
      <c r="AA56" s="676"/>
    </row>
    <row r="57" spans="1:27" x14ac:dyDescent="0.25">
      <c r="A57" s="30"/>
      <c r="B57" s="739">
        <v>18</v>
      </c>
      <c r="C57" s="311" t="s">
        <v>113</v>
      </c>
      <c r="D57" s="34" t="s">
        <v>94</v>
      </c>
      <c r="E57" s="739" t="s">
        <v>717</v>
      </c>
      <c r="F57" s="183"/>
      <c r="G57" s="501"/>
      <c r="H57" s="501"/>
      <c r="I57" s="639"/>
      <c r="J57" s="579"/>
      <c r="K57" s="639"/>
      <c r="L57" s="639"/>
      <c r="M57" s="639">
        <f>SUM(M58:M59)</f>
        <v>22180.310460000001</v>
      </c>
      <c r="N57" s="242"/>
      <c r="O57" s="242"/>
      <c r="P57" s="242"/>
      <c r="Q57" s="242"/>
      <c r="R57" s="242"/>
      <c r="S57" s="676"/>
      <c r="T57" s="676"/>
      <c r="U57" s="676"/>
      <c r="V57" s="676"/>
      <c r="W57" s="676"/>
      <c r="X57" s="676"/>
      <c r="Y57" s="676"/>
      <c r="Z57" s="676"/>
      <c r="AA57" s="676"/>
    </row>
    <row r="58" spans="1:27" x14ac:dyDescent="0.25">
      <c r="A58" s="139"/>
      <c r="B58" s="32"/>
      <c r="C58" s="366" t="s">
        <v>1186</v>
      </c>
      <c r="D58" s="107" t="s">
        <v>1125</v>
      </c>
      <c r="E58" s="32" t="s">
        <v>434</v>
      </c>
      <c r="F58" s="236">
        <v>1</v>
      </c>
      <c r="G58" s="561"/>
      <c r="H58" s="561">
        <f t="shared" ref="H58:H59" si="61">PRODUCT(F58,G58)</f>
        <v>1</v>
      </c>
      <c r="I58" s="677">
        <f>Q6</f>
        <v>0</v>
      </c>
      <c r="J58" s="637">
        <v>1</v>
      </c>
      <c r="K58" s="677">
        <f>R6</f>
        <v>0</v>
      </c>
      <c r="L58" s="677">
        <f t="shared" ref="L58:L59" si="62">K58-I58</f>
        <v>0</v>
      </c>
      <c r="M58" s="677">
        <f t="shared" ref="M58:M59" si="63">H58*L58</f>
        <v>0</v>
      </c>
      <c r="N58" s="242"/>
      <c r="O58" s="242"/>
      <c r="P58" s="242"/>
      <c r="Q58" s="242"/>
      <c r="R58" s="242"/>
      <c r="S58" s="676"/>
      <c r="T58" s="676"/>
      <c r="U58" s="676"/>
      <c r="V58" s="676"/>
      <c r="W58" s="676"/>
      <c r="X58" s="676"/>
      <c r="Y58" s="676"/>
      <c r="Z58" s="676"/>
      <c r="AA58" s="676"/>
    </row>
    <row r="59" spans="1:27" x14ac:dyDescent="0.25">
      <c r="A59" s="139"/>
      <c r="B59" s="32"/>
      <c r="C59" s="366" t="s">
        <v>1232</v>
      </c>
      <c r="D59" s="107" t="s">
        <v>80</v>
      </c>
      <c r="E59" s="32" t="s">
        <v>1266</v>
      </c>
      <c r="F59" s="236">
        <v>11</v>
      </c>
      <c r="G59" s="539">
        <v>1.05</v>
      </c>
      <c r="H59" s="561">
        <f t="shared" si="61"/>
        <v>11.55</v>
      </c>
      <c r="I59" s="658">
        <f>Q8</f>
        <v>0</v>
      </c>
      <c r="J59" s="637">
        <v>0</v>
      </c>
      <c r="K59" s="658">
        <f>R8</f>
        <v>1920.3732</v>
      </c>
      <c r="L59" s="677">
        <f t="shared" si="62"/>
        <v>1920.3732</v>
      </c>
      <c r="M59" s="677">
        <f t="shared" si="63"/>
        <v>22180.310460000001</v>
      </c>
      <c r="N59" s="242"/>
      <c r="O59" s="242"/>
      <c r="P59" s="242"/>
      <c r="Q59" s="242"/>
      <c r="R59" s="242"/>
      <c r="S59" s="676"/>
      <c r="T59" s="676"/>
      <c r="U59" s="676"/>
      <c r="V59" s="676"/>
      <c r="W59" s="676"/>
      <c r="X59" s="676"/>
      <c r="Y59" s="676"/>
      <c r="Z59" s="676"/>
      <c r="AA59" s="676"/>
    </row>
    <row r="60" spans="1:27" x14ac:dyDescent="0.25">
      <c r="A60" s="30"/>
      <c r="B60" s="739">
        <v>19</v>
      </c>
      <c r="C60" s="311" t="s">
        <v>1055</v>
      </c>
      <c r="D60" s="34" t="s">
        <v>517</v>
      </c>
      <c r="E60" s="739" t="s">
        <v>717</v>
      </c>
      <c r="F60" s="183"/>
      <c r="G60" s="501"/>
      <c r="H60" s="501"/>
      <c r="I60" s="639"/>
      <c r="J60" s="579"/>
      <c r="K60" s="639"/>
      <c r="L60" s="639"/>
      <c r="M60" s="639">
        <f>SUM(M61:M62)</f>
        <v>958023.60000000009</v>
      </c>
      <c r="N60" s="242"/>
      <c r="O60" s="242"/>
      <c r="P60" s="242"/>
      <c r="Q60" s="242"/>
      <c r="R60" s="242"/>
      <c r="S60" s="676"/>
      <c r="T60" s="676"/>
      <c r="U60" s="676"/>
      <c r="V60" s="676"/>
      <c r="W60" s="676"/>
      <c r="X60" s="676"/>
      <c r="Y60" s="676"/>
      <c r="Z60" s="676"/>
      <c r="AA60" s="676"/>
    </row>
    <row r="61" spans="1:27" x14ac:dyDescent="0.25">
      <c r="A61" s="139"/>
      <c r="B61" s="32"/>
      <c r="C61" s="366" t="s">
        <v>197</v>
      </c>
      <c r="D61" s="107" t="s">
        <v>535</v>
      </c>
      <c r="E61" s="32" t="s">
        <v>434</v>
      </c>
      <c r="F61" s="236">
        <v>1</v>
      </c>
      <c r="G61" s="561"/>
      <c r="H61" s="561">
        <f t="shared" ref="H61:H62" si="64">PRODUCT(F61,G61)</f>
        <v>1</v>
      </c>
      <c r="I61" s="677">
        <f t="shared" ref="I61:I62" si="65">Q9</f>
        <v>0</v>
      </c>
      <c r="J61" s="637">
        <v>1</v>
      </c>
      <c r="K61" s="677">
        <f t="shared" ref="K61:K62" si="66">R9</f>
        <v>0</v>
      </c>
      <c r="L61" s="677">
        <f t="shared" ref="L61:L62" si="67">K61-I61</f>
        <v>0</v>
      </c>
      <c r="M61" s="677">
        <f t="shared" ref="M61:M62" si="68">H61*L61</f>
        <v>0</v>
      </c>
      <c r="N61" s="242"/>
      <c r="O61" s="242"/>
      <c r="P61" s="242"/>
      <c r="Q61" s="242"/>
      <c r="R61" s="242"/>
      <c r="S61" s="676"/>
      <c r="T61" s="676"/>
      <c r="U61" s="676"/>
      <c r="V61" s="676"/>
      <c r="W61" s="676"/>
      <c r="X61" s="676"/>
      <c r="Y61" s="676"/>
      <c r="Z61" s="676"/>
      <c r="AA61" s="676"/>
    </row>
    <row r="62" spans="1:27" x14ac:dyDescent="0.25">
      <c r="A62" s="139"/>
      <c r="B62" s="32"/>
      <c r="C62" s="366" t="s">
        <v>479</v>
      </c>
      <c r="D62" s="107" t="s">
        <v>372</v>
      </c>
      <c r="E62" s="32" t="s">
        <v>447</v>
      </c>
      <c r="F62" s="236">
        <v>46</v>
      </c>
      <c r="G62" s="539">
        <v>1.03</v>
      </c>
      <c r="H62" s="561">
        <f t="shared" si="64"/>
        <v>47.38</v>
      </c>
      <c r="I62" s="658">
        <f t="shared" si="65"/>
        <v>0</v>
      </c>
      <c r="J62" s="637">
        <v>0</v>
      </c>
      <c r="K62" s="658">
        <f t="shared" si="66"/>
        <v>20220</v>
      </c>
      <c r="L62" s="677">
        <f t="shared" si="67"/>
        <v>20220</v>
      </c>
      <c r="M62" s="677">
        <f t="shared" si="68"/>
        <v>958023.60000000009</v>
      </c>
      <c r="N62" s="242"/>
      <c r="O62" s="242"/>
      <c r="P62" s="242"/>
      <c r="Q62" s="242"/>
      <c r="R62" s="242"/>
      <c r="S62" s="676"/>
      <c r="T62" s="676"/>
      <c r="U62" s="676"/>
      <c r="V62" s="676"/>
      <c r="W62" s="676"/>
      <c r="X62" s="676"/>
      <c r="Y62" s="676"/>
      <c r="Z62" s="676"/>
      <c r="AA62" s="676"/>
    </row>
    <row r="63" spans="1:27" x14ac:dyDescent="0.25">
      <c r="A63" s="30"/>
      <c r="B63" s="739">
        <v>20</v>
      </c>
      <c r="C63" s="311" t="s">
        <v>271</v>
      </c>
      <c r="D63" s="34" t="s">
        <v>1188</v>
      </c>
      <c r="E63" s="739" t="s">
        <v>717</v>
      </c>
      <c r="F63" s="183"/>
      <c r="G63" s="501"/>
      <c r="H63" s="501"/>
      <c r="I63" s="639"/>
      <c r="J63" s="579"/>
      <c r="K63" s="639"/>
      <c r="L63" s="639"/>
      <c r="M63" s="639">
        <f>SUM(M64:M65)</f>
        <v>94770.417419999998</v>
      </c>
      <c r="N63" s="242"/>
      <c r="O63" s="242"/>
      <c r="P63" s="242"/>
      <c r="Q63" s="242"/>
      <c r="R63" s="242"/>
      <c r="S63" s="676"/>
      <c r="T63" s="676"/>
      <c r="U63" s="676"/>
      <c r="V63" s="676"/>
      <c r="W63" s="676"/>
      <c r="X63" s="676"/>
      <c r="Y63" s="676"/>
      <c r="Z63" s="676"/>
      <c r="AA63" s="676"/>
    </row>
    <row r="64" spans="1:27" x14ac:dyDescent="0.25">
      <c r="A64" s="139"/>
      <c r="B64" s="32"/>
      <c r="C64" s="366" t="s">
        <v>1186</v>
      </c>
      <c r="D64" s="107" t="s">
        <v>1125</v>
      </c>
      <c r="E64" s="32" t="s">
        <v>434</v>
      </c>
      <c r="F64" s="236">
        <v>1</v>
      </c>
      <c r="G64" s="561"/>
      <c r="H64" s="561">
        <f t="shared" ref="H64:H65" si="69">PRODUCT(F64,G64)</f>
        <v>1</v>
      </c>
      <c r="I64" s="677">
        <f>Q6</f>
        <v>0</v>
      </c>
      <c r="J64" s="637">
        <v>1</v>
      </c>
      <c r="K64" s="677">
        <f>R6</f>
        <v>0</v>
      </c>
      <c r="L64" s="677">
        <f t="shared" ref="L64:L65" si="70">K64-I64</f>
        <v>0</v>
      </c>
      <c r="M64" s="677">
        <f t="shared" ref="M64:M65" si="71">H64*L64</f>
        <v>0</v>
      </c>
      <c r="N64" s="242"/>
      <c r="O64" s="242"/>
      <c r="P64" s="242"/>
      <c r="Q64" s="242"/>
      <c r="R64" s="242"/>
      <c r="S64" s="676"/>
      <c r="T64" s="676"/>
      <c r="U64" s="676"/>
      <c r="V64" s="676"/>
      <c r="W64" s="676"/>
      <c r="X64" s="676"/>
      <c r="Y64" s="676"/>
      <c r="Z64" s="676"/>
      <c r="AA64" s="676"/>
    </row>
    <row r="65" spans="1:27" x14ac:dyDescent="0.25">
      <c r="A65" s="139"/>
      <c r="B65" s="32"/>
      <c r="C65" s="366" t="s">
        <v>1232</v>
      </c>
      <c r="D65" s="107" t="s">
        <v>80</v>
      </c>
      <c r="E65" s="32" t="s">
        <v>1266</v>
      </c>
      <c r="F65" s="236">
        <v>47</v>
      </c>
      <c r="G65" s="539">
        <v>1.05</v>
      </c>
      <c r="H65" s="561">
        <f t="shared" si="69"/>
        <v>49.35</v>
      </c>
      <c r="I65" s="658">
        <f>Q8</f>
        <v>0</v>
      </c>
      <c r="J65" s="637">
        <v>0</v>
      </c>
      <c r="K65" s="658">
        <f>R8</f>
        <v>1920.3732</v>
      </c>
      <c r="L65" s="677">
        <f t="shared" si="70"/>
        <v>1920.3732</v>
      </c>
      <c r="M65" s="677">
        <f t="shared" si="71"/>
        <v>94770.417419999998</v>
      </c>
      <c r="N65" s="242"/>
      <c r="O65" s="242"/>
      <c r="P65" s="242"/>
      <c r="Q65" s="242"/>
      <c r="R65" s="242"/>
      <c r="S65" s="676"/>
      <c r="T65" s="676"/>
      <c r="U65" s="676"/>
      <c r="V65" s="676"/>
      <c r="W65" s="676"/>
      <c r="X65" s="676"/>
      <c r="Y65" s="676"/>
      <c r="Z65" s="676"/>
      <c r="AA65" s="676"/>
    </row>
    <row r="66" spans="1:27" x14ac:dyDescent="0.25">
      <c r="A66" s="30"/>
      <c r="B66" s="739">
        <v>21</v>
      </c>
      <c r="C66" s="311" t="s">
        <v>1060</v>
      </c>
      <c r="D66" s="34" t="s">
        <v>790</v>
      </c>
      <c r="E66" s="739" t="s">
        <v>717</v>
      </c>
      <c r="F66" s="183"/>
      <c r="G66" s="501"/>
      <c r="H66" s="501"/>
      <c r="I66" s="639"/>
      <c r="J66" s="579"/>
      <c r="K66" s="639"/>
      <c r="L66" s="639"/>
      <c r="M66" s="639">
        <f>SUM(M67:M68)</f>
        <v>282610.38</v>
      </c>
      <c r="N66" s="242"/>
      <c r="O66" s="242"/>
      <c r="P66" s="242"/>
      <c r="Q66" s="242"/>
      <c r="R66" s="242"/>
      <c r="S66" s="676"/>
      <c r="T66" s="676"/>
      <c r="U66" s="676"/>
      <c r="V66" s="676"/>
      <c r="W66" s="676"/>
      <c r="X66" s="676"/>
      <c r="Y66" s="676"/>
      <c r="Z66" s="676"/>
      <c r="AA66" s="676"/>
    </row>
    <row r="67" spans="1:27" x14ac:dyDescent="0.25">
      <c r="A67" s="139"/>
      <c r="B67" s="32"/>
      <c r="C67" s="366" t="s">
        <v>140</v>
      </c>
      <c r="D67" s="107" t="s">
        <v>428</v>
      </c>
      <c r="E67" s="32" t="s">
        <v>434</v>
      </c>
      <c r="F67" s="236">
        <v>1</v>
      </c>
      <c r="G67" s="561"/>
      <c r="H67" s="561">
        <f t="shared" ref="H67:H68" si="72">PRODUCT(F67,G67)</f>
        <v>1</v>
      </c>
      <c r="I67" s="677">
        <f>Q15</f>
        <v>0</v>
      </c>
      <c r="J67" s="637">
        <v>1</v>
      </c>
      <c r="K67" s="677">
        <f>R15</f>
        <v>0</v>
      </c>
      <c r="L67" s="677">
        <f t="shared" ref="L67:L68" si="73">K67-I67</f>
        <v>0</v>
      </c>
      <c r="M67" s="677">
        <f t="shared" ref="M67:M68" si="74">H67*L67</f>
        <v>0</v>
      </c>
      <c r="N67" s="242"/>
      <c r="O67" s="242"/>
      <c r="P67" s="242"/>
      <c r="Q67" s="242"/>
      <c r="R67" s="242"/>
      <c r="S67" s="676"/>
      <c r="T67" s="676"/>
      <c r="U67" s="676"/>
      <c r="V67" s="676"/>
      <c r="W67" s="676"/>
      <c r="X67" s="676"/>
      <c r="Y67" s="676"/>
      <c r="Z67" s="676"/>
      <c r="AA67" s="676"/>
    </row>
    <row r="68" spans="1:27" x14ac:dyDescent="0.25">
      <c r="A68" s="139"/>
      <c r="B68" s="32"/>
      <c r="C68" s="366" t="s">
        <v>8</v>
      </c>
      <c r="D68" s="107" t="s">
        <v>237</v>
      </c>
      <c r="E68" s="32" t="s">
        <v>447</v>
      </c>
      <c r="F68" s="236">
        <v>13</v>
      </c>
      <c r="G68" s="539">
        <v>1.02</v>
      </c>
      <c r="H68" s="561">
        <f t="shared" si="72"/>
        <v>13.26</v>
      </c>
      <c r="I68" s="658">
        <f>Q11</f>
        <v>0</v>
      </c>
      <c r="J68" s="637">
        <v>0</v>
      </c>
      <c r="K68" s="658">
        <f>R11</f>
        <v>21313</v>
      </c>
      <c r="L68" s="677">
        <f t="shared" si="73"/>
        <v>21313</v>
      </c>
      <c r="M68" s="677">
        <f t="shared" si="74"/>
        <v>282610.38</v>
      </c>
      <c r="N68" s="242"/>
      <c r="O68" s="242"/>
      <c r="P68" s="242"/>
      <c r="Q68" s="242"/>
      <c r="R68" s="242"/>
      <c r="S68" s="676"/>
      <c r="T68" s="676"/>
      <c r="U68" s="676"/>
      <c r="V68" s="676"/>
      <c r="W68" s="676"/>
      <c r="X68" s="676"/>
      <c r="Y68" s="676"/>
      <c r="Z68" s="676"/>
      <c r="AA68" s="676"/>
    </row>
    <row r="69" spans="1:27" x14ac:dyDescent="0.25">
      <c r="A69" s="30"/>
      <c r="B69" s="739">
        <v>22</v>
      </c>
      <c r="C69" s="311" t="s">
        <v>970</v>
      </c>
      <c r="D69" s="34" t="s">
        <v>1218</v>
      </c>
      <c r="E69" s="739" t="s">
        <v>717</v>
      </c>
      <c r="F69" s="183"/>
      <c r="G69" s="501"/>
      <c r="H69" s="501"/>
      <c r="I69" s="639"/>
      <c r="J69" s="579"/>
      <c r="K69" s="639"/>
      <c r="L69" s="639"/>
      <c r="M69" s="639">
        <f>SUM(M70:M71)</f>
        <v>479011.80000000005</v>
      </c>
      <c r="N69" s="242"/>
      <c r="O69" s="242"/>
      <c r="P69" s="242"/>
      <c r="Q69" s="242"/>
      <c r="R69" s="242"/>
      <c r="S69" s="676"/>
      <c r="T69" s="676"/>
      <c r="U69" s="676"/>
      <c r="V69" s="676"/>
      <c r="W69" s="676"/>
      <c r="X69" s="676"/>
      <c r="Y69" s="676"/>
      <c r="Z69" s="676"/>
      <c r="AA69" s="676"/>
    </row>
    <row r="70" spans="1:27" x14ac:dyDescent="0.25">
      <c r="A70" s="139"/>
      <c r="B70" s="32"/>
      <c r="C70" s="366" t="s">
        <v>200</v>
      </c>
      <c r="D70" s="107" t="s">
        <v>389</v>
      </c>
      <c r="E70" s="32" t="s">
        <v>434</v>
      </c>
      <c r="F70" s="236">
        <v>1</v>
      </c>
      <c r="G70" s="561"/>
      <c r="H70" s="561">
        <f t="shared" ref="H70:H71" si="75">PRODUCT(F70,G70)</f>
        <v>1</v>
      </c>
      <c r="I70" s="677">
        <f>Q13</f>
        <v>0</v>
      </c>
      <c r="J70" s="637">
        <v>1</v>
      </c>
      <c r="K70" s="677">
        <f>R13</f>
        <v>0</v>
      </c>
      <c r="L70" s="677">
        <f t="shared" ref="L70:L71" si="76">K70-I70</f>
        <v>0</v>
      </c>
      <c r="M70" s="677">
        <f t="shared" ref="M70:M71" si="77">H70*L70</f>
        <v>0</v>
      </c>
      <c r="N70" s="242"/>
      <c r="O70" s="242"/>
      <c r="P70" s="242"/>
      <c r="Q70" s="242"/>
      <c r="R70" s="242"/>
      <c r="S70" s="676"/>
      <c r="T70" s="676"/>
      <c r="U70" s="676"/>
      <c r="V70" s="676"/>
      <c r="W70" s="676"/>
      <c r="X70" s="676"/>
      <c r="Y70" s="676"/>
      <c r="Z70" s="676"/>
      <c r="AA70" s="676"/>
    </row>
    <row r="71" spans="1:27" x14ac:dyDescent="0.25">
      <c r="A71" s="139"/>
      <c r="B71" s="32"/>
      <c r="C71" s="366" t="s">
        <v>479</v>
      </c>
      <c r="D71" s="107" t="s">
        <v>372</v>
      </c>
      <c r="E71" s="32" t="s">
        <v>447</v>
      </c>
      <c r="F71" s="236">
        <v>23</v>
      </c>
      <c r="G71" s="539">
        <v>1.03</v>
      </c>
      <c r="H71" s="561">
        <f t="shared" si="75"/>
        <v>23.69</v>
      </c>
      <c r="I71" s="658">
        <f>Q10</f>
        <v>0</v>
      </c>
      <c r="J71" s="637">
        <v>0</v>
      </c>
      <c r="K71" s="658">
        <f>R10</f>
        <v>20220</v>
      </c>
      <c r="L71" s="677">
        <f t="shared" si="76"/>
        <v>20220</v>
      </c>
      <c r="M71" s="677">
        <f t="shared" si="77"/>
        <v>479011.80000000005</v>
      </c>
      <c r="N71" s="242"/>
      <c r="O71" s="242"/>
      <c r="P71" s="242"/>
      <c r="Q71" s="242"/>
      <c r="R71" s="242"/>
      <c r="S71" s="676"/>
      <c r="T71" s="676"/>
      <c r="U71" s="676"/>
      <c r="V71" s="676"/>
      <c r="W71" s="676"/>
      <c r="X71" s="676"/>
      <c r="Y71" s="676"/>
      <c r="Z71" s="676"/>
      <c r="AA71" s="676"/>
    </row>
    <row r="72" spans="1:27" x14ac:dyDescent="0.25">
      <c r="A72" s="30"/>
      <c r="B72" s="739">
        <v>23</v>
      </c>
      <c r="C72" s="311" t="s">
        <v>995</v>
      </c>
      <c r="D72" s="34" t="s">
        <v>588</v>
      </c>
      <c r="E72" s="739" t="s">
        <v>717</v>
      </c>
      <c r="F72" s="183"/>
      <c r="G72" s="501"/>
      <c r="H72" s="501"/>
      <c r="I72" s="639"/>
      <c r="J72" s="579"/>
      <c r="K72" s="639"/>
      <c r="L72" s="639"/>
      <c r="M72" s="639">
        <f>SUM(M73:M73)</f>
        <v>0</v>
      </c>
      <c r="N72" s="242"/>
      <c r="O72" s="242"/>
      <c r="P72" s="242"/>
      <c r="Q72" s="242"/>
      <c r="R72" s="242"/>
      <c r="S72" s="676"/>
      <c r="T72" s="676"/>
      <c r="U72" s="676"/>
      <c r="V72" s="676"/>
      <c r="W72" s="676"/>
      <c r="X72" s="676"/>
      <c r="Y72" s="676"/>
      <c r="Z72" s="676"/>
      <c r="AA72" s="676"/>
    </row>
    <row r="73" spans="1:27" x14ac:dyDescent="0.25">
      <c r="A73" s="139"/>
      <c r="B73" s="32"/>
      <c r="C73" s="366" t="s">
        <v>197</v>
      </c>
      <c r="D73" s="107" t="s">
        <v>535</v>
      </c>
      <c r="E73" s="32" t="s">
        <v>434</v>
      </c>
      <c r="F73" s="236">
        <v>1</v>
      </c>
      <c r="G73" s="561"/>
      <c r="H73" s="561">
        <f>PRODUCT(F73,G73)</f>
        <v>1</v>
      </c>
      <c r="I73" s="677">
        <f>Q9</f>
        <v>0</v>
      </c>
      <c r="J73" s="637">
        <v>1</v>
      </c>
      <c r="K73" s="677">
        <f>R9</f>
        <v>0</v>
      </c>
      <c r="L73" s="677">
        <f>K73-I73</f>
        <v>0</v>
      </c>
      <c r="M73" s="677">
        <f>H73*L73</f>
        <v>0</v>
      </c>
      <c r="N73" s="242"/>
      <c r="O73" s="242"/>
      <c r="P73" s="242"/>
      <c r="Q73" s="242"/>
      <c r="R73" s="242"/>
      <c r="S73" s="676"/>
      <c r="T73" s="676"/>
      <c r="U73" s="676"/>
      <c r="V73" s="676"/>
      <c r="W73" s="676"/>
      <c r="X73" s="676"/>
      <c r="Y73" s="676"/>
      <c r="Z73" s="676"/>
      <c r="AA73" s="676"/>
    </row>
    <row r="74" spans="1:27" x14ac:dyDescent="0.25">
      <c r="A74" s="30"/>
      <c r="B74" s="739">
        <v>24</v>
      </c>
      <c r="C74" s="311" t="s">
        <v>798</v>
      </c>
      <c r="D74" s="34" t="s">
        <v>988</v>
      </c>
      <c r="E74" s="739" t="s">
        <v>717</v>
      </c>
      <c r="F74" s="183"/>
      <c r="G74" s="501"/>
      <c r="H74" s="501"/>
      <c r="I74" s="639"/>
      <c r="J74" s="579"/>
      <c r="K74" s="639"/>
      <c r="L74" s="639"/>
      <c r="M74" s="639">
        <f>SUM(M75:M76)</f>
        <v>416532</v>
      </c>
      <c r="N74" s="242"/>
      <c r="O74" s="242"/>
      <c r="P74" s="242"/>
      <c r="Q74" s="242"/>
      <c r="R74" s="242"/>
      <c r="S74" s="676"/>
      <c r="T74" s="676"/>
      <c r="U74" s="676"/>
      <c r="V74" s="676"/>
      <c r="W74" s="676"/>
      <c r="X74" s="676"/>
      <c r="Y74" s="676"/>
      <c r="Z74" s="676"/>
      <c r="AA74" s="676"/>
    </row>
    <row r="75" spans="1:27" x14ac:dyDescent="0.25">
      <c r="A75" s="139"/>
      <c r="B75" s="32"/>
      <c r="C75" s="366" t="s">
        <v>197</v>
      </c>
      <c r="D75" s="107" t="s">
        <v>535</v>
      </c>
      <c r="E75" s="32" t="s">
        <v>434</v>
      </c>
      <c r="F75" s="236">
        <v>1</v>
      </c>
      <c r="G75" s="561"/>
      <c r="H75" s="561">
        <f t="shared" ref="H75:H76" si="78">PRODUCT(F75,G75)</f>
        <v>1</v>
      </c>
      <c r="I75" s="677">
        <f t="shared" ref="I75:I76" si="79">Q9</f>
        <v>0</v>
      </c>
      <c r="J75" s="637">
        <v>1</v>
      </c>
      <c r="K75" s="677">
        <f t="shared" ref="K75:K76" si="80">R9</f>
        <v>0</v>
      </c>
      <c r="L75" s="677">
        <f t="shared" ref="L75:L76" si="81">K75-I75</f>
        <v>0</v>
      </c>
      <c r="M75" s="677">
        <f t="shared" ref="M75:M76" si="82">H75*L75</f>
        <v>0</v>
      </c>
      <c r="N75" s="242"/>
      <c r="O75" s="242"/>
      <c r="P75" s="242"/>
      <c r="Q75" s="242"/>
      <c r="R75" s="242"/>
      <c r="S75" s="676"/>
      <c r="T75" s="676"/>
      <c r="U75" s="676"/>
      <c r="V75" s="676"/>
      <c r="W75" s="676"/>
      <c r="X75" s="676"/>
      <c r="Y75" s="676"/>
      <c r="Z75" s="676"/>
      <c r="AA75" s="676"/>
    </row>
    <row r="76" spans="1:27" x14ac:dyDescent="0.25">
      <c r="A76" s="543"/>
      <c r="B76" s="736"/>
      <c r="C76" s="310" t="s">
        <v>479</v>
      </c>
      <c r="D76" s="31" t="s">
        <v>372</v>
      </c>
      <c r="E76" s="736" t="s">
        <v>447</v>
      </c>
      <c r="F76" s="148">
        <v>20</v>
      </c>
      <c r="G76" s="473">
        <v>1.03</v>
      </c>
      <c r="H76" s="496">
        <f t="shared" si="78"/>
        <v>20.6</v>
      </c>
      <c r="I76" s="590">
        <f t="shared" si="79"/>
        <v>0</v>
      </c>
      <c r="J76" s="575">
        <v>0</v>
      </c>
      <c r="K76" s="590">
        <f t="shared" si="80"/>
        <v>20220</v>
      </c>
      <c r="L76" s="614">
        <f t="shared" si="81"/>
        <v>20220</v>
      </c>
      <c r="M76" s="614">
        <f t="shared" si="82"/>
        <v>416532</v>
      </c>
      <c r="N76" s="242"/>
      <c r="O76" s="242"/>
      <c r="P76" s="242"/>
      <c r="Q76" s="242"/>
      <c r="R76" s="242"/>
      <c r="S76" s="676"/>
      <c r="T76" s="676"/>
      <c r="U76" s="676"/>
      <c r="V76" s="676"/>
      <c r="W76" s="676"/>
      <c r="X76" s="676"/>
      <c r="Y76" s="676"/>
      <c r="Z76" s="676"/>
      <c r="AA76" s="676"/>
    </row>
    <row r="77" spans="1:27" x14ac:dyDescent="0.25">
      <c r="B77" s="676"/>
      <c r="C77" s="676"/>
      <c r="D77" s="676"/>
      <c r="E77" s="676"/>
      <c r="F77" s="676"/>
      <c r="G77" s="676"/>
      <c r="H77" s="676"/>
      <c r="I77" s="676"/>
      <c r="J77" s="676"/>
      <c r="K77" s="676"/>
      <c r="L77" s="676"/>
      <c r="M77" s="676"/>
      <c r="N77" s="676"/>
      <c r="O77" s="676"/>
      <c r="P77" s="676"/>
      <c r="Q77" s="676"/>
      <c r="R77" s="676"/>
      <c r="S77" s="676"/>
      <c r="T77" s="676"/>
      <c r="U77" s="676"/>
      <c r="V77" s="676"/>
      <c r="W77" s="676"/>
      <c r="X77" s="676"/>
      <c r="Y77" s="676"/>
      <c r="Z77" s="676"/>
      <c r="AA77" s="676"/>
    </row>
    <row r="78" spans="1:27" x14ac:dyDescent="0.25">
      <c r="B78" s="676"/>
      <c r="C78" s="676"/>
      <c r="D78" s="676"/>
      <c r="E78" s="676"/>
      <c r="F78" s="676"/>
      <c r="G78" s="676"/>
      <c r="H78" s="676"/>
      <c r="I78" s="676"/>
      <c r="J78" s="676"/>
      <c r="K78" s="676"/>
      <c r="L78" s="676"/>
      <c r="M78" s="676"/>
      <c r="N78" s="676"/>
      <c r="O78" s="676"/>
      <c r="P78" s="676"/>
      <c r="Q78" s="676"/>
      <c r="R78" s="676"/>
      <c r="S78" s="676"/>
      <c r="T78" s="676"/>
      <c r="U78" s="676"/>
      <c r="V78" s="676"/>
      <c r="W78" s="676"/>
      <c r="X78" s="676"/>
      <c r="Y78" s="676"/>
      <c r="Z78" s="676"/>
      <c r="AA78" s="676"/>
    </row>
    <row r="79" spans="1:27" x14ac:dyDescent="0.25">
      <c r="B79" s="676"/>
      <c r="C79" s="676"/>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row>
  </sheetData>
  <mergeCells count="12">
    <mergeCell ref="O4:R4"/>
    <mergeCell ref="A1:M1"/>
    <mergeCell ref="A2:M2"/>
    <mergeCell ref="A3:M3"/>
    <mergeCell ref="A4:A5"/>
    <mergeCell ref="B4:B5"/>
    <mergeCell ref="C4:C5"/>
    <mergeCell ref="D4:D5"/>
    <mergeCell ref="E4:E5"/>
    <mergeCell ref="F4:H4"/>
    <mergeCell ref="I4:L4"/>
    <mergeCell ref="M4:M5"/>
  </mergeCells>
  <pageMargins left="0.75" right="0.75" top="0.79" bottom="0.79" header="0.3" footer="0.3"/>
  <pageSetup paperSize="9" orientation="landscape" useFirstPageNumber="1" horizontalDpi="65532"/>
  <headerFooter>
    <oddFooter>&amp;CTrang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2:AA4"/>
  <sheetViews>
    <sheetView showZeros="0" topLeftCell="B1" workbookViewId="0">
      <selection activeCell="H19" sqref="H19"/>
    </sheetView>
  </sheetViews>
  <sheetFormatPr defaultColWidth="9.140625" defaultRowHeight="15" x14ac:dyDescent="0.25"/>
  <cols>
    <col min="1" max="1" width="9.140625" style="751" hidden="1" customWidth="1"/>
    <col min="2" max="2" width="10.85546875" style="751" customWidth="1"/>
    <col min="3" max="3" width="9.140625" style="751" customWidth="1"/>
    <col min="4" max="4" width="45.85546875" style="751" customWidth="1"/>
    <col min="5" max="5" width="9.140625" style="751" customWidth="1"/>
    <col min="6" max="6" width="10.85546875" style="751" customWidth="1"/>
    <col min="7" max="7" width="12.42578125" style="751" customWidth="1"/>
    <col min="8" max="8" width="11.7109375" style="751" customWidth="1"/>
    <col min="9" max="9" width="9.140625" style="751" customWidth="1"/>
    <col min="10" max="10" width="13.5703125" style="751" customWidth="1"/>
    <col min="11" max="11" width="9.140625" style="751" customWidth="1"/>
    <col min="12" max="16384" width="9.140625" style="751"/>
  </cols>
  <sheetData>
    <row r="2" spans="2:27" x14ac:dyDescent="0.25">
      <c r="B2" s="49"/>
      <c r="C2" s="49"/>
      <c r="D2" s="49"/>
      <c r="E2" s="49"/>
      <c r="F2" s="49"/>
      <c r="G2" s="49"/>
      <c r="H2" s="49"/>
      <c r="I2" s="49"/>
      <c r="J2" s="49"/>
      <c r="K2" s="49"/>
      <c r="L2" s="49"/>
      <c r="M2" s="49"/>
      <c r="N2" s="49"/>
      <c r="O2" s="49"/>
      <c r="P2" s="49"/>
      <c r="Q2" s="49"/>
      <c r="R2" s="49"/>
      <c r="S2" s="49"/>
      <c r="T2" s="49"/>
      <c r="U2" s="49"/>
      <c r="V2" s="49"/>
      <c r="W2" s="49"/>
      <c r="X2" s="49"/>
      <c r="Y2" s="49"/>
      <c r="Z2" s="49"/>
      <c r="AA2" s="49"/>
    </row>
    <row r="3" spans="2:27" x14ac:dyDescent="0.25">
      <c r="B3" s="49"/>
      <c r="C3" s="49"/>
      <c r="D3" s="49"/>
      <c r="E3" s="49"/>
      <c r="F3" s="49"/>
      <c r="G3" s="49"/>
      <c r="H3" s="49"/>
      <c r="I3" s="49"/>
      <c r="J3" s="49"/>
      <c r="K3" s="49"/>
      <c r="L3" s="49"/>
      <c r="M3" s="49"/>
      <c r="N3" s="49"/>
      <c r="O3" s="49"/>
      <c r="P3" s="49"/>
      <c r="Q3" s="49"/>
      <c r="R3" s="49"/>
      <c r="S3" s="49"/>
      <c r="T3" s="49"/>
      <c r="U3" s="49"/>
      <c r="V3" s="49"/>
      <c r="W3" s="49"/>
      <c r="X3" s="49"/>
      <c r="Y3" s="49"/>
      <c r="Z3" s="49"/>
      <c r="AA3" s="49"/>
    </row>
    <row r="4" spans="2:27" x14ac:dyDescent="0.25">
      <c r="B4" s="49"/>
      <c r="C4" s="49"/>
      <c r="D4" s="49"/>
      <c r="E4" s="49"/>
      <c r="F4" s="49"/>
      <c r="G4" s="49"/>
      <c r="H4" s="49"/>
      <c r="I4" s="49"/>
      <c r="J4" s="49"/>
      <c r="K4" s="49"/>
      <c r="L4" s="49"/>
      <c r="M4" s="49"/>
      <c r="N4" s="49"/>
      <c r="O4" s="49"/>
      <c r="P4" s="49"/>
      <c r="Q4" s="49"/>
      <c r="R4" s="49"/>
      <c r="S4" s="49"/>
      <c r="T4" s="49"/>
      <c r="U4" s="49"/>
      <c r="V4" s="49"/>
      <c r="W4" s="49"/>
      <c r="X4" s="49"/>
      <c r="Y4" s="49"/>
      <c r="Z4" s="49"/>
      <c r="AA4" s="49"/>
    </row>
  </sheetData>
  <pageMargins left="1.18" right="0.59" top="0.79" bottom="0.79" header="0.3" footer="0.3"/>
  <pageSetup orientation="landscape" horizontalDpi="6553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33"/>
  <sheetViews>
    <sheetView showZeros="0" topLeftCell="B1" workbookViewId="0">
      <selection activeCell="H15" sqref="H15"/>
    </sheetView>
  </sheetViews>
  <sheetFormatPr defaultColWidth="9.42578125" defaultRowHeight="15" x14ac:dyDescent="0.25"/>
  <cols>
    <col min="1" max="1" width="9.42578125" hidden="1" customWidth="1"/>
    <col min="2" max="2" width="4.85546875" bestFit="1" customWidth="1"/>
    <col min="3" max="3" width="8.140625" bestFit="1" customWidth="1"/>
    <col min="4" max="4" width="22.42578125" customWidth="1"/>
    <col min="5" max="5" width="6.85546875" bestFit="1" customWidth="1"/>
    <col min="6" max="6" width="8.140625" bestFit="1" customWidth="1"/>
    <col min="7" max="7" width="9.5703125" bestFit="1" customWidth="1"/>
    <col min="8" max="8" width="7.7109375" bestFit="1" customWidth="1"/>
    <col min="9" max="9" width="8.5703125" bestFit="1" customWidth="1"/>
    <col min="10" max="10" width="7.5703125" bestFit="1" customWidth="1"/>
    <col min="11" max="11" width="10.42578125" bestFit="1" customWidth="1"/>
    <col min="12" max="12" width="7.5703125" bestFit="1" customWidth="1"/>
    <col min="13" max="13" width="10.42578125" bestFit="1" customWidth="1"/>
    <col min="14" max="14" width="10.7109375" bestFit="1" customWidth="1"/>
    <col min="15" max="15" width="10.42578125" bestFit="1" customWidth="1"/>
  </cols>
  <sheetData>
    <row r="1" spans="1:27" ht="18.75" x14ac:dyDescent="0.3">
      <c r="A1" s="983" t="s">
        <v>577</v>
      </c>
      <c r="B1" s="983"/>
      <c r="C1" s="983"/>
      <c r="D1" s="983"/>
      <c r="E1" s="983"/>
      <c r="F1" s="983"/>
      <c r="G1" s="983"/>
      <c r="H1" s="983"/>
      <c r="I1" s="983"/>
      <c r="J1" s="983"/>
      <c r="K1" s="983"/>
      <c r="L1" s="983"/>
      <c r="M1" s="983"/>
      <c r="N1" s="983"/>
      <c r="O1" s="983"/>
    </row>
    <row r="2" spans="1:27" ht="15.75" x14ac:dyDescent="0.25">
      <c r="A2" s="1031" t="s">
        <v>315</v>
      </c>
      <c r="B2" s="1031"/>
      <c r="C2" s="1031"/>
      <c r="D2" s="1031"/>
      <c r="E2" s="1031"/>
      <c r="F2" s="1031"/>
      <c r="G2" s="1031"/>
      <c r="H2" s="1031"/>
      <c r="I2" s="1031"/>
      <c r="J2" s="1031"/>
      <c r="K2" s="1031"/>
      <c r="L2" s="1031"/>
      <c r="M2" s="1031"/>
      <c r="N2" s="1031"/>
      <c r="O2" s="1031"/>
    </row>
    <row r="3" spans="1:27" ht="15.75" x14ac:dyDescent="0.25">
      <c r="A3" s="1031" t="s">
        <v>284</v>
      </c>
      <c r="B3" s="1031"/>
      <c r="C3" s="1031"/>
      <c r="D3" s="1031"/>
      <c r="E3" s="1031"/>
      <c r="F3" s="1031"/>
      <c r="G3" s="1031"/>
      <c r="H3" s="1031"/>
      <c r="I3" s="1031"/>
      <c r="J3" s="1031"/>
      <c r="K3" s="1031"/>
      <c r="L3" s="1031"/>
      <c r="M3" s="1031"/>
      <c r="N3" s="1031"/>
      <c r="O3" s="1031"/>
    </row>
    <row r="4" spans="1:27" ht="15.75" x14ac:dyDescent="0.25">
      <c r="A4" s="1031">
        <v>0</v>
      </c>
      <c r="B4" s="1059"/>
      <c r="C4" s="1059"/>
      <c r="D4" s="1059"/>
      <c r="E4" s="1059"/>
      <c r="F4" s="1059"/>
      <c r="G4" s="1059"/>
      <c r="H4" s="1059"/>
      <c r="I4" s="1059"/>
      <c r="J4" s="1059"/>
      <c r="K4" s="1059"/>
      <c r="L4" s="1059"/>
      <c r="M4" s="1059"/>
      <c r="N4" s="1059"/>
      <c r="O4" s="1059"/>
      <c r="P4" s="676"/>
      <c r="Q4" s="676"/>
      <c r="R4" s="676"/>
      <c r="S4" s="676"/>
      <c r="T4" s="676"/>
      <c r="U4" s="676"/>
      <c r="V4" s="676"/>
      <c r="W4" s="676"/>
      <c r="X4" s="676"/>
      <c r="Y4" s="676"/>
      <c r="Z4" s="676"/>
      <c r="AA4" s="676"/>
    </row>
    <row r="5" spans="1:27" ht="19.899999999999999" customHeight="1" x14ac:dyDescent="0.25">
      <c r="A5" s="464" t="s">
        <v>1114</v>
      </c>
      <c r="B5" s="464" t="s">
        <v>386</v>
      </c>
      <c r="C5" s="464" t="s">
        <v>752</v>
      </c>
      <c r="D5" s="464" t="s">
        <v>1008</v>
      </c>
      <c r="E5" s="464" t="s">
        <v>1136</v>
      </c>
      <c r="F5" s="464" t="s">
        <v>435</v>
      </c>
      <c r="G5" s="464" t="s">
        <v>1243</v>
      </c>
      <c r="H5" s="464" t="s">
        <v>101</v>
      </c>
      <c r="I5" s="464" t="s">
        <v>4</v>
      </c>
      <c r="J5" s="464" t="s">
        <v>915</v>
      </c>
      <c r="K5" s="464" t="s">
        <v>120</v>
      </c>
      <c r="L5" s="464" t="s">
        <v>848</v>
      </c>
      <c r="M5" s="464" t="s">
        <v>120</v>
      </c>
      <c r="N5" s="464" t="s">
        <v>999</v>
      </c>
      <c r="O5" s="464" t="s">
        <v>120</v>
      </c>
      <c r="P5" s="676"/>
      <c r="Q5" s="676"/>
      <c r="R5" s="676"/>
      <c r="S5" s="676"/>
      <c r="T5" s="676"/>
      <c r="U5" s="676"/>
      <c r="V5" s="676"/>
      <c r="W5" s="676"/>
      <c r="X5" s="676"/>
      <c r="Y5" s="676"/>
      <c r="Z5" s="676"/>
      <c r="AA5" s="676"/>
    </row>
    <row r="6" spans="1:27" x14ac:dyDescent="0.25">
      <c r="A6" s="625" t="s">
        <v>679</v>
      </c>
      <c r="B6" s="741">
        <v>1</v>
      </c>
      <c r="C6" s="625" t="s">
        <v>1232</v>
      </c>
      <c r="D6" s="625" t="s">
        <v>641</v>
      </c>
      <c r="E6" s="741" t="s">
        <v>1266</v>
      </c>
      <c r="F6" s="420"/>
      <c r="G6" s="420"/>
      <c r="H6" s="420">
        <v>1.05</v>
      </c>
      <c r="I6" s="420">
        <f>SUM(I7:I15)</f>
        <v>371.74994640000006</v>
      </c>
      <c r="J6" s="541">
        <f>BGCM_GiaGoc_Đ_1</f>
        <v>0</v>
      </c>
      <c r="K6" s="541">
        <f>I6*J6</f>
        <v>0</v>
      </c>
      <c r="L6" s="541">
        <f>BGCM_GiaHT_Đ_1</f>
        <v>1920.3732</v>
      </c>
      <c r="M6" s="541">
        <f>I6*L6</f>
        <v>713898.63416799658</v>
      </c>
      <c r="N6" s="541">
        <f>L6-J6</f>
        <v>1920.3732</v>
      </c>
      <c r="O6" s="541">
        <f>I6*N6</f>
        <v>713898.63416799658</v>
      </c>
      <c r="P6" s="676"/>
      <c r="Q6" s="676"/>
      <c r="R6" s="676"/>
      <c r="S6" s="676"/>
      <c r="T6" s="676"/>
      <c r="U6" s="676"/>
      <c r="V6" s="676"/>
      <c r="W6" s="676"/>
      <c r="X6" s="676"/>
      <c r="Y6" s="676"/>
      <c r="Z6" s="676"/>
      <c r="AA6" s="676"/>
    </row>
    <row r="7" spans="1:27" x14ac:dyDescent="0.25">
      <c r="A7" s="584" t="s">
        <v>138</v>
      </c>
      <c r="B7" s="712"/>
      <c r="C7" s="584" t="s">
        <v>194</v>
      </c>
      <c r="D7" s="584" t="s">
        <v>1193</v>
      </c>
      <c r="E7" s="712" t="s">
        <v>717</v>
      </c>
      <c r="F7" s="360">
        <v>11.588990000000001</v>
      </c>
      <c r="G7" s="360">
        <v>7</v>
      </c>
      <c r="H7" s="360"/>
      <c r="I7" s="360">
        <f>F7*G7*H6</f>
        <v>85.179076500000022</v>
      </c>
      <c r="J7" s="506"/>
      <c r="K7" s="506"/>
      <c r="L7" s="506"/>
      <c r="M7" s="506"/>
      <c r="N7" s="506"/>
      <c r="O7" s="506"/>
      <c r="P7" s="676"/>
      <c r="Q7" s="676"/>
      <c r="R7" s="676"/>
      <c r="S7" s="676"/>
      <c r="T7" s="676"/>
      <c r="U7" s="676"/>
      <c r="V7" s="676"/>
      <c r="W7" s="676"/>
      <c r="X7" s="676"/>
      <c r="Y7" s="676"/>
      <c r="Z7" s="676"/>
      <c r="AA7" s="676"/>
    </row>
    <row r="8" spans="1:27" x14ac:dyDescent="0.25">
      <c r="A8" s="584" t="s">
        <v>138</v>
      </c>
      <c r="B8" s="712"/>
      <c r="C8" s="584" t="s">
        <v>5</v>
      </c>
      <c r="D8" s="584" t="s">
        <v>1180</v>
      </c>
      <c r="E8" s="712" t="s">
        <v>717</v>
      </c>
      <c r="F8" s="360">
        <v>0.14399999999999999</v>
      </c>
      <c r="G8" s="360">
        <v>2.2999999999999998</v>
      </c>
      <c r="H8" s="360"/>
      <c r="I8" s="360">
        <f>F8*G8*H6</f>
        <v>0.34775999999999996</v>
      </c>
      <c r="J8" s="506"/>
      <c r="K8" s="506"/>
      <c r="L8" s="506"/>
      <c r="M8" s="506"/>
      <c r="N8" s="506"/>
      <c r="O8" s="506"/>
      <c r="P8" s="676"/>
      <c r="Q8" s="676"/>
      <c r="R8" s="676"/>
      <c r="S8" s="676"/>
      <c r="T8" s="676"/>
      <c r="U8" s="676"/>
      <c r="V8" s="676"/>
      <c r="W8" s="676"/>
      <c r="X8" s="676"/>
      <c r="Y8" s="676"/>
      <c r="Z8" s="676"/>
      <c r="AA8" s="676"/>
    </row>
    <row r="9" spans="1:27" x14ac:dyDescent="0.25">
      <c r="A9" s="584" t="s">
        <v>138</v>
      </c>
      <c r="B9" s="712"/>
      <c r="C9" s="584" t="s">
        <v>82</v>
      </c>
      <c r="D9" s="584" t="s">
        <v>363</v>
      </c>
      <c r="E9" s="712" t="s">
        <v>717</v>
      </c>
      <c r="F9" s="360">
        <v>1.3731040000000001</v>
      </c>
      <c r="G9" s="360">
        <v>48</v>
      </c>
      <c r="H9" s="360"/>
      <c r="I9" s="360">
        <f>F9*G9*H6</f>
        <v>69.20444160000001</v>
      </c>
      <c r="J9" s="506"/>
      <c r="K9" s="506"/>
      <c r="L9" s="506"/>
      <c r="M9" s="506"/>
      <c r="N9" s="506"/>
      <c r="O9" s="506"/>
      <c r="P9" s="676"/>
      <c r="Q9" s="676"/>
      <c r="R9" s="676"/>
      <c r="S9" s="676"/>
      <c r="T9" s="676"/>
      <c r="U9" s="676"/>
      <c r="V9" s="676"/>
      <c r="W9" s="676"/>
      <c r="X9" s="676"/>
      <c r="Y9" s="676"/>
      <c r="Z9" s="676"/>
      <c r="AA9" s="676"/>
    </row>
    <row r="10" spans="1:27" x14ac:dyDescent="0.25">
      <c r="A10" s="584" t="s">
        <v>138</v>
      </c>
      <c r="B10" s="712"/>
      <c r="C10" s="584" t="s">
        <v>208</v>
      </c>
      <c r="D10" s="584" t="s">
        <v>682</v>
      </c>
      <c r="E10" s="712" t="s">
        <v>717</v>
      </c>
      <c r="F10" s="360">
        <v>6.2567999999999999E-2</v>
      </c>
      <c r="G10" s="360">
        <v>120</v>
      </c>
      <c r="H10" s="360"/>
      <c r="I10" s="360">
        <f>F10*G10*H6</f>
        <v>7.8835680000000004</v>
      </c>
      <c r="J10" s="506"/>
      <c r="K10" s="506"/>
      <c r="L10" s="506"/>
      <c r="M10" s="506"/>
      <c r="N10" s="506"/>
      <c r="O10" s="506"/>
      <c r="P10" s="676"/>
      <c r="Q10" s="676"/>
      <c r="R10" s="676"/>
      <c r="S10" s="676"/>
      <c r="T10" s="676"/>
      <c r="U10" s="676"/>
      <c r="V10" s="676"/>
      <c r="W10" s="676"/>
      <c r="X10" s="676"/>
      <c r="Y10" s="676"/>
      <c r="Z10" s="676"/>
      <c r="AA10" s="676"/>
    </row>
    <row r="11" spans="1:27" x14ac:dyDescent="0.25">
      <c r="A11" s="584" t="s">
        <v>138</v>
      </c>
      <c r="B11" s="712"/>
      <c r="C11" s="584" t="s">
        <v>201</v>
      </c>
      <c r="D11" s="584" t="s">
        <v>202</v>
      </c>
      <c r="E11" s="712" t="s">
        <v>717</v>
      </c>
      <c r="F11" s="360">
        <v>11.275410000000001</v>
      </c>
      <c r="G11" s="360">
        <v>5</v>
      </c>
      <c r="H11" s="360"/>
      <c r="I11" s="360">
        <f>F11*G11*H6</f>
        <v>59.19590250000001</v>
      </c>
      <c r="J11" s="506"/>
      <c r="K11" s="506"/>
      <c r="L11" s="506"/>
      <c r="M11" s="506"/>
      <c r="N11" s="506"/>
      <c r="O11" s="506"/>
      <c r="P11" s="676"/>
      <c r="Q11" s="676"/>
      <c r="R11" s="676"/>
      <c r="S11" s="676"/>
      <c r="T11" s="676"/>
      <c r="U11" s="676"/>
      <c r="V11" s="676"/>
      <c r="W11" s="676"/>
      <c r="X11" s="676"/>
      <c r="Y11" s="676"/>
      <c r="Z11" s="676"/>
      <c r="AA11" s="676"/>
    </row>
    <row r="12" spans="1:27" x14ac:dyDescent="0.25">
      <c r="A12" s="584" t="s">
        <v>138</v>
      </c>
      <c r="B12" s="712"/>
      <c r="C12" s="584" t="s">
        <v>271</v>
      </c>
      <c r="D12" s="584" t="s">
        <v>1188</v>
      </c>
      <c r="E12" s="712" t="s">
        <v>717</v>
      </c>
      <c r="F12" s="360">
        <v>6.2567999999999999E-2</v>
      </c>
      <c r="G12" s="360">
        <v>47</v>
      </c>
      <c r="H12" s="360"/>
      <c r="I12" s="360">
        <f>F12*G12*H6</f>
        <v>3.0877308000000001</v>
      </c>
      <c r="J12" s="506"/>
      <c r="K12" s="506"/>
      <c r="L12" s="506"/>
      <c r="M12" s="506"/>
      <c r="N12" s="506"/>
      <c r="O12" s="506"/>
      <c r="P12" s="676"/>
      <c r="Q12" s="676"/>
      <c r="R12" s="676"/>
      <c r="S12" s="676"/>
      <c r="T12" s="676"/>
      <c r="U12" s="676"/>
      <c r="V12" s="676"/>
      <c r="W12" s="676"/>
      <c r="X12" s="676"/>
      <c r="Y12" s="676"/>
      <c r="Z12" s="676"/>
      <c r="AA12" s="676"/>
    </row>
    <row r="13" spans="1:27" x14ac:dyDescent="0.25">
      <c r="A13" s="584" t="s">
        <v>138</v>
      </c>
      <c r="B13" s="712"/>
      <c r="C13" s="584" t="s">
        <v>239</v>
      </c>
      <c r="D13" s="584" t="s">
        <v>209</v>
      </c>
      <c r="E13" s="712" t="s">
        <v>717</v>
      </c>
      <c r="F13" s="360">
        <v>0.11576</v>
      </c>
      <c r="G13" s="360">
        <v>9</v>
      </c>
      <c r="H13" s="360"/>
      <c r="I13" s="360">
        <f>F13*G13*H6</f>
        <v>1.0939320000000001</v>
      </c>
      <c r="J13" s="506"/>
      <c r="K13" s="506"/>
      <c r="L13" s="506"/>
      <c r="M13" s="506"/>
      <c r="N13" s="506"/>
      <c r="O13" s="506"/>
      <c r="P13" s="676"/>
      <c r="Q13" s="676"/>
      <c r="R13" s="676"/>
      <c r="S13" s="676"/>
      <c r="T13" s="676"/>
      <c r="U13" s="676"/>
      <c r="V13" s="676"/>
      <c r="W13" s="676"/>
      <c r="X13" s="676"/>
      <c r="Y13" s="676"/>
      <c r="Z13" s="676"/>
      <c r="AA13" s="676"/>
    </row>
    <row r="14" spans="1:27" x14ac:dyDescent="0.25">
      <c r="A14" s="584" t="s">
        <v>138</v>
      </c>
      <c r="B14" s="712"/>
      <c r="C14" s="584" t="s">
        <v>177</v>
      </c>
      <c r="D14" s="584" t="s">
        <v>747</v>
      </c>
      <c r="E14" s="712" t="s">
        <v>717</v>
      </c>
      <c r="F14" s="360">
        <v>0.26400000000000001</v>
      </c>
      <c r="G14" s="360">
        <v>11</v>
      </c>
      <c r="H14" s="360"/>
      <c r="I14" s="360">
        <f>F14*G14*H6</f>
        <v>3.0491999999999999</v>
      </c>
      <c r="J14" s="506"/>
      <c r="K14" s="506"/>
      <c r="L14" s="506"/>
      <c r="M14" s="506"/>
      <c r="N14" s="506"/>
      <c r="O14" s="506"/>
      <c r="P14" s="676"/>
      <c r="Q14" s="676"/>
      <c r="R14" s="676"/>
      <c r="S14" s="676"/>
      <c r="T14" s="676"/>
      <c r="U14" s="676"/>
      <c r="V14" s="676"/>
      <c r="W14" s="676"/>
      <c r="X14" s="676"/>
      <c r="Y14" s="676"/>
      <c r="Z14" s="676"/>
      <c r="AA14" s="676"/>
    </row>
    <row r="15" spans="1:27" x14ac:dyDescent="0.25">
      <c r="A15" s="584" t="s">
        <v>138</v>
      </c>
      <c r="B15" s="712"/>
      <c r="C15" s="584" t="s">
        <v>113</v>
      </c>
      <c r="D15" s="584" t="s">
        <v>94</v>
      </c>
      <c r="E15" s="712" t="s">
        <v>717</v>
      </c>
      <c r="F15" s="360">
        <v>12.355700000000001</v>
      </c>
      <c r="G15" s="360">
        <v>11</v>
      </c>
      <c r="H15" s="360"/>
      <c r="I15" s="360">
        <f>F15*G15*H6</f>
        <v>142.70833500000001</v>
      </c>
      <c r="J15" s="506"/>
      <c r="K15" s="506"/>
      <c r="L15" s="506"/>
      <c r="M15" s="506"/>
      <c r="N15" s="506"/>
      <c r="O15" s="506"/>
      <c r="P15" s="676"/>
      <c r="Q15" s="676"/>
      <c r="R15" s="676"/>
      <c r="S15" s="676"/>
      <c r="T15" s="676"/>
      <c r="U15" s="676"/>
      <c r="V15" s="676"/>
      <c r="W15" s="676"/>
      <c r="X15" s="676"/>
      <c r="Y15" s="676"/>
      <c r="Z15" s="676"/>
      <c r="AA15" s="676"/>
    </row>
    <row r="16" spans="1:27" x14ac:dyDescent="0.25">
      <c r="A16" s="373" t="s">
        <v>679</v>
      </c>
      <c r="B16" s="497">
        <v>2</v>
      </c>
      <c r="C16" s="373" t="s">
        <v>479</v>
      </c>
      <c r="D16" s="373" t="s">
        <v>385</v>
      </c>
      <c r="E16" s="497" t="s">
        <v>447</v>
      </c>
      <c r="F16" s="158"/>
      <c r="G16" s="158"/>
      <c r="H16" s="158">
        <v>1.03</v>
      </c>
      <c r="I16" s="158">
        <f>SUM(I17:I26)</f>
        <v>578.71902534200001</v>
      </c>
      <c r="J16" s="292">
        <f>BGCM_GiaGoc_D_1</f>
        <v>0</v>
      </c>
      <c r="K16" s="292">
        <f>I16*J16</f>
        <v>0</v>
      </c>
      <c r="L16" s="292">
        <f>BGCM_GiaHT_D_1</f>
        <v>20220</v>
      </c>
      <c r="M16" s="292">
        <f>I16*L16</f>
        <v>11701698.692415239</v>
      </c>
      <c r="N16" s="292">
        <f>L16-J16</f>
        <v>20220</v>
      </c>
      <c r="O16" s="292">
        <f>I16*N16</f>
        <v>11701698.692415239</v>
      </c>
      <c r="P16" s="676"/>
      <c r="Q16" s="676"/>
      <c r="R16" s="676"/>
      <c r="S16" s="676"/>
      <c r="T16" s="676"/>
      <c r="U16" s="676"/>
      <c r="V16" s="676"/>
      <c r="W16" s="676"/>
      <c r="X16" s="676"/>
      <c r="Y16" s="676"/>
      <c r="Z16" s="676"/>
      <c r="AA16" s="676"/>
    </row>
    <row r="17" spans="1:27" x14ac:dyDescent="0.25">
      <c r="A17" s="584" t="s">
        <v>138</v>
      </c>
      <c r="B17" s="712"/>
      <c r="C17" s="584" t="s">
        <v>1101</v>
      </c>
      <c r="D17" s="584" t="s">
        <v>632</v>
      </c>
      <c r="E17" s="712" t="s">
        <v>717</v>
      </c>
      <c r="F17" s="360">
        <v>0.26400000000000001</v>
      </c>
      <c r="G17" s="360">
        <v>11</v>
      </c>
      <c r="H17" s="360"/>
      <c r="I17" s="360">
        <f>F17*G17*H16</f>
        <v>2.99112</v>
      </c>
      <c r="J17" s="506"/>
      <c r="K17" s="506"/>
      <c r="L17" s="506"/>
      <c r="M17" s="506"/>
      <c r="N17" s="506"/>
      <c r="O17" s="506"/>
      <c r="P17" s="676"/>
      <c r="Q17" s="676"/>
      <c r="R17" s="676"/>
      <c r="S17" s="676"/>
      <c r="T17" s="676"/>
      <c r="U17" s="676"/>
      <c r="V17" s="676"/>
      <c r="W17" s="676"/>
      <c r="X17" s="676"/>
      <c r="Y17" s="676"/>
      <c r="Z17" s="676"/>
      <c r="AA17" s="676"/>
    </row>
    <row r="18" spans="1:27" x14ac:dyDescent="0.25">
      <c r="A18" s="584" t="s">
        <v>138</v>
      </c>
      <c r="B18" s="712"/>
      <c r="C18" s="584" t="s">
        <v>1024</v>
      </c>
      <c r="D18" s="584" t="s">
        <v>128</v>
      </c>
      <c r="E18" s="712" t="s">
        <v>717</v>
      </c>
      <c r="F18" s="360">
        <v>8.8119999999999994</v>
      </c>
      <c r="G18" s="360">
        <v>35</v>
      </c>
      <c r="H18" s="360"/>
      <c r="I18" s="360">
        <f>F18*G18*H16</f>
        <v>317.67259999999999</v>
      </c>
      <c r="J18" s="506"/>
      <c r="K18" s="506"/>
      <c r="L18" s="506"/>
      <c r="M18" s="506"/>
      <c r="N18" s="506"/>
      <c r="O18" s="506"/>
      <c r="P18" s="676"/>
      <c r="Q18" s="676"/>
      <c r="R18" s="676"/>
      <c r="S18" s="676"/>
      <c r="T18" s="676"/>
      <c r="U18" s="676"/>
      <c r="V18" s="676"/>
      <c r="W18" s="676"/>
      <c r="X18" s="676"/>
      <c r="Y18" s="676"/>
      <c r="Z18" s="676"/>
      <c r="AA18" s="676"/>
    </row>
    <row r="19" spans="1:27" x14ac:dyDescent="0.25">
      <c r="A19" s="584" t="s">
        <v>138</v>
      </c>
      <c r="B19" s="712"/>
      <c r="C19" s="584" t="s">
        <v>1248</v>
      </c>
      <c r="D19" s="584" t="s">
        <v>196</v>
      </c>
      <c r="E19" s="712" t="s">
        <v>717</v>
      </c>
      <c r="F19" s="360">
        <v>0.71089420000000003</v>
      </c>
      <c r="G19" s="360">
        <v>63</v>
      </c>
      <c r="H19" s="360"/>
      <c r="I19" s="360">
        <f>F19*G19*H16</f>
        <v>46.129924638000006</v>
      </c>
      <c r="J19" s="506"/>
      <c r="K19" s="506"/>
      <c r="L19" s="506"/>
      <c r="M19" s="506"/>
      <c r="N19" s="506"/>
      <c r="O19" s="506"/>
      <c r="P19" s="676"/>
      <c r="Q19" s="676"/>
      <c r="R19" s="676"/>
      <c r="S19" s="676"/>
      <c r="T19" s="676"/>
      <c r="U19" s="676"/>
      <c r="V19" s="676"/>
      <c r="W19" s="676"/>
      <c r="X19" s="676"/>
      <c r="Y19" s="676"/>
      <c r="Z19" s="676"/>
      <c r="AA19" s="676"/>
    </row>
    <row r="20" spans="1:27" x14ac:dyDescent="0.25">
      <c r="A20" s="584" t="s">
        <v>138</v>
      </c>
      <c r="B20" s="712"/>
      <c r="C20" s="584" t="s">
        <v>970</v>
      </c>
      <c r="D20" s="584" t="s">
        <v>1218</v>
      </c>
      <c r="E20" s="712" t="s">
        <v>717</v>
      </c>
      <c r="F20" s="360">
        <v>0.49341516000000002</v>
      </c>
      <c r="G20" s="360">
        <v>23</v>
      </c>
      <c r="H20" s="360"/>
      <c r="I20" s="360">
        <f>F20*G20*H16</f>
        <v>11.689005140400001</v>
      </c>
      <c r="J20" s="506"/>
      <c r="K20" s="506"/>
      <c r="L20" s="506"/>
      <c r="M20" s="506"/>
      <c r="N20" s="506"/>
      <c r="O20" s="506"/>
      <c r="P20" s="676"/>
      <c r="Q20" s="676"/>
      <c r="R20" s="676"/>
      <c r="S20" s="676"/>
      <c r="T20" s="676"/>
      <c r="U20" s="676"/>
      <c r="V20" s="676"/>
      <c r="W20" s="676"/>
      <c r="X20" s="676"/>
      <c r="Y20" s="676"/>
      <c r="Z20" s="676"/>
      <c r="AA20" s="676"/>
    </row>
    <row r="21" spans="1:27" x14ac:dyDescent="0.25">
      <c r="A21" s="584" t="s">
        <v>138</v>
      </c>
      <c r="B21" s="712"/>
      <c r="C21" s="584" t="s">
        <v>811</v>
      </c>
      <c r="D21" s="584" t="s">
        <v>929</v>
      </c>
      <c r="E21" s="712" t="s">
        <v>717</v>
      </c>
      <c r="F21" s="360">
        <v>1.0497091999999999</v>
      </c>
      <c r="G21" s="360">
        <v>57</v>
      </c>
      <c r="H21" s="360"/>
      <c r="I21" s="360">
        <f>F21*G21*H16</f>
        <v>61.628427131999992</v>
      </c>
      <c r="J21" s="506"/>
      <c r="K21" s="506"/>
      <c r="L21" s="506"/>
      <c r="M21" s="506"/>
      <c r="N21" s="506"/>
      <c r="O21" s="506"/>
      <c r="P21" s="676"/>
      <c r="Q21" s="676"/>
      <c r="R21" s="676"/>
      <c r="S21" s="676"/>
      <c r="T21" s="676"/>
      <c r="U21" s="676"/>
      <c r="V21" s="676"/>
      <c r="W21" s="676"/>
      <c r="X21" s="676"/>
      <c r="Y21" s="676"/>
      <c r="Z21" s="676"/>
      <c r="AA21" s="676"/>
    </row>
    <row r="22" spans="1:27" x14ac:dyDescent="0.25">
      <c r="A22" s="584" t="s">
        <v>138</v>
      </c>
      <c r="B22" s="712"/>
      <c r="C22" s="584" t="s">
        <v>1055</v>
      </c>
      <c r="D22" s="584" t="s">
        <v>517</v>
      </c>
      <c r="E22" s="712" t="s">
        <v>717</v>
      </c>
      <c r="F22" s="360">
        <v>6.3520699999999999E-2</v>
      </c>
      <c r="G22" s="360">
        <v>46</v>
      </c>
      <c r="H22" s="360"/>
      <c r="I22" s="360">
        <f>F22*G22*H16</f>
        <v>3.0096107659999998</v>
      </c>
      <c r="J22" s="506"/>
      <c r="K22" s="506"/>
      <c r="L22" s="506"/>
      <c r="M22" s="506"/>
      <c r="N22" s="506"/>
      <c r="O22" s="506"/>
      <c r="P22" s="676"/>
      <c r="Q22" s="676"/>
      <c r="R22" s="676"/>
      <c r="S22" s="676"/>
      <c r="T22" s="676"/>
      <c r="U22" s="676"/>
      <c r="V22" s="676"/>
      <c r="W22" s="676"/>
      <c r="X22" s="676"/>
      <c r="Y22" s="676"/>
      <c r="Z22" s="676"/>
      <c r="AA22" s="676"/>
    </row>
    <row r="23" spans="1:27" x14ac:dyDescent="0.25">
      <c r="A23" s="584" t="s">
        <v>138</v>
      </c>
      <c r="B23" s="712"/>
      <c r="C23" s="584" t="s">
        <v>1126</v>
      </c>
      <c r="D23" s="584" t="s">
        <v>585</v>
      </c>
      <c r="E23" s="712" t="s">
        <v>717</v>
      </c>
      <c r="F23" s="360">
        <v>0.102258</v>
      </c>
      <c r="G23" s="360">
        <v>43</v>
      </c>
      <c r="H23" s="360"/>
      <c r="I23" s="360">
        <f>F23*G23*H16</f>
        <v>4.5290068200000002</v>
      </c>
      <c r="J23" s="506"/>
      <c r="K23" s="506"/>
      <c r="L23" s="506"/>
      <c r="M23" s="506"/>
      <c r="N23" s="506"/>
      <c r="O23" s="506"/>
      <c r="P23" s="676"/>
      <c r="Q23" s="676"/>
      <c r="R23" s="676"/>
      <c r="S23" s="676"/>
      <c r="T23" s="676"/>
      <c r="U23" s="676"/>
      <c r="V23" s="676"/>
      <c r="W23" s="676"/>
      <c r="X23" s="676"/>
      <c r="Y23" s="676"/>
      <c r="Z23" s="676"/>
      <c r="AA23" s="676"/>
    </row>
    <row r="24" spans="1:27" x14ac:dyDescent="0.25">
      <c r="A24" s="584" t="s">
        <v>138</v>
      </c>
      <c r="B24" s="712"/>
      <c r="C24" s="584" t="s">
        <v>1089</v>
      </c>
      <c r="D24" s="584" t="s">
        <v>949</v>
      </c>
      <c r="E24" s="712" t="s">
        <v>717</v>
      </c>
      <c r="F24" s="360">
        <v>1.25322936</v>
      </c>
      <c r="G24" s="360">
        <v>47</v>
      </c>
      <c r="H24" s="360"/>
      <c r="I24" s="360">
        <f>F24*G24*H16</f>
        <v>60.668833317599997</v>
      </c>
      <c r="J24" s="506"/>
      <c r="K24" s="506"/>
      <c r="L24" s="506"/>
      <c r="M24" s="506"/>
      <c r="N24" s="506"/>
      <c r="O24" s="506"/>
      <c r="P24" s="676"/>
      <c r="Q24" s="676"/>
      <c r="R24" s="676"/>
      <c r="S24" s="676"/>
      <c r="T24" s="676"/>
      <c r="U24" s="676"/>
      <c r="V24" s="676"/>
      <c r="W24" s="676"/>
      <c r="X24" s="676"/>
      <c r="Y24" s="676"/>
      <c r="Z24" s="676"/>
      <c r="AA24" s="676"/>
    </row>
    <row r="25" spans="1:27" x14ac:dyDescent="0.25">
      <c r="A25" s="584" t="s">
        <v>138</v>
      </c>
      <c r="B25" s="712"/>
      <c r="C25" s="584" t="s">
        <v>759</v>
      </c>
      <c r="D25" s="584" t="s">
        <v>42</v>
      </c>
      <c r="E25" s="712" t="s">
        <v>717</v>
      </c>
      <c r="F25" s="360">
        <v>0.476518</v>
      </c>
      <c r="G25" s="360">
        <v>83</v>
      </c>
      <c r="H25" s="360"/>
      <c r="I25" s="360">
        <f>F25*G25*H16</f>
        <v>40.737523820000007</v>
      </c>
      <c r="J25" s="506"/>
      <c r="K25" s="506"/>
      <c r="L25" s="506"/>
      <c r="M25" s="506"/>
      <c r="N25" s="506"/>
      <c r="O25" s="506"/>
      <c r="P25" s="676"/>
      <c r="Q25" s="676"/>
      <c r="R25" s="676"/>
      <c r="S25" s="676"/>
      <c r="T25" s="676"/>
      <c r="U25" s="676"/>
      <c r="V25" s="676"/>
      <c r="W25" s="676"/>
      <c r="X25" s="676"/>
      <c r="Y25" s="676"/>
      <c r="Z25" s="676"/>
      <c r="AA25" s="676"/>
    </row>
    <row r="26" spans="1:27" x14ac:dyDescent="0.25">
      <c r="A26" s="584" t="s">
        <v>138</v>
      </c>
      <c r="B26" s="712"/>
      <c r="C26" s="584" t="s">
        <v>798</v>
      </c>
      <c r="D26" s="584" t="s">
        <v>988</v>
      </c>
      <c r="E26" s="712" t="s">
        <v>717</v>
      </c>
      <c r="F26" s="360">
        <v>1.4399501800000001</v>
      </c>
      <c r="G26" s="360">
        <v>20</v>
      </c>
      <c r="H26" s="360"/>
      <c r="I26" s="360">
        <f>F26*G26*H16</f>
        <v>29.662973708000003</v>
      </c>
      <c r="J26" s="506"/>
      <c r="K26" s="506"/>
      <c r="L26" s="506"/>
      <c r="M26" s="506"/>
      <c r="N26" s="506"/>
      <c r="O26" s="506"/>
      <c r="P26" s="676"/>
      <c r="Q26" s="676"/>
      <c r="R26" s="676"/>
      <c r="S26" s="676"/>
      <c r="T26" s="676"/>
      <c r="U26" s="676"/>
      <c r="V26" s="676"/>
      <c r="W26" s="676"/>
      <c r="X26" s="676"/>
      <c r="Y26" s="676"/>
      <c r="Z26" s="676"/>
      <c r="AA26" s="676"/>
    </row>
    <row r="27" spans="1:27" x14ac:dyDescent="0.25">
      <c r="A27" s="373" t="s">
        <v>679</v>
      </c>
      <c r="B27" s="497">
        <v>3</v>
      </c>
      <c r="C27" s="373" t="s">
        <v>8</v>
      </c>
      <c r="D27" s="373" t="s">
        <v>810</v>
      </c>
      <c r="E27" s="497" t="s">
        <v>447</v>
      </c>
      <c r="F27" s="158"/>
      <c r="G27" s="158"/>
      <c r="H27" s="158">
        <v>1.02</v>
      </c>
      <c r="I27" s="158">
        <f>SUM(I28:I30)</f>
        <v>7.1020380480000007</v>
      </c>
      <c r="J27" s="292">
        <f>BGCM_GiaGoc_X_1</f>
        <v>0</v>
      </c>
      <c r="K27" s="292">
        <f>I27*J27</f>
        <v>0</v>
      </c>
      <c r="L27" s="292">
        <f>BGCM_GiaHT_X_1</f>
        <v>21313</v>
      </c>
      <c r="M27" s="292">
        <f>I27*L27</f>
        <v>151365.73691702401</v>
      </c>
      <c r="N27" s="292">
        <f>L27-J27</f>
        <v>21313</v>
      </c>
      <c r="O27" s="292">
        <f>I27*N27</f>
        <v>151365.73691702401</v>
      </c>
      <c r="P27" s="676"/>
      <c r="Q27" s="676"/>
      <c r="R27" s="676"/>
      <c r="S27" s="676"/>
      <c r="T27" s="676"/>
      <c r="U27" s="676"/>
      <c r="V27" s="676"/>
      <c r="W27" s="676"/>
      <c r="X27" s="676"/>
      <c r="Y27" s="676"/>
      <c r="Z27" s="676"/>
      <c r="AA27" s="676"/>
    </row>
    <row r="28" spans="1:27" x14ac:dyDescent="0.25">
      <c r="A28" s="584" t="s">
        <v>138</v>
      </c>
      <c r="B28" s="712"/>
      <c r="C28" s="584" t="s">
        <v>1060</v>
      </c>
      <c r="D28" s="584" t="s">
        <v>790</v>
      </c>
      <c r="E28" s="712" t="s">
        <v>717</v>
      </c>
      <c r="F28" s="360">
        <v>0.2462</v>
      </c>
      <c r="G28" s="360">
        <v>13</v>
      </c>
      <c r="H28" s="360"/>
      <c r="I28" s="360">
        <f>F28*G28*H27</f>
        <v>3.2646120000000001</v>
      </c>
      <c r="J28" s="506"/>
      <c r="K28" s="506"/>
      <c r="L28" s="506"/>
      <c r="M28" s="506"/>
      <c r="N28" s="506"/>
      <c r="O28" s="506"/>
      <c r="P28" s="676"/>
      <c r="Q28" s="676"/>
      <c r="R28" s="676"/>
      <c r="S28" s="676"/>
      <c r="T28" s="676"/>
      <c r="U28" s="676"/>
      <c r="V28" s="676"/>
      <c r="W28" s="676"/>
      <c r="X28" s="676"/>
      <c r="Y28" s="676"/>
      <c r="Z28" s="676"/>
      <c r="AA28" s="676"/>
    </row>
    <row r="29" spans="1:27" x14ac:dyDescent="0.25">
      <c r="A29" s="584" t="s">
        <v>138</v>
      </c>
      <c r="B29" s="712"/>
      <c r="C29" s="584" t="s">
        <v>551</v>
      </c>
      <c r="D29" s="584" t="s">
        <v>330</v>
      </c>
      <c r="E29" s="712" t="s">
        <v>717</v>
      </c>
      <c r="F29" s="360">
        <v>0.83054559999999999</v>
      </c>
      <c r="G29" s="360">
        <v>4</v>
      </c>
      <c r="H29" s="360"/>
      <c r="I29" s="360">
        <f>F29*G29*H27</f>
        <v>3.3886260479999999</v>
      </c>
      <c r="J29" s="506"/>
      <c r="K29" s="506"/>
      <c r="L29" s="506"/>
      <c r="M29" s="506"/>
      <c r="N29" s="506"/>
      <c r="O29" s="506"/>
      <c r="P29" s="676"/>
      <c r="Q29" s="676"/>
      <c r="R29" s="676"/>
      <c r="S29" s="676"/>
      <c r="T29" s="676"/>
      <c r="U29" s="676"/>
      <c r="V29" s="676"/>
      <c r="W29" s="676"/>
      <c r="X29" s="676"/>
      <c r="Y29" s="676"/>
      <c r="Z29" s="676"/>
      <c r="AA29" s="676"/>
    </row>
    <row r="30" spans="1:27" x14ac:dyDescent="0.25">
      <c r="A30" s="523" t="s">
        <v>138</v>
      </c>
      <c r="B30" s="638"/>
      <c r="C30" s="523" t="s">
        <v>750</v>
      </c>
      <c r="D30" s="523" t="s">
        <v>76</v>
      </c>
      <c r="E30" s="638" t="s">
        <v>717</v>
      </c>
      <c r="F30" s="293">
        <v>5.5E-2</v>
      </c>
      <c r="G30" s="293">
        <v>8</v>
      </c>
      <c r="H30" s="293"/>
      <c r="I30" s="293">
        <f>F30*G30*H27</f>
        <v>0.44880000000000003</v>
      </c>
      <c r="J30" s="436"/>
      <c r="K30" s="436"/>
      <c r="L30" s="436"/>
      <c r="M30" s="436"/>
      <c r="N30" s="436"/>
      <c r="O30" s="436"/>
      <c r="P30" s="676"/>
      <c r="Q30" s="676"/>
      <c r="R30" s="676"/>
      <c r="S30" s="676"/>
      <c r="T30" s="676"/>
      <c r="U30" s="676"/>
      <c r="V30" s="676"/>
      <c r="W30" s="676"/>
      <c r="X30" s="676"/>
      <c r="Y30" s="676"/>
      <c r="Z30" s="676"/>
      <c r="AA30" s="676"/>
    </row>
    <row r="31" spans="1:27" x14ac:dyDescent="0.25">
      <c r="A31" s="679" t="s">
        <v>233</v>
      </c>
      <c r="B31" s="697"/>
      <c r="C31" s="571"/>
      <c r="D31" s="571" t="s">
        <v>607</v>
      </c>
      <c r="E31" s="697"/>
      <c r="F31" s="571"/>
      <c r="G31" s="571"/>
      <c r="H31" s="571"/>
      <c r="I31" s="571"/>
      <c r="J31" s="118"/>
      <c r="K31" s="118">
        <f>SUMIF(A6:A30,"NL",K6:K30)</f>
        <v>0</v>
      </c>
      <c r="L31" s="118"/>
      <c r="M31" s="118">
        <f>SUMIF(A6:A30,"NL",M6:M30)</f>
        <v>12566963.063500261</v>
      </c>
      <c r="N31" s="118"/>
      <c r="O31" s="118">
        <f>SUMIF(A6:A30,"NL",O6:O30)</f>
        <v>12566963.063500261</v>
      </c>
      <c r="P31" s="676"/>
      <c r="Q31" s="676"/>
      <c r="R31" s="676"/>
      <c r="S31" s="676"/>
      <c r="T31" s="676"/>
      <c r="U31" s="676"/>
      <c r="V31" s="676"/>
      <c r="W31" s="676"/>
      <c r="X31" s="676"/>
      <c r="Y31" s="676"/>
      <c r="Z31" s="676"/>
      <c r="AA31" s="676"/>
    </row>
    <row r="32" spans="1:27" x14ac:dyDescent="0.2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row>
    <row r="33" spans="2:27" x14ac:dyDescent="0.25">
      <c r="B33" s="676"/>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row>
  </sheetData>
  <mergeCells count="4">
    <mergeCell ref="A1:O1"/>
    <mergeCell ref="A2:O2"/>
    <mergeCell ref="A3:O3"/>
    <mergeCell ref="A4:O4"/>
  </mergeCells>
  <pageMargins left="0.75" right="0.75" top="0.79" bottom="0.79" header="0.3" footer="0.3"/>
  <pageSetup paperSize="9" orientation="landscape" useFirstPageNumber="1" horizontalDpi="65532"/>
  <headerFooter>
    <oddFooter>&amp;CTrang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265"/>
  <sheetViews>
    <sheetView showZeros="0" topLeftCell="B1" workbookViewId="0">
      <selection activeCell="G14" sqref="G14"/>
    </sheetView>
  </sheetViews>
  <sheetFormatPr defaultColWidth="9.42578125" defaultRowHeight="15" x14ac:dyDescent="0.25"/>
  <cols>
    <col min="1" max="1" width="9.42578125" hidden="1" customWidth="1"/>
    <col min="2" max="2" width="4.85546875" bestFit="1" customWidth="1"/>
    <col min="3" max="3" width="8.140625" bestFit="1" customWidth="1"/>
    <col min="4" max="4" width="36.85546875" customWidth="1"/>
    <col min="5" max="5" width="6.85546875" customWidth="1"/>
    <col min="6" max="6" width="8" customWidth="1"/>
    <col min="7" max="7" width="9.5703125" customWidth="1"/>
    <col min="8" max="8" width="7" customWidth="1"/>
    <col min="9" max="9" width="9" customWidth="1"/>
    <col min="10" max="10" width="7.42578125" customWidth="1"/>
    <col min="11" max="11" width="10.28515625" customWidth="1"/>
    <col min="12" max="12" width="6.85546875" customWidth="1"/>
    <col min="13" max="13" width="10.28515625" customWidth="1"/>
    <col min="14" max="14" width="10.5703125" customWidth="1"/>
    <col min="15" max="15" width="10.28515625" customWidth="1"/>
  </cols>
  <sheetData>
    <row r="1" spans="1:27" ht="18.75" x14ac:dyDescent="0.3">
      <c r="A1" s="983" t="s">
        <v>794</v>
      </c>
      <c r="B1" s="983"/>
      <c r="C1" s="983"/>
      <c r="D1" s="983"/>
      <c r="E1" s="983"/>
      <c r="F1" s="983"/>
      <c r="G1" s="983"/>
      <c r="H1" s="983"/>
      <c r="I1" s="983"/>
      <c r="J1" s="983"/>
      <c r="K1" s="983"/>
      <c r="L1" s="983"/>
      <c r="M1" s="983"/>
      <c r="N1" s="983"/>
      <c r="O1" s="983"/>
    </row>
    <row r="2" spans="1:27" ht="15.75" x14ac:dyDescent="0.25">
      <c r="A2" s="1031" t="s">
        <v>315</v>
      </c>
      <c r="B2" s="1031"/>
      <c r="C2" s="1031"/>
      <c r="D2" s="1031"/>
      <c r="E2" s="1031"/>
      <c r="F2" s="1031"/>
      <c r="G2" s="1031"/>
      <c r="H2" s="1031"/>
      <c r="I2" s="1031"/>
      <c r="J2" s="1031"/>
      <c r="K2" s="1031"/>
      <c r="L2" s="1031"/>
      <c r="M2" s="1031"/>
      <c r="N2" s="1031"/>
      <c r="O2" s="1031"/>
    </row>
    <row r="3" spans="1:27" ht="15.75" x14ac:dyDescent="0.25">
      <c r="A3" s="1031" t="s">
        <v>284</v>
      </c>
      <c r="B3" s="1031"/>
      <c r="C3" s="1031"/>
      <c r="D3" s="1031"/>
      <c r="E3" s="1031"/>
      <c r="F3" s="1031"/>
      <c r="G3" s="1031"/>
      <c r="H3" s="1031"/>
      <c r="I3" s="1031"/>
      <c r="J3" s="1031"/>
      <c r="K3" s="1031"/>
      <c r="L3" s="1031"/>
      <c r="M3" s="1031"/>
      <c r="N3" s="1031"/>
      <c r="O3" s="1031"/>
    </row>
    <row r="4" spans="1:27" ht="15.75" x14ac:dyDescent="0.25">
      <c r="A4" s="1031">
        <v>0</v>
      </c>
      <c r="B4" s="1059"/>
      <c r="C4" s="1059"/>
      <c r="D4" s="1059"/>
      <c r="E4" s="1059"/>
      <c r="F4" s="1059"/>
      <c r="G4" s="1059"/>
      <c r="H4" s="1059"/>
      <c r="I4" s="1059"/>
      <c r="J4" s="1059"/>
      <c r="K4" s="1059"/>
      <c r="L4" s="1059"/>
      <c r="M4" s="1059"/>
      <c r="N4" s="1059"/>
      <c r="O4" s="1059"/>
      <c r="P4" s="676"/>
      <c r="Q4" s="676"/>
      <c r="R4" s="676"/>
      <c r="S4" s="676"/>
      <c r="T4" s="676"/>
      <c r="U4" s="676"/>
      <c r="V4" s="676"/>
      <c r="W4" s="676"/>
      <c r="X4" s="676"/>
      <c r="Y4" s="676"/>
      <c r="Z4" s="676"/>
      <c r="AA4" s="676"/>
    </row>
    <row r="5" spans="1:27" ht="19.899999999999999" customHeight="1" x14ac:dyDescent="0.25">
      <c r="A5" s="464" t="s">
        <v>1114</v>
      </c>
      <c r="B5" s="464" t="s">
        <v>386</v>
      </c>
      <c r="C5" s="464" t="s">
        <v>752</v>
      </c>
      <c r="D5" s="464" t="s">
        <v>1008</v>
      </c>
      <c r="E5" s="464" t="s">
        <v>1136</v>
      </c>
      <c r="F5" s="464" t="s">
        <v>435</v>
      </c>
      <c r="G5" s="464" t="s">
        <v>1243</v>
      </c>
      <c r="H5" s="464" t="s">
        <v>972</v>
      </c>
      <c r="I5" s="464" t="s">
        <v>4</v>
      </c>
      <c r="J5" s="464" t="s">
        <v>915</v>
      </c>
      <c r="K5" s="464" t="s">
        <v>120</v>
      </c>
      <c r="L5" s="464" t="s">
        <v>848</v>
      </c>
      <c r="M5" s="464" t="s">
        <v>120</v>
      </c>
      <c r="N5" s="464" t="s">
        <v>999</v>
      </c>
      <c r="O5" s="464" t="s">
        <v>120</v>
      </c>
      <c r="P5" s="676"/>
      <c r="Q5" s="676"/>
      <c r="R5" s="676"/>
      <c r="S5" s="676"/>
      <c r="T5" s="676"/>
      <c r="U5" s="676"/>
      <c r="V5" s="676"/>
      <c r="W5" s="676"/>
      <c r="X5" s="676"/>
      <c r="Y5" s="676"/>
      <c r="Z5" s="676"/>
      <c r="AA5" s="676"/>
    </row>
    <row r="6" spans="1:27" x14ac:dyDescent="0.25">
      <c r="A6" s="625"/>
      <c r="B6" s="741">
        <v>1</v>
      </c>
      <c r="C6" s="625" t="s">
        <v>1186</v>
      </c>
      <c r="D6" s="625" t="s">
        <v>413</v>
      </c>
      <c r="E6" s="741" t="s">
        <v>434</v>
      </c>
      <c r="F6" s="420"/>
      <c r="G6" s="420"/>
      <c r="H6" s="420">
        <v>1</v>
      </c>
      <c r="I6" s="420">
        <f>SUM(I7:I106)</f>
        <v>373.21435800000029</v>
      </c>
      <c r="J6" s="541">
        <f>BGCM_GiaGoc_N4307_1</f>
        <v>0</v>
      </c>
      <c r="K6" s="541">
        <f>I6*J6</f>
        <v>0</v>
      </c>
      <c r="L6" s="541">
        <f>BGCM_GiaHT_N4307_1</f>
        <v>0</v>
      </c>
      <c r="M6" s="541">
        <f>I6*L6</f>
        <v>0</v>
      </c>
      <c r="N6" s="541">
        <f>L6-J6</f>
        <v>0</v>
      </c>
      <c r="O6" s="541">
        <f>I6*N6</f>
        <v>0</v>
      </c>
      <c r="P6" s="676"/>
      <c r="Q6" s="676"/>
      <c r="R6" s="676"/>
      <c r="S6" s="676"/>
      <c r="T6" s="676"/>
      <c r="U6" s="676"/>
      <c r="V6" s="676"/>
      <c r="W6" s="676"/>
      <c r="X6" s="676"/>
      <c r="Y6" s="676"/>
      <c r="Z6" s="676"/>
      <c r="AA6" s="676"/>
    </row>
    <row r="7" spans="1:27" x14ac:dyDescent="0.25">
      <c r="A7" s="584"/>
      <c r="B7" s="712"/>
      <c r="C7" s="584" t="s">
        <v>208</v>
      </c>
      <c r="D7" s="584" t="s">
        <v>682</v>
      </c>
      <c r="E7" s="712" t="s">
        <v>717</v>
      </c>
      <c r="F7" s="360">
        <v>6.2567999999999999E-2</v>
      </c>
      <c r="G7" s="360">
        <v>1</v>
      </c>
      <c r="H7" s="360"/>
      <c r="I7" s="360">
        <f>F7*G7*H6</f>
        <v>6.2567999999999999E-2</v>
      </c>
      <c r="J7" s="506"/>
      <c r="K7" s="506"/>
      <c r="L7" s="506"/>
      <c r="M7" s="506"/>
      <c r="N7" s="506"/>
      <c r="O7" s="506"/>
      <c r="P7" s="676"/>
      <c r="Q7" s="676"/>
      <c r="R7" s="676"/>
      <c r="S7" s="676"/>
      <c r="T7" s="676"/>
      <c r="U7" s="676"/>
      <c r="V7" s="676"/>
      <c r="W7" s="676"/>
      <c r="X7" s="676"/>
      <c r="Y7" s="676"/>
      <c r="Z7" s="676"/>
      <c r="AA7" s="676"/>
    </row>
    <row r="8" spans="1:27" x14ac:dyDescent="0.25">
      <c r="A8" s="584"/>
      <c r="B8" s="712"/>
      <c r="C8" s="584" t="s">
        <v>177</v>
      </c>
      <c r="D8" s="584" t="s">
        <v>747</v>
      </c>
      <c r="E8" s="712" t="s">
        <v>717</v>
      </c>
      <c r="F8" s="360">
        <v>0.26400000000000001</v>
      </c>
      <c r="G8" s="360">
        <v>1</v>
      </c>
      <c r="H8" s="360"/>
      <c r="I8" s="360">
        <f>F8*G8*H6</f>
        <v>0.26400000000000001</v>
      </c>
      <c r="J8" s="506"/>
      <c r="K8" s="506"/>
      <c r="L8" s="506"/>
      <c r="M8" s="506"/>
      <c r="N8" s="506"/>
      <c r="O8" s="506"/>
      <c r="P8" s="676"/>
      <c r="Q8" s="676"/>
      <c r="R8" s="676"/>
      <c r="S8" s="676"/>
      <c r="T8" s="676"/>
      <c r="U8" s="676"/>
      <c r="V8" s="676"/>
      <c r="W8" s="676"/>
      <c r="X8" s="676"/>
      <c r="Y8" s="676"/>
      <c r="Z8" s="676"/>
      <c r="AA8" s="676"/>
    </row>
    <row r="9" spans="1:27" x14ac:dyDescent="0.25">
      <c r="A9" s="584"/>
      <c r="B9" s="712"/>
      <c r="C9" s="584" t="s">
        <v>750</v>
      </c>
      <c r="D9" s="584" t="s">
        <v>76</v>
      </c>
      <c r="E9" s="712" t="s">
        <v>717</v>
      </c>
      <c r="F9" s="360">
        <v>5.5E-2</v>
      </c>
      <c r="G9" s="360">
        <v>1</v>
      </c>
      <c r="H9" s="360"/>
      <c r="I9" s="360">
        <f>F9*G9*H6</f>
        <v>5.5E-2</v>
      </c>
      <c r="J9" s="506"/>
      <c r="K9" s="506"/>
      <c r="L9" s="506"/>
      <c r="M9" s="506"/>
      <c r="N9" s="506"/>
      <c r="O9" s="506"/>
      <c r="P9" s="676"/>
      <c r="Q9" s="676"/>
      <c r="R9" s="676"/>
      <c r="S9" s="676"/>
      <c r="T9" s="676"/>
      <c r="U9" s="676"/>
      <c r="V9" s="676"/>
      <c r="W9" s="676"/>
      <c r="X9" s="676"/>
      <c r="Y9" s="676"/>
      <c r="Z9" s="676"/>
      <c r="AA9" s="676"/>
    </row>
    <row r="10" spans="1:27" x14ac:dyDescent="0.25">
      <c r="A10" s="584"/>
      <c r="B10" s="712"/>
      <c r="C10" s="584" t="s">
        <v>239</v>
      </c>
      <c r="D10" s="584" t="s">
        <v>209</v>
      </c>
      <c r="E10" s="712" t="s">
        <v>717</v>
      </c>
      <c r="F10" s="360">
        <v>0.11576</v>
      </c>
      <c r="G10" s="360">
        <v>1</v>
      </c>
      <c r="H10" s="360"/>
      <c r="I10" s="360">
        <f>F10*G10*H6</f>
        <v>0.11576</v>
      </c>
      <c r="J10" s="506"/>
      <c r="K10" s="506"/>
      <c r="L10" s="506"/>
      <c r="M10" s="506"/>
      <c r="N10" s="506"/>
      <c r="O10" s="506"/>
      <c r="P10" s="676"/>
      <c r="Q10" s="676"/>
      <c r="R10" s="676"/>
      <c r="S10" s="676"/>
      <c r="T10" s="676"/>
      <c r="U10" s="676"/>
      <c r="V10" s="676"/>
      <c r="W10" s="676"/>
      <c r="X10" s="676"/>
      <c r="Y10" s="676"/>
      <c r="Z10" s="676"/>
      <c r="AA10" s="676"/>
    </row>
    <row r="11" spans="1:27" x14ac:dyDescent="0.25">
      <c r="A11" s="584"/>
      <c r="B11" s="712"/>
      <c r="C11" s="584" t="s">
        <v>201</v>
      </c>
      <c r="D11" s="584" t="s">
        <v>202</v>
      </c>
      <c r="E11" s="712" t="s">
        <v>717</v>
      </c>
      <c r="F11" s="360">
        <v>11.275410000000001</v>
      </c>
      <c r="G11" s="360">
        <v>1</v>
      </c>
      <c r="H11" s="360"/>
      <c r="I11" s="360">
        <f>F11*G11*H6</f>
        <v>11.275410000000001</v>
      </c>
      <c r="J11" s="506"/>
      <c r="K11" s="506"/>
      <c r="L11" s="506"/>
      <c r="M11" s="506"/>
      <c r="N11" s="506"/>
      <c r="O11" s="506"/>
      <c r="P11" s="676"/>
      <c r="Q11" s="676"/>
      <c r="R11" s="676"/>
      <c r="S11" s="676"/>
      <c r="T11" s="676"/>
      <c r="U11" s="676"/>
      <c r="V11" s="676"/>
      <c r="W11" s="676"/>
      <c r="X11" s="676"/>
      <c r="Y11" s="676"/>
      <c r="Z11" s="676"/>
      <c r="AA11" s="676"/>
    </row>
    <row r="12" spans="1:27" x14ac:dyDescent="0.25">
      <c r="A12" s="584"/>
      <c r="B12" s="712"/>
      <c r="C12" s="584" t="s">
        <v>551</v>
      </c>
      <c r="D12" s="584" t="s">
        <v>330</v>
      </c>
      <c r="E12" s="712" t="s">
        <v>717</v>
      </c>
      <c r="F12" s="360">
        <v>0.83054559999999999</v>
      </c>
      <c r="G12" s="360">
        <v>1</v>
      </c>
      <c r="H12" s="360"/>
      <c r="I12" s="360">
        <f>F12*G12*H6</f>
        <v>0.83054559999999999</v>
      </c>
      <c r="J12" s="506"/>
      <c r="K12" s="506"/>
      <c r="L12" s="506"/>
      <c r="M12" s="506"/>
      <c r="N12" s="506"/>
      <c r="O12" s="506"/>
      <c r="P12" s="676"/>
      <c r="Q12" s="676"/>
      <c r="R12" s="676"/>
      <c r="S12" s="676"/>
      <c r="T12" s="676"/>
      <c r="U12" s="676"/>
      <c r="V12" s="676"/>
      <c r="W12" s="676"/>
      <c r="X12" s="676"/>
      <c r="Y12" s="676"/>
      <c r="Z12" s="676"/>
      <c r="AA12" s="676"/>
    </row>
    <row r="13" spans="1:27" x14ac:dyDescent="0.25">
      <c r="A13" s="584"/>
      <c r="B13" s="712"/>
      <c r="C13" s="584" t="s">
        <v>194</v>
      </c>
      <c r="D13" s="584" t="s">
        <v>1193</v>
      </c>
      <c r="E13" s="712" t="s">
        <v>717</v>
      </c>
      <c r="F13" s="360">
        <v>11.588990000000001</v>
      </c>
      <c r="G13" s="360">
        <v>1</v>
      </c>
      <c r="H13" s="360"/>
      <c r="I13" s="360">
        <f>F13*G13*H6</f>
        <v>11.588990000000001</v>
      </c>
      <c r="J13" s="506"/>
      <c r="K13" s="506"/>
      <c r="L13" s="506"/>
      <c r="M13" s="506"/>
      <c r="N13" s="506"/>
      <c r="O13" s="506"/>
      <c r="P13" s="676"/>
      <c r="Q13" s="676"/>
      <c r="R13" s="676"/>
      <c r="S13" s="676"/>
      <c r="T13" s="676"/>
      <c r="U13" s="676"/>
      <c r="V13" s="676"/>
      <c r="W13" s="676"/>
      <c r="X13" s="676"/>
      <c r="Y13" s="676"/>
      <c r="Z13" s="676"/>
      <c r="AA13" s="676"/>
    </row>
    <row r="14" spans="1:27" x14ac:dyDescent="0.25">
      <c r="A14" s="584"/>
      <c r="B14" s="712"/>
      <c r="C14" s="584" t="s">
        <v>1248</v>
      </c>
      <c r="D14" s="584" t="s">
        <v>196</v>
      </c>
      <c r="E14" s="712" t="s">
        <v>717</v>
      </c>
      <c r="F14" s="360">
        <v>0.71089420000000003</v>
      </c>
      <c r="G14" s="360">
        <v>1</v>
      </c>
      <c r="H14" s="360"/>
      <c r="I14" s="360">
        <f>F14*G14*H6</f>
        <v>0.71089420000000003</v>
      </c>
      <c r="J14" s="506"/>
      <c r="K14" s="506"/>
      <c r="L14" s="506"/>
      <c r="M14" s="506"/>
      <c r="N14" s="506"/>
      <c r="O14" s="506"/>
      <c r="P14" s="676"/>
      <c r="Q14" s="676"/>
      <c r="R14" s="676"/>
      <c r="S14" s="676"/>
      <c r="T14" s="676"/>
      <c r="U14" s="676"/>
      <c r="V14" s="676"/>
      <c r="W14" s="676"/>
      <c r="X14" s="676"/>
      <c r="Y14" s="676"/>
      <c r="Z14" s="676"/>
      <c r="AA14" s="676"/>
    </row>
    <row r="15" spans="1:27" x14ac:dyDescent="0.25">
      <c r="A15" s="584"/>
      <c r="B15" s="712"/>
      <c r="C15" s="584" t="s">
        <v>113</v>
      </c>
      <c r="D15" s="584" t="s">
        <v>94</v>
      </c>
      <c r="E15" s="712" t="s">
        <v>717</v>
      </c>
      <c r="F15" s="360">
        <v>12.355700000000001</v>
      </c>
      <c r="G15" s="360">
        <v>1</v>
      </c>
      <c r="H15" s="360"/>
      <c r="I15" s="360">
        <f>F15*G15*H6</f>
        <v>12.355700000000001</v>
      </c>
      <c r="J15" s="506"/>
      <c r="K15" s="506"/>
      <c r="L15" s="506"/>
      <c r="M15" s="506"/>
      <c r="N15" s="506"/>
      <c r="O15" s="506"/>
      <c r="P15" s="676"/>
      <c r="Q15" s="676"/>
      <c r="R15" s="676"/>
      <c r="S15" s="676"/>
      <c r="T15" s="676"/>
      <c r="U15" s="676"/>
      <c r="V15" s="676"/>
      <c r="W15" s="676"/>
      <c r="X15" s="676"/>
      <c r="Y15" s="676"/>
      <c r="Z15" s="676"/>
      <c r="AA15" s="676"/>
    </row>
    <row r="16" spans="1:27" x14ac:dyDescent="0.25">
      <c r="A16" s="584"/>
      <c r="B16" s="712"/>
      <c r="C16" s="584" t="s">
        <v>271</v>
      </c>
      <c r="D16" s="584" t="s">
        <v>1188</v>
      </c>
      <c r="E16" s="712" t="s">
        <v>717</v>
      </c>
      <c r="F16" s="360">
        <v>6.2567999999999999E-2</v>
      </c>
      <c r="G16" s="360">
        <v>1</v>
      </c>
      <c r="H16" s="360"/>
      <c r="I16" s="360">
        <f>F16*G16*H6</f>
        <v>6.2567999999999999E-2</v>
      </c>
      <c r="J16" s="506"/>
      <c r="K16" s="506"/>
      <c r="L16" s="506"/>
      <c r="M16" s="506"/>
      <c r="N16" s="506"/>
      <c r="O16" s="506"/>
      <c r="P16" s="676"/>
      <c r="Q16" s="676"/>
      <c r="R16" s="676"/>
      <c r="S16" s="676"/>
      <c r="T16" s="676"/>
      <c r="U16" s="676"/>
      <c r="V16" s="676"/>
      <c r="W16" s="676"/>
      <c r="X16" s="676"/>
      <c r="Y16" s="676"/>
      <c r="Z16" s="676"/>
      <c r="AA16" s="676"/>
    </row>
    <row r="17" spans="1:27" x14ac:dyDescent="0.25">
      <c r="A17" s="584"/>
      <c r="B17" s="712"/>
      <c r="C17" s="584" t="s">
        <v>208</v>
      </c>
      <c r="D17" s="584" t="s">
        <v>682</v>
      </c>
      <c r="E17" s="712" t="s">
        <v>717</v>
      </c>
      <c r="F17" s="360">
        <v>6.2567999999999999E-2</v>
      </c>
      <c r="G17" s="360">
        <v>1</v>
      </c>
      <c r="H17" s="360"/>
      <c r="I17" s="360">
        <f>F17*G17*H6</f>
        <v>6.2567999999999999E-2</v>
      </c>
      <c r="J17" s="506"/>
      <c r="K17" s="506"/>
      <c r="L17" s="506"/>
      <c r="M17" s="506"/>
      <c r="N17" s="506"/>
      <c r="O17" s="506"/>
      <c r="P17" s="676"/>
      <c r="Q17" s="676"/>
      <c r="R17" s="676"/>
      <c r="S17" s="676"/>
      <c r="T17" s="676"/>
      <c r="U17" s="676"/>
      <c r="V17" s="676"/>
      <c r="W17" s="676"/>
      <c r="X17" s="676"/>
      <c r="Y17" s="676"/>
      <c r="Z17" s="676"/>
      <c r="AA17" s="676"/>
    </row>
    <row r="18" spans="1:27" x14ac:dyDescent="0.25">
      <c r="A18" s="584"/>
      <c r="B18" s="712"/>
      <c r="C18" s="584" t="s">
        <v>177</v>
      </c>
      <c r="D18" s="584" t="s">
        <v>747</v>
      </c>
      <c r="E18" s="712" t="s">
        <v>717</v>
      </c>
      <c r="F18" s="360">
        <v>0.26400000000000001</v>
      </c>
      <c r="G18" s="360">
        <v>1</v>
      </c>
      <c r="H18" s="360"/>
      <c r="I18" s="360">
        <f>F18*G18*H6</f>
        <v>0.26400000000000001</v>
      </c>
      <c r="J18" s="506"/>
      <c r="K18" s="506"/>
      <c r="L18" s="506"/>
      <c r="M18" s="506"/>
      <c r="N18" s="506"/>
      <c r="O18" s="506"/>
      <c r="P18" s="676"/>
      <c r="Q18" s="676"/>
      <c r="R18" s="676"/>
      <c r="S18" s="676"/>
      <c r="T18" s="676"/>
      <c r="U18" s="676"/>
      <c r="V18" s="676"/>
      <c r="W18" s="676"/>
      <c r="X18" s="676"/>
      <c r="Y18" s="676"/>
      <c r="Z18" s="676"/>
      <c r="AA18" s="676"/>
    </row>
    <row r="19" spans="1:27" x14ac:dyDescent="0.25">
      <c r="A19" s="584"/>
      <c r="B19" s="712"/>
      <c r="C19" s="584" t="s">
        <v>750</v>
      </c>
      <c r="D19" s="584" t="s">
        <v>76</v>
      </c>
      <c r="E19" s="712" t="s">
        <v>717</v>
      </c>
      <c r="F19" s="360">
        <v>5.5E-2</v>
      </c>
      <c r="G19" s="360">
        <v>1</v>
      </c>
      <c r="H19" s="360"/>
      <c r="I19" s="360">
        <f>F19*G19*H6</f>
        <v>5.5E-2</v>
      </c>
      <c r="J19" s="506"/>
      <c r="K19" s="506"/>
      <c r="L19" s="506"/>
      <c r="M19" s="506"/>
      <c r="N19" s="506"/>
      <c r="O19" s="506"/>
      <c r="P19" s="676"/>
      <c r="Q19" s="676"/>
      <c r="R19" s="676"/>
      <c r="S19" s="676"/>
      <c r="T19" s="676"/>
      <c r="U19" s="676"/>
      <c r="V19" s="676"/>
      <c r="W19" s="676"/>
      <c r="X19" s="676"/>
      <c r="Y19" s="676"/>
      <c r="Z19" s="676"/>
      <c r="AA19" s="676"/>
    </row>
    <row r="20" spans="1:27" x14ac:dyDescent="0.25">
      <c r="A20" s="584"/>
      <c r="B20" s="712"/>
      <c r="C20" s="584" t="s">
        <v>239</v>
      </c>
      <c r="D20" s="584" t="s">
        <v>209</v>
      </c>
      <c r="E20" s="712" t="s">
        <v>717</v>
      </c>
      <c r="F20" s="360">
        <v>0.11576</v>
      </c>
      <c r="G20" s="360">
        <v>1</v>
      </c>
      <c r="H20" s="360"/>
      <c r="I20" s="360">
        <f>F20*G20*H6</f>
        <v>0.11576</v>
      </c>
      <c r="J20" s="506"/>
      <c r="K20" s="506"/>
      <c r="L20" s="506"/>
      <c r="M20" s="506"/>
      <c r="N20" s="506"/>
      <c r="O20" s="506"/>
      <c r="P20" s="676"/>
      <c r="Q20" s="676"/>
      <c r="R20" s="676"/>
      <c r="S20" s="676"/>
      <c r="T20" s="676"/>
      <c r="U20" s="676"/>
      <c r="V20" s="676"/>
      <c r="W20" s="676"/>
      <c r="X20" s="676"/>
      <c r="Y20" s="676"/>
      <c r="Z20" s="676"/>
      <c r="AA20" s="676"/>
    </row>
    <row r="21" spans="1:27" x14ac:dyDescent="0.25">
      <c r="A21" s="584"/>
      <c r="B21" s="712"/>
      <c r="C21" s="584" t="s">
        <v>201</v>
      </c>
      <c r="D21" s="584" t="s">
        <v>202</v>
      </c>
      <c r="E21" s="712" t="s">
        <v>717</v>
      </c>
      <c r="F21" s="360">
        <v>11.275410000000001</v>
      </c>
      <c r="G21" s="360">
        <v>1</v>
      </c>
      <c r="H21" s="360"/>
      <c r="I21" s="360">
        <f>F21*G21*H6</f>
        <v>11.275410000000001</v>
      </c>
      <c r="J21" s="506"/>
      <c r="K21" s="506"/>
      <c r="L21" s="506"/>
      <c r="M21" s="506"/>
      <c r="N21" s="506"/>
      <c r="O21" s="506"/>
      <c r="P21" s="676"/>
      <c r="Q21" s="676"/>
      <c r="R21" s="676"/>
      <c r="S21" s="676"/>
      <c r="T21" s="676"/>
      <c r="U21" s="676"/>
      <c r="V21" s="676"/>
      <c r="W21" s="676"/>
      <c r="X21" s="676"/>
      <c r="Y21" s="676"/>
      <c r="Z21" s="676"/>
      <c r="AA21" s="676"/>
    </row>
    <row r="22" spans="1:27" x14ac:dyDescent="0.25">
      <c r="A22" s="584"/>
      <c r="B22" s="712"/>
      <c r="C22" s="584" t="s">
        <v>551</v>
      </c>
      <c r="D22" s="584" t="s">
        <v>330</v>
      </c>
      <c r="E22" s="712" t="s">
        <v>717</v>
      </c>
      <c r="F22" s="360">
        <v>0.83054559999999999</v>
      </c>
      <c r="G22" s="360">
        <v>1</v>
      </c>
      <c r="H22" s="360"/>
      <c r="I22" s="360">
        <f>F22*G22*H6</f>
        <v>0.83054559999999999</v>
      </c>
      <c r="J22" s="506"/>
      <c r="K22" s="506"/>
      <c r="L22" s="506"/>
      <c r="M22" s="506"/>
      <c r="N22" s="506"/>
      <c r="O22" s="506"/>
      <c r="P22" s="676"/>
      <c r="Q22" s="676"/>
      <c r="R22" s="676"/>
      <c r="S22" s="676"/>
      <c r="T22" s="676"/>
      <c r="U22" s="676"/>
      <c r="V22" s="676"/>
      <c r="W22" s="676"/>
      <c r="X22" s="676"/>
      <c r="Y22" s="676"/>
      <c r="Z22" s="676"/>
      <c r="AA22" s="676"/>
    </row>
    <row r="23" spans="1:27" x14ac:dyDescent="0.25">
      <c r="A23" s="584"/>
      <c r="B23" s="712"/>
      <c r="C23" s="584" t="s">
        <v>194</v>
      </c>
      <c r="D23" s="584" t="s">
        <v>1193</v>
      </c>
      <c r="E23" s="712" t="s">
        <v>717</v>
      </c>
      <c r="F23" s="360">
        <v>11.588990000000001</v>
      </c>
      <c r="G23" s="360">
        <v>1</v>
      </c>
      <c r="H23" s="360"/>
      <c r="I23" s="360">
        <f>F23*G23*H6</f>
        <v>11.588990000000001</v>
      </c>
      <c r="J23" s="506"/>
      <c r="K23" s="506"/>
      <c r="L23" s="506"/>
      <c r="M23" s="506"/>
      <c r="N23" s="506"/>
      <c r="O23" s="506"/>
      <c r="P23" s="676"/>
      <c r="Q23" s="676"/>
      <c r="R23" s="676"/>
      <c r="S23" s="676"/>
      <c r="T23" s="676"/>
      <c r="U23" s="676"/>
      <c r="V23" s="676"/>
      <c r="W23" s="676"/>
      <c r="X23" s="676"/>
      <c r="Y23" s="676"/>
      <c r="Z23" s="676"/>
      <c r="AA23" s="676"/>
    </row>
    <row r="24" spans="1:27" x14ac:dyDescent="0.25">
      <c r="A24" s="584"/>
      <c r="B24" s="712"/>
      <c r="C24" s="584" t="s">
        <v>1248</v>
      </c>
      <c r="D24" s="584" t="s">
        <v>196</v>
      </c>
      <c r="E24" s="712" t="s">
        <v>717</v>
      </c>
      <c r="F24" s="360">
        <v>0.71089420000000003</v>
      </c>
      <c r="G24" s="360">
        <v>1</v>
      </c>
      <c r="H24" s="360"/>
      <c r="I24" s="360">
        <f>F24*G24*H6</f>
        <v>0.71089420000000003</v>
      </c>
      <c r="J24" s="506"/>
      <c r="K24" s="506"/>
      <c r="L24" s="506"/>
      <c r="M24" s="506"/>
      <c r="N24" s="506"/>
      <c r="O24" s="506"/>
      <c r="P24" s="676"/>
      <c r="Q24" s="676"/>
      <c r="R24" s="676"/>
      <c r="S24" s="676"/>
      <c r="T24" s="676"/>
      <c r="U24" s="676"/>
      <c r="V24" s="676"/>
      <c r="W24" s="676"/>
      <c r="X24" s="676"/>
      <c r="Y24" s="676"/>
      <c r="Z24" s="676"/>
      <c r="AA24" s="676"/>
    </row>
    <row r="25" spans="1:27" x14ac:dyDescent="0.25">
      <c r="A25" s="584"/>
      <c r="B25" s="712"/>
      <c r="C25" s="584" t="s">
        <v>113</v>
      </c>
      <c r="D25" s="584" t="s">
        <v>94</v>
      </c>
      <c r="E25" s="712" t="s">
        <v>717</v>
      </c>
      <c r="F25" s="360">
        <v>12.355700000000001</v>
      </c>
      <c r="G25" s="360">
        <v>1</v>
      </c>
      <c r="H25" s="360"/>
      <c r="I25" s="360">
        <f>F25*G25*H6</f>
        <v>12.355700000000001</v>
      </c>
      <c r="J25" s="506"/>
      <c r="K25" s="506"/>
      <c r="L25" s="506"/>
      <c r="M25" s="506"/>
      <c r="N25" s="506"/>
      <c r="O25" s="506"/>
      <c r="P25" s="676"/>
      <c r="Q25" s="676"/>
      <c r="R25" s="676"/>
      <c r="S25" s="676"/>
      <c r="T25" s="676"/>
      <c r="U25" s="676"/>
      <c r="V25" s="676"/>
      <c r="W25" s="676"/>
      <c r="X25" s="676"/>
      <c r="Y25" s="676"/>
      <c r="Z25" s="676"/>
      <c r="AA25" s="676"/>
    </row>
    <row r="26" spans="1:27" x14ac:dyDescent="0.25">
      <c r="A26" s="584"/>
      <c r="B26" s="712"/>
      <c r="C26" s="584" t="s">
        <v>271</v>
      </c>
      <c r="D26" s="584" t="s">
        <v>1188</v>
      </c>
      <c r="E26" s="712" t="s">
        <v>717</v>
      </c>
      <c r="F26" s="360">
        <v>6.2567999999999999E-2</v>
      </c>
      <c r="G26" s="360">
        <v>1</v>
      </c>
      <c r="H26" s="360"/>
      <c r="I26" s="360">
        <f>F26*G26*H6</f>
        <v>6.2567999999999999E-2</v>
      </c>
      <c r="J26" s="506"/>
      <c r="K26" s="506"/>
      <c r="L26" s="506"/>
      <c r="M26" s="506"/>
      <c r="N26" s="506"/>
      <c r="O26" s="506"/>
      <c r="P26" s="676"/>
      <c r="Q26" s="676"/>
      <c r="R26" s="676"/>
      <c r="S26" s="676"/>
      <c r="T26" s="676"/>
      <c r="U26" s="676"/>
      <c r="V26" s="676"/>
      <c r="W26" s="676"/>
      <c r="X26" s="676"/>
      <c r="Y26" s="676"/>
      <c r="Z26" s="676"/>
      <c r="AA26" s="676"/>
    </row>
    <row r="27" spans="1:27" x14ac:dyDescent="0.25">
      <c r="A27" s="584"/>
      <c r="B27" s="712"/>
      <c r="C27" s="584" t="s">
        <v>208</v>
      </c>
      <c r="D27" s="584" t="s">
        <v>682</v>
      </c>
      <c r="E27" s="712" t="s">
        <v>717</v>
      </c>
      <c r="F27" s="360">
        <v>6.2567999999999999E-2</v>
      </c>
      <c r="G27" s="360">
        <v>1</v>
      </c>
      <c r="H27" s="360"/>
      <c r="I27" s="360">
        <f>F27*G27*H6</f>
        <v>6.2567999999999999E-2</v>
      </c>
      <c r="J27" s="506"/>
      <c r="K27" s="506"/>
      <c r="L27" s="506"/>
      <c r="M27" s="506"/>
      <c r="N27" s="506"/>
      <c r="O27" s="506"/>
      <c r="P27" s="676"/>
      <c r="Q27" s="676"/>
      <c r="R27" s="676"/>
      <c r="S27" s="676"/>
      <c r="T27" s="676"/>
      <c r="U27" s="676"/>
      <c r="V27" s="676"/>
      <c r="W27" s="676"/>
      <c r="X27" s="676"/>
      <c r="Y27" s="676"/>
      <c r="Z27" s="676"/>
      <c r="AA27" s="676"/>
    </row>
    <row r="28" spans="1:27" x14ac:dyDescent="0.25">
      <c r="A28" s="584"/>
      <c r="B28" s="712"/>
      <c r="C28" s="584" t="s">
        <v>177</v>
      </c>
      <c r="D28" s="584" t="s">
        <v>747</v>
      </c>
      <c r="E28" s="712" t="s">
        <v>717</v>
      </c>
      <c r="F28" s="360">
        <v>0.26400000000000001</v>
      </c>
      <c r="G28" s="360">
        <v>1</v>
      </c>
      <c r="H28" s="360"/>
      <c r="I28" s="360">
        <f>F28*G28*H6</f>
        <v>0.26400000000000001</v>
      </c>
      <c r="J28" s="506"/>
      <c r="K28" s="506"/>
      <c r="L28" s="506"/>
      <c r="M28" s="506"/>
      <c r="N28" s="506"/>
      <c r="O28" s="506"/>
      <c r="P28" s="676"/>
      <c r="Q28" s="676"/>
      <c r="R28" s="676"/>
      <c r="S28" s="676"/>
      <c r="T28" s="676"/>
      <c r="U28" s="676"/>
      <c r="V28" s="676"/>
      <c r="W28" s="676"/>
      <c r="X28" s="676"/>
      <c r="Y28" s="676"/>
      <c r="Z28" s="676"/>
      <c r="AA28" s="676"/>
    </row>
    <row r="29" spans="1:27" x14ac:dyDescent="0.25">
      <c r="A29" s="584"/>
      <c r="B29" s="712"/>
      <c r="C29" s="584" t="s">
        <v>750</v>
      </c>
      <c r="D29" s="584" t="s">
        <v>76</v>
      </c>
      <c r="E29" s="712" t="s">
        <v>717</v>
      </c>
      <c r="F29" s="360">
        <v>5.5E-2</v>
      </c>
      <c r="G29" s="360">
        <v>1</v>
      </c>
      <c r="H29" s="360"/>
      <c r="I29" s="360">
        <f>F29*G29*H6</f>
        <v>5.5E-2</v>
      </c>
      <c r="J29" s="506"/>
      <c r="K29" s="506"/>
      <c r="L29" s="506"/>
      <c r="M29" s="506"/>
      <c r="N29" s="506"/>
      <c r="O29" s="506"/>
      <c r="P29" s="676"/>
      <c r="Q29" s="676"/>
      <c r="R29" s="676"/>
      <c r="S29" s="676"/>
      <c r="T29" s="676"/>
      <c r="U29" s="676"/>
      <c r="V29" s="676"/>
      <c r="W29" s="676"/>
      <c r="X29" s="676"/>
      <c r="Y29" s="676"/>
      <c r="Z29" s="676"/>
      <c r="AA29" s="676"/>
    </row>
    <row r="30" spans="1:27" x14ac:dyDescent="0.25">
      <c r="A30" s="584"/>
      <c r="B30" s="712"/>
      <c r="C30" s="584" t="s">
        <v>239</v>
      </c>
      <c r="D30" s="584" t="s">
        <v>209</v>
      </c>
      <c r="E30" s="712" t="s">
        <v>717</v>
      </c>
      <c r="F30" s="360">
        <v>0.11576</v>
      </c>
      <c r="G30" s="360">
        <v>1</v>
      </c>
      <c r="H30" s="360"/>
      <c r="I30" s="360">
        <f>F30*G30*H6</f>
        <v>0.11576</v>
      </c>
      <c r="J30" s="506"/>
      <c r="K30" s="506"/>
      <c r="L30" s="506"/>
      <c r="M30" s="506"/>
      <c r="N30" s="506"/>
      <c r="O30" s="506"/>
      <c r="P30" s="676"/>
      <c r="Q30" s="676"/>
      <c r="R30" s="676"/>
      <c r="S30" s="676"/>
      <c r="T30" s="676"/>
      <c r="U30" s="676"/>
      <c r="V30" s="676"/>
      <c r="W30" s="676"/>
      <c r="X30" s="676"/>
      <c r="Y30" s="676"/>
      <c r="Z30" s="676"/>
      <c r="AA30" s="676"/>
    </row>
    <row r="31" spans="1:27" x14ac:dyDescent="0.25">
      <c r="A31" s="584"/>
      <c r="B31" s="712"/>
      <c r="C31" s="584" t="s">
        <v>201</v>
      </c>
      <c r="D31" s="584" t="s">
        <v>202</v>
      </c>
      <c r="E31" s="712" t="s">
        <v>717</v>
      </c>
      <c r="F31" s="360">
        <v>11.275410000000001</v>
      </c>
      <c r="G31" s="360">
        <v>1</v>
      </c>
      <c r="H31" s="360"/>
      <c r="I31" s="360">
        <f>F31*G31*H6</f>
        <v>11.275410000000001</v>
      </c>
      <c r="J31" s="506"/>
      <c r="K31" s="506"/>
      <c r="L31" s="506"/>
      <c r="M31" s="506"/>
      <c r="N31" s="506"/>
      <c r="O31" s="506"/>
      <c r="P31" s="676"/>
      <c r="Q31" s="676"/>
      <c r="R31" s="676"/>
      <c r="S31" s="676"/>
      <c r="T31" s="676"/>
      <c r="U31" s="676"/>
      <c r="V31" s="676"/>
      <c r="W31" s="676"/>
      <c r="X31" s="676"/>
      <c r="Y31" s="676"/>
      <c r="Z31" s="676"/>
      <c r="AA31" s="676"/>
    </row>
    <row r="32" spans="1:27" x14ac:dyDescent="0.25">
      <c r="A32" s="584"/>
      <c r="B32" s="712"/>
      <c r="C32" s="584" t="s">
        <v>551</v>
      </c>
      <c r="D32" s="584" t="s">
        <v>330</v>
      </c>
      <c r="E32" s="712" t="s">
        <v>717</v>
      </c>
      <c r="F32" s="360">
        <v>0.83054559999999999</v>
      </c>
      <c r="G32" s="360">
        <v>1</v>
      </c>
      <c r="H32" s="360"/>
      <c r="I32" s="360">
        <f>F32*G32*H6</f>
        <v>0.83054559999999999</v>
      </c>
      <c r="J32" s="506"/>
      <c r="K32" s="506"/>
      <c r="L32" s="506"/>
      <c r="M32" s="506"/>
      <c r="N32" s="506"/>
      <c r="O32" s="506"/>
      <c r="P32" s="676"/>
      <c r="Q32" s="676"/>
      <c r="R32" s="676"/>
      <c r="S32" s="676"/>
      <c r="T32" s="676"/>
      <c r="U32" s="676"/>
      <c r="V32" s="676"/>
      <c r="W32" s="676"/>
      <c r="X32" s="676"/>
      <c r="Y32" s="676"/>
      <c r="Z32" s="676"/>
      <c r="AA32" s="676"/>
    </row>
    <row r="33" spans="1:27" x14ac:dyDescent="0.25">
      <c r="A33" s="584"/>
      <c r="B33" s="712"/>
      <c r="C33" s="584" t="s">
        <v>194</v>
      </c>
      <c r="D33" s="584" t="s">
        <v>1193</v>
      </c>
      <c r="E33" s="712" t="s">
        <v>717</v>
      </c>
      <c r="F33" s="360">
        <v>11.588990000000001</v>
      </c>
      <c r="G33" s="360">
        <v>1</v>
      </c>
      <c r="H33" s="360"/>
      <c r="I33" s="360">
        <f>F33*G33*H6</f>
        <v>11.588990000000001</v>
      </c>
      <c r="J33" s="506"/>
      <c r="K33" s="506"/>
      <c r="L33" s="506"/>
      <c r="M33" s="506"/>
      <c r="N33" s="506"/>
      <c r="O33" s="506"/>
      <c r="P33" s="676"/>
      <c r="Q33" s="676"/>
      <c r="R33" s="676"/>
      <c r="S33" s="676"/>
      <c r="T33" s="676"/>
      <c r="U33" s="676"/>
      <c r="V33" s="676"/>
      <c r="W33" s="676"/>
      <c r="X33" s="676"/>
      <c r="Y33" s="676"/>
      <c r="Z33" s="676"/>
      <c r="AA33" s="676"/>
    </row>
    <row r="34" spans="1:27" x14ac:dyDescent="0.25">
      <c r="A34" s="584"/>
      <c r="B34" s="712"/>
      <c r="C34" s="584" t="s">
        <v>1248</v>
      </c>
      <c r="D34" s="584" t="s">
        <v>196</v>
      </c>
      <c r="E34" s="712" t="s">
        <v>717</v>
      </c>
      <c r="F34" s="360">
        <v>0.71089420000000003</v>
      </c>
      <c r="G34" s="360">
        <v>1</v>
      </c>
      <c r="H34" s="360"/>
      <c r="I34" s="360">
        <f>F34*G34*H6</f>
        <v>0.71089420000000003</v>
      </c>
      <c r="J34" s="506"/>
      <c r="K34" s="506"/>
      <c r="L34" s="506"/>
      <c r="M34" s="506"/>
      <c r="N34" s="506"/>
      <c r="O34" s="506"/>
      <c r="P34" s="676"/>
      <c r="Q34" s="676"/>
      <c r="R34" s="676"/>
      <c r="S34" s="676"/>
      <c r="T34" s="676"/>
      <c r="U34" s="676"/>
      <c r="V34" s="676"/>
      <c r="W34" s="676"/>
      <c r="X34" s="676"/>
      <c r="Y34" s="676"/>
      <c r="Z34" s="676"/>
      <c r="AA34" s="676"/>
    </row>
    <row r="35" spans="1:27" x14ac:dyDescent="0.25">
      <c r="A35" s="584"/>
      <c r="B35" s="712"/>
      <c r="C35" s="584" t="s">
        <v>113</v>
      </c>
      <c r="D35" s="584" t="s">
        <v>94</v>
      </c>
      <c r="E35" s="712" t="s">
        <v>717</v>
      </c>
      <c r="F35" s="360">
        <v>12.355700000000001</v>
      </c>
      <c r="G35" s="360">
        <v>1</v>
      </c>
      <c r="H35" s="360"/>
      <c r="I35" s="360">
        <f>F35*G35*H6</f>
        <v>12.355700000000001</v>
      </c>
      <c r="J35" s="506"/>
      <c r="K35" s="506"/>
      <c r="L35" s="506"/>
      <c r="M35" s="506"/>
      <c r="N35" s="506"/>
      <c r="O35" s="506"/>
      <c r="P35" s="676"/>
      <c r="Q35" s="676"/>
      <c r="R35" s="676"/>
      <c r="S35" s="676"/>
      <c r="T35" s="676"/>
      <c r="U35" s="676"/>
      <c r="V35" s="676"/>
      <c r="W35" s="676"/>
      <c r="X35" s="676"/>
      <c r="Y35" s="676"/>
      <c r="Z35" s="676"/>
      <c r="AA35" s="676"/>
    </row>
    <row r="36" spans="1:27" x14ac:dyDescent="0.25">
      <c r="A36" s="584"/>
      <c r="B36" s="712"/>
      <c r="C36" s="584" t="s">
        <v>271</v>
      </c>
      <c r="D36" s="584" t="s">
        <v>1188</v>
      </c>
      <c r="E36" s="712" t="s">
        <v>717</v>
      </c>
      <c r="F36" s="360">
        <v>6.2567999999999999E-2</v>
      </c>
      <c r="G36" s="360">
        <v>1</v>
      </c>
      <c r="H36" s="360"/>
      <c r="I36" s="360">
        <f>F36*G36*H6</f>
        <v>6.2567999999999999E-2</v>
      </c>
      <c r="J36" s="506"/>
      <c r="K36" s="506"/>
      <c r="L36" s="506"/>
      <c r="M36" s="506"/>
      <c r="N36" s="506"/>
      <c r="O36" s="506"/>
      <c r="P36" s="676"/>
      <c r="Q36" s="676"/>
      <c r="R36" s="676"/>
      <c r="S36" s="676"/>
      <c r="T36" s="676"/>
      <c r="U36" s="676"/>
      <c r="V36" s="676"/>
      <c r="W36" s="676"/>
      <c r="X36" s="676"/>
      <c r="Y36" s="676"/>
      <c r="Z36" s="676"/>
      <c r="AA36" s="676"/>
    </row>
    <row r="37" spans="1:27" x14ac:dyDescent="0.25">
      <c r="A37" s="584"/>
      <c r="B37" s="712"/>
      <c r="C37" s="584" t="s">
        <v>208</v>
      </c>
      <c r="D37" s="584" t="s">
        <v>682</v>
      </c>
      <c r="E37" s="712" t="s">
        <v>717</v>
      </c>
      <c r="F37" s="360">
        <v>6.2567999999999999E-2</v>
      </c>
      <c r="G37" s="360">
        <v>1</v>
      </c>
      <c r="H37" s="360"/>
      <c r="I37" s="360">
        <f>F37*G37*H6</f>
        <v>6.2567999999999999E-2</v>
      </c>
      <c r="J37" s="506"/>
      <c r="K37" s="506"/>
      <c r="L37" s="506"/>
      <c r="M37" s="506"/>
      <c r="N37" s="506"/>
      <c r="O37" s="506"/>
      <c r="P37" s="676"/>
      <c r="Q37" s="676"/>
      <c r="R37" s="676"/>
      <c r="S37" s="676"/>
      <c r="T37" s="676"/>
      <c r="U37" s="676"/>
      <c r="V37" s="676"/>
      <c r="W37" s="676"/>
      <c r="X37" s="676"/>
      <c r="Y37" s="676"/>
      <c r="Z37" s="676"/>
      <c r="AA37" s="676"/>
    </row>
    <row r="38" spans="1:27" x14ac:dyDescent="0.25">
      <c r="A38" s="584"/>
      <c r="B38" s="712"/>
      <c r="C38" s="584" t="s">
        <v>177</v>
      </c>
      <c r="D38" s="584" t="s">
        <v>747</v>
      </c>
      <c r="E38" s="712" t="s">
        <v>717</v>
      </c>
      <c r="F38" s="360">
        <v>0.26400000000000001</v>
      </c>
      <c r="G38" s="360">
        <v>1</v>
      </c>
      <c r="H38" s="360"/>
      <c r="I38" s="360">
        <f>F38*G38*H6</f>
        <v>0.26400000000000001</v>
      </c>
      <c r="J38" s="506"/>
      <c r="K38" s="506"/>
      <c r="L38" s="506"/>
      <c r="M38" s="506"/>
      <c r="N38" s="506"/>
      <c r="O38" s="506"/>
      <c r="P38" s="676"/>
      <c r="Q38" s="676"/>
      <c r="R38" s="676"/>
      <c r="S38" s="676"/>
      <c r="T38" s="676"/>
      <c r="U38" s="676"/>
      <c r="V38" s="676"/>
      <c r="W38" s="676"/>
      <c r="X38" s="676"/>
      <c r="Y38" s="676"/>
      <c r="Z38" s="676"/>
      <c r="AA38" s="676"/>
    </row>
    <row r="39" spans="1:27" x14ac:dyDescent="0.25">
      <c r="A39" s="584"/>
      <c r="B39" s="712"/>
      <c r="C39" s="584" t="s">
        <v>750</v>
      </c>
      <c r="D39" s="584" t="s">
        <v>76</v>
      </c>
      <c r="E39" s="712" t="s">
        <v>717</v>
      </c>
      <c r="F39" s="360">
        <v>5.5E-2</v>
      </c>
      <c r="G39" s="360">
        <v>1</v>
      </c>
      <c r="H39" s="360"/>
      <c r="I39" s="360">
        <f>F39*G39*H6</f>
        <v>5.5E-2</v>
      </c>
      <c r="J39" s="506"/>
      <c r="K39" s="506"/>
      <c r="L39" s="506"/>
      <c r="M39" s="506"/>
      <c r="N39" s="506"/>
      <c r="O39" s="506"/>
      <c r="P39" s="676"/>
      <c r="Q39" s="676"/>
      <c r="R39" s="676"/>
      <c r="S39" s="676"/>
      <c r="T39" s="676"/>
      <c r="U39" s="676"/>
      <c r="V39" s="676"/>
      <c r="W39" s="676"/>
      <c r="X39" s="676"/>
      <c r="Y39" s="676"/>
      <c r="Z39" s="676"/>
      <c r="AA39" s="676"/>
    </row>
    <row r="40" spans="1:27" x14ac:dyDescent="0.25">
      <c r="A40" s="584"/>
      <c r="B40" s="712"/>
      <c r="C40" s="584" t="s">
        <v>239</v>
      </c>
      <c r="D40" s="584" t="s">
        <v>209</v>
      </c>
      <c r="E40" s="712" t="s">
        <v>717</v>
      </c>
      <c r="F40" s="360">
        <v>0.11576</v>
      </c>
      <c r="G40" s="360">
        <v>1</v>
      </c>
      <c r="H40" s="360"/>
      <c r="I40" s="360">
        <f>F40*G40*H6</f>
        <v>0.11576</v>
      </c>
      <c r="J40" s="506"/>
      <c r="K40" s="506"/>
      <c r="L40" s="506"/>
      <c r="M40" s="506"/>
      <c r="N40" s="506"/>
      <c r="O40" s="506"/>
      <c r="P40" s="676"/>
      <c r="Q40" s="676"/>
      <c r="R40" s="676"/>
      <c r="S40" s="676"/>
      <c r="T40" s="676"/>
      <c r="U40" s="676"/>
      <c r="V40" s="676"/>
      <c r="W40" s="676"/>
      <c r="X40" s="676"/>
      <c r="Y40" s="676"/>
      <c r="Z40" s="676"/>
      <c r="AA40" s="676"/>
    </row>
    <row r="41" spans="1:27" x14ac:dyDescent="0.25">
      <c r="A41" s="584"/>
      <c r="B41" s="712"/>
      <c r="C41" s="584" t="s">
        <v>201</v>
      </c>
      <c r="D41" s="584" t="s">
        <v>202</v>
      </c>
      <c r="E41" s="712" t="s">
        <v>717</v>
      </c>
      <c r="F41" s="360">
        <v>11.275410000000001</v>
      </c>
      <c r="G41" s="360">
        <v>1</v>
      </c>
      <c r="H41" s="360"/>
      <c r="I41" s="360">
        <f>F41*G41*H6</f>
        <v>11.275410000000001</v>
      </c>
      <c r="J41" s="506"/>
      <c r="K41" s="506"/>
      <c r="L41" s="506"/>
      <c r="M41" s="506"/>
      <c r="N41" s="506"/>
      <c r="O41" s="506"/>
      <c r="P41" s="676"/>
      <c r="Q41" s="676"/>
      <c r="R41" s="676"/>
      <c r="S41" s="676"/>
      <c r="T41" s="676"/>
      <c r="U41" s="676"/>
      <c r="V41" s="676"/>
      <c r="W41" s="676"/>
      <c r="X41" s="676"/>
      <c r="Y41" s="676"/>
      <c r="Z41" s="676"/>
      <c r="AA41" s="676"/>
    </row>
    <row r="42" spans="1:27" x14ac:dyDescent="0.25">
      <c r="A42" s="584"/>
      <c r="B42" s="712"/>
      <c r="C42" s="584" t="s">
        <v>551</v>
      </c>
      <c r="D42" s="584" t="s">
        <v>330</v>
      </c>
      <c r="E42" s="712" t="s">
        <v>717</v>
      </c>
      <c r="F42" s="360">
        <v>0.83054559999999999</v>
      </c>
      <c r="G42" s="360">
        <v>1</v>
      </c>
      <c r="H42" s="360"/>
      <c r="I42" s="360">
        <f>F42*G42*H6</f>
        <v>0.83054559999999999</v>
      </c>
      <c r="J42" s="506"/>
      <c r="K42" s="506"/>
      <c r="L42" s="506"/>
      <c r="M42" s="506"/>
      <c r="N42" s="506"/>
      <c r="O42" s="506"/>
      <c r="P42" s="676"/>
      <c r="Q42" s="676"/>
      <c r="R42" s="676"/>
      <c r="S42" s="676"/>
      <c r="T42" s="676"/>
      <c r="U42" s="676"/>
      <c r="V42" s="676"/>
      <c r="W42" s="676"/>
      <c r="X42" s="676"/>
      <c r="Y42" s="676"/>
      <c r="Z42" s="676"/>
      <c r="AA42" s="676"/>
    </row>
    <row r="43" spans="1:27" x14ac:dyDescent="0.25">
      <c r="A43" s="584"/>
      <c r="B43" s="712"/>
      <c r="C43" s="584" t="s">
        <v>194</v>
      </c>
      <c r="D43" s="584" t="s">
        <v>1193</v>
      </c>
      <c r="E43" s="712" t="s">
        <v>717</v>
      </c>
      <c r="F43" s="360">
        <v>11.588990000000001</v>
      </c>
      <c r="G43" s="360">
        <v>1</v>
      </c>
      <c r="H43" s="360"/>
      <c r="I43" s="360">
        <f>F43*G43*H6</f>
        <v>11.588990000000001</v>
      </c>
      <c r="J43" s="506"/>
      <c r="K43" s="506"/>
      <c r="L43" s="506"/>
      <c r="M43" s="506"/>
      <c r="N43" s="506"/>
      <c r="O43" s="506"/>
      <c r="P43" s="676"/>
      <c r="Q43" s="676"/>
      <c r="R43" s="676"/>
      <c r="S43" s="676"/>
      <c r="T43" s="676"/>
      <c r="U43" s="676"/>
      <c r="V43" s="676"/>
      <c r="W43" s="676"/>
      <c r="X43" s="676"/>
      <c r="Y43" s="676"/>
      <c r="Z43" s="676"/>
      <c r="AA43" s="676"/>
    </row>
    <row r="44" spans="1:27" x14ac:dyDescent="0.25">
      <c r="A44" s="584"/>
      <c r="B44" s="712"/>
      <c r="C44" s="584" t="s">
        <v>1248</v>
      </c>
      <c r="D44" s="584" t="s">
        <v>196</v>
      </c>
      <c r="E44" s="712" t="s">
        <v>717</v>
      </c>
      <c r="F44" s="360">
        <v>0.71089420000000003</v>
      </c>
      <c r="G44" s="360">
        <v>1</v>
      </c>
      <c r="H44" s="360"/>
      <c r="I44" s="360">
        <f>F44*G44*H6</f>
        <v>0.71089420000000003</v>
      </c>
      <c r="J44" s="506"/>
      <c r="K44" s="506"/>
      <c r="L44" s="506"/>
      <c r="M44" s="506"/>
      <c r="N44" s="506"/>
      <c r="O44" s="506"/>
      <c r="P44" s="676"/>
      <c r="Q44" s="676"/>
      <c r="R44" s="676"/>
      <c r="S44" s="676"/>
      <c r="T44" s="676"/>
      <c r="U44" s="676"/>
      <c r="V44" s="676"/>
      <c r="W44" s="676"/>
      <c r="X44" s="676"/>
      <c r="Y44" s="676"/>
      <c r="Z44" s="676"/>
      <c r="AA44" s="676"/>
    </row>
    <row r="45" spans="1:27" x14ac:dyDescent="0.25">
      <c r="A45" s="584"/>
      <c r="B45" s="712"/>
      <c r="C45" s="584" t="s">
        <v>113</v>
      </c>
      <c r="D45" s="584" t="s">
        <v>94</v>
      </c>
      <c r="E45" s="712" t="s">
        <v>717</v>
      </c>
      <c r="F45" s="360">
        <v>12.355700000000001</v>
      </c>
      <c r="G45" s="360">
        <v>1</v>
      </c>
      <c r="H45" s="360"/>
      <c r="I45" s="360">
        <f>F45*G45*H6</f>
        <v>12.355700000000001</v>
      </c>
      <c r="J45" s="506"/>
      <c r="K45" s="506"/>
      <c r="L45" s="506"/>
      <c r="M45" s="506"/>
      <c r="N45" s="506"/>
      <c r="O45" s="506"/>
      <c r="P45" s="676"/>
      <c r="Q45" s="676"/>
      <c r="R45" s="676"/>
      <c r="S45" s="676"/>
      <c r="T45" s="676"/>
      <c r="U45" s="676"/>
      <c r="V45" s="676"/>
      <c r="W45" s="676"/>
      <c r="X45" s="676"/>
      <c r="Y45" s="676"/>
      <c r="Z45" s="676"/>
      <c r="AA45" s="676"/>
    </row>
    <row r="46" spans="1:27" x14ac:dyDescent="0.25">
      <c r="A46" s="584"/>
      <c r="B46" s="712"/>
      <c r="C46" s="584" t="s">
        <v>271</v>
      </c>
      <c r="D46" s="584" t="s">
        <v>1188</v>
      </c>
      <c r="E46" s="712" t="s">
        <v>717</v>
      </c>
      <c r="F46" s="360">
        <v>6.2567999999999999E-2</v>
      </c>
      <c r="G46" s="360">
        <v>1</v>
      </c>
      <c r="H46" s="360"/>
      <c r="I46" s="360">
        <f>F46*G46*H6</f>
        <v>6.2567999999999999E-2</v>
      </c>
      <c r="J46" s="506"/>
      <c r="K46" s="506"/>
      <c r="L46" s="506"/>
      <c r="M46" s="506"/>
      <c r="N46" s="506"/>
      <c r="O46" s="506"/>
      <c r="P46" s="676"/>
      <c r="Q46" s="676"/>
      <c r="R46" s="676"/>
      <c r="S46" s="676"/>
      <c r="T46" s="676"/>
      <c r="U46" s="676"/>
      <c r="V46" s="676"/>
      <c r="W46" s="676"/>
      <c r="X46" s="676"/>
      <c r="Y46" s="676"/>
      <c r="Z46" s="676"/>
      <c r="AA46" s="676"/>
    </row>
    <row r="47" spans="1:27" x14ac:dyDescent="0.25">
      <c r="A47" s="584"/>
      <c r="B47" s="712"/>
      <c r="C47" s="584" t="s">
        <v>208</v>
      </c>
      <c r="D47" s="584" t="s">
        <v>682</v>
      </c>
      <c r="E47" s="712" t="s">
        <v>717</v>
      </c>
      <c r="F47" s="360">
        <v>6.2567999999999999E-2</v>
      </c>
      <c r="G47" s="360">
        <v>1</v>
      </c>
      <c r="H47" s="360"/>
      <c r="I47" s="360">
        <f>F47*G47*H6</f>
        <v>6.2567999999999999E-2</v>
      </c>
      <c r="J47" s="506"/>
      <c r="K47" s="506"/>
      <c r="L47" s="506"/>
      <c r="M47" s="506"/>
      <c r="N47" s="506"/>
      <c r="O47" s="506"/>
      <c r="P47" s="676"/>
      <c r="Q47" s="676"/>
      <c r="R47" s="676"/>
      <c r="S47" s="676"/>
      <c r="T47" s="676"/>
      <c r="U47" s="676"/>
      <c r="V47" s="676"/>
      <c r="W47" s="676"/>
      <c r="X47" s="676"/>
      <c r="Y47" s="676"/>
      <c r="Z47" s="676"/>
      <c r="AA47" s="676"/>
    </row>
    <row r="48" spans="1:27" x14ac:dyDescent="0.25">
      <c r="A48" s="584"/>
      <c r="B48" s="712"/>
      <c r="C48" s="584" t="s">
        <v>177</v>
      </c>
      <c r="D48" s="584" t="s">
        <v>747</v>
      </c>
      <c r="E48" s="712" t="s">
        <v>717</v>
      </c>
      <c r="F48" s="360">
        <v>0.26400000000000001</v>
      </c>
      <c r="G48" s="360">
        <v>1</v>
      </c>
      <c r="H48" s="360"/>
      <c r="I48" s="360">
        <f>F48*G48*H6</f>
        <v>0.26400000000000001</v>
      </c>
      <c r="J48" s="506"/>
      <c r="K48" s="506"/>
      <c r="L48" s="506"/>
      <c r="M48" s="506"/>
      <c r="N48" s="506"/>
      <c r="O48" s="506"/>
      <c r="P48" s="676"/>
      <c r="Q48" s="676"/>
      <c r="R48" s="676"/>
      <c r="S48" s="676"/>
      <c r="T48" s="676"/>
      <c r="U48" s="676"/>
      <c r="V48" s="676"/>
      <c r="W48" s="676"/>
      <c r="X48" s="676"/>
      <c r="Y48" s="676"/>
      <c r="Z48" s="676"/>
      <c r="AA48" s="676"/>
    </row>
    <row r="49" spans="1:27" x14ac:dyDescent="0.25">
      <c r="A49" s="584"/>
      <c r="B49" s="712"/>
      <c r="C49" s="584" t="s">
        <v>750</v>
      </c>
      <c r="D49" s="584" t="s">
        <v>76</v>
      </c>
      <c r="E49" s="712" t="s">
        <v>717</v>
      </c>
      <c r="F49" s="360">
        <v>5.5E-2</v>
      </c>
      <c r="G49" s="360">
        <v>1</v>
      </c>
      <c r="H49" s="360"/>
      <c r="I49" s="360">
        <f>F49*G49*H6</f>
        <v>5.5E-2</v>
      </c>
      <c r="J49" s="506"/>
      <c r="K49" s="506"/>
      <c r="L49" s="506"/>
      <c r="M49" s="506"/>
      <c r="N49" s="506"/>
      <c r="O49" s="506"/>
      <c r="P49" s="676"/>
      <c r="Q49" s="676"/>
      <c r="R49" s="676"/>
      <c r="S49" s="676"/>
      <c r="T49" s="676"/>
      <c r="U49" s="676"/>
      <c r="V49" s="676"/>
      <c r="W49" s="676"/>
      <c r="X49" s="676"/>
      <c r="Y49" s="676"/>
      <c r="Z49" s="676"/>
      <c r="AA49" s="676"/>
    </row>
    <row r="50" spans="1:27" x14ac:dyDescent="0.25">
      <c r="A50" s="584"/>
      <c r="B50" s="712"/>
      <c r="C50" s="584" t="s">
        <v>239</v>
      </c>
      <c r="D50" s="584" t="s">
        <v>209</v>
      </c>
      <c r="E50" s="712" t="s">
        <v>717</v>
      </c>
      <c r="F50" s="360">
        <v>0.11576</v>
      </c>
      <c r="G50" s="360">
        <v>1</v>
      </c>
      <c r="H50" s="360"/>
      <c r="I50" s="360">
        <f>F50*G50*H6</f>
        <v>0.11576</v>
      </c>
      <c r="J50" s="506"/>
      <c r="K50" s="506"/>
      <c r="L50" s="506"/>
      <c r="M50" s="506"/>
      <c r="N50" s="506"/>
      <c r="O50" s="506"/>
      <c r="P50" s="676"/>
      <c r="Q50" s="676"/>
      <c r="R50" s="676"/>
      <c r="S50" s="676"/>
      <c r="T50" s="676"/>
      <c r="U50" s="676"/>
      <c r="V50" s="676"/>
      <c r="W50" s="676"/>
      <c r="X50" s="676"/>
      <c r="Y50" s="676"/>
      <c r="Z50" s="676"/>
      <c r="AA50" s="676"/>
    </row>
    <row r="51" spans="1:27" x14ac:dyDescent="0.25">
      <c r="A51" s="584"/>
      <c r="B51" s="712"/>
      <c r="C51" s="584" t="s">
        <v>201</v>
      </c>
      <c r="D51" s="584" t="s">
        <v>202</v>
      </c>
      <c r="E51" s="712" t="s">
        <v>717</v>
      </c>
      <c r="F51" s="360">
        <v>11.275410000000001</v>
      </c>
      <c r="G51" s="360">
        <v>1</v>
      </c>
      <c r="H51" s="360"/>
      <c r="I51" s="360">
        <f>F51*G51*H6</f>
        <v>11.275410000000001</v>
      </c>
      <c r="J51" s="506"/>
      <c r="K51" s="506"/>
      <c r="L51" s="506"/>
      <c r="M51" s="506"/>
      <c r="N51" s="506"/>
      <c r="O51" s="506"/>
      <c r="P51" s="676"/>
      <c r="Q51" s="676"/>
      <c r="R51" s="676"/>
      <c r="S51" s="676"/>
      <c r="T51" s="676"/>
      <c r="U51" s="676"/>
      <c r="V51" s="676"/>
      <c r="W51" s="676"/>
      <c r="X51" s="676"/>
      <c r="Y51" s="676"/>
      <c r="Z51" s="676"/>
      <c r="AA51" s="676"/>
    </row>
    <row r="52" spans="1:27" x14ac:dyDescent="0.25">
      <c r="A52" s="584"/>
      <c r="B52" s="712"/>
      <c r="C52" s="584" t="s">
        <v>551</v>
      </c>
      <c r="D52" s="584" t="s">
        <v>330</v>
      </c>
      <c r="E52" s="712" t="s">
        <v>717</v>
      </c>
      <c r="F52" s="360">
        <v>0.83054559999999999</v>
      </c>
      <c r="G52" s="360">
        <v>1</v>
      </c>
      <c r="H52" s="360"/>
      <c r="I52" s="360">
        <f>F52*G52*H6</f>
        <v>0.83054559999999999</v>
      </c>
      <c r="J52" s="506"/>
      <c r="K52" s="506"/>
      <c r="L52" s="506"/>
      <c r="M52" s="506"/>
      <c r="N52" s="506"/>
      <c r="O52" s="506"/>
      <c r="P52" s="676"/>
      <c r="Q52" s="676"/>
      <c r="R52" s="676"/>
      <c r="S52" s="676"/>
      <c r="T52" s="676"/>
      <c r="U52" s="676"/>
      <c r="V52" s="676"/>
      <c r="W52" s="676"/>
      <c r="X52" s="676"/>
      <c r="Y52" s="676"/>
      <c r="Z52" s="676"/>
      <c r="AA52" s="676"/>
    </row>
    <row r="53" spans="1:27" x14ac:dyDescent="0.25">
      <c r="A53" s="584"/>
      <c r="B53" s="712"/>
      <c r="C53" s="584" t="s">
        <v>194</v>
      </c>
      <c r="D53" s="584" t="s">
        <v>1193</v>
      </c>
      <c r="E53" s="712" t="s">
        <v>717</v>
      </c>
      <c r="F53" s="360">
        <v>11.588990000000001</v>
      </c>
      <c r="G53" s="360">
        <v>1</v>
      </c>
      <c r="H53" s="360"/>
      <c r="I53" s="360">
        <f>F53*G53*H6</f>
        <v>11.588990000000001</v>
      </c>
      <c r="J53" s="506"/>
      <c r="K53" s="506"/>
      <c r="L53" s="506"/>
      <c r="M53" s="506"/>
      <c r="N53" s="506"/>
      <c r="O53" s="506"/>
      <c r="P53" s="676"/>
      <c r="Q53" s="676"/>
      <c r="R53" s="676"/>
      <c r="S53" s="676"/>
      <c r="T53" s="676"/>
      <c r="U53" s="676"/>
      <c r="V53" s="676"/>
      <c r="W53" s="676"/>
      <c r="X53" s="676"/>
      <c r="Y53" s="676"/>
      <c r="Z53" s="676"/>
      <c r="AA53" s="676"/>
    </row>
    <row r="54" spans="1:27" x14ac:dyDescent="0.25">
      <c r="A54" s="584"/>
      <c r="B54" s="712"/>
      <c r="C54" s="584" t="s">
        <v>1248</v>
      </c>
      <c r="D54" s="584" t="s">
        <v>196</v>
      </c>
      <c r="E54" s="712" t="s">
        <v>717</v>
      </c>
      <c r="F54" s="360">
        <v>0.71089420000000003</v>
      </c>
      <c r="G54" s="360">
        <v>1</v>
      </c>
      <c r="H54" s="360"/>
      <c r="I54" s="360">
        <f>F54*G54*H6</f>
        <v>0.71089420000000003</v>
      </c>
      <c r="J54" s="506"/>
      <c r="K54" s="506"/>
      <c r="L54" s="506"/>
      <c r="M54" s="506"/>
      <c r="N54" s="506"/>
      <c r="O54" s="506"/>
      <c r="P54" s="676"/>
      <c r="Q54" s="676"/>
      <c r="R54" s="676"/>
      <c r="S54" s="676"/>
      <c r="T54" s="676"/>
      <c r="U54" s="676"/>
      <c r="V54" s="676"/>
      <c r="W54" s="676"/>
      <c r="X54" s="676"/>
      <c r="Y54" s="676"/>
      <c r="Z54" s="676"/>
      <c r="AA54" s="676"/>
    </row>
    <row r="55" spans="1:27" x14ac:dyDescent="0.25">
      <c r="A55" s="584"/>
      <c r="B55" s="712"/>
      <c r="C55" s="584" t="s">
        <v>113</v>
      </c>
      <c r="D55" s="584" t="s">
        <v>94</v>
      </c>
      <c r="E55" s="712" t="s">
        <v>717</v>
      </c>
      <c r="F55" s="360">
        <v>12.355700000000001</v>
      </c>
      <c r="G55" s="360">
        <v>1</v>
      </c>
      <c r="H55" s="360"/>
      <c r="I55" s="360">
        <f>F55*G55*H6</f>
        <v>12.355700000000001</v>
      </c>
      <c r="J55" s="506"/>
      <c r="K55" s="506"/>
      <c r="L55" s="506"/>
      <c r="M55" s="506"/>
      <c r="N55" s="506"/>
      <c r="O55" s="506"/>
      <c r="P55" s="676"/>
      <c r="Q55" s="676"/>
      <c r="R55" s="676"/>
      <c r="S55" s="676"/>
      <c r="T55" s="676"/>
      <c r="U55" s="676"/>
      <c r="V55" s="676"/>
      <c r="W55" s="676"/>
      <c r="X55" s="676"/>
      <c r="Y55" s="676"/>
      <c r="Z55" s="676"/>
      <c r="AA55" s="676"/>
    </row>
    <row r="56" spans="1:27" x14ac:dyDescent="0.25">
      <c r="A56" s="584"/>
      <c r="B56" s="712"/>
      <c r="C56" s="584" t="s">
        <v>271</v>
      </c>
      <c r="D56" s="584" t="s">
        <v>1188</v>
      </c>
      <c r="E56" s="712" t="s">
        <v>717</v>
      </c>
      <c r="F56" s="360">
        <v>6.2567999999999999E-2</v>
      </c>
      <c r="G56" s="360">
        <v>1</v>
      </c>
      <c r="H56" s="360"/>
      <c r="I56" s="360">
        <f>F56*G56*H6</f>
        <v>6.2567999999999999E-2</v>
      </c>
      <c r="J56" s="506"/>
      <c r="K56" s="506"/>
      <c r="L56" s="506"/>
      <c r="M56" s="506"/>
      <c r="N56" s="506"/>
      <c r="O56" s="506"/>
      <c r="P56" s="676"/>
      <c r="Q56" s="676"/>
      <c r="R56" s="676"/>
      <c r="S56" s="676"/>
      <c r="T56" s="676"/>
      <c r="U56" s="676"/>
      <c r="V56" s="676"/>
      <c r="W56" s="676"/>
      <c r="X56" s="676"/>
      <c r="Y56" s="676"/>
      <c r="Z56" s="676"/>
      <c r="AA56" s="676"/>
    </row>
    <row r="57" spans="1:27" x14ac:dyDescent="0.25">
      <c r="A57" s="584"/>
      <c r="B57" s="712"/>
      <c r="C57" s="584" t="s">
        <v>208</v>
      </c>
      <c r="D57" s="584" t="s">
        <v>682</v>
      </c>
      <c r="E57" s="712" t="s">
        <v>717</v>
      </c>
      <c r="F57" s="360">
        <v>6.2567999999999999E-2</v>
      </c>
      <c r="G57" s="360">
        <v>1</v>
      </c>
      <c r="H57" s="360"/>
      <c r="I57" s="360">
        <f>F57*G57*H6</f>
        <v>6.2567999999999999E-2</v>
      </c>
      <c r="J57" s="506"/>
      <c r="K57" s="506"/>
      <c r="L57" s="506"/>
      <c r="M57" s="506"/>
      <c r="N57" s="506"/>
      <c r="O57" s="506"/>
      <c r="P57" s="676"/>
      <c r="Q57" s="676"/>
      <c r="R57" s="676"/>
      <c r="S57" s="676"/>
      <c r="T57" s="676"/>
      <c r="U57" s="676"/>
      <c r="V57" s="676"/>
      <c r="W57" s="676"/>
      <c r="X57" s="676"/>
      <c r="Y57" s="676"/>
      <c r="Z57" s="676"/>
      <c r="AA57" s="676"/>
    </row>
    <row r="58" spans="1:27" x14ac:dyDescent="0.25">
      <c r="A58" s="584"/>
      <c r="B58" s="712"/>
      <c r="C58" s="584" t="s">
        <v>177</v>
      </c>
      <c r="D58" s="584" t="s">
        <v>747</v>
      </c>
      <c r="E58" s="712" t="s">
        <v>717</v>
      </c>
      <c r="F58" s="360">
        <v>0.26400000000000001</v>
      </c>
      <c r="G58" s="360">
        <v>1</v>
      </c>
      <c r="H58" s="360"/>
      <c r="I58" s="360">
        <f>F58*G58*H6</f>
        <v>0.26400000000000001</v>
      </c>
      <c r="J58" s="506"/>
      <c r="K58" s="506"/>
      <c r="L58" s="506"/>
      <c r="M58" s="506"/>
      <c r="N58" s="506"/>
      <c r="O58" s="506"/>
      <c r="P58" s="676"/>
      <c r="Q58" s="676"/>
      <c r="R58" s="676"/>
      <c r="S58" s="676"/>
      <c r="T58" s="676"/>
      <c r="U58" s="676"/>
      <c r="V58" s="676"/>
      <c r="W58" s="676"/>
      <c r="X58" s="676"/>
      <c r="Y58" s="676"/>
      <c r="Z58" s="676"/>
      <c r="AA58" s="676"/>
    </row>
    <row r="59" spans="1:27" x14ac:dyDescent="0.25">
      <c r="A59" s="584"/>
      <c r="B59" s="712"/>
      <c r="C59" s="584" t="s">
        <v>750</v>
      </c>
      <c r="D59" s="584" t="s">
        <v>76</v>
      </c>
      <c r="E59" s="712" t="s">
        <v>717</v>
      </c>
      <c r="F59" s="360">
        <v>5.5E-2</v>
      </c>
      <c r="G59" s="360">
        <v>1</v>
      </c>
      <c r="H59" s="360"/>
      <c r="I59" s="360">
        <f>F59*G59*H6</f>
        <v>5.5E-2</v>
      </c>
      <c r="J59" s="506"/>
      <c r="K59" s="506"/>
      <c r="L59" s="506"/>
      <c r="M59" s="506"/>
      <c r="N59" s="506"/>
      <c r="O59" s="506"/>
      <c r="P59" s="676"/>
      <c r="Q59" s="676"/>
      <c r="R59" s="676"/>
      <c r="S59" s="676"/>
      <c r="T59" s="676"/>
      <c r="U59" s="676"/>
      <c r="V59" s="676"/>
      <c r="W59" s="676"/>
      <c r="X59" s="676"/>
      <c r="Y59" s="676"/>
      <c r="Z59" s="676"/>
      <c r="AA59" s="676"/>
    </row>
    <row r="60" spans="1:27" x14ac:dyDescent="0.25">
      <c r="A60" s="584"/>
      <c r="B60" s="712"/>
      <c r="C60" s="584" t="s">
        <v>239</v>
      </c>
      <c r="D60" s="584" t="s">
        <v>209</v>
      </c>
      <c r="E60" s="712" t="s">
        <v>717</v>
      </c>
      <c r="F60" s="360">
        <v>0.11576</v>
      </c>
      <c r="G60" s="360">
        <v>1</v>
      </c>
      <c r="H60" s="360"/>
      <c r="I60" s="360">
        <f>F60*G60*H6</f>
        <v>0.11576</v>
      </c>
      <c r="J60" s="506"/>
      <c r="K60" s="506"/>
      <c r="L60" s="506"/>
      <c r="M60" s="506"/>
      <c r="N60" s="506"/>
      <c r="O60" s="506"/>
      <c r="P60" s="676"/>
      <c r="Q60" s="676"/>
      <c r="R60" s="676"/>
      <c r="S60" s="676"/>
      <c r="T60" s="676"/>
      <c r="U60" s="676"/>
      <c r="V60" s="676"/>
      <c r="W60" s="676"/>
      <c r="X60" s="676"/>
      <c r="Y60" s="676"/>
      <c r="Z60" s="676"/>
      <c r="AA60" s="676"/>
    </row>
    <row r="61" spans="1:27" x14ac:dyDescent="0.25">
      <c r="A61" s="584"/>
      <c r="B61" s="712"/>
      <c r="C61" s="584" t="s">
        <v>201</v>
      </c>
      <c r="D61" s="584" t="s">
        <v>202</v>
      </c>
      <c r="E61" s="712" t="s">
        <v>717</v>
      </c>
      <c r="F61" s="360">
        <v>11.275410000000001</v>
      </c>
      <c r="G61" s="360">
        <v>1</v>
      </c>
      <c r="H61" s="360"/>
      <c r="I61" s="360">
        <f>F61*G61*H6</f>
        <v>11.275410000000001</v>
      </c>
      <c r="J61" s="506"/>
      <c r="K61" s="506"/>
      <c r="L61" s="506"/>
      <c r="M61" s="506"/>
      <c r="N61" s="506"/>
      <c r="O61" s="506"/>
      <c r="P61" s="676"/>
      <c r="Q61" s="676"/>
      <c r="R61" s="676"/>
      <c r="S61" s="676"/>
      <c r="T61" s="676"/>
      <c r="U61" s="676"/>
      <c r="V61" s="676"/>
      <c r="W61" s="676"/>
      <c r="X61" s="676"/>
      <c r="Y61" s="676"/>
      <c r="Z61" s="676"/>
      <c r="AA61" s="676"/>
    </row>
    <row r="62" spans="1:27" x14ac:dyDescent="0.25">
      <c r="A62" s="584"/>
      <c r="B62" s="712"/>
      <c r="C62" s="584" t="s">
        <v>551</v>
      </c>
      <c r="D62" s="584" t="s">
        <v>330</v>
      </c>
      <c r="E62" s="712" t="s">
        <v>717</v>
      </c>
      <c r="F62" s="360">
        <v>0.83054559999999999</v>
      </c>
      <c r="G62" s="360">
        <v>1</v>
      </c>
      <c r="H62" s="360"/>
      <c r="I62" s="360">
        <f>F62*G62*H6</f>
        <v>0.83054559999999999</v>
      </c>
      <c r="J62" s="506"/>
      <c r="K62" s="506"/>
      <c r="L62" s="506"/>
      <c r="M62" s="506"/>
      <c r="N62" s="506"/>
      <c r="O62" s="506"/>
      <c r="P62" s="676"/>
      <c r="Q62" s="676"/>
      <c r="R62" s="676"/>
      <c r="S62" s="676"/>
      <c r="T62" s="676"/>
      <c r="U62" s="676"/>
      <c r="V62" s="676"/>
      <c r="W62" s="676"/>
      <c r="X62" s="676"/>
      <c r="Y62" s="676"/>
      <c r="Z62" s="676"/>
      <c r="AA62" s="676"/>
    </row>
    <row r="63" spans="1:27" x14ac:dyDescent="0.25">
      <c r="A63" s="584"/>
      <c r="B63" s="712"/>
      <c r="C63" s="584" t="s">
        <v>194</v>
      </c>
      <c r="D63" s="584" t="s">
        <v>1193</v>
      </c>
      <c r="E63" s="712" t="s">
        <v>717</v>
      </c>
      <c r="F63" s="360">
        <v>11.588990000000001</v>
      </c>
      <c r="G63" s="360">
        <v>1</v>
      </c>
      <c r="H63" s="360"/>
      <c r="I63" s="360">
        <f>F63*G63*H6</f>
        <v>11.588990000000001</v>
      </c>
      <c r="J63" s="506"/>
      <c r="K63" s="506"/>
      <c r="L63" s="506"/>
      <c r="M63" s="506"/>
      <c r="N63" s="506"/>
      <c r="O63" s="506"/>
      <c r="P63" s="676"/>
      <c r="Q63" s="676"/>
      <c r="R63" s="676"/>
      <c r="S63" s="676"/>
      <c r="T63" s="676"/>
      <c r="U63" s="676"/>
      <c r="V63" s="676"/>
      <c r="W63" s="676"/>
      <c r="X63" s="676"/>
      <c r="Y63" s="676"/>
      <c r="Z63" s="676"/>
      <c r="AA63" s="676"/>
    </row>
    <row r="64" spans="1:27" x14ac:dyDescent="0.25">
      <c r="A64" s="584"/>
      <c r="B64" s="712"/>
      <c r="C64" s="584" t="s">
        <v>1248</v>
      </c>
      <c r="D64" s="584" t="s">
        <v>196</v>
      </c>
      <c r="E64" s="712" t="s">
        <v>717</v>
      </c>
      <c r="F64" s="360">
        <v>0.71089420000000003</v>
      </c>
      <c r="G64" s="360">
        <v>1</v>
      </c>
      <c r="H64" s="360"/>
      <c r="I64" s="360">
        <f>F64*G64*H6</f>
        <v>0.71089420000000003</v>
      </c>
      <c r="J64" s="506"/>
      <c r="K64" s="506"/>
      <c r="L64" s="506"/>
      <c r="M64" s="506"/>
      <c r="N64" s="506"/>
      <c r="O64" s="506"/>
      <c r="P64" s="676"/>
      <c r="Q64" s="676"/>
      <c r="R64" s="676"/>
      <c r="S64" s="676"/>
      <c r="T64" s="676"/>
      <c r="U64" s="676"/>
      <c r="V64" s="676"/>
      <c r="W64" s="676"/>
      <c r="X64" s="676"/>
      <c r="Y64" s="676"/>
      <c r="Z64" s="676"/>
      <c r="AA64" s="676"/>
    </row>
    <row r="65" spans="1:27" x14ac:dyDescent="0.25">
      <c r="A65" s="584"/>
      <c r="B65" s="712"/>
      <c r="C65" s="584" t="s">
        <v>113</v>
      </c>
      <c r="D65" s="584" t="s">
        <v>94</v>
      </c>
      <c r="E65" s="712" t="s">
        <v>717</v>
      </c>
      <c r="F65" s="360">
        <v>12.355700000000001</v>
      </c>
      <c r="G65" s="360">
        <v>1</v>
      </c>
      <c r="H65" s="360"/>
      <c r="I65" s="360">
        <f>F65*G65*H6</f>
        <v>12.355700000000001</v>
      </c>
      <c r="J65" s="506"/>
      <c r="K65" s="506"/>
      <c r="L65" s="506"/>
      <c r="M65" s="506"/>
      <c r="N65" s="506"/>
      <c r="O65" s="506"/>
      <c r="P65" s="676"/>
      <c r="Q65" s="676"/>
      <c r="R65" s="676"/>
      <c r="S65" s="676"/>
      <c r="T65" s="676"/>
      <c r="U65" s="676"/>
      <c r="V65" s="676"/>
      <c r="W65" s="676"/>
      <c r="X65" s="676"/>
      <c r="Y65" s="676"/>
      <c r="Z65" s="676"/>
      <c r="AA65" s="676"/>
    </row>
    <row r="66" spans="1:27" x14ac:dyDescent="0.25">
      <c r="A66" s="584"/>
      <c r="B66" s="712"/>
      <c r="C66" s="584" t="s">
        <v>271</v>
      </c>
      <c r="D66" s="584" t="s">
        <v>1188</v>
      </c>
      <c r="E66" s="712" t="s">
        <v>717</v>
      </c>
      <c r="F66" s="360">
        <v>6.2567999999999999E-2</v>
      </c>
      <c r="G66" s="360">
        <v>1</v>
      </c>
      <c r="H66" s="360"/>
      <c r="I66" s="360">
        <f>F66*G66*H6</f>
        <v>6.2567999999999999E-2</v>
      </c>
      <c r="J66" s="506"/>
      <c r="K66" s="506"/>
      <c r="L66" s="506"/>
      <c r="M66" s="506"/>
      <c r="N66" s="506"/>
      <c r="O66" s="506"/>
      <c r="P66" s="676"/>
      <c r="Q66" s="676"/>
      <c r="R66" s="676"/>
      <c r="S66" s="676"/>
      <c r="T66" s="676"/>
      <c r="U66" s="676"/>
      <c r="V66" s="676"/>
      <c r="W66" s="676"/>
      <c r="X66" s="676"/>
      <c r="Y66" s="676"/>
      <c r="Z66" s="676"/>
      <c r="AA66" s="676"/>
    </row>
    <row r="67" spans="1:27" x14ac:dyDescent="0.25">
      <c r="A67" s="584"/>
      <c r="B67" s="712"/>
      <c r="C67" s="584" t="s">
        <v>208</v>
      </c>
      <c r="D67" s="584" t="s">
        <v>682</v>
      </c>
      <c r="E67" s="712" t="s">
        <v>717</v>
      </c>
      <c r="F67" s="360">
        <v>6.2567999999999999E-2</v>
      </c>
      <c r="G67" s="360">
        <v>1</v>
      </c>
      <c r="H67" s="360"/>
      <c r="I67" s="360">
        <f>F67*G67*H6</f>
        <v>6.2567999999999999E-2</v>
      </c>
      <c r="J67" s="506"/>
      <c r="K67" s="506"/>
      <c r="L67" s="506"/>
      <c r="M67" s="506"/>
      <c r="N67" s="506"/>
      <c r="O67" s="506"/>
      <c r="P67" s="676"/>
      <c r="Q67" s="676"/>
      <c r="R67" s="676"/>
      <c r="S67" s="676"/>
      <c r="T67" s="676"/>
      <c r="U67" s="676"/>
      <c r="V67" s="676"/>
      <c r="W67" s="676"/>
      <c r="X67" s="676"/>
      <c r="Y67" s="676"/>
      <c r="Z67" s="676"/>
      <c r="AA67" s="676"/>
    </row>
    <row r="68" spans="1:27" x14ac:dyDescent="0.25">
      <c r="A68" s="584"/>
      <c r="B68" s="712"/>
      <c r="C68" s="584" t="s">
        <v>177</v>
      </c>
      <c r="D68" s="584" t="s">
        <v>747</v>
      </c>
      <c r="E68" s="712" t="s">
        <v>717</v>
      </c>
      <c r="F68" s="360">
        <v>0.26400000000000001</v>
      </c>
      <c r="G68" s="360">
        <v>1</v>
      </c>
      <c r="H68" s="360"/>
      <c r="I68" s="360">
        <f>F68*G68*H6</f>
        <v>0.26400000000000001</v>
      </c>
      <c r="J68" s="506"/>
      <c r="K68" s="506"/>
      <c r="L68" s="506"/>
      <c r="M68" s="506"/>
      <c r="N68" s="506"/>
      <c r="O68" s="506"/>
      <c r="P68" s="676"/>
      <c r="Q68" s="676"/>
      <c r="R68" s="676"/>
      <c r="S68" s="676"/>
      <c r="T68" s="676"/>
      <c r="U68" s="676"/>
      <c r="V68" s="676"/>
      <c r="W68" s="676"/>
      <c r="X68" s="676"/>
      <c r="Y68" s="676"/>
      <c r="Z68" s="676"/>
      <c r="AA68" s="676"/>
    </row>
    <row r="69" spans="1:27" x14ac:dyDescent="0.25">
      <c r="A69" s="584"/>
      <c r="B69" s="712"/>
      <c r="C69" s="584" t="s">
        <v>750</v>
      </c>
      <c r="D69" s="584" t="s">
        <v>76</v>
      </c>
      <c r="E69" s="712" t="s">
        <v>717</v>
      </c>
      <c r="F69" s="360">
        <v>5.5E-2</v>
      </c>
      <c r="G69" s="360">
        <v>1</v>
      </c>
      <c r="H69" s="360"/>
      <c r="I69" s="360">
        <f>F69*G69*H6</f>
        <v>5.5E-2</v>
      </c>
      <c r="J69" s="506"/>
      <c r="K69" s="506"/>
      <c r="L69" s="506"/>
      <c r="M69" s="506"/>
      <c r="N69" s="506"/>
      <c r="O69" s="506"/>
      <c r="P69" s="676"/>
      <c r="Q69" s="676"/>
      <c r="R69" s="676"/>
      <c r="S69" s="676"/>
      <c r="T69" s="676"/>
      <c r="U69" s="676"/>
      <c r="V69" s="676"/>
      <c r="W69" s="676"/>
      <c r="X69" s="676"/>
      <c r="Y69" s="676"/>
      <c r="Z69" s="676"/>
      <c r="AA69" s="676"/>
    </row>
    <row r="70" spans="1:27" x14ac:dyDescent="0.25">
      <c r="A70" s="584"/>
      <c r="B70" s="712"/>
      <c r="C70" s="584" t="s">
        <v>239</v>
      </c>
      <c r="D70" s="584" t="s">
        <v>209</v>
      </c>
      <c r="E70" s="712" t="s">
        <v>717</v>
      </c>
      <c r="F70" s="360">
        <v>0.11576</v>
      </c>
      <c r="G70" s="360">
        <v>1</v>
      </c>
      <c r="H70" s="360"/>
      <c r="I70" s="360">
        <f>F70*G70*H6</f>
        <v>0.11576</v>
      </c>
      <c r="J70" s="506"/>
      <c r="K70" s="506"/>
      <c r="L70" s="506"/>
      <c r="M70" s="506"/>
      <c r="N70" s="506"/>
      <c r="O70" s="506"/>
      <c r="P70" s="676"/>
      <c r="Q70" s="676"/>
      <c r="R70" s="676"/>
      <c r="S70" s="676"/>
      <c r="T70" s="676"/>
      <c r="U70" s="676"/>
      <c r="V70" s="676"/>
      <c r="W70" s="676"/>
      <c r="X70" s="676"/>
      <c r="Y70" s="676"/>
      <c r="Z70" s="676"/>
      <c r="AA70" s="676"/>
    </row>
    <row r="71" spans="1:27" x14ac:dyDescent="0.25">
      <c r="A71" s="584"/>
      <c r="B71" s="712"/>
      <c r="C71" s="584" t="s">
        <v>201</v>
      </c>
      <c r="D71" s="584" t="s">
        <v>202</v>
      </c>
      <c r="E71" s="712" t="s">
        <v>717</v>
      </c>
      <c r="F71" s="360">
        <v>11.275410000000001</v>
      </c>
      <c r="G71" s="360">
        <v>1</v>
      </c>
      <c r="H71" s="360"/>
      <c r="I71" s="360">
        <f>F71*G71*H6</f>
        <v>11.275410000000001</v>
      </c>
      <c r="J71" s="506"/>
      <c r="K71" s="506"/>
      <c r="L71" s="506"/>
      <c r="M71" s="506"/>
      <c r="N71" s="506"/>
      <c r="O71" s="506"/>
      <c r="P71" s="676"/>
      <c r="Q71" s="676"/>
      <c r="R71" s="676"/>
      <c r="S71" s="676"/>
      <c r="T71" s="676"/>
      <c r="U71" s="676"/>
      <c r="V71" s="676"/>
      <c r="W71" s="676"/>
      <c r="X71" s="676"/>
      <c r="Y71" s="676"/>
      <c r="Z71" s="676"/>
      <c r="AA71" s="676"/>
    </row>
    <row r="72" spans="1:27" x14ac:dyDescent="0.25">
      <c r="A72" s="584"/>
      <c r="B72" s="712"/>
      <c r="C72" s="584" t="s">
        <v>551</v>
      </c>
      <c r="D72" s="584" t="s">
        <v>330</v>
      </c>
      <c r="E72" s="712" t="s">
        <v>717</v>
      </c>
      <c r="F72" s="360">
        <v>0.83054559999999999</v>
      </c>
      <c r="G72" s="360">
        <v>1</v>
      </c>
      <c r="H72" s="360"/>
      <c r="I72" s="360">
        <f>F72*G72*H6</f>
        <v>0.83054559999999999</v>
      </c>
      <c r="J72" s="506"/>
      <c r="K72" s="506"/>
      <c r="L72" s="506"/>
      <c r="M72" s="506"/>
      <c r="N72" s="506"/>
      <c r="O72" s="506"/>
      <c r="P72" s="676"/>
      <c r="Q72" s="676"/>
      <c r="R72" s="676"/>
      <c r="S72" s="676"/>
      <c r="T72" s="676"/>
      <c r="U72" s="676"/>
      <c r="V72" s="676"/>
      <c r="W72" s="676"/>
      <c r="X72" s="676"/>
      <c r="Y72" s="676"/>
      <c r="Z72" s="676"/>
      <c r="AA72" s="676"/>
    </row>
    <row r="73" spans="1:27" x14ac:dyDescent="0.25">
      <c r="A73" s="584"/>
      <c r="B73" s="712"/>
      <c r="C73" s="584" t="s">
        <v>194</v>
      </c>
      <c r="D73" s="584" t="s">
        <v>1193</v>
      </c>
      <c r="E73" s="712" t="s">
        <v>717</v>
      </c>
      <c r="F73" s="360">
        <v>11.588990000000001</v>
      </c>
      <c r="G73" s="360">
        <v>1</v>
      </c>
      <c r="H73" s="360"/>
      <c r="I73" s="360">
        <f>F73*G73*H6</f>
        <v>11.588990000000001</v>
      </c>
      <c r="J73" s="506"/>
      <c r="K73" s="506"/>
      <c r="L73" s="506"/>
      <c r="M73" s="506"/>
      <c r="N73" s="506"/>
      <c r="O73" s="506"/>
      <c r="P73" s="676"/>
      <c r="Q73" s="676"/>
      <c r="R73" s="676"/>
      <c r="S73" s="676"/>
      <c r="T73" s="676"/>
      <c r="U73" s="676"/>
      <c r="V73" s="676"/>
      <c r="W73" s="676"/>
      <c r="X73" s="676"/>
      <c r="Y73" s="676"/>
      <c r="Z73" s="676"/>
      <c r="AA73" s="676"/>
    </row>
    <row r="74" spans="1:27" x14ac:dyDescent="0.25">
      <c r="A74" s="584"/>
      <c r="B74" s="712"/>
      <c r="C74" s="584" t="s">
        <v>1248</v>
      </c>
      <c r="D74" s="584" t="s">
        <v>196</v>
      </c>
      <c r="E74" s="712" t="s">
        <v>717</v>
      </c>
      <c r="F74" s="360">
        <v>0.71089420000000003</v>
      </c>
      <c r="G74" s="360">
        <v>1</v>
      </c>
      <c r="H74" s="360"/>
      <c r="I74" s="360">
        <f>F74*G74*H6</f>
        <v>0.71089420000000003</v>
      </c>
      <c r="J74" s="506"/>
      <c r="K74" s="506"/>
      <c r="L74" s="506"/>
      <c r="M74" s="506"/>
      <c r="N74" s="506"/>
      <c r="O74" s="506"/>
      <c r="P74" s="676"/>
      <c r="Q74" s="676"/>
      <c r="R74" s="676"/>
      <c r="S74" s="676"/>
      <c r="T74" s="676"/>
      <c r="U74" s="676"/>
      <c r="V74" s="676"/>
      <c r="W74" s="676"/>
      <c r="X74" s="676"/>
      <c r="Y74" s="676"/>
      <c r="Z74" s="676"/>
      <c r="AA74" s="676"/>
    </row>
    <row r="75" spans="1:27" x14ac:dyDescent="0.25">
      <c r="A75" s="584"/>
      <c r="B75" s="712"/>
      <c r="C75" s="584" t="s">
        <v>113</v>
      </c>
      <c r="D75" s="584" t="s">
        <v>94</v>
      </c>
      <c r="E75" s="712" t="s">
        <v>717</v>
      </c>
      <c r="F75" s="360">
        <v>12.355700000000001</v>
      </c>
      <c r="G75" s="360">
        <v>1</v>
      </c>
      <c r="H75" s="360"/>
      <c r="I75" s="360">
        <f>F75*G75*H6</f>
        <v>12.355700000000001</v>
      </c>
      <c r="J75" s="506"/>
      <c r="K75" s="506"/>
      <c r="L75" s="506"/>
      <c r="M75" s="506"/>
      <c r="N75" s="506"/>
      <c r="O75" s="506"/>
      <c r="P75" s="676"/>
      <c r="Q75" s="676"/>
      <c r="R75" s="676"/>
      <c r="S75" s="676"/>
      <c r="T75" s="676"/>
      <c r="U75" s="676"/>
      <c r="V75" s="676"/>
      <c r="W75" s="676"/>
      <c r="X75" s="676"/>
      <c r="Y75" s="676"/>
      <c r="Z75" s="676"/>
      <c r="AA75" s="676"/>
    </row>
    <row r="76" spans="1:27" x14ac:dyDescent="0.25">
      <c r="A76" s="584"/>
      <c r="B76" s="712"/>
      <c r="C76" s="584" t="s">
        <v>271</v>
      </c>
      <c r="D76" s="584" t="s">
        <v>1188</v>
      </c>
      <c r="E76" s="712" t="s">
        <v>717</v>
      </c>
      <c r="F76" s="360">
        <v>6.2567999999999999E-2</v>
      </c>
      <c r="G76" s="360">
        <v>1</v>
      </c>
      <c r="H76" s="360"/>
      <c r="I76" s="360">
        <f>F76*G76*H6</f>
        <v>6.2567999999999999E-2</v>
      </c>
      <c r="J76" s="506"/>
      <c r="K76" s="506"/>
      <c r="L76" s="506"/>
      <c r="M76" s="506"/>
      <c r="N76" s="506"/>
      <c r="O76" s="506"/>
      <c r="P76" s="676"/>
      <c r="Q76" s="676"/>
      <c r="R76" s="676"/>
      <c r="S76" s="676"/>
      <c r="T76" s="676"/>
      <c r="U76" s="676"/>
      <c r="V76" s="676"/>
      <c r="W76" s="676"/>
      <c r="X76" s="676"/>
      <c r="Y76" s="676"/>
      <c r="Z76" s="676"/>
      <c r="AA76" s="676"/>
    </row>
    <row r="77" spans="1:27" x14ac:dyDescent="0.25">
      <c r="A77" s="584"/>
      <c r="B77" s="712"/>
      <c r="C77" s="584" t="s">
        <v>208</v>
      </c>
      <c r="D77" s="584" t="s">
        <v>682</v>
      </c>
      <c r="E77" s="712" t="s">
        <v>717</v>
      </c>
      <c r="F77" s="360">
        <v>6.2567999999999999E-2</v>
      </c>
      <c r="G77" s="360">
        <v>1</v>
      </c>
      <c r="H77" s="360"/>
      <c r="I77" s="360">
        <f>F77*G77*H6</f>
        <v>6.2567999999999999E-2</v>
      </c>
      <c r="J77" s="506"/>
      <c r="K77" s="506"/>
      <c r="L77" s="506"/>
      <c r="M77" s="506"/>
      <c r="N77" s="506"/>
      <c r="O77" s="506"/>
      <c r="P77" s="676"/>
      <c r="Q77" s="676"/>
      <c r="R77" s="676"/>
      <c r="S77" s="676"/>
      <c r="T77" s="676"/>
      <c r="U77" s="676"/>
      <c r="V77" s="676"/>
      <c r="W77" s="676"/>
      <c r="X77" s="676"/>
      <c r="Y77" s="676"/>
      <c r="Z77" s="676"/>
      <c r="AA77" s="676"/>
    </row>
    <row r="78" spans="1:27" x14ac:dyDescent="0.25">
      <c r="A78" s="584"/>
      <c r="B78" s="712"/>
      <c r="C78" s="584" t="s">
        <v>177</v>
      </c>
      <c r="D78" s="584" t="s">
        <v>747</v>
      </c>
      <c r="E78" s="712" t="s">
        <v>717</v>
      </c>
      <c r="F78" s="360">
        <v>0.26400000000000001</v>
      </c>
      <c r="G78" s="360">
        <v>1</v>
      </c>
      <c r="H78" s="360"/>
      <c r="I78" s="360">
        <f>F78*G78*H6</f>
        <v>0.26400000000000001</v>
      </c>
      <c r="J78" s="506"/>
      <c r="K78" s="506"/>
      <c r="L78" s="506"/>
      <c r="M78" s="506"/>
      <c r="N78" s="506"/>
      <c r="O78" s="506"/>
      <c r="P78" s="676"/>
      <c r="Q78" s="676"/>
      <c r="R78" s="676"/>
      <c r="S78" s="676"/>
      <c r="T78" s="676"/>
      <c r="U78" s="676"/>
      <c r="V78" s="676"/>
      <c r="W78" s="676"/>
      <c r="X78" s="676"/>
      <c r="Y78" s="676"/>
      <c r="Z78" s="676"/>
      <c r="AA78" s="676"/>
    </row>
    <row r="79" spans="1:27" x14ac:dyDescent="0.25">
      <c r="A79" s="584"/>
      <c r="B79" s="712"/>
      <c r="C79" s="584" t="s">
        <v>750</v>
      </c>
      <c r="D79" s="584" t="s">
        <v>76</v>
      </c>
      <c r="E79" s="712" t="s">
        <v>717</v>
      </c>
      <c r="F79" s="360">
        <v>5.5E-2</v>
      </c>
      <c r="G79" s="360">
        <v>1</v>
      </c>
      <c r="H79" s="360"/>
      <c r="I79" s="360">
        <f>F79*G79*H6</f>
        <v>5.5E-2</v>
      </c>
      <c r="J79" s="506"/>
      <c r="K79" s="506"/>
      <c r="L79" s="506"/>
      <c r="M79" s="506"/>
      <c r="N79" s="506"/>
      <c r="O79" s="506"/>
      <c r="P79" s="676"/>
      <c r="Q79" s="676"/>
      <c r="R79" s="676"/>
      <c r="S79" s="676"/>
      <c r="T79" s="676"/>
      <c r="U79" s="676"/>
      <c r="V79" s="676"/>
      <c r="W79" s="676"/>
      <c r="X79" s="676"/>
      <c r="Y79" s="676"/>
      <c r="Z79" s="676"/>
      <c r="AA79" s="676"/>
    </row>
    <row r="80" spans="1:27" x14ac:dyDescent="0.25">
      <c r="A80" s="584"/>
      <c r="B80" s="712"/>
      <c r="C80" s="584" t="s">
        <v>239</v>
      </c>
      <c r="D80" s="584" t="s">
        <v>209</v>
      </c>
      <c r="E80" s="712" t="s">
        <v>717</v>
      </c>
      <c r="F80" s="360">
        <v>0.11576</v>
      </c>
      <c r="G80" s="360">
        <v>1</v>
      </c>
      <c r="H80" s="360"/>
      <c r="I80" s="360">
        <f>F80*G80*H6</f>
        <v>0.11576</v>
      </c>
      <c r="J80" s="506"/>
      <c r="K80" s="506"/>
      <c r="L80" s="506"/>
      <c r="M80" s="506"/>
      <c r="N80" s="506"/>
      <c r="O80" s="506"/>
      <c r="P80" s="676"/>
      <c r="Q80" s="676"/>
      <c r="R80" s="676"/>
      <c r="S80" s="676"/>
      <c r="T80" s="676"/>
      <c r="U80" s="676"/>
      <c r="V80" s="676"/>
      <c r="W80" s="676"/>
      <c r="X80" s="676"/>
      <c r="Y80" s="676"/>
      <c r="Z80" s="676"/>
      <c r="AA80" s="676"/>
    </row>
    <row r="81" spans="1:27" x14ac:dyDescent="0.25">
      <c r="A81" s="584"/>
      <c r="B81" s="712"/>
      <c r="C81" s="584" t="s">
        <v>201</v>
      </c>
      <c r="D81" s="584" t="s">
        <v>202</v>
      </c>
      <c r="E81" s="712" t="s">
        <v>717</v>
      </c>
      <c r="F81" s="360">
        <v>11.275410000000001</v>
      </c>
      <c r="G81" s="360">
        <v>1</v>
      </c>
      <c r="H81" s="360"/>
      <c r="I81" s="360">
        <f>F81*G81*H6</f>
        <v>11.275410000000001</v>
      </c>
      <c r="J81" s="506"/>
      <c r="K81" s="506"/>
      <c r="L81" s="506"/>
      <c r="M81" s="506"/>
      <c r="N81" s="506"/>
      <c r="O81" s="506"/>
      <c r="P81" s="676"/>
      <c r="Q81" s="676"/>
      <c r="R81" s="676"/>
      <c r="S81" s="676"/>
      <c r="T81" s="676"/>
      <c r="U81" s="676"/>
      <c r="V81" s="676"/>
      <c r="W81" s="676"/>
      <c r="X81" s="676"/>
      <c r="Y81" s="676"/>
      <c r="Z81" s="676"/>
      <c r="AA81" s="676"/>
    </row>
    <row r="82" spans="1:27" x14ac:dyDescent="0.25">
      <c r="A82" s="584"/>
      <c r="B82" s="712"/>
      <c r="C82" s="584" t="s">
        <v>551</v>
      </c>
      <c r="D82" s="584" t="s">
        <v>330</v>
      </c>
      <c r="E82" s="712" t="s">
        <v>717</v>
      </c>
      <c r="F82" s="360">
        <v>0.83054559999999999</v>
      </c>
      <c r="G82" s="360">
        <v>1</v>
      </c>
      <c r="H82" s="360"/>
      <c r="I82" s="360">
        <f>F82*G82*H6</f>
        <v>0.83054559999999999</v>
      </c>
      <c r="J82" s="506"/>
      <c r="K82" s="506"/>
      <c r="L82" s="506"/>
      <c r="M82" s="506"/>
      <c r="N82" s="506"/>
      <c r="O82" s="506"/>
      <c r="P82" s="676"/>
      <c r="Q82" s="676"/>
      <c r="R82" s="676"/>
      <c r="S82" s="676"/>
      <c r="T82" s="676"/>
      <c r="U82" s="676"/>
      <c r="V82" s="676"/>
      <c r="W82" s="676"/>
      <c r="X82" s="676"/>
      <c r="Y82" s="676"/>
      <c r="Z82" s="676"/>
      <c r="AA82" s="676"/>
    </row>
    <row r="83" spans="1:27" x14ac:dyDescent="0.25">
      <c r="A83" s="584"/>
      <c r="B83" s="712"/>
      <c r="C83" s="584" t="s">
        <v>194</v>
      </c>
      <c r="D83" s="584" t="s">
        <v>1193</v>
      </c>
      <c r="E83" s="712" t="s">
        <v>717</v>
      </c>
      <c r="F83" s="360">
        <v>11.588990000000001</v>
      </c>
      <c r="G83" s="360">
        <v>1</v>
      </c>
      <c r="H83" s="360"/>
      <c r="I83" s="360">
        <f>F83*G83*H6</f>
        <v>11.588990000000001</v>
      </c>
      <c r="J83" s="506"/>
      <c r="K83" s="506"/>
      <c r="L83" s="506"/>
      <c r="M83" s="506"/>
      <c r="N83" s="506"/>
      <c r="O83" s="506"/>
      <c r="P83" s="676"/>
      <c r="Q83" s="676"/>
      <c r="R83" s="676"/>
      <c r="S83" s="676"/>
      <c r="T83" s="676"/>
      <c r="U83" s="676"/>
      <c r="V83" s="676"/>
      <c r="W83" s="676"/>
      <c r="X83" s="676"/>
      <c r="Y83" s="676"/>
      <c r="Z83" s="676"/>
      <c r="AA83" s="676"/>
    </row>
    <row r="84" spans="1:27" x14ac:dyDescent="0.25">
      <c r="A84" s="584"/>
      <c r="B84" s="712"/>
      <c r="C84" s="584" t="s">
        <v>1248</v>
      </c>
      <c r="D84" s="584" t="s">
        <v>196</v>
      </c>
      <c r="E84" s="712" t="s">
        <v>717</v>
      </c>
      <c r="F84" s="360">
        <v>0.71089420000000003</v>
      </c>
      <c r="G84" s="360">
        <v>1</v>
      </c>
      <c r="H84" s="360"/>
      <c r="I84" s="360">
        <f>F84*G84*H6</f>
        <v>0.71089420000000003</v>
      </c>
      <c r="J84" s="506"/>
      <c r="K84" s="506"/>
      <c r="L84" s="506"/>
      <c r="M84" s="506"/>
      <c r="N84" s="506"/>
      <c r="O84" s="506"/>
      <c r="P84" s="676"/>
      <c r="Q84" s="676"/>
      <c r="R84" s="676"/>
      <c r="S84" s="676"/>
      <c r="T84" s="676"/>
      <c r="U84" s="676"/>
      <c r="V84" s="676"/>
      <c r="W84" s="676"/>
      <c r="X84" s="676"/>
      <c r="Y84" s="676"/>
      <c r="Z84" s="676"/>
      <c r="AA84" s="676"/>
    </row>
    <row r="85" spans="1:27" x14ac:dyDescent="0.25">
      <c r="A85" s="584"/>
      <c r="B85" s="712"/>
      <c r="C85" s="584" t="s">
        <v>113</v>
      </c>
      <c r="D85" s="584" t="s">
        <v>94</v>
      </c>
      <c r="E85" s="712" t="s">
        <v>717</v>
      </c>
      <c r="F85" s="360">
        <v>12.355700000000001</v>
      </c>
      <c r="G85" s="360">
        <v>1</v>
      </c>
      <c r="H85" s="360"/>
      <c r="I85" s="360">
        <f>F85*G85*H6</f>
        <v>12.355700000000001</v>
      </c>
      <c r="J85" s="506"/>
      <c r="K85" s="506"/>
      <c r="L85" s="506"/>
      <c r="M85" s="506"/>
      <c r="N85" s="506"/>
      <c r="O85" s="506"/>
      <c r="P85" s="676"/>
      <c r="Q85" s="676"/>
      <c r="R85" s="676"/>
      <c r="S85" s="676"/>
      <c r="T85" s="676"/>
      <c r="U85" s="676"/>
      <c r="V85" s="676"/>
      <c r="W85" s="676"/>
      <c r="X85" s="676"/>
      <c r="Y85" s="676"/>
      <c r="Z85" s="676"/>
      <c r="AA85" s="676"/>
    </row>
    <row r="86" spans="1:27" x14ac:dyDescent="0.25">
      <c r="A86" s="584"/>
      <c r="B86" s="712"/>
      <c r="C86" s="584" t="s">
        <v>271</v>
      </c>
      <c r="D86" s="584" t="s">
        <v>1188</v>
      </c>
      <c r="E86" s="712" t="s">
        <v>717</v>
      </c>
      <c r="F86" s="360">
        <v>6.2567999999999999E-2</v>
      </c>
      <c r="G86" s="360">
        <v>1</v>
      </c>
      <c r="H86" s="360"/>
      <c r="I86" s="360">
        <f>F86*G86*H6</f>
        <v>6.2567999999999999E-2</v>
      </c>
      <c r="J86" s="506"/>
      <c r="K86" s="506"/>
      <c r="L86" s="506"/>
      <c r="M86" s="506"/>
      <c r="N86" s="506"/>
      <c r="O86" s="506"/>
      <c r="P86" s="676"/>
      <c r="Q86" s="676"/>
      <c r="R86" s="676"/>
      <c r="S86" s="676"/>
      <c r="T86" s="676"/>
      <c r="U86" s="676"/>
      <c r="V86" s="676"/>
      <c r="W86" s="676"/>
      <c r="X86" s="676"/>
      <c r="Y86" s="676"/>
      <c r="Z86" s="676"/>
      <c r="AA86" s="676"/>
    </row>
    <row r="87" spans="1:27" x14ac:dyDescent="0.25">
      <c r="A87" s="584"/>
      <c r="B87" s="712"/>
      <c r="C87" s="584" t="s">
        <v>208</v>
      </c>
      <c r="D87" s="584" t="s">
        <v>682</v>
      </c>
      <c r="E87" s="712" t="s">
        <v>717</v>
      </c>
      <c r="F87" s="360">
        <v>6.2567999999999999E-2</v>
      </c>
      <c r="G87" s="360">
        <v>1</v>
      </c>
      <c r="H87" s="360"/>
      <c r="I87" s="360">
        <f>F87*G87*H6</f>
        <v>6.2567999999999999E-2</v>
      </c>
      <c r="J87" s="506"/>
      <c r="K87" s="506"/>
      <c r="L87" s="506"/>
      <c r="M87" s="506"/>
      <c r="N87" s="506"/>
      <c r="O87" s="506"/>
      <c r="P87" s="676"/>
      <c r="Q87" s="676"/>
      <c r="R87" s="676"/>
      <c r="S87" s="676"/>
      <c r="T87" s="676"/>
      <c r="U87" s="676"/>
      <c r="V87" s="676"/>
      <c r="W87" s="676"/>
      <c r="X87" s="676"/>
      <c r="Y87" s="676"/>
      <c r="Z87" s="676"/>
      <c r="AA87" s="676"/>
    </row>
    <row r="88" spans="1:27" x14ac:dyDescent="0.25">
      <c r="A88" s="584"/>
      <c r="B88" s="712"/>
      <c r="C88" s="584" t="s">
        <v>177</v>
      </c>
      <c r="D88" s="584" t="s">
        <v>747</v>
      </c>
      <c r="E88" s="712" t="s">
        <v>717</v>
      </c>
      <c r="F88" s="360">
        <v>0.26400000000000001</v>
      </c>
      <c r="G88" s="360">
        <v>1</v>
      </c>
      <c r="H88" s="360"/>
      <c r="I88" s="360">
        <f>F88*G88*H6</f>
        <v>0.26400000000000001</v>
      </c>
      <c r="J88" s="506"/>
      <c r="K88" s="506"/>
      <c r="L88" s="506"/>
      <c r="M88" s="506"/>
      <c r="N88" s="506"/>
      <c r="O88" s="506"/>
      <c r="P88" s="676"/>
      <c r="Q88" s="676"/>
      <c r="R88" s="676"/>
      <c r="S88" s="676"/>
      <c r="T88" s="676"/>
      <c r="U88" s="676"/>
      <c r="V88" s="676"/>
      <c r="W88" s="676"/>
      <c r="X88" s="676"/>
      <c r="Y88" s="676"/>
      <c r="Z88" s="676"/>
      <c r="AA88" s="676"/>
    </row>
    <row r="89" spans="1:27" x14ac:dyDescent="0.25">
      <c r="A89" s="584"/>
      <c r="B89" s="712"/>
      <c r="C89" s="584" t="s">
        <v>750</v>
      </c>
      <c r="D89" s="584" t="s">
        <v>76</v>
      </c>
      <c r="E89" s="712" t="s">
        <v>717</v>
      </c>
      <c r="F89" s="360">
        <v>5.5E-2</v>
      </c>
      <c r="G89" s="360">
        <v>1</v>
      </c>
      <c r="H89" s="360"/>
      <c r="I89" s="360">
        <f>F89*G89*H6</f>
        <v>5.5E-2</v>
      </c>
      <c r="J89" s="506"/>
      <c r="K89" s="506"/>
      <c r="L89" s="506"/>
      <c r="M89" s="506"/>
      <c r="N89" s="506"/>
      <c r="O89" s="506"/>
      <c r="P89" s="676"/>
      <c r="Q89" s="676"/>
      <c r="R89" s="676"/>
      <c r="S89" s="676"/>
      <c r="T89" s="676"/>
      <c r="U89" s="676"/>
      <c r="V89" s="676"/>
      <c r="W89" s="676"/>
      <c r="X89" s="676"/>
      <c r="Y89" s="676"/>
      <c r="Z89" s="676"/>
      <c r="AA89" s="676"/>
    </row>
    <row r="90" spans="1:27" x14ac:dyDescent="0.25">
      <c r="A90" s="584"/>
      <c r="B90" s="712"/>
      <c r="C90" s="584" t="s">
        <v>239</v>
      </c>
      <c r="D90" s="584" t="s">
        <v>209</v>
      </c>
      <c r="E90" s="712" t="s">
        <v>717</v>
      </c>
      <c r="F90" s="360">
        <v>0.11576</v>
      </c>
      <c r="G90" s="360">
        <v>1</v>
      </c>
      <c r="H90" s="360"/>
      <c r="I90" s="360">
        <f>F90*G90*H6</f>
        <v>0.11576</v>
      </c>
      <c r="J90" s="506"/>
      <c r="K90" s="506"/>
      <c r="L90" s="506"/>
      <c r="M90" s="506"/>
      <c r="N90" s="506"/>
      <c r="O90" s="506"/>
      <c r="P90" s="676"/>
      <c r="Q90" s="676"/>
      <c r="R90" s="676"/>
      <c r="S90" s="676"/>
      <c r="T90" s="676"/>
      <c r="U90" s="676"/>
      <c r="V90" s="676"/>
      <c r="W90" s="676"/>
      <c r="X90" s="676"/>
      <c r="Y90" s="676"/>
      <c r="Z90" s="676"/>
      <c r="AA90" s="676"/>
    </row>
    <row r="91" spans="1:27" x14ac:dyDescent="0.25">
      <c r="A91" s="584"/>
      <c r="B91" s="712"/>
      <c r="C91" s="584" t="s">
        <v>201</v>
      </c>
      <c r="D91" s="584" t="s">
        <v>202</v>
      </c>
      <c r="E91" s="712" t="s">
        <v>717</v>
      </c>
      <c r="F91" s="360">
        <v>11.275410000000001</v>
      </c>
      <c r="G91" s="360">
        <v>1</v>
      </c>
      <c r="H91" s="360"/>
      <c r="I91" s="360">
        <f>F91*G91*H6</f>
        <v>11.275410000000001</v>
      </c>
      <c r="J91" s="506"/>
      <c r="K91" s="506"/>
      <c r="L91" s="506"/>
      <c r="M91" s="506"/>
      <c r="N91" s="506"/>
      <c r="O91" s="506"/>
      <c r="P91" s="676"/>
      <c r="Q91" s="676"/>
      <c r="R91" s="676"/>
      <c r="S91" s="676"/>
      <c r="T91" s="676"/>
      <c r="U91" s="676"/>
      <c r="V91" s="676"/>
      <c r="W91" s="676"/>
      <c r="X91" s="676"/>
      <c r="Y91" s="676"/>
      <c r="Z91" s="676"/>
      <c r="AA91" s="676"/>
    </row>
    <row r="92" spans="1:27" x14ac:dyDescent="0.25">
      <c r="A92" s="584"/>
      <c r="B92" s="712"/>
      <c r="C92" s="584" t="s">
        <v>551</v>
      </c>
      <c r="D92" s="584" t="s">
        <v>330</v>
      </c>
      <c r="E92" s="712" t="s">
        <v>717</v>
      </c>
      <c r="F92" s="360">
        <v>0.83054559999999999</v>
      </c>
      <c r="G92" s="360">
        <v>1</v>
      </c>
      <c r="H92" s="360"/>
      <c r="I92" s="360">
        <f>F92*G92*H6</f>
        <v>0.83054559999999999</v>
      </c>
      <c r="J92" s="506"/>
      <c r="K92" s="506"/>
      <c r="L92" s="506"/>
      <c r="M92" s="506"/>
      <c r="N92" s="506"/>
      <c r="O92" s="506"/>
      <c r="P92" s="676"/>
      <c r="Q92" s="676"/>
      <c r="R92" s="676"/>
      <c r="S92" s="676"/>
      <c r="T92" s="676"/>
      <c r="U92" s="676"/>
      <c r="V92" s="676"/>
      <c r="W92" s="676"/>
      <c r="X92" s="676"/>
      <c r="Y92" s="676"/>
      <c r="Z92" s="676"/>
      <c r="AA92" s="676"/>
    </row>
    <row r="93" spans="1:27" x14ac:dyDescent="0.25">
      <c r="A93" s="584"/>
      <c r="B93" s="712"/>
      <c r="C93" s="584" t="s">
        <v>194</v>
      </c>
      <c r="D93" s="584" t="s">
        <v>1193</v>
      </c>
      <c r="E93" s="712" t="s">
        <v>717</v>
      </c>
      <c r="F93" s="360">
        <v>11.588990000000001</v>
      </c>
      <c r="G93" s="360">
        <v>1</v>
      </c>
      <c r="H93" s="360"/>
      <c r="I93" s="360">
        <f>F93*G93*H6</f>
        <v>11.588990000000001</v>
      </c>
      <c r="J93" s="506"/>
      <c r="K93" s="506"/>
      <c r="L93" s="506"/>
      <c r="M93" s="506"/>
      <c r="N93" s="506"/>
      <c r="O93" s="506"/>
      <c r="P93" s="676"/>
      <c r="Q93" s="676"/>
      <c r="R93" s="676"/>
      <c r="S93" s="676"/>
      <c r="T93" s="676"/>
      <c r="U93" s="676"/>
      <c r="V93" s="676"/>
      <c r="W93" s="676"/>
      <c r="X93" s="676"/>
      <c r="Y93" s="676"/>
      <c r="Z93" s="676"/>
      <c r="AA93" s="676"/>
    </row>
    <row r="94" spans="1:27" x14ac:dyDescent="0.25">
      <c r="A94" s="584"/>
      <c r="B94" s="712"/>
      <c r="C94" s="584" t="s">
        <v>1248</v>
      </c>
      <c r="D94" s="584" t="s">
        <v>196</v>
      </c>
      <c r="E94" s="712" t="s">
        <v>717</v>
      </c>
      <c r="F94" s="360">
        <v>0.71089420000000003</v>
      </c>
      <c r="G94" s="360">
        <v>1</v>
      </c>
      <c r="H94" s="360"/>
      <c r="I94" s="360">
        <f>F94*G94*H6</f>
        <v>0.71089420000000003</v>
      </c>
      <c r="J94" s="506"/>
      <c r="K94" s="506"/>
      <c r="L94" s="506"/>
      <c r="M94" s="506"/>
      <c r="N94" s="506"/>
      <c r="O94" s="506"/>
      <c r="P94" s="676"/>
      <c r="Q94" s="676"/>
      <c r="R94" s="676"/>
      <c r="S94" s="676"/>
      <c r="T94" s="676"/>
      <c r="U94" s="676"/>
      <c r="V94" s="676"/>
      <c r="W94" s="676"/>
      <c r="X94" s="676"/>
      <c r="Y94" s="676"/>
      <c r="Z94" s="676"/>
      <c r="AA94" s="676"/>
    </row>
    <row r="95" spans="1:27" x14ac:dyDescent="0.25">
      <c r="A95" s="584"/>
      <c r="B95" s="712"/>
      <c r="C95" s="584" t="s">
        <v>113</v>
      </c>
      <c r="D95" s="584" t="s">
        <v>94</v>
      </c>
      <c r="E95" s="712" t="s">
        <v>717</v>
      </c>
      <c r="F95" s="360">
        <v>12.355700000000001</v>
      </c>
      <c r="G95" s="360">
        <v>1</v>
      </c>
      <c r="H95" s="360"/>
      <c r="I95" s="360">
        <f>F95*G95*H6</f>
        <v>12.355700000000001</v>
      </c>
      <c r="J95" s="506"/>
      <c r="K95" s="506"/>
      <c r="L95" s="506"/>
      <c r="M95" s="506"/>
      <c r="N95" s="506"/>
      <c r="O95" s="506"/>
      <c r="P95" s="676"/>
      <c r="Q95" s="676"/>
      <c r="R95" s="676"/>
      <c r="S95" s="676"/>
      <c r="T95" s="676"/>
      <c r="U95" s="676"/>
      <c r="V95" s="676"/>
      <c r="W95" s="676"/>
      <c r="X95" s="676"/>
      <c r="Y95" s="676"/>
      <c r="Z95" s="676"/>
      <c r="AA95" s="676"/>
    </row>
    <row r="96" spans="1:27" x14ac:dyDescent="0.25">
      <c r="A96" s="584"/>
      <c r="B96" s="712"/>
      <c r="C96" s="584" t="s">
        <v>271</v>
      </c>
      <c r="D96" s="584" t="s">
        <v>1188</v>
      </c>
      <c r="E96" s="712" t="s">
        <v>717</v>
      </c>
      <c r="F96" s="360">
        <v>6.2567999999999999E-2</v>
      </c>
      <c r="G96" s="360">
        <v>1</v>
      </c>
      <c r="H96" s="360"/>
      <c r="I96" s="360">
        <f>F96*G96*H6</f>
        <v>6.2567999999999999E-2</v>
      </c>
      <c r="J96" s="506"/>
      <c r="K96" s="506"/>
      <c r="L96" s="506"/>
      <c r="M96" s="506"/>
      <c r="N96" s="506"/>
      <c r="O96" s="506"/>
      <c r="P96" s="676"/>
      <c r="Q96" s="676"/>
      <c r="R96" s="676"/>
      <c r="S96" s="676"/>
      <c r="T96" s="676"/>
      <c r="U96" s="676"/>
      <c r="V96" s="676"/>
      <c r="W96" s="676"/>
      <c r="X96" s="676"/>
      <c r="Y96" s="676"/>
      <c r="Z96" s="676"/>
      <c r="AA96" s="676"/>
    </row>
    <row r="97" spans="1:27" x14ac:dyDescent="0.25">
      <c r="A97" s="584"/>
      <c r="B97" s="712"/>
      <c r="C97" s="584" t="s">
        <v>208</v>
      </c>
      <c r="D97" s="584" t="s">
        <v>682</v>
      </c>
      <c r="E97" s="712" t="s">
        <v>717</v>
      </c>
      <c r="F97" s="360">
        <v>6.2567999999999999E-2</v>
      </c>
      <c r="G97" s="360">
        <v>1</v>
      </c>
      <c r="H97" s="360"/>
      <c r="I97" s="360">
        <f>F97*G97*H6</f>
        <v>6.2567999999999999E-2</v>
      </c>
      <c r="J97" s="506"/>
      <c r="K97" s="506"/>
      <c r="L97" s="506"/>
      <c r="M97" s="506"/>
      <c r="N97" s="506"/>
      <c r="O97" s="506"/>
      <c r="P97" s="676"/>
      <c r="Q97" s="676"/>
      <c r="R97" s="676"/>
      <c r="S97" s="676"/>
      <c r="T97" s="676"/>
      <c r="U97" s="676"/>
      <c r="V97" s="676"/>
      <c r="W97" s="676"/>
      <c r="X97" s="676"/>
      <c r="Y97" s="676"/>
      <c r="Z97" s="676"/>
      <c r="AA97" s="676"/>
    </row>
    <row r="98" spans="1:27" x14ac:dyDescent="0.25">
      <c r="A98" s="584"/>
      <c r="B98" s="712"/>
      <c r="C98" s="584" t="s">
        <v>177</v>
      </c>
      <c r="D98" s="584" t="s">
        <v>747</v>
      </c>
      <c r="E98" s="712" t="s">
        <v>717</v>
      </c>
      <c r="F98" s="360">
        <v>0.26400000000000001</v>
      </c>
      <c r="G98" s="360">
        <v>1</v>
      </c>
      <c r="H98" s="360"/>
      <c r="I98" s="360">
        <f>F98*G98*H6</f>
        <v>0.26400000000000001</v>
      </c>
      <c r="J98" s="506"/>
      <c r="K98" s="506"/>
      <c r="L98" s="506"/>
      <c r="M98" s="506"/>
      <c r="N98" s="506"/>
      <c r="O98" s="506"/>
      <c r="P98" s="676"/>
      <c r="Q98" s="676"/>
      <c r="R98" s="676"/>
      <c r="S98" s="676"/>
      <c r="T98" s="676"/>
      <c r="U98" s="676"/>
      <c r="V98" s="676"/>
      <c r="W98" s="676"/>
      <c r="X98" s="676"/>
      <c r="Y98" s="676"/>
      <c r="Z98" s="676"/>
      <c r="AA98" s="676"/>
    </row>
    <row r="99" spans="1:27" x14ac:dyDescent="0.25">
      <c r="A99" s="584"/>
      <c r="B99" s="712"/>
      <c r="C99" s="584" t="s">
        <v>750</v>
      </c>
      <c r="D99" s="584" t="s">
        <v>76</v>
      </c>
      <c r="E99" s="712" t="s">
        <v>717</v>
      </c>
      <c r="F99" s="360">
        <v>5.5E-2</v>
      </c>
      <c r="G99" s="360">
        <v>1</v>
      </c>
      <c r="H99" s="360"/>
      <c r="I99" s="360">
        <f>F99*G99*H6</f>
        <v>5.5E-2</v>
      </c>
      <c r="J99" s="506"/>
      <c r="K99" s="506"/>
      <c r="L99" s="506"/>
      <c r="M99" s="506"/>
      <c r="N99" s="506"/>
      <c r="O99" s="506"/>
      <c r="P99" s="676"/>
      <c r="Q99" s="676"/>
      <c r="R99" s="676"/>
      <c r="S99" s="676"/>
      <c r="T99" s="676"/>
      <c r="U99" s="676"/>
      <c r="V99" s="676"/>
      <c r="W99" s="676"/>
      <c r="X99" s="676"/>
      <c r="Y99" s="676"/>
      <c r="Z99" s="676"/>
      <c r="AA99" s="676"/>
    </row>
    <row r="100" spans="1:27" x14ac:dyDescent="0.25">
      <c r="A100" s="584"/>
      <c r="B100" s="712"/>
      <c r="C100" s="584" t="s">
        <v>239</v>
      </c>
      <c r="D100" s="584" t="s">
        <v>209</v>
      </c>
      <c r="E100" s="712" t="s">
        <v>717</v>
      </c>
      <c r="F100" s="360">
        <v>0.11576</v>
      </c>
      <c r="G100" s="360">
        <v>1</v>
      </c>
      <c r="H100" s="360"/>
      <c r="I100" s="360">
        <f>F100*G100*H6</f>
        <v>0.11576</v>
      </c>
      <c r="J100" s="506"/>
      <c r="K100" s="506"/>
      <c r="L100" s="506"/>
      <c r="M100" s="506"/>
      <c r="N100" s="506"/>
      <c r="O100" s="506"/>
      <c r="P100" s="676"/>
      <c r="Q100" s="676"/>
      <c r="R100" s="676"/>
      <c r="S100" s="676"/>
      <c r="T100" s="676"/>
      <c r="U100" s="676"/>
      <c r="V100" s="676"/>
      <c r="W100" s="676"/>
      <c r="X100" s="676"/>
      <c r="Y100" s="676"/>
      <c r="Z100" s="676"/>
      <c r="AA100" s="676"/>
    </row>
    <row r="101" spans="1:27" x14ac:dyDescent="0.25">
      <c r="A101" s="584"/>
      <c r="B101" s="712"/>
      <c r="C101" s="584" t="s">
        <v>201</v>
      </c>
      <c r="D101" s="584" t="s">
        <v>202</v>
      </c>
      <c r="E101" s="712" t="s">
        <v>717</v>
      </c>
      <c r="F101" s="360">
        <v>11.275410000000001</v>
      </c>
      <c r="G101" s="360">
        <v>1</v>
      </c>
      <c r="H101" s="360"/>
      <c r="I101" s="360">
        <f>F101*G101*H6</f>
        <v>11.275410000000001</v>
      </c>
      <c r="J101" s="506"/>
      <c r="K101" s="506"/>
      <c r="L101" s="506"/>
      <c r="M101" s="506"/>
      <c r="N101" s="506"/>
      <c r="O101" s="506"/>
      <c r="P101" s="676"/>
      <c r="Q101" s="676"/>
      <c r="R101" s="676"/>
      <c r="S101" s="676"/>
      <c r="T101" s="676"/>
      <c r="U101" s="676"/>
      <c r="V101" s="676"/>
      <c r="W101" s="676"/>
      <c r="X101" s="676"/>
      <c r="Y101" s="676"/>
      <c r="Z101" s="676"/>
      <c r="AA101" s="676"/>
    </row>
    <row r="102" spans="1:27" x14ac:dyDescent="0.25">
      <c r="A102" s="584"/>
      <c r="B102" s="712"/>
      <c r="C102" s="584" t="s">
        <v>551</v>
      </c>
      <c r="D102" s="584" t="s">
        <v>330</v>
      </c>
      <c r="E102" s="712" t="s">
        <v>717</v>
      </c>
      <c r="F102" s="360">
        <v>0.83054559999999999</v>
      </c>
      <c r="G102" s="360">
        <v>1</v>
      </c>
      <c r="H102" s="360"/>
      <c r="I102" s="360">
        <f>F102*G102*H6</f>
        <v>0.83054559999999999</v>
      </c>
      <c r="J102" s="506"/>
      <c r="K102" s="506"/>
      <c r="L102" s="506"/>
      <c r="M102" s="506"/>
      <c r="N102" s="506"/>
      <c r="O102" s="506"/>
      <c r="P102" s="676"/>
      <c r="Q102" s="676"/>
      <c r="R102" s="676"/>
      <c r="S102" s="676"/>
      <c r="T102" s="676"/>
      <c r="U102" s="676"/>
      <c r="V102" s="676"/>
      <c r="W102" s="676"/>
      <c r="X102" s="676"/>
      <c r="Y102" s="676"/>
      <c r="Z102" s="676"/>
      <c r="AA102" s="676"/>
    </row>
    <row r="103" spans="1:27" x14ac:dyDescent="0.25">
      <c r="A103" s="584"/>
      <c r="B103" s="712"/>
      <c r="C103" s="584" t="s">
        <v>194</v>
      </c>
      <c r="D103" s="584" t="s">
        <v>1193</v>
      </c>
      <c r="E103" s="712" t="s">
        <v>717</v>
      </c>
      <c r="F103" s="360">
        <v>11.588990000000001</v>
      </c>
      <c r="G103" s="360">
        <v>1</v>
      </c>
      <c r="H103" s="360"/>
      <c r="I103" s="360">
        <f>F103*G103*H6</f>
        <v>11.588990000000001</v>
      </c>
      <c r="J103" s="506"/>
      <c r="K103" s="506"/>
      <c r="L103" s="506"/>
      <c r="M103" s="506"/>
      <c r="N103" s="506"/>
      <c r="O103" s="506"/>
      <c r="P103" s="676"/>
      <c r="Q103" s="676"/>
      <c r="R103" s="676"/>
      <c r="S103" s="676"/>
      <c r="T103" s="676"/>
      <c r="U103" s="676"/>
      <c r="V103" s="676"/>
      <c r="W103" s="676"/>
      <c r="X103" s="676"/>
      <c r="Y103" s="676"/>
      <c r="Z103" s="676"/>
      <c r="AA103" s="676"/>
    </row>
    <row r="104" spans="1:27" x14ac:dyDescent="0.25">
      <c r="A104" s="584"/>
      <c r="B104" s="712"/>
      <c r="C104" s="584" t="s">
        <v>1248</v>
      </c>
      <c r="D104" s="584" t="s">
        <v>196</v>
      </c>
      <c r="E104" s="712" t="s">
        <v>717</v>
      </c>
      <c r="F104" s="360">
        <v>0.71089420000000003</v>
      </c>
      <c r="G104" s="360">
        <v>1</v>
      </c>
      <c r="H104" s="360"/>
      <c r="I104" s="360">
        <f>F104*G104*H6</f>
        <v>0.71089420000000003</v>
      </c>
      <c r="J104" s="506"/>
      <c r="K104" s="506"/>
      <c r="L104" s="506"/>
      <c r="M104" s="506"/>
      <c r="N104" s="506"/>
      <c r="O104" s="506"/>
      <c r="P104" s="676"/>
      <c r="Q104" s="676"/>
      <c r="R104" s="676"/>
      <c r="S104" s="676"/>
      <c r="T104" s="676"/>
      <c r="U104" s="676"/>
      <c r="V104" s="676"/>
      <c r="W104" s="676"/>
      <c r="X104" s="676"/>
      <c r="Y104" s="676"/>
      <c r="Z104" s="676"/>
      <c r="AA104" s="676"/>
    </row>
    <row r="105" spans="1:27" x14ac:dyDescent="0.25">
      <c r="A105" s="584"/>
      <c r="B105" s="712"/>
      <c r="C105" s="584" t="s">
        <v>113</v>
      </c>
      <c r="D105" s="584" t="s">
        <v>94</v>
      </c>
      <c r="E105" s="712" t="s">
        <v>717</v>
      </c>
      <c r="F105" s="360">
        <v>12.355700000000001</v>
      </c>
      <c r="G105" s="360">
        <v>1</v>
      </c>
      <c r="H105" s="360"/>
      <c r="I105" s="360">
        <f>F105*G105*H6</f>
        <v>12.355700000000001</v>
      </c>
      <c r="J105" s="506"/>
      <c r="K105" s="506"/>
      <c r="L105" s="506"/>
      <c r="M105" s="506"/>
      <c r="N105" s="506"/>
      <c r="O105" s="506"/>
      <c r="P105" s="676"/>
      <c r="Q105" s="676"/>
      <c r="R105" s="676"/>
      <c r="S105" s="676"/>
      <c r="T105" s="676"/>
      <c r="U105" s="676"/>
      <c r="V105" s="676"/>
      <c r="W105" s="676"/>
      <c r="X105" s="676"/>
      <c r="Y105" s="676"/>
      <c r="Z105" s="676"/>
      <c r="AA105" s="676"/>
    </row>
    <row r="106" spans="1:27" x14ac:dyDescent="0.25">
      <c r="A106" s="584"/>
      <c r="B106" s="712"/>
      <c r="C106" s="584" t="s">
        <v>271</v>
      </c>
      <c r="D106" s="584" t="s">
        <v>1188</v>
      </c>
      <c r="E106" s="712" t="s">
        <v>717</v>
      </c>
      <c r="F106" s="360">
        <v>6.2567999999999999E-2</v>
      </c>
      <c r="G106" s="360">
        <v>1</v>
      </c>
      <c r="H106" s="360"/>
      <c r="I106" s="360">
        <f>F106*G106*H6</f>
        <v>6.2567999999999999E-2</v>
      </c>
      <c r="J106" s="506"/>
      <c r="K106" s="506"/>
      <c r="L106" s="506"/>
      <c r="M106" s="506"/>
      <c r="N106" s="506"/>
      <c r="O106" s="506"/>
      <c r="P106" s="676"/>
      <c r="Q106" s="676"/>
      <c r="R106" s="676"/>
      <c r="S106" s="676"/>
      <c r="T106" s="676"/>
      <c r="U106" s="676"/>
      <c r="V106" s="676"/>
      <c r="W106" s="676"/>
      <c r="X106" s="676"/>
      <c r="Y106" s="676"/>
      <c r="Z106" s="676"/>
      <c r="AA106" s="676"/>
    </row>
    <row r="107" spans="1:27" x14ac:dyDescent="0.25">
      <c r="A107" s="373"/>
      <c r="B107" s="497">
        <v>2</v>
      </c>
      <c r="C107" s="373" t="s">
        <v>197</v>
      </c>
      <c r="D107" s="373" t="s">
        <v>377</v>
      </c>
      <c r="E107" s="497" t="s">
        <v>434</v>
      </c>
      <c r="F107" s="158"/>
      <c r="G107" s="158"/>
      <c r="H107" s="158">
        <v>1</v>
      </c>
      <c r="I107" s="158">
        <f>SUM(I108:I197)</f>
        <v>140.48580240000001</v>
      </c>
      <c r="J107" s="292">
        <f>BGCM_GiaGoc_N4407_1</f>
        <v>0</v>
      </c>
      <c r="K107" s="292">
        <f>I107*J107</f>
        <v>0</v>
      </c>
      <c r="L107" s="292">
        <f>BGCM_GiaHT_N4407_1</f>
        <v>0</v>
      </c>
      <c r="M107" s="292">
        <f>I107*L107</f>
        <v>0</v>
      </c>
      <c r="N107" s="292">
        <f>L107-J107</f>
        <v>0</v>
      </c>
      <c r="O107" s="292">
        <f>I107*N107</f>
        <v>0</v>
      </c>
      <c r="P107" s="676"/>
      <c r="Q107" s="676"/>
      <c r="R107" s="676"/>
      <c r="S107" s="676"/>
      <c r="T107" s="676"/>
      <c r="U107" s="676"/>
      <c r="V107" s="676"/>
      <c r="W107" s="676"/>
      <c r="X107" s="676"/>
      <c r="Y107" s="676"/>
      <c r="Z107" s="676"/>
      <c r="AA107" s="676"/>
    </row>
    <row r="108" spans="1:27" x14ac:dyDescent="0.25">
      <c r="A108" s="584"/>
      <c r="B108" s="712"/>
      <c r="C108" s="584" t="s">
        <v>1101</v>
      </c>
      <c r="D108" s="584" t="s">
        <v>632</v>
      </c>
      <c r="E108" s="712" t="s">
        <v>717</v>
      </c>
      <c r="F108" s="360">
        <v>0.26400000000000001</v>
      </c>
      <c r="G108" s="360">
        <v>1</v>
      </c>
      <c r="H108" s="360"/>
      <c r="I108" s="360">
        <f>F108*G108*H107</f>
        <v>0.26400000000000001</v>
      </c>
      <c r="J108" s="506"/>
      <c r="K108" s="506"/>
      <c r="L108" s="506"/>
      <c r="M108" s="506"/>
      <c r="N108" s="506"/>
      <c r="O108" s="506"/>
      <c r="P108" s="676"/>
      <c r="Q108" s="676"/>
      <c r="R108" s="676"/>
      <c r="S108" s="676"/>
      <c r="T108" s="676"/>
      <c r="U108" s="676"/>
      <c r="V108" s="676"/>
      <c r="W108" s="676"/>
      <c r="X108" s="676"/>
      <c r="Y108" s="676"/>
      <c r="Z108" s="676"/>
      <c r="AA108" s="676"/>
    </row>
    <row r="109" spans="1:27" x14ac:dyDescent="0.25">
      <c r="A109" s="584"/>
      <c r="B109" s="712"/>
      <c r="C109" s="584" t="s">
        <v>1126</v>
      </c>
      <c r="D109" s="584" t="s">
        <v>585</v>
      </c>
      <c r="E109" s="712" t="s">
        <v>717</v>
      </c>
      <c r="F109" s="360">
        <v>0.102258</v>
      </c>
      <c r="G109" s="360">
        <v>1</v>
      </c>
      <c r="H109" s="360"/>
      <c r="I109" s="360">
        <f>F109*G109*H107</f>
        <v>0.102258</v>
      </c>
      <c r="J109" s="506"/>
      <c r="K109" s="506"/>
      <c r="L109" s="506"/>
      <c r="M109" s="506"/>
      <c r="N109" s="506"/>
      <c r="O109" s="506"/>
      <c r="P109" s="676"/>
      <c r="Q109" s="676"/>
      <c r="R109" s="676"/>
      <c r="S109" s="676"/>
      <c r="T109" s="676"/>
      <c r="U109" s="676"/>
      <c r="V109" s="676"/>
      <c r="W109" s="676"/>
      <c r="X109" s="676"/>
      <c r="Y109" s="676"/>
      <c r="Z109" s="676"/>
      <c r="AA109" s="676"/>
    </row>
    <row r="110" spans="1:27" x14ac:dyDescent="0.25">
      <c r="A110" s="584"/>
      <c r="B110" s="712"/>
      <c r="C110" s="584" t="s">
        <v>759</v>
      </c>
      <c r="D110" s="584" t="s">
        <v>42</v>
      </c>
      <c r="E110" s="712" t="s">
        <v>717</v>
      </c>
      <c r="F110" s="360">
        <v>0.476518</v>
      </c>
      <c r="G110" s="360">
        <v>1</v>
      </c>
      <c r="H110" s="360"/>
      <c r="I110" s="360">
        <f>F110*G110*H107</f>
        <v>0.476518</v>
      </c>
      <c r="J110" s="506"/>
      <c r="K110" s="506"/>
      <c r="L110" s="506"/>
      <c r="M110" s="506"/>
      <c r="N110" s="506"/>
      <c r="O110" s="506"/>
      <c r="P110" s="676"/>
      <c r="Q110" s="676"/>
      <c r="R110" s="676"/>
      <c r="S110" s="676"/>
      <c r="T110" s="676"/>
      <c r="U110" s="676"/>
      <c r="V110" s="676"/>
      <c r="W110" s="676"/>
      <c r="X110" s="676"/>
      <c r="Y110" s="676"/>
      <c r="Z110" s="676"/>
      <c r="AA110" s="676"/>
    </row>
    <row r="111" spans="1:27" x14ac:dyDescent="0.25">
      <c r="A111" s="584"/>
      <c r="B111" s="712"/>
      <c r="C111" s="584" t="s">
        <v>82</v>
      </c>
      <c r="D111" s="584" t="s">
        <v>363</v>
      </c>
      <c r="E111" s="712" t="s">
        <v>717</v>
      </c>
      <c r="F111" s="360">
        <v>1.3731040000000001</v>
      </c>
      <c r="G111" s="360">
        <v>1</v>
      </c>
      <c r="H111" s="360"/>
      <c r="I111" s="360">
        <f>F111*G111*H107</f>
        <v>1.3731040000000001</v>
      </c>
      <c r="J111" s="506"/>
      <c r="K111" s="506"/>
      <c r="L111" s="506"/>
      <c r="M111" s="506"/>
      <c r="N111" s="506"/>
      <c r="O111" s="506"/>
      <c r="P111" s="676"/>
      <c r="Q111" s="676"/>
      <c r="R111" s="676"/>
      <c r="S111" s="676"/>
      <c r="T111" s="676"/>
      <c r="U111" s="676"/>
      <c r="V111" s="676"/>
      <c r="W111" s="676"/>
      <c r="X111" s="676"/>
      <c r="Y111" s="676"/>
      <c r="Z111" s="676"/>
      <c r="AA111" s="676"/>
    </row>
    <row r="112" spans="1:27" x14ac:dyDescent="0.25">
      <c r="A112" s="584"/>
      <c r="B112" s="712"/>
      <c r="C112" s="584" t="s">
        <v>1024</v>
      </c>
      <c r="D112" s="584" t="s">
        <v>128</v>
      </c>
      <c r="E112" s="712" t="s">
        <v>717</v>
      </c>
      <c r="F112" s="360">
        <v>8.8119999999999994</v>
      </c>
      <c r="G112" s="360">
        <v>1</v>
      </c>
      <c r="H112" s="360"/>
      <c r="I112" s="360">
        <f>F112*G112*H107</f>
        <v>8.8119999999999994</v>
      </c>
      <c r="J112" s="506"/>
      <c r="K112" s="506"/>
      <c r="L112" s="506"/>
      <c r="M112" s="506"/>
      <c r="N112" s="506"/>
      <c r="O112" s="506"/>
      <c r="P112" s="676"/>
      <c r="Q112" s="676"/>
      <c r="R112" s="676"/>
      <c r="S112" s="676"/>
      <c r="T112" s="676"/>
      <c r="U112" s="676"/>
      <c r="V112" s="676"/>
      <c r="W112" s="676"/>
      <c r="X112" s="676"/>
      <c r="Y112" s="676"/>
      <c r="Z112" s="676"/>
      <c r="AA112" s="676"/>
    </row>
    <row r="113" spans="1:27" x14ac:dyDescent="0.25">
      <c r="A113" s="584"/>
      <c r="B113" s="712"/>
      <c r="C113" s="584" t="s">
        <v>1089</v>
      </c>
      <c r="D113" s="584" t="s">
        <v>949</v>
      </c>
      <c r="E113" s="712" t="s">
        <v>717</v>
      </c>
      <c r="F113" s="360">
        <v>1.25322936</v>
      </c>
      <c r="G113" s="360">
        <v>1</v>
      </c>
      <c r="H113" s="360"/>
      <c r="I113" s="360">
        <f>F113*G113*H107</f>
        <v>1.25322936</v>
      </c>
      <c r="J113" s="506"/>
      <c r="K113" s="506"/>
      <c r="L113" s="506"/>
      <c r="M113" s="506"/>
      <c r="N113" s="506"/>
      <c r="O113" s="506"/>
      <c r="P113" s="676"/>
      <c r="Q113" s="676"/>
      <c r="R113" s="676"/>
      <c r="S113" s="676"/>
      <c r="T113" s="676"/>
      <c r="U113" s="676"/>
      <c r="V113" s="676"/>
      <c r="W113" s="676"/>
      <c r="X113" s="676"/>
      <c r="Y113" s="676"/>
      <c r="Z113" s="676"/>
      <c r="AA113" s="676"/>
    </row>
    <row r="114" spans="1:27" x14ac:dyDescent="0.25">
      <c r="A114" s="584"/>
      <c r="B114" s="712"/>
      <c r="C114" s="584" t="s">
        <v>1055</v>
      </c>
      <c r="D114" s="584" t="s">
        <v>517</v>
      </c>
      <c r="E114" s="712" t="s">
        <v>717</v>
      </c>
      <c r="F114" s="360">
        <v>6.3520699999999999E-2</v>
      </c>
      <c r="G114" s="360">
        <v>1</v>
      </c>
      <c r="H114" s="360"/>
      <c r="I114" s="360">
        <f>F114*G114*H107</f>
        <v>6.3520699999999999E-2</v>
      </c>
      <c r="J114" s="506"/>
      <c r="K114" s="506"/>
      <c r="L114" s="506"/>
      <c r="M114" s="506"/>
      <c r="N114" s="506"/>
      <c r="O114" s="506"/>
      <c r="P114" s="676"/>
      <c r="Q114" s="676"/>
      <c r="R114" s="676"/>
      <c r="S114" s="676"/>
      <c r="T114" s="676"/>
      <c r="U114" s="676"/>
      <c r="V114" s="676"/>
      <c r="W114" s="676"/>
      <c r="X114" s="676"/>
      <c r="Y114" s="676"/>
      <c r="Z114" s="676"/>
      <c r="AA114" s="676"/>
    </row>
    <row r="115" spans="1:27" x14ac:dyDescent="0.25">
      <c r="A115" s="584"/>
      <c r="B115" s="712"/>
      <c r="C115" s="584" t="s">
        <v>995</v>
      </c>
      <c r="D115" s="584" t="s">
        <v>588</v>
      </c>
      <c r="E115" s="712" t="s">
        <v>717</v>
      </c>
      <c r="F115" s="360">
        <v>0.26400000000000001</v>
      </c>
      <c r="G115" s="360">
        <v>1</v>
      </c>
      <c r="H115" s="360"/>
      <c r="I115" s="360">
        <f>F115*G115*H107</f>
        <v>0.26400000000000001</v>
      </c>
      <c r="J115" s="506"/>
      <c r="K115" s="506"/>
      <c r="L115" s="506"/>
      <c r="M115" s="506"/>
      <c r="N115" s="506"/>
      <c r="O115" s="506"/>
      <c r="P115" s="676"/>
      <c r="Q115" s="676"/>
      <c r="R115" s="676"/>
      <c r="S115" s="676"/>
      <c r="T115" s="676"/>
      <c r="U115" s="676"/>
      <c r="V115" s="676"/>
      <c r="W115" s="676"/>
      <c r="X115" s="676"/>
      <c r="Y115" s="676"/>
      <c r="Z115" s="676"/>
      <c r="AA115" s="676"/>
    </row>
    <row r="116" spans="1:27" x14ac:dyDescent="0.25">
      <c r="A116" s="584"/>
      <c r="B116" s="712"/>
      <c r="C116" s="584" t="s">
        <v>798</v>
      </c>
      <c r="D116" s="584" t="s">
        <v>988</v>
      </c>
      <c r="E116" s="712" t="s">
        <v>717</v>
      </c>
      <c r="F116" s="360">
        <v>1.4399501800000001</v>
      </c>
      <c r="G116" s="360">
        <v>1</v>
      </c>
      <c r="H116" s="360"/>
      <c r="I116" s="360">
        <f>F116*G116*H107</f>
        <v>1.4399501800000001</v>
      </c>
      <c r="J116" s="506"/>
      <c r="K116" s="506"/>
      <c r="L116" s="506"/>
      <c r="M116" s="506"/>
      <c r="N116" s="506"/>
      <c r="O116" s="506"/>
      <c r="P116" s="676"/>
      <c r="Q116" s="676"/>
      <c r="R116" s="676"/>
      <c r="S116" s="676"/>
      <c r="T116" s="676"/>
      <c r="U116" s="676"/>
      <c r="V116" s="676"/>
      <c r="W116" s="676"/>
      <c r="X116" s="676"/>
      <c r="Y116" s="676"/>
      <c r="Z116" s="676"/>
      <c r="AA116" s="676"/>
    </row>
    <row r="117" spans="1:27" x14ac:dyDescent="0.25">
      <c r="A117" s="584"/>
      <c r="B117" s="712"/>
      <c r="C117" s="584" t="s">
        <v>1101</v>
      </c>
      <c r="D117" s="584" t="s">
        <v>632</v>
      </c>
      <c r="E117" s="712" t="s">
        <v>717</v>
      </c>
      <c r="F117" s="360">
        <v>0.26400000000000001</v>
      </c>
      <c r="G117" s="360">
        <v>1</v>
      </c>
      <c r="H117" s="360"/>
      <c r="I117" s="360">
        <f>F117*G117*H107</f>
        <v>0.26400000000000001</v>
      </c>
      <c r="J117" s="506"/>
      <c r="K117" s="506"/>
      <c r="L117" s="506"/>
      <c r="M117" s="506"/>
      <c r="N117" s="506"/>
      <c r="O117" s="506"/>
      <c r="P117" s="676"/>
      <c r="Q117" s="676"/>
      <c r="R117" s="676"/>
      <c r="S117" s="676"/>
      <c r="T117" s="676"/>
      <c r="U117" s="676"/>
      <c r="V117" s="676"/>
      <c r="W117" s="676"/>
      <c r="X117" s="676"/>
      <c r="Y117" s="676"/>
      <c r="Z117" s="676"/>
      <c r="AA117" s="676"/>
    </row>
    <row r="118" spans="1:27" x14ac:dyDescent="0.25">
      <c r="A118" s="584"/>
      <c r="B118" s="712"/>
      <c r="C118" s="584" t="s">
        <v>1126</v>
      </c>
      <c r="D118" s="584" t="s">
        <v>585</v>
      </c>
      <c r="E118" s="712" t="s">
        <v>717</v>
      </c>
      <c r="F118" s="360">
        <v>0.102258</v>
      </c>
      <c r="G118" s="360">
        <v>1</v>
      </c>
      <c r="H118" s="360"/>
      <c r="I118" s="360">
        <f>F118*G118*H107</f>
        <v>0.102258</v>
      </c>
      <c r="J118" s="506"/>
      <c r="K118" s="506"/>
      <c r="L118" s="506"/>
      <c r="M118" s="506"/>
      <c r="N118" s="506"/>
      <c r="O118" s="506"/>
      <c r="P118" s="676"/>
      <c r="Q118" s="676"/>
      <c r="R118" s="676"/>
      <c r="S118" s="676"/>
      <c r="T118" s="676"/>
      <c r="U118" s="676"/>
      <c r="V118" s="676"/>
      <c r="W118" s="676"/>
      <c r="X118" s="676"/>
      <c r="Y118" s="676"/>
      <c r="Z118" s="676"/>
      <c r="AA118" s="676"/>
    </row>
    <row r="119" spans="1:27" x14ac:dyDescent="0.25">
      <c r="A119" s="584"/>
      <c r="B119" s="712"/>
      <c r="C119" s="584" t="s">
        <v>759</v>
      </c>
      <c r="D119" s="584" t="s">
        <v>42</v>
      </c>
      <c r="E119" s="712" t="s">
        <v>717</v>
      </c>
      <c r="F119" s="360">
        <v>0.476518</v>
      </c>
      <c r="G119" s="360">
        <v>1</v>
      </c>
      <c r="H119" s="360"/>
      <c r="I119" s="360">
        <f>F119*G119*H107</f>
        <v>0.476518</v>
      </c>
      <c r="J119" s="506"/>
      <c r="K119" s="506"/>
      <c r="L119" s="506"/>
      <c r="M119" s="506"/>
      <c r="N119" s="506"/>
      <c r="O119" s="506"/>
      <c r="P119" s="676"/>
      <c r="Q119" s="676"/>
      <c r="R119" s="676"/>
      <c r="S119" s="676"/>
      <c r="T119" s="676"/>
      <c r="U119" s="676"/>
      <c r="V119" s="676"/>
      <c r="W119" s="676"/>
      <c r="X119" s="676"/>
      <c r="Y119" s="676"/>
      <c r="Z119" s="676"/>
      <c r="AA119" s="676"/>
    </row>
    <row r="120" spans="1:27" x14ac:dyDescent="0.25">
      <c r="A120" s="584"/>
      <c r="B120" s="712"/>
      <c r="C120" s="584" t="s">
        <v>82</v>
      </c>
      <c r="D120" s="584" t="s">
        <v>363</v>
      </c>
      <c r="E120" s="712" t="s">
        <v>717</v>
      </c>
      <c r="F120" s="360">
        <v>1.3731040000000001</v>
      </c>
      <c r="G120" s="360">
        <v>1</v>
      </c>
      <c r="H120" s="360"/>
      <c r="I120" s="360">
        <f>F120*G120*H107</f>
        <v>1.3731040000000001</v>
      </c>
      <c r="J120" s="506"/>
      <c r="K120" s="506"/>
      <c r="L120" s="506"/>
      <c r="M120" s="506"/>
      <c r="N120" s="506"/>
      <c r="O120" s="506"/>
      <c r="P120" s="676"/>
      <c r="Q120" s="676"/>
      <c r="R120" s="676"/>
      <c r="S120" s="676"/>
      <c r="T120" s="676"/>
      <c r="U120" s="676"/>
      <c r="V120" s="676"/>
      <c r="W120" s="676"/>
      <c r="X120" s="676"/>
      <c r="Y120" s="676"/>
      <c r="Z120" s="676"/>
      <c r="AA120" s="676"/>
    </row>
    <row r="121" spans="1:27" x14ac:dyDescent="0.25">
      <c r="A121" s="584"/>
      <c r="B121" s="712"/>
      <c r="C121" s="584" t="s">
        <v>1024</v>
      </c>
      <c r="D121" s="584" t="s">
        <v>128</v>
      </c>
      <c r="E121" s="712" t="s">
        <v>717</v>
      </c>
      <c r="F121" s="360">
        <v>8.8119999999999994</v>
      </c>
      <c r="G121" s="360">
        <v>1</v>
      </c>
      <c r="H121" s="360"/>
      <c r="I121" s="360">
        <f>F121*G121*H107</f>
        <v>8.8119999999999994</v>
      </c>
      <c r="J121" s="506"/>
      <c r="K121" s="506"/>
      <c r="L121" s="506"/>
      <c r="M121" s="506"/>
      <c r="N121" s="506"/>
      <c r="O121" s="506"/>
      <c r="P121" s="676"/>
      <c r="Q121" s="676"/>
      <c r="R121" s="676"/>
      <c r="S121" s="676"/>
      <c r="T121" s="676"/>
      <c r="U121" s="676"/>
      <c r="V121" s="676"/>
      <c r="W121" s="676"/>
      <c r="X121" s="676"/>
      <c r="Y121" s="676"/>
      <c r="Z121" s="676"/>
      <c r="AA121" s="676"/>
    </row>
    <row r="122" spans="1:27" x14ac:dyDescent="0.25">
      <c r="A122" s="584"/>
      <c r="B122" s="712"/>
      <c r="C122" s="584" t="s">
        <v>1089</v>
      </c>
      <c r="D122" s="584" t="s">
        <v>949</v>
      </c>
      <c r="E122" s="712" t="s">
        <v>717</v>
      </c>
      <c r="F122" s="360">
        <v>1.25322936</v>
      </c>
      <c r="G122" s="360">
        <v>1</v>
      </c>
      <c r="H122" s="360"/>
      <c r="I122" s="360">
        <f>F122*G122*H107</f>
        <v>1.25322936</v>
      </c>
      <c r="J122" s="506"/>
      <c r="K122" s="506"/>
      <c r="L122" s="506"/>
      <c r="M122" s="506"/>
      <c r="N122" s="506"/>
      <c r="O122" s="506"/>
      <c r="P122" s="676"/>
      <c r="Q122" s="676"/>
      <c r="R122" s="676"/>
      <c r="S122" s="676"/>
      <c r="T122" s="676"/>
      <c r="U122" s="676"/>
      <c r="V122" s="676"/>
      <c r="W122" s="676"/>
      <c r="X122" s="676"/>
      <c r="Y122" s="676"/>
      <c r="Z122" s="676"/>
      <c r="AA122" s="676"/>
    </row>
    <row r="123" spans="1:27" x14ac:dyDescent="0.25">
      <c r="A123" s="584"/>
      <c r="B123" s="712"/>
      <c r="C123" s="584" t="s">
        <v>1055</v>
      </c>
      <c r="D123" s="584" t="s">
        <v>517</v>
      </c>
      <c r="E123" s="712" t="s">
        <v>717</v>
      </c>
      <c r="F123" s="360">
        <v>6.3520699999999999E-2</v>
      </c>
      <c r="G123" s="360">
        <v>1</v>
      </c>
      <c r="H123" s="360"/>
      <c r="I123" s="360">
        <f>F123*G123*H107</f>
        <v>6.3520699999999999E-2</v>
      </c>
      <c r="J123" s="506"/>
      <c r="K123" s="506"/>
      <c r="L123" s="506"/>
      <c r="M123" s="506"/>
      <c r="N123" s="506"/>
      <c r="O123" s="506"/>
      <c r="P123" s="676"/>
      <c r="Q123" s="676"/>
      <c r="R123" s="676"/>
      <c r="S123" s="676"/>
      <c r="T123" s="676"/>
      <c r="U123" s="676"/>
      <c r="V123" s="676"/>
      <c r="W123" s="676"/>
      <c r="X123" s="676"/>
      <c r="Y123" s="676"/>
      <c r="Z123" s="676"/>
      <c r="AA123" s="676"/>
    </row>
    <row r="124" spans="1:27" x14ac:dyDescent="0.25">
      <c r="A124" s="584"/>
      <c r="B124" s="712"/>
      <c r="C124" s="584" t="s">
        <v>995</v>
      </c>
      <c r="D124" s="584" t="s">
        <v>588</v>
      </c>
      <c r="E124" s="712" t="s">
        <v>717</v>
      </c>
      <c r="F124" s="360">
        <v>0.26400000000000001</v>
      </c>
      <c r="G124" s="360">
        <v>1</v>
      </c>
      <c r="H124" s="360"/>
      <c r="I124" s="360">
        <f>F124*G124*H107</f>
        <v>0.26400000000000001</v>
      </c>
      <c r="J124" s="506"/>
      <c r="K124" s="506"/>
      <c r="L124" s="506"/>
      <c r="M124" s="506"/>
      <c r="N124" s="506"/>
      <c r="O124" s="506"/>
      <c r="P124" s="676"/>
      <c r="Q124" s="676"/>
      <c r="R124" s="676"/>
      <c r="S124" s="676"/>
      <c r="T124" s="676"/>
      <c r="U124" s="676"/>
      <c r="V124" s="676"/>
      <c r="W124" s="676"/>
      <c r="X124" s="676"/>
      <c r="Y124" s="676"/>
      <c r="Z124" s="676"/>
      <c r="AA124" s="676"/>
    </row>
    <row r="125" spans="1:27" x14ac:dyDescent="0.25">
      <c r="A125" s="584"/>
      <c r="B125" s="712"/>
      <c r="C125" s="584" t="s">
        <v>798</v>
      </c>
      <c r="D125" s="584" t="s">
        <v>988</v>
      </c>
      <c r="E125" s="712" t="s">
        <v>717</v>
      </c>
      <c r="F125" s="360">
        <v>1.4399501800000001</v>
      </c>
      <c r="G125" s="360">
        <v>1</v>
      </c>
      <c r="H125" s="360"/>
      <c r="I125" s="360">
        <f>F125*G125*H107</f>
        <v>1.4399501800000001</v>
      </c>
      <c r="J125" s="506"/>
      <c r="K125" s="506"/>
      <c r="L125" s="506"/>
      <c r="M125" s="506"/>
      <c r="N125" s="506"/>
      <c r="O125" s="506"/>
      <c r="P125" s="676"/>
      <c r="Q125" s="676"/>
      <c r="R125" s="676"/>
      <c r="S125" s="676"/>
      <c r="T125" s="676"/>
      <c r="U125" s="676"/>
      <c r="V125" s="676"/>
      <c r="W125" s="676"/>
      <c r="X125" s="676"/>
      <c r="Y125" s="676"/>
      <c r="Z125" s="676"/>
      <c r="AA125" s="676"/>
    </row>
    <row r="126" spans="1:27" x14ac:dyDescent="0.25">
      <c r="A126" s="584"/>
      <c r="B126" s="712"/>
      <c r="C126" s="584" t="s">
        <v>1101</v>
      </c>
      <c r="D126" s="584" t="s">
        <v>632</v>
      </c>
      <c r="E126" s="712" t="s">
        <v>717</v>
      </c>
      <c r="F126" s="360">
        <v>0.26400000000000001</v>
      </c>
      <c r="G126" s="360">
        <v>1</v>
      </c>
      <c r="H126" s="360"/>
      <c r="I126" s="360">
        <f>F126*G126*H107</f>
        <v>0.26400000000000001</v>
      </c>
      <c r="J126" s="506"/>
      <c r="K126" s="506"/>
      <c r="L126" s="506"/>
      <c r="M126" s="506"/>
      <c r="N126" s="506"/>
      <c r="O126" s="506"/>
      <c r="P126" s="676"/>
      <c r="Q126" s="676"/>
      <c r="R126" s="676"/>
      <c r="S126" s="676"/>
      <c r="T126" s="676"/>
      <c r="U126" s="676"/>
      <c r="V126" s="676"/>
      <c r="W126" s="676"/>
      <c r="X126" s="676"/>
      <c r="Y126" s="676"/>
      <c r="Z126" s="676"/>
      <c r="AA126" s="676"/>
    </row>
    <row r="127" spans="1:27" x14ac:dyDescent="0.25">
      <c r="A127" s="584"/>
      <c r="B127" s="712"/>
      <c r="C127" s="584" t="s">
        <v>1126</v>
      </c>
      <c r="D127" s="584" t="s">
        <v>585</v>
      </c>
      <c r="E127" s="712" t="s">
        <v>717</v>
      </c>
      <c r="F127" s="360">
        <v>0.102258</v>
      </c>
      <c r="G127" s="360">
        <v>1</v>
      </c>
      <c r="H127" s="360"/>
      <c r="I127" s="360">
        <f>F127*G127*H107</f>
        <v>0.102258</v>
      </c>
      <c r="J127" s="506"/>
      <c r="K127" s="506"/>
      <c r="L127" s="506"/>
      <c r="M127" s="506"/>
      <c r="N127" s="506"/>
      <c r="O127" s="506"/>
      <c r="P127" s="676"/>
      <c r="Q127" s="676"/>
      <c r="R127" s="676"/>
      <c r="S127" s="676"/>
      <c r="T127" s="676"/>
      <c r="U127" s="676"/>
      <c r="V127" s="676"/>
      <c r="W127" s="676"/>
      <c r="X127" s="676"/>
      <c r="Y127" s="676"/>
      <c r="Z127" s="676"/>
      <c r="AA127" s="676"/>
    </row>
    <row r="128" spans="1:27" x14ac:dyDescent="0.25">
      <c r="A128" s="584"/>
      <c r="B128" s="712"/>
      <c r="C128" s="584" t="s">
        <v>759</v>
      </c>
      <c r="D128" s="584" t="s">
        <v>42</v>
      </c>
      <c r="E128" s="712" t="s">
        <v>717</v>
      </c>
      <c r="F128" s="360">
        <v>0.476518</v>
      </c>
      <c r="G128" s="360">
        <v>1</v>
      </c>
      <c r="H128" s="360"/>
      <c r="I128" s="360">
        <f>F128*G128*H107</f>
        <v>0.476518</v>
      </c>
      <c r="J128" s="506"/>
      <c r="K128" s="506"/>
      <c r="L128" s="506"/>
      <c r="M128" s="506"/>
      <c r="N128" s="506"/>
      <c r="O128" s="506"/>
      <c r="P128" s="676"/>
      <c r="Q128" s="676"/>
      <c r="R128" s="676"/>
      <c r="S128" s="676"/>
      <c r="T128" s="676"/>
      <c r="U128" s="676"/>
      <c r="V128" s="676"/>
      <c r="W128" s="676"/>
      <c r="X128" s="676"/>
      <c r="Y128" s="676"/>
      <c r="Z128" s="676"/>
      <c r="AA128" s="676"/>
    </row>
    <row r="129" spans="1:27" x14ac:dyDescent="0.25">
      <c r="A129" s="584"/>
      <c r="B129" s="712"/>
      <c r="C129" s="584" t="s">
        <v>82</v>
      </c>
      <c r="D129" s="584" t="s">
        <v>363</v>
      </c>
      <c r="E129" s="712" t="s">
        <v>717</v>
      </c>
      <c r="F129" s="360">
        <v>1.3731040000000001</v>
      </c>
      <c r="G129" s="360">
        <v>1</v>
      </c>
      <c r="H129" s="360"/>
      <c r="I129" s="360">
        <f>F129*G129*H107</f>
        <v>1.3731040000000001</v>
      </c>
      <c r="J129" s="506"/>
      <c r="K129" s="506"/>
      <c r="L129" s="506"/>
      <c r="M129" s="506"/>
      <c r="N129" s="506"/>
      <c r="O129" s="506"/>
      <c r="P129" s="676"/>
      <c r="Q129" s="676"/>
      <c r="R129" s="676"/>
      <c r="S129" s="676"/>
      <c r="T129" s="676"/>
      <c r="U129" s="676"/>
      <c r="V129" s="676"/>
      <c r="W129" s="676"/>
      <c r="X129" s="676"/>
      <c r="Y129" s="676"/>
      <c r="Z129" s="676"/>
      <c r="AA129" s="676"/>
    </row>
    <row r="130" spans="1:27" x14ac:dyDescent="0.25">
      <c r="A130" s="584"/>
      <c r="B130" s="712"/>
      <c r="C130" s="584" t="s">
        <v>1024</v>
      </c>
      <c r="D130" s="584" t="s">
        <v>128</v>
      </c>
      <c r="E130" s="712" t="s">
        <v>717</v>
      </c>
      <c r="F130" s="360">
        <v>8.8119999999999994</v>
      </c>
      <c r="G130" s="360">
        <v>1</v>
      </c>
      <c r="H130" s="360"/>
      <c r="I130" s="360">
        <f>F130*G130*H107</f>
        <v>8.8119999999999994</v>
      </c>
      <c r="J130" s="506"/>
      <c r="K130" s="506"/>
      <c r="L130" s="506"/>
      <c r="M130" s="506"/>
      <c r="N130" s="506"/>
      <c r="O130" s="506"/>
      <c r="P130" s="676"/>
      <c r="Q130" s="676"/>
      <c r="R130" s="676"/>
      <c r="S130" s="676"/>
      <c r="T130" s="676"/>
      <c r="U130" s="676"/>
      <c r="V130" s="676"/>
      <c r="W130" s="676"/>
      <c r="X130" s="676"/>
      <c r="Y130" s="676"/>
      <c r="Z130" s="676"/>
      <c r="AA130" s="676"/>
    </row>
    <row r="131" spans="1:27" x14ac:dyDescent="0.25">
      <c r="A131" s="584"/>
      <c r="B131" s="712"/>
      <c r="C131" s="584" t="s">
        <v>1089</v>
      </c>
      <c r="D131" s="584" t="s">
        <v>949</v>
      </c>
      <c r="E131" s="712" t="s">
        <v>717</v>
      </c>
      <c r="F131" s="360">
        <v>1.25322936</v>
      </c>
      <c r="G131" s="360">
        <v>1</v>
      </c>
      <c r="H131" s="360"/>
      <c r="I131" s="360">
        <f>F131*G131*H107</f>
        <v>1.25322936</v>
      </c>
      <c r="J131" s="506"/>
      <c r="K131" s="506"/>
      <c r="L131" s="506"/>
      <c r="M131" s="506"/>
      <c r="N131" s="506"/>
      <c r="O131" s="506"/>
      <c r="P131" s="676"/>
      <c r="Q131" s="676"/>
      <c r="R131" s="676"/>
      <c r="S131" s="676"/>
      <c r="T131" s="676"/>
      <c r="U131" s="676"/>
      <c r="V131" s="676"/>
      <c r="W131" s="676"/>
      <c r="X131" s="676"/>
      <c r="Y131" s="676"/>
      <c r="Z131" s="676"/>
      <c r="AA131" s="676"/>
    </row>
    <row r="132" spans="1:27" x14ac:dyDescent="0.25">
      <c r="A132" s="584"/>
      <c r="B132" s="712"/>
      <c r="C132" s="584" t="s">
        <v>1055</v>
      </c>
      <c r="D132" s="584" t="s">
        <v>517</v>
      </c>
      <c r="E132" s="712" t="s">
        <v>717</v>
      </c>
      <c r="F132" s="360">
        <v>6.3520699999999999E-2</v>
      </c>
      <c r="G132" s="360">
        <v>1</v>
      </c>
      <c r="H132" s="360"/>
      <c r="I132" s="360">
        <f>F132*G132*H107</f>
        <v>6.3520699999999999E-2</v>
      </c>
      <c r="J132" s="506"/>
      <c r="K132" s="506"/>
      <c r="L132" s="506"/>
      <c r="M132" s="506"/>
      <c r="N132" s="506"/>
      <c r="O132" s="506"/>
      <c r="P132" s="676"/>
      <c r="Q132" s="676"/>
      <c r="R132" s="676"/>
      <c r="S132" s="676"/>
      <c r="T132" s="676"/>
      <c r="U132" s="676"/>
      <c r="V132" s="676"/>
      <c r="W132" s="676"/>
      <c r="X132" s="676"/>
      <c r="Y132" s="676"/>
      <c r="Z132" s="676"/>
      <c r="AA132" s="676"/>
    </row>
    <row r="133" spans="1:27" x14ac:dyDescent="0.25">
      <c r="A133" s="584"/>
      <c r="B133" s="712"/>
      <c r="C133" s="584" t="s">
        <v>995</v>
      </c>
      <c r="D133" s="584" t="s">
        <v>588</v>
      </c>
      <c r="E133" s="712" t="s">
        <v>717</v>
      </c>
      <c r="F133" s="360">
        <v>0.26400000000000001</v>
      </c>
      <c r="G133" s="360">
        <v>1</v>
      </c>
      <c r="H133" s="360"/>
      <c r="I133" s="360">
        <f>F133*G133*H107</f>
        <v>0.26400000000000001</v>
      </c>
      <c r="J133" s="506"/>
      <c r="K133" s="506"/>
      <c r="L133" s="506"/>
      <c r="M133" s="506"/>
      <c r="N133" s="506"/>
      <c r="O133" s="506"/>
      <c r="P133" s="676"/>
      <c r="Q133" s="676"/>
      <c r="R133" s="676"/>
      <c r="S133" s="676"/>
      <c r="T133" s="676"/>
      <c r="U133" s="676"/>
      <c r="V133" s="676"/>
      <c r="W133" s="676"/>
      <c r="X133" s="676"/>
      <c r="Y133" s="676"/>
      <c r="Z133" s="676"/>
      <c r="AA133" s="676"/>
    </row>
    <row r="134" spans="1:27" x14ac:dyDescent="0.25">
      <c r="A134" s="584"/>
      <c r="B134" s="712"/>
      <c r="C134" s="584" t="s">
        <v>798</v>
      </c>
      <c r="D134" s="584" t="s">
        <v>988</v>
      </c>
      <c r="E134" s="712" t="s">
        <v>717</v>
      </c>
      <c r="F134" s="360">
        <v>1.4399501800000001</v>
      </c>
      <c r="G134" s="360">
        <v>1</v>
      </c>
      <c r="H134" s="360"/>
      <c r="I134" s="360">
        <f>F134*G134*H107</f>
        <v>1.4399501800000001</v>
      </c>
      <c r="J134" s="506"/>
      <c r="K134" s="506"/>
      <c r="L134" s="506"/>
      <c r="M134" s="506"/>
      <c r="N134" s="506"/>
      <c r="O134" s="506"/>
      <c r="P134" s="676"/>
      <c r="Q134" s="676"/>
      <c r="R134" s="676"/>
      <c r="S134" s="676"/>
      <c r="T134" s="676"/>
      <c r="U134" s="676"/>
      <c r="V134" s="676"/>
      <c r="W134" s="676"/>
      <c r="X134" s="676"/>
      <c r="Y134" s="676"/>
      <c r="Z134" s="676"/>
      <c r="AA134" s="676"/>
    </row>
    <row r="135" spans="1:27" x14ac:dyDescent="0.25">
      <c r="A135" s="584"/>
      <c r="B135" s="712"/>
      <c r="C135" s="584" t="s">
        <v>1101</v>
      </c>
      <c r="D135" s="584" t="s">
        <v>632</v>
      </c>
      <c r="E135" s="712" t="s">
        <v>717</v>
      </c>
      <c r="F135" s="360">
        <v>0.26400000000000001</v>
      </c>
      <c r="G135" s="360">
        <v>1</v>
      </c>
      <c r="H135" s="360"/>
      <c r="I135" s="360">
        <f>F135*G135*H107</f>
        <v>0.26400000000000001</v>
      </c>
      <c r="J135" s="506"/>
      <c r="K135" s="506"/>
      <c r="L135" s="506"/>
      <c r="M135" s="506"/>
      <c r="N135" s="506"/>
      <c r="O135" s="506"/>
      <c r="P135" s="676"/>
      <c r="Q135" s="676"/>
      <c r="R135" s="676"/>
      <c r="S135" s="676"/>
      <c r="T135" s="676"/>
      <c r="U135" s="676"/>
      <c r="V135" s="676"/>
      <c r="W135" s="676"/>
      <c r="X135" s="676"/>
      <c r="Y135" s="676"/>
      <c r="Z135" s="676"/>
      <c r="AA135" s="676"/>
    </row>
    <row r="136" spans="1:27" x14ac:dyDescent="0.25">
      <c r="A136" s="584"/>
      <c r="B136" s="712"/>
      <c r="C136" s="584" t="s">
        <v>1126</v>
      </c>
      <c r="D136" s="584" t="s">
        <v>585</v>
      </c>
      <c r="E136" s="712" t="s">
        <v>717</v>
      </c>
      <c r="F136" s="360">
        <v>0.102258</v>
      </c>
      <c r="G136" s="360">
        <v>1</v>
      </c>
      <c r="H136" s="360"/>
      <c r="I136" s="360">
        <f>F136*G136*H107</f>
        <v>0.102258</v>
      </c>
      <c r="J136" s="506"/>
      <c r="K136" s="506"/>
      <c r="L136" s="506"/>
      <c r="M136" s="506"/>
      <c r="N136" s="506"/>
      <c r="O136" s="506"/>
      <c r="P136" s="676"/>
      <c r="Q136" s="676"/>
      <c r="R136" s="676"/>
      <c r="S136" s="676"/>
      <c r="T136" s="676"/>
      <c r="U136" s="676"/>
      <c r="V136" s="676"/>
      <c r="W136" s="676"/>
      <c r="X136" s="676"/>
      <c r="Y136" s="676"/>
      <c r="Z136" s="676"/>
      <c r="AA136" s="676"/>
    </row>
    <row r="137" spans="1:27" x14ac:dyDescent="0.25">
      <c r="A137" s="584"/>
      <c r="B137" s="712"/>
      <c r="C137" s="584" t="s">
        <v>759</v>
      </c>
      <c r="D137" s="584" t="s">
        <v>42</v>
      </c>
      <c r="E137" s="712" t="s">
        <v>717</v>
      </c>
      <c r="F137" s="360">
        <v>0.476518</v>
      </c>
      <c r="G137" s="360">
        <v>1</v>
      </c>
      <c r="H137" s="360"/>
      <c r="I137" s="360">
        <f>F137*G137*H107</f>
        <v>0.476518</v>
      </c>
      <c r="J137" s="506"/>
      <c r="K137" s="506"/>
      <c r="L137" s="506"/>
      <c r="M137" s="506"/>
      <c r="N137" s="506"/>
      <c r="O137" s="506"/>
      <c r="P137" s="676"/>
      <c r="Q137" s="676"/>
      <c r="R137" s="676"/>
      <c r="S137" s="676"/>
      <c r="T137" s="676"/>
      <c r="U137" s="676"/>
      <c r="V137" s="676"/>
      <c r="W137" s="676"/>
      <c r="X137" s="676"/>
      <c r="Y137" s="676"/>
      <c r="Z137" s="676"/>
      <c r="AA137" s="676"/>
    </row>
    <row r="138" spans="1:27" x14ac:dyDescent="0.25">
      <c r="A138" s="584"/>
      <c r="B138" s="712"/>
      <c r="C138" s="584" t="s">
        <v>82</v>
      </c>
      <c r="D138" s="584" t="s">
        <v>363</v>
      </c>
      <c r="E138" s="712" t="s">
        <v>717</v>
      </c>
      <c r="F138" s="360">
        <v>1.3731040000000001</v>
      </c>
      <c r="G138" s="360">
        <v>1</v>
      </c>
      <c r="H138" s="360"/>
      <c r="I138" s="360">
        <f>F138*G138*H107</f>
        <v>1.3731040000000001</v>
      </c>
      <c r="J138" s="506"/>
      <c r="K138" s="506"/>
      <c r="L138" s="506"/>
      <c r="M138" s="506"/>
      <c r="N138" s="506"/>
      <c r="O138" s="506"/>
      <c r="P138" s="676"/>
      <c r="Q138" s="676"/>
      <c r="R138" s="676"/>
      <c r="S138" s="676"/>
      <c r="T138" s="676"/>
      <c r="U138" s="676"/>
      <c r="V138" s="676"/>
      <c r="W138" s="676"/>
      <c r="X138" s="676"/>
      <c r="Y138" s="676"/>
      <c r="Z138" s="676"/>
      <c r="AA138" s="676"/>
    </row>
    <row r="139" spans="1:27" x14ac:dyDescent="0.25">
      <c r="A139" s="584"/>
      <c r="B139" s="712"/>
      <c r="C139" s="584" t="s">
        <v>1024</v>
      </c>
      <c r="D139" s="584" t="s">
        <v>128</v>
      </c>
      <c r="E139" s="712" t="s">
        <v>717</v>
      </c>
      <c r="F139" s="360">
        <v>8.8119999999999994</v>
      </c>
      <c r="G139" s="360">
        <v>1</v>
      </c>
      <c r="H139" s="360"/>
      <c r="I139" s="360">
        <f>F139*G139*H107</f>
        <v>8.8119999999999994</v>
      </c>
      <c r="J139" s="506"/>
      <c r="K139" s="506"/>
      <c r="L139" s="506"/>
      <c r="M139" s="506"/>
      <c r="N139" s="506"/>
      <c r="O139" s="506"/>
      <c r="P139" s="676"/>
      <c r="Q139" s="676"/>
      <c r="R139" s="676"/>
      <c r="S139" s="676"/>
      <c r="T139" s="676"/>
      <c r="U139" s="676"/>
      <c r="V139" s="676"/>
      <c r="W139" s="676"/>
      <c r="X139" s="676"/>
      <c r="Y139" s="676"/>
      <c r="Z139" s="676"/>
      <c r="AA139" s="676"/>
    </row>
    <row r="140" spans="1:27" x14ac:dyDescent="0.25">
      <c r="A140" s="584"/>
      <c r="B140" s="712"/>
      <c r="C140" s="584" t="s">
        <v>1089</v>
      </c>
      <c r="D140" s="584" t="s">
        <v>949</v>
      </c>
      <c r="E140" s="712" t="s">
        <v>717</v>
      </c>
      <c r="F140" s="360">
        <v>1.25322936</v>
      </c>
      <c r="G140" s="360">
        <v>1</v>
      </c>
      <c r="H140" s="360"/>
      <c r="I140" s="360">
        <f>F140*G140*H107</f>
        <v>1.25322936</v>
      </c>
      <c r="J140" s="506"/>
      <c r="K140" s="506"/>
      <c r="L140" s="506"/>
      <c r="M140" s="506"/>
      <c r="N140" s="506"/>
      <c r="O140" s="506"/>
      <c r="P140" s="676"/>
      <c r="Q140" s="676"/>
      <c r="R140" s="676"/>
      <c r="S140" s="676"/>
      <c r="T140" s="676"/>
      <c r="U140" s="676"/>
      <c r="V140" s="676"/>
      <c r="W140" s="676"/>
      <c r="X140" s="676"/>
      <c r="Y140" s="676"/>
      <c r="Z140" s="676"/>
      <c r="AA140" s="676"/>
    </row>
    <row r="141" spans="1:27" x14ac:dyDescent="0.25">
      <c r="A141" s="584"/>
      <c r="B141" s="712"/>
      <c r="C141" s="584" t="s">
        <v>1055</v>
      </c>
      <c r="D141" s="584" t="s">
        <v>517</v>
      </c>
      <c r="E141" s="712" t="s">
        <v>717</v>
      </c>
      <c r="F141" s="360">
        <v>6.3520699999999999E-2</v>
      </c>
      <c r="G141" s="360">
        <v>1</v>
      </c>
      <c r="H141" s="360"/>
      <c r="I141" s="360">
        <f>F141*G141*H107</f>
        <v>6.3520699999999999E-2</v>
      </c>
      <c r="J141" s="506"/>
      <c r="K141" s="506"/>
      <c r="L141" s="506"/>
      <c r="M141" s="506"/>
      <c r="N141" s="506"/>
      <c r="O141" s="506"/>
      <c r="P141" s="676"/>
      <c r="Q141" s="676"/>
      <c r="R141" s="676"/>
      <c r="S141" s="676"/>
      <c r="T141" s="676"/>
      <c r="U141" s="676"/>
      <c r="V141" s="676"/>
      <c r="W141" s="676"/>
      <c r="X141" s="676"/>
      <c r="Y141" s="676"/>
      <c r="Z141" s="676"/>
      <c r="AA141" s="676"/>
    </row>
    <row r="142" spans="1:27" x14ac:dyDescent="0.25">
      <c r="A142" s="584"/>
      <c r="B142" s="712"/>
      <c r="C142" s="584" t="s">
        <v>995</v>
      </c>
      <c r="D142" s="584" t="s">
        <v>588</v>
      </c>
      <c r="E142" s="712" t="s">
        <v>717</v>
      </c>
      <c r="F142" s="360">
        <v>0.26400000000000001</v>
      </c>
      <c r="G142" s="360">
        <v>1</v>
      </c>
      <c r="H142" s="360"/>
      <c r="I142" s="360">
        <f>F142*G142*H107</f>
        <v>0.26400000000000001</v>
      </c>
      <c r="J142" s="506"/>
      <c r="K142" s="506"/>
      <c r="L142" s="506"/>
      <c r="M142" s="506"/>
      <c r="N142" s="506"/>
      <c r="O142" s="506"/>
      <c r="P142" s="676"/>
      <c r="Q142" s="676"/>
      <c r="R142" s="676"/>
      <c r="S142" s="676"/>
      <c r="T142" s="676"/>
      <c r="U142" s="676"/>
      <c r="V142" s="676"/>
      <c r="W142" s="676"/>
      <c r="X142" s="676"/>
      <c r="Y142" s="676"/>
      <c r="Z142" s="676"/>
      <c r="AA142" s="676"/>
    </row>
    <row r="143" spans="1:27" x14ac:dyDescent="0.25">
      <c r="A143" s="584"/>
      <c r="B143" s="712"/>
      <c r="C143" s="584" t="s">
        <v>798</v>
      </c>
      <c r="D143" s="584" t="s">
        <v>988</v>
      </c>
      <c r="E143" s="712" t="s">
        <v>717</v>
      </c>
      <c r="F143" s="360">
        <v>1.4399501800000001</v>
      </c>
      <c r="G143" s="360">
        <v>1</v>
      </c>
      <c r="H143" s="360"/>
      <c r="I143" s="360">
        <f>F143*G143*H107</f>
        <v>1.4399501800000001</v>
      </c>
      <c r="J143" s="506"/>
      <c r="K143" s="506"/>
      <c r="L143" s="506"/>
      <c r="M143" s="506"/>
      <c r="N143" s="506"/>
      <c r="O143" s="506"/>
      <c r="P143" s="676"/>
      <c r="Q143" s="676"/>
      <c r="R143" s="676"/>
      <c r="S143" s="676"/>
      <c r="T143" s="676"/>
      <c r="U143" s="676"/>
      <c r="V143" s="676"/>
      <c r="W143" s="676"/>
      <c r="X143" s="676"/>
      <c r="Y143" s="676"/>
      <c r="Z143" s="676"/>
      <c r="AA143" s="676"/>
    </row>
    <row r="144" spans="1:27" x14ac:dyDescent="0.25">
      <c r="A144" s="584"/>
      <c r="B144" s="712"/>
      <c r="C144" s="584" t="s">
        <v>1101</v>
      </c>
      <c r="D144" s="584" t="s">
        <v>632</v>
      </c>
      <c r="E144" s="712" t="s">
        <v>717</v>
      </c>
      <c r="F144" s="360">
        <v>0.26400000000000001</v>
      </c>
      <c r="G144" s="360">
        <v>1</v>
      </c>
      <c r="H144" s="360"/>
      <c r="I144" s="360">
        <f>F144*G144*H107</f>
        <v>0.26400000000000001</v>
      </c>
      <c r="J144" s="506"/>
      <c r="K144" s="506"/>
      <c r="L144" s="506"/>
      <c r="M144" s="506"/>
      <c r="N144" s="506"/>
      <c r="O144" s="506"/>
      <c r="P144" s="676"/>
      <c r="Q144" s="676"/>
      <c r="R144" s="676"/>
      <c r="S144" s="676"/>
      <c r="T144" s="676"/>
      <c r="U144" s="676"/>
      <c r="V144" s="676"/>
      <c r="W144" s="676"/>
      <c r="X144" s="676"/>
      <c r="Y144" s="676"/>
      <c r="Z144" s="676"/>
      <c r="AA144" s="676"/>
    </row>
    <row r="145" spans="1:27" x14ac:dyDescent="0.25">
      <c r="A145" s="584"/>
      <c r="B145" s="712"/>
      <c r="C145" s="584" t="s">
        <v>1126</v>
      </c>
      <c r="D145" s="584" t="s">
        <v>585</v>
      </c>
      <c r="E145" s="712" t="s">
        <v>717</v>
      </c>
      <c r="F145" s="360">
        <v>0.102258</v>
      </c>
      <c r="G145" s="360">
        <v>1</v>
      </c>
      <c r="H145" s="360"/>
      <c r="I145" s="360">
        <f>F145*G145*H107</f>
        <v>0.102258</v>
      </c>
      <c r="J145" s="506"/>
      <c r="K145" s="506"/>
      <c r="L145" s="506"/>
      <c r="M145" s="506"/>
      <c r="N145" s="506"/>
      <c r="O145" s="506"/>
      <c r="P145" s="676"/>
      <c r="Q145" s="676"/>
      <c r="R145" s="676"/>
      <c r="S145" s="676"/>
      <c r="T145" s="676"/>
      <c r="U145" s="676"/>
      <c r="V145" s="676"/>
      <c r="W145" s="676"/>
      <c r="X145" s="676"/>
      <c r="Y145" s="676"/>
      <c r="Z145" s="676"/>
      <c r="AA145" s="676"/>
    </row>
    <row r="146" spans="1:27" x14ac:dyDescent="0.25">
      <c r="A146" s="584"/>
      <c r="B146" s="712"/>
      <c r="C146" s="584" t="s">
        <v>759</v>
      </c>
      <c r="D146" s="584" t="s">
        <v>42</v>
      </c>
      <c r="E146" s="712" t="s">
        <v>717</v>
      </c>
      <c r="F146" s="360">
        <v>0.476518</v>
      </c>
      <c r="G146" s="360">
        <v>1</v>
      </c>
      <c r="H146" s="360"/>
      <c r="I146" s="360">
        <f>F146*G146*H107</f>
        <v>0.476518</v>
      </c>
      <c r="J146" s="506"/>
      <c r="K146" s="506"/>
      <c r="L146" s="506"/>
      <c r="M146" s="506"/>
      <c r="N146" s="506"/>
      <c r="O146" s="506"/>
      <c r="P146" s="676"/>
      <c r="Q146" s="676"/>
      <c r="R146" s="676"/>
      <c r="S146" s="676"/>
      <c r="T146" s="676"/>
      <c r="U146" s="676"/>
      <c r="V146" s="676"/>
      <c r="W146" s="676"/>
      <c r="X146" s="676"/>
      <c r="Y146" s="676"/>
      <c r="Z146" s="676"/>
      <c r="AA146" s="676"/>
    </row>
    <row r="147" spans="1:27" x14ac:dyDescent="0.25">
      <c r="A147" s="584"/>
      <c r="B147" s="712"/>
      <c r="C147" s="584" t="s">
        <v>82</v>
      </c>
      <c r="D147" s="584" t="s">
        <v>363</v>
      </c>
      <c r="E147" s="712" t="s">
        <v>717</v>
      </c>
      <c r="F147" s="360">
        <v>1.3731040000000001</v>
      </c>
      <c r="G147" s="360">
        <v>1</v>
      </c>
      <c r="H147" s="360"/>
      <c r="I147" s="360">
        <f>F147*G147*H107</f>
        <v>1.3731040000000001</v>
      </c>
      <c r="J147" s="506"/>
      <c r="K147" s="506"/>
      <c r="L147" s="506"/>
      <c r="M147" s="506"/>
      <c r="N147" s="506"/>
      <c r="O147" s="506"/>
      <c r="P147" s="676"/>
      <c r="Q147" s="676"/>
      <c r="R147" s="676"/>
      <c r="S147" s="676"/>
      <c r="T147" s="676"/>
      <c r="U147" s="676"/>
      <c r="V147" s="676"/>
      <c r="W147" s="676"/>
      <c r="X147" s="676"/>
      <c r="Y147" s="676"/>
      <c r="Z147" s="676"/>
      <c r="AA147" s="676"/>
    </row>
    <row r="148" spans="1:27" x14ac:dyDescent="0.25">
      <c r="A148" s="584"/>
      <c r="B148" s="712"/>
      <c r="C148" s="584" t="s">
        <v>1024</v>
      </c>
      <c r="D148" s="584" t="s">
        <v>128</v>
      </c>
      <c r="E148" s="712" t="s">
        <v>717</v>
      </c>
      <c r="F148" s="360">
        <v>8.8119999999999994</v>
      </c>
      <c r="G148" s="360">
        <v>1</v>
      </c>
      <c r="H148" s="360"/>
      <c r="I148" s="360">
        <f>F148*G148*H107</f>
        <v>8.8119999999999994</v>
      </c>
      <c r="J148" s="506"/>
      <c r="K148" s="506"/>
      <c r="L148" s="506"/>
      <c r="M148" s="506"/>
      <c r="N148" s="506"/>
      <c r="O148" s="506"/>
      <c r="P148" s="676"/>
      <c r="Q148" s="676"/>
      <c r="R148" s="676"/>
      <c r="S148" s="676"/>
      <c r="T148" s="676"/>
      <c r="U148" s="676"/>
      <c r="V148" s="676"/>
      <c r="W148" s="676"/>
      <c r="X148" s="676"/>
      <c r="Y148" s="676"/>
      <c r="Z148" s="676"/>
      <c r="AA148" s="676"/>
    </row>
    <row r="149" spans="1:27" x14ac:dyDescent="0.25">
      <c r="A149" s="584"/>
      <c r="B149" s="712"/>
      <c r="C149" s="584" t="s">
        <v>1089</v>
      </c>
      <c r="D149" s="584" t="s">
        <v>949</v>
      </c>
      <c r="E149" s="712" t="s">
        <v>717</v>
      </c>
      <c r="F149" s="360">
        <v>1.25322936</v>
      </c>
      <c r="G149" s="360">
        <v>1</v>
      </c>
      <c r="H149" s="360"/>
      <c r="I149" s="360">
        <f>F149*G149*H107</f>
        <v>1.25322936</v>
      </c>
      <c r="J149" s="506"/>
      <c r="K149" s="506"/>
      <c r="L149" s="506"/>
      <c r="M149" s="506"/>
      <c r="N149" s="506"/>
      <c r="O149" s="506"/>
      <c r="P149" s="676"/>
      <c r="Q149" s="676"/>
      <c r="R149" s="676"/>
      <c r="S149" s="676"/>
      <c r="T149" s="676"/>
      <c r="U149" s="676"/>
      <c r="V149" s="676"/>
      <c r="W149" s="676"/>
      <c r="X149" s="676"/>
      <c r="Y149" s="676"/>
      <c r="Z149" s="676"/>
      <c r="AA149" s="676"/>
    </row>
    <row r="150" spans="1:27" x14ac:dyDescent="0.25">
      <c r="A150" s="584"/>
      <c r="B150" s="712"/>
      <c r="C150" s="584" t="s">
        <v>1055</v>
      </c>
      <c r="D150" s="584" t="s">
        <v>517</v>
      </c>
      <c r="E150" s="712" t="s">
        <v>717</v>
      </c>
      <c r="F150" s="360">
        <v>6.3520699999999999E-2</v>
      </c>
      <c r="G150" s="360">
        <v>1</v>
      </c>
      <c r="H150" s="360"/>
      <c r="I150" s="360">
        <f>F150*G150*H107</f>
        <v>6.3520699999999999E-2</v>
      </c>
      <c r="J150" s="506"/>
      <c r="K150" s="506"/>
      <c r="L150" s="506"/>
      <c r="M150" s="506"/>
      <c r="N150" s="506"/>
      <c r="O150" s="506"/>
      <c r="P150" s="676"/>
      <c r="Q150" s="676"/>
      <c r="R150" s="676"/>
      <c r="S150" s="676"/>
      <c r="T150" s="676"/>
      <c r="U150" s="676"/>
      <c r="V150" s="676"/>
      <c r="W150" s="676"/>
      <c r="X150" s="676"/>
      <c r="Y150" s="676"/>
      <c r="Z150" s="676"/>
      <c r="AA150" s="676"/>
    </row>
    <row r="151" spans="1:27" x14ac:dyDescent="0.25">
      <c r="A151" s="584"/>
      <c r="B151" s="712"/>
      <c r="C151" s="584" t="s">
        <v>995</v>
      </c>
      <c r="D151" s="584" t="s">
        <v>588</v>
      </c>
      <c r="E151" s="712" t="s">
        <v>717</v>
      </c>
      <c r="F151" s="360">
        <v>0.26400000000000001</v>
      </c>
      <c r="G151" s="360">
        <v>1</v>
      </c>
      <c r="H151" s="360"/>
      <c r="I151" s="360">
        <f>F151*G151*H107</f>
        <v>0.26400000000000001</v>
      </c>
      <c r="J151" s="506"/>
      <c r="K151" s="506"/>
      <c r="L151" s="506"/>
      <c r="M151" s="506"/>
      <c r="N151" s="506"/>
      <c r="O151" s="506"/>
      <c r="P151" s="676"/>
      <c r="Q151" s="676"/>
      <c r="R151" s="676"/>
      <c r="S151" s="676"/>
      <c r="T151" s="676"/>
      <c r="U151" s="676"/>
      <c r="V151" s="676"/>
      <c r="W151" s="676"/>
      <c r="X151" s="676"/>
      <c r="Y151" s="676"/>
      <c r="Z151" s="676"/>
      <c r="AA151" s="676"/>
    </row>
    <row r="152" spans="1:27" x14ac:dyDescent="0.25">
      <c r="A152" s="584"/>
      <c r="B152" s="712"/>
      <c r="C152" s="584" t="s">
        <v>798</v>
      </c>
      <c r="D152" s="584" t="s">
        <v>988</v>
      </c>
      <c r="E152" s="712" t="s">
        <v>717</v>
      </c>
      <c r="F152" s="360">
        <v>1.4399501800000001</v>
      </c>
      <c r="G152" s="360">
        <v>1</v>
      </c>
      <c r="H152" s="360"/>
      <c r="I152" s="360">
        <f>F152*G152*H107</f>
        <v>1.4399501800000001</v>
      </c>
      <c r="J152" s="506"/>
      <c r="K152" s="506"/>
      <c r="L152" s="506"/>
      <c r="M152" s="506"/>
      <c r="N152" s="506"/>
      <c r="O152" s="506"/>
      <c r="P152" s="676"/>
      <c r="Q152" s="676"/>
      <c r="R152" s="676"/>
      <c r="S152" s="676"/>
      <c r="T152" s="676"/>
      <c r="U152" s="676"/>
      <c r="V152" s="676"/>
      <c r="W152" s="676"/>
      <c r="X152" s="676"/>
      <c r="Y152" s="676"/>
      <c r="Z152" s="676"/>
      <c r="AA152" s="676"/>
    </row>
    <row r="153" spans="1:27" x14ac:dyDescent="0.25">
      <c r="A153" s="584"/>
      <c r="B153" s="712"/>
      <c r="C153" s="584" t="s">
        <v>1101</v>
      </c>
      <c r="D153" s="584" t="s">
        <v>632</v>
      </c>
      <c r="E153" s="712" t="s">
        <v>717</v>
      </c>
      <c r="F153" s="360">
        <v>0.26400000000000001</v>
      </c>
      <c r="G153" s="360">
        <v>1</v>
      </c>
      <c r="H153" s="360"/>
      <c r="I153" s="360">
        <f>F153*G153*H107</f>
        <v>0.26400000000000001</v>
      </c>
      <c r="J153" s="506"/>
      <c r="K153" s="506"/>
      <c r="L153" s="506"/>
      <c r="M153" s="506"/>
      <c r="N153" s="506"/>
      <c r="O153" s="506"/>
      <c r="P153" s="676"/>
      <c r="Q153" s="676"/>
      <c r="R153" s="676"/>
      <c r="S153" s="676"/>
      <c r="T153" s="676"/>
      <c r="U153" s="676"/>
      <c r="V153" s="676"/>
      <c r="W153" s="676"/>
      <c r="X153" s="676"/>
      <c r="Y153" s="676"/>
      <c r="Z153" s="676"/>
      <c r="AA153" s="676"/>
    </row>
    <row r="154" spans="1:27" x14ac:dyDescent="0.25">
      <c r="A154" s="584"/>
      <c r="B154" s="712"/>
      <c r="C154" s="584" t="s">
        <v>1126</v>
      </c>
      <c r="D154" s="584" t="s">
        <v>585</v>
      </c>
      <c r="E154" s="712" t="s">
        <v>717</v>
      </c>
      <c r="F154" s="360">
        <v>0.102258</v>
      </c>
      <c r="G154" s="360">
        <v>1</v>
      </c>
      <c r="H154" s="360"/>
      <c r="I154" s="360">
        <f>F154*G154*H107</f>
        <v>0.102258</v>
      </c>
      <c r="J154" s="506"/>
      <c r="K154" s="506"/>
      <c r="L154" s="506"/>
      <c r="M154" s="506"/>
      <c r="N154" s="506"/>
      <c r="O154" s="506"/>
      <c r="P154" s="676"/>
      <c r="Q154" s="676"/>
      <c r="R154" s="676"/>
      <c r="S154" s="676"/>
      <c r="T154" s="676"/>
      <c r="U154" s="676"/>
      <c r="V154" s="676"/>
      <c r="W154" s="676"/>
      <c r="X154" s="676"/>
      <c r="Y154" s="676"/>
      <c r="Z154" s="676"/>
      <c r="AA154" s="676"/>
    </row>
    <row r="155" spans="1:27" x14ac:dyDescent="0.25">
      <c r="A155" s="584"/>
      <c r="B155" s="712"/>
      <c r="C155" s="584" t="s">
        <v>759</v>
      </c>
      <c r="D155" s="584" t="s">
        <v>42</v>
      </c>
      <c r="E155" s="712" t="s">
        <v>717</v>
      </c>
      <c r="F155" s="360">
        <v>0.476518</v>
      </c>
      <c r="G155" s="360">
        <v>1</v>
      </c>
      <c r="H155" s="360"/>
      <c r="I155" s="360">
        <f>F155*G155*H107</f>
        <v>0.476518</v>
      </c>
      <c r="J155" s="506"/>
      <c r="K155" s="506"/>
      <c r="L155" s="506"/>
      <c r="M155" s="506"/>
      <c r="N155" s="506"/>
      <c r="O155" s="506"/>
      <c r="P155" s="676"/>
      <c r="Q155" s="676"/>
      <c r="R155" s="676"/>
      <c r="S155" s="676"/>
      <c r="T155" s="676"/>
      <c r="U155" s="676"/>
      <c r="V155" s="676"/>
      <c r="W155" s="676"/>
      <c r="X155" s="676"/>
      <c r="Y155" s="676"/>
      <c r="Z155" s="676"/>
      <c r="AA155" s="676"/>
    </row>
    <row r="156" spans="1:27" x14ac:dyDescent="0.25">
      <c r="A156" s="584"/>
      <c r="B156" s="712"/>
      <c r="C156" s="584" t="s">
        <v>82</v>
      </c>
      <c r="D156" s="584" t="s">
        <v>363</v>
      </c>
      <c r="E156" s="712" t="s">
        <v>717</v>
      </c>
      <c r="F156" s="360">
        <v>1.3731040000000001</v>
      </c>
      <c r="G156" s="360">
        <v>1</v>
      </c>
      <c r="H156" s="360"/>
      <c r="I156" s="360">
        <f>F156*G156*H107</f>
        <v>1.3731040000000001</v>
      </c>
      <c r="J156" s="506"/>
      <c r="K156" s="506"/>
      <c r="L156" s="506"/>
      <c r="M156" s="506"/>
      <c r="N156" s="506"/>
      <c r="O156" s="506"/>
      <c r="P156" s="676"/>
      <c r="Q156" s="676"/>
      <c r="R156" s="676"/>
      <c r="S156" s="676"/>
      <c r="T156" s="676"/>
      <c r="U156" s="676"/>
      <c r="V156" s="676"/>
      <c r="W156" s="676"/>
      <c r="X156" s="676"/>
      <c r="Y156" s="676"/>
      <c r="Z156" s="676"/>
      <c r="AA156" s="676"/>
    </row>
    <row r="157" spans="1:27" x14ac:dyDescent="0.25">
      <c r="A157" s="584"/>
      <c r="B157" s="712"/>
      <c r="C157" s="584" t="s">
        <v>1024</v>
      </c>
      <c r="D157" s="584" t="s">
        <v>128</v>
      </c>
      <c r="E157" s="712" t="s">
        <v>717</v>
      </c>
      <c r="F157" s="360">
        <v>8.8119999999999994</v>
      </c>
      <c r="G157" s="360">
        <v>1</v>
      </c>
      <c r="H157" s="360"/>
      <c r="I157" s="360">
        <f>F157*G157*H107</f>
        <v>8.8119999999999994</v>
      </c>
      <c r="J157" s="506"/>
      <c r="K157" s="506"/>
      <c r="L157" s="506"/>
      <c r="M157" s="506"/>
      <c r="N157" s="506"/>
      <c r="O157" s="506"/>
      <c r="P157" s="676"/>
      <c r="Q157" s="676"/>
      <c r="R157" s="676"/>
      <c r="S157" s="676"/>
      <c r="T157" s="676"/>
      <c r="U157" s="676"/>
      <c r="V157" s="676"/>
      <c r="W157" s="676"/>
      <c r="X157" s="676"/>
      <c r="Y157" s="676"/>
      <c r="Z157" s="676"/>
      <c r="AA157" s="676"/>
    </row>
    <row r="158" spans="1:27" x14ac:dyDescent="0.25">
      <c r="A158" s="584"/>
      <c r="B158" s="712"/>
      <c r="C158" s="584" t="s">
        <v>1089</v>
      </c>
      <c r="D158" s="584" t="s">
        <v>949</v>
      </c>
      <c r="E158" s="712" t="s">
        <v>717</v>
      </c>
      <c r="F158" s="360">
        <v>1.25322936</v>
      </c>
      <c r="G158" s="360">
        <v>1</v>
      </c>
      <c r="H158" s="360"/>
      <c r="I158" s="360">
        <f>F158*G158*H107</f>
        <v>1.25322936</v>
      </c>
      <c r="J158" s="506"/>
      <c r="K158" s="506"/>
      <c r="L158" s="506"/>
      <c r="M158" s="506"/>
      <c r="N158" s="506"/>
      <c r="O158" s="506"/>
      <c r="P158" s="676"/>
      <c r="Q158" s="676"/>
      <c r="R158" s="676"/>
      <c r="S158" s="676"/>
      <c r="T158" s="676"/>
      <c r="U158" s="676"/>
      <c r="V158" s="676"/>
      <c r="W158" s="676"/>
      <c r="X158" s="676"/>
      <c r="Y158" s="676"/>
      <c r="Z158" s="676"/>
      <c r="AA158" s="676"/>
    </row>
    <row r="159" spans="1:27" x14ac:dyDescent="0.25">
      <c r="A159" s="584"/>
      <c r="B159" s="712"/>
      <c r="C159" s="584" t="s">
        <v>1055</v>
      </c>
      <c r="D159" s="584" t="s">
        <v>517</v>
      </c>
      <c r="E159" s="712" t="s">
        <v>717</v>
      </c>
      <c r="F159" s="360">
        <v>6.3520699999999999E-2</v>
      </c>
      <c r="G159" s="360">
        <v>1</v>
      </c>
      <c r="H159" s="360"/>
      <c r="I159" s="360">
        <f>F159*G159*H107</f>
        <v>6.3520699999999999E-2</v>
      </c>
      <c r="J159" s="506"/>
      <c r="K159" s="506"/>
      <c r="L159" s="506"/>
      <c r="M159" s="506"/>
      <c r="N159" s="506"/>
      <c r="O159" s="506"/>
      <c r="P159" s="676"/>
      <c r="Q159" s="676"/>
      <c r="R159" s="676"/>
      <c r="S159" s="676"/>
      <c r="T159" s="676"/>
      <c r="U159" s="676"/>
      <c r="V159" s="676"/>
      <c r="W159" s="676"/>
      <c r="X159" s="676"/>
      <c r="Y159" s="676"/>
      <c r="Z159" s="676"/>
      <c r="AA159" s="676"/>
    </row>
    <row r="160" spans="1:27" x14ac:dyDescent="0.25">
      <c r="A160" s="584"/>
      <c r="B160" s="712"/>
      <c r="C160" s="584" t="s">
        <v>995</v>
      </c>
      <c r="D160" s="584" t="s">
        <v>588</v>
      </c>
      <c r="E160" s="712" t="s">
        <v>717</v>
      </c>
      <c r="F160" s="360">
        <v>0.26400000000000001</v>
      </c>
      <c r="G160" s="360">
        <v>1</v>
      </c>
      <c r="H160" s="360"/>
      <c r="I160" s="360">
        <f>F160*G160*H107</f>
        <v>0.26400000000000001</v>
      </c>
      <c r="J160" s="506"/>
      <c r="K160" s="506"/>
      <c r="L160" s="506"/>
      <c r="M160" s="506"/>
      <c r="N160" s="506"/>
      <c r="O160" s="506"/>
      <c r="P160" s="676"/>
      <c r="Q160" s="676"/>
      <c r="R160" s="676"/>
      <c r="S160" s="676"/>
      <c r="T160" s="676"/>
      <c r="U160" s="676"/>
      <c r="V160" s="676"/>
      <c r="W160" s="676"/>
      <c r="X160" s="676"/>
      <c r="Y160" s="676"/>
      <c r="Z160" s="676"/>
      <c r="AA160" s="676"/>
    </row>
    <row r="161" spans="1:27" x14ac:dyDescent="0.25">
      <c r="A161" s="584"/>
      <c r="B161" s="712"/>
      <c r="C161" s="584" t="s">
        <v>798</v>
      </c>
      <c r="D161" s="584" t="s">
        <v>988</v>
      </c>
      <c r="E161" s="712" t="s">
        <v>717</v>
      </c>
      <c r="F161" s="360">
        <v>1.4399501800000001</v>
      </c>
      <c r="G161" s="360">
        <v>1</v>
      </c>
      <c r="H161" s="360"/>
      <c r="I161" s="360">
        <f>F161*G161*H107</f>
        <v>1.4399501800000001</v>
      </c>
      <c r="J161" s="506"/>
      <c r="K161" s="506"/>
      <c r="L161" s="506"/>
      <c r="M161" s="506"/>
      <c r="N161" s="506"/>
      <c r="O161" s="506"/>
      <c r="P161" s="676"/>
      <c r="Q161" s="676"/>
      <c r="R161" s="676"/>
      <c r="S161" s="676"/>
      <c r="T161" s="676"/>
      <c r="U161" s="676"/>
      <c r="V161" s="676"/>
      <c r="W161" s="676"/>
      <c r="X161" s="676"/>
      <c r="Y161" s="676"/>
      <c r="Z161" s="676"/>
      <c r="AA161" s="676"/>
    </row>
    <row r="162" spans="1:27" x14ac:dyDescent="0.25">
      <c r="A162" s="584"/>
      <c r="B162" s="712"/>
      <c r="C162" s="584" t="s">
        <v>1101</v>
      </c>
      <c r="D162" s="584" t="s">
        <v>632</v>
      </c>
      <c r="E162" s="712" t="s">
        <v>717</v>
      </c>
      <c r="F162" s="360">
        <v>0.26400000000000001</v>
      </c>
      <c r="G162" s="360">
        <v>1</v>
      </c>
      <c r="H162" s="360"/>
      <c r="I162" s="360">
        <f>F162*G162*H107</f>
        <v>0.26400000000000001</v>
      </c>
      <c r="J162" s="506"/>
      <c r="K162" s="506"/>
      <c r="L162" s="506"/>
      <c r="M162" s="506"/>
      <c r="N162" s="506"/>
      <c r="O162" s="506"/>
      <c r="P162" s="676"/>
      <c r="Q162" s="676"/>
      <c r="R162" s="676"/>
      <c r="S162" s="676"/>
      <c r="T162" s="676"/>
      <c r="U162" s="676"/>
      <c r="V162" s="676"/>
      <c r="W162" s="676"/>
      <c r="X162" s="676"/>
      <c r="Y162" s="676"/>
      <c r="Z162" s="676"/>
      <c r="AA162" s="676"/>
    </row>
    <row r="163" spans="1:27" x14ac:dyDescent="0.25">
      <c r="A163" s="584"/>
      <c r="B163" s="712"/>
      <c r="C163" s="584" t="s">
        <v>1126</v>
      </c>
      <c r="D163" s="584" t="s">
        <v>585</v>
      </c>
      <c r="E163" s="712" t="s">
        <v>717</v>
      </c>
      <c r="F163" s="360">
        <v>0.102258</v>
      </c>
      <c r="G163" s="360">
        <v>1</v>
      </c>
      <c r="H163" s="360"/>
      <c r="I163" s="360">
        <f>F163*G163*H107</f>
        <v>0.102258</v>
      </c>
      <c r="J163" s="506"/>
      <c r="K163" s="506"/>
      <c r="L163" s="506"/>
      <c r="M163" s="506"/>
      <c r="N163" s="506"/>
      <c r="O163" s="506"/>
      <c r="P163" s="676"/>
      <c r="Q163" s="676"/>
      <c r="R163" s="676"/>
      <c r="S163" s="676"/>
      <c r="T163" s="676"/>
      <c r="U163" s="676"/>
      <c r="V163" s="676"/>
      <c r="W163" s="676"/>
      <c r="X163" s="676"/>
      <c r="Y163" s="676"/>
      <c r="Z163" s="676"/>
      <c r="AA163" s="676"/>
    </row>
    <row r="164" spans="1:27" x14ac:dyDescent="0.25">
      <c r="A164" s="584"/>
      <c r="B164" s="712"/>
      <c r="C164" s="584" t="s">
        <v>759</v>
      </c>
      <c r="D164" s="584" t="s">
        <v>42</v>
      </c>
      <c r="E164" s="712" t="s">
        <v>717</v>
      </c>
      <c r="F164" s="360">
        <v>0.476518</v>
      </c>
      <c r="G164" s="360">
        <v>1</v>
      </c>
      <c r="H164" s="360"/>
      <c r="I164" s="360">
        <f>F164*G164*H107</f>
        <v>0.476518</v>
      </c>
      <c r="J164" s="506"/>
      <c r="K164" s="506"/>
      <c r="L164" s="506"/>
      <c r="M164" s="506"/>
      <c r="N164" s="506"/>
      <c r="O164" s="506"/>
      <c r="P164" s="676"/>
      <c r="Q164" s="676"/>
      <c r="R164" s="676"/>
      <c r="S164" s="676"/>
      <c r="T164" s="676"/>
      <c r="U164" s="676"/>
      <c r="V164" s="676"/>
      <c r="W164" s="676"/>
      <c r="X164" s="676"/>
      <c r="Y164" s="676"/>
      <c r="Z164" s="676"/>
      <c r="AA164" s="676"/>
    </row>
    <row r="165" spans="1:27" x14ac:dyDescent="0.25">
      <c r="A165" s="584"/>
      <c r="B165" s="712"/>
      <c r="C165" s="584" t="s">
        <v>82</v>
      </c>
      <c r="D165" s="584" t="s">
        <v>363</v>
      </c>
      <c r="E165" s="712" t="s">
        <v>717</v>
      </c>
      <c r="F165" s="360">
        <v>1.3731040000000001</v>
      </c>
      <c r="G165" s="360">
        <v>1</v>
      </c>
      <c r="H165" s="360"/>
      <c r="I165" s="360">
        <f>F165*G165*H107</f>
        <v>1.3731040000000001</v>
      </c>
      <c r="J165" s="506"/>
      <c r="K165" s="506"/>
      <c r="L165" s="506"/>
      <c r="M165" s="506"/>
      <c r="N165" s="506"/>
      <c r="O165" s="506"/>
      <c r="P165" s="676"/>
      <c r="Q165" s="676"/>
      <c r="R165" s="676"/>
      <c r="S165" s="676"/>
      <c r="T165" s="676"/>
      <c r="U165" s="676"/>
      <c r="V165" s="676"/>
      <c r="W165" s="676"/>
      <c r="X165" s="676"/>
      <c r="Y165" s="676"/>
      <c r="Z165" s="676"/>
      <c r="AA165" s="676"/>
    </row>
    <row r="166" spans="1:27" x14ac:dyDescent="0.25">
      <c r="A166" s="584"/>
      <c r="B166" s="712"/>
      <c r="C166" s="584" t="s">
        <v>1024</v>
      </c>
      <c r="D166" s="584" t="s">
        <v>128</v>
      </c>
      <c r="E166" s="712" t="s">
        <v>717</v>
      </c>
      <c r="F166" s="360">
        <v>8.8119999999999994</v>
      </c>
      <c r="G166" s="360">
        <v>1</v>
      </c>
      <c r="H166" s="360"/>
      <c r="I166" s="360">
        <f>F166*G166*H107</f>
        <v>8.8119999999999994</v>
      </c>
      <c r="J166" s="506"/>
      <c r="K166" s="506"/>
      <c r="L166" s="506"/>
      <c r="M166" s="506"/>
      <c r="N166" s="506"/>
      <c r="O166" s="506"/>
      <c r="P166" s="676"/>
      <c r="Q166" s="676"/>
      <c r="R166" s="676"/>
      <c r="S166" s="676"/>
      <c r="T166" s="676"/>
      <c r="U166" s="676"/>
      <c r="V166" s="676"/>
      <c r="W166" s="676"/>
      <c r="X166" s="676"/>
      <c r="Y166" s="676"/>
      <c r="Z166" s="676"/>
      <c r="AA166" s="676"/>
    </row>
    <row r="167" spans="1:27" x14ac:dyDescent="0.25">
      <c r="A167" s="584"/>
      <c r="B167" s="712"/>
      <c r="C167" s="584" t="s">
        <v>1089</v>
      </c>
      <c r="D167" s="584" t="s">
        <v>949</v>
      </c>
      <c r="E167" s="712" t="s">
        <v>717</v>
      </c>
      <c r="F167" s="360">
        <v>1.25322936</v>
      </c>
      <c r="G167" s="360">
        <v>1</v>
      </c>
      <c r="H167" s="360"/>
      <c r="I167" s="360">
        <f>F167*G167*H107</f>
        <v>1.25322936</v>
      </c>
      <c r="J167" s="506"/>
      <c r="K167" s="506"/>
      <c r="L167" s="506"/>
      <c r="M167" s="506"/>
      <c r="N167" s="506"/>
      <c r="O167" s="506"/>
      <c r="P167" s="676"/>
      <c r="Q167" s="676"/>
      <c r="R167" s="676"/>
      <c r="S167" s="676"/>
      <c r="T167" s="676"/>
      <c r="U167" s="676"/>
      <c r="V167" s="676"/>
      <c r="W167" s="676"/>
      <c r="X167" s="676"/>
      <c r="Y167" s="676"/>
      <c r="Z167" s="676"/>
      <c r="AA167" s="676"/>
    </row>
    <row r="168" spans="1:27" x14ac:dyDescent="0.25">
      <c r="A168" s="584"/>
      <c r="B168" s="712"/>
      <c r="C168" s="584" t="s">
        <v>1055</v>
      </c>
      <c r="D168" s="584" t="s">
        <v>517</v>
      </c>
      <c r="E168" s="712" t="s">
        <v>717</v>
      </c>
      <c r="F168" s="360">
        <v>6.3520699999999999E-2</v>
      </c>
      <c r="G168" s="360">
        <v>1</v>
      </c>
      <c r="H168" s="360"/>
      <c r="I168" s="360">
        <f>F168*G168*H107</f>
        <v>6.3520699999999999E-2</v>
      </c>
      <c r="J168" s="506"/>
      <c r="K168" s="506"/>
      <c r="L168" s="506"/>
      <c r="M168" s="506"/>
      <c r="N168" s="506"/>
      <c r="O168" s="506"/>
      <c r="P168" s="676"/>
      <c r="Q168" s="676"/>
      <c r="R168" s="676"/>
      <c r="S168" s="676"/>
      <c r="T168" s="676"/>
      <c r="U168" s="676"/>
      <c r="V168" s="676"/>
      <c r="W168" s="676"/>
      <c r="X168" s="676"/>
      <c r="Y168" s="676"/>
      <c r="Z168" s="676"/>
      <c r="AA168" s="676"/>
    </row>
    <row r="169" spans="1:27" x14ac:dyDescent="0.25">
      <c r="A169" s="584"/>
      <c r="B169" s="712"/>
      <c r="C169" s="584" t="s">
        <v>995</v>
      </c>
      <c r="D169" s="584" t="s">
        <v>588</v>
      </c>
      <c r="E169" s="712" t="s">
        <v>717</v>
      </c>
      <c r="F169" s="360">
        <v>0.26400000000000001</v>
      </c>
      <c r="G169" s="360">
        <v>1</v>
      </c>
      <c r="H169" s="360"/>
      <c r="I169" s="360">
        <f>F169*G169*H107</f>
        <v>0.26400000000000001</v>
      </c>
      <c r="J169" s="506"/>
      <c r="K169" s="506"/>
      <c r="L169" s="506"/>
      <c r="M169" s="506"/>
      <c r="N169" s="506"/>
      <c r="O169" s="506"/>
      <c r="P169" s="676"/>
      <c r="Q169" s="676"/>
      <c r="R169" s="676"/>
      <c r="S169" s="676"/>
      <c r="T169" s="676"/>
      <c r="U169" s="676"/>
      <c r="V169" s="676"/>
      <c r="W169" s="676"/>
      <c r="X169" s="676"/>
      <c r="Y169" s="676"/>
      <c r="Z169" s="676"/>
      <c r="AA169" s="676"/>
    </row>
    <row r="170" spans="1:27" x14ac:dyDescent="0.25">
      <c r="A170" s="584"/>
      <c r="B170" s="712"/>
      <c r="C170" s="584" t="s">
        <v>798</v>
      </c>
      <c r="D170" s="584" t="s">
        <v>988</v>
      </c>
      <c r="E170" s="712" t="s">
        <v>717</v>
      </c>
      <c r="F170" s="360">
        <v>1.4399501800000001</v>
      </c>
      <c r="G170" s="360">
        <v>1</v>
      </c>
      <c r="H170" s="360"/>
      <c r="I170" s="360">
        <f>F170*G170*H107</f>
        <v>1.4399501800000001</v>
      </c>
      <c r="J170" s="506"/>
      <c r="K170" s="506"/>
      <c r="L170" s="506"/>
      <c r="M170" s="506"/>
      <c r="N170" s="506"/>
      <c r="O170" s="506"/>
      <c r="P170" s="676"/>
      <c r="Q170" s="676"/>
      <c r="R170" s="676"/>
      <c r="S170" s="676"/>
      <c r="T170" s="676"/>
      <c r="U170" s="676"/>
      <c r="V170" s="676"/>
      <c r="W170" s="676"/>
      <c r="X170" s="676"/>
      <c r="Y170" s="676"/>
      <c r="Z170" s="676"/>
      <c r="AA170" s="676"/>
    </row>
    <row r="171" spans="1:27" x14ac:dyDescent="0.25">
      <c r="A171" s="584"/>
      <c r="B171" s="712"/>
      <c r="C171" s="584" t="s">
        <v>1101</v>
      </c>
      <c r="D171" s="584" t="s">
        <v>632</v>
      </c>
      <c r="E171" s="712" t="s">
        <v>717</v>
      </c>
      <c r="F171" s="360">
        <v>0.26400000000000001</v>
      </c>
      <c r="G171" s="360">
        <v>1</v>
      </c>
      <c r="H171" s="360"/>
      <c r="I171" s="360">
        <f>F171*G171*H107</f>
        <v>0.26400000000000001</v>
      </c>
      <c r="J171" s="506"/>
      <c r="K171" s="506"/>
      <c r="L171" s="506"/>
      <c r="M171" s="506"/>
      <c r="N171" s="506"/>
      <c r="O171" s="506"/>
      <c r="P171" s="676"/>
      <c r="Q171" s="676"/>
      <c r="R171" s="676"/>
      <c r="S171" s="676"/>
      <c r="T171" s="676"/>
      <c r="U171" s="676"/>
      <c r="V171" s="676"/>
      <c r="W171" s="676"/>
      <c r="X171" s="676"/>
      <c r="Y171" s="676"/>
      <c r="Z171" s="676"/>
      <c r="AA171" s="676"/>
    </row>
    <row r="172" spans="1:27" x14ac:dyDescent="0.25">
      <c r="A172" s="584"/>
      <c r="B172" s="712"/>
      <c r="C172" s="584" t="s">
        <v>1126</v>
      </c>
      <c r="D172" s="584" t="s">
        <v>585</v>
      </c>
      <c r="E172" s="712" t="s">
        <v>717</v>
      </c>
      <c r="F172" s="360">
        <v>0.102258</v>
      </c>
      <c r="G172" s="360">
        <v>1</v>
      </c>
      <c r="H172" s="360"/>
      <c r="I172" s="360">
        <f>F172*G172*H107</f>
        <v>0.102258</v>
      </c>
      <c r="J172" s="506"/>
      <c r="K172" s="506"/>
      <c r="L172" s="506"/>
      <c r="M172" s="506"/>
      <c r="N172" s="506"/>
      <c r="O172" s="506"/>
      <c r="P172" s="676"/>
      <c r="Q172" s="676"/>
      <c r="R172" s="676"/>
      <c r="S172" s="676"/>
      <c r="T172" s="676"/>
      <c r="U172" s="676"/>
      <c r="V172" s="676"/>
      <c r="W172" s="676"/>
      <c r="X172" s="676"/>
      <c r="Y172" s="676"/>
      <c r="Z172" s="676"/>
      <c r="AA172" s="676"/>
    </row>
    <row r="173" spans="1:27" x14ac:dyDescent="0.25">
      <c r="A173" s="584"/>
      <c r="B173" s="712"/>
      <c r="C173" s="584" t="s">
        <v>759</v>
      </c>
      <c r="D173" s="584" t="s">
        <v>42</v>
      </c>
      <c r="E173" s="712" t="s">
        <v>717</v>
      </c>
      <c r="F173" s="360">
        <v>0.476518</v>
      </c>
      <c r="G173" s="360">
        <v>1</v>
      </c>
      <c r="H173" s="360"/>
      <c r="I173" s="360">
        <f>F173*G173*H107</f>
        <v>0.476518</v>
      </c>
      <c r="J173" s="506"/>
      <c r="K173" s="506"/>
      <c r="L173" s="506"/>
      <c r="M173" s="506"/>
      <c r="N173" s="506"/>
      <c r="O173" s="506"/>
      <c r="P173" s="676"/>
      <c r="Q173" s="676"/>
      <c r="R173" s="676"/>
      <c r="S173" s="676"/>
      <c r="T173" s="676"/>
      <c r="U173" s="676"/>
      <c r="V173" s="676"/>
      <c r="W173" s="676"/>
      <c r="X173" s="676"/>
      <c r="Y173" s="676"/>
      <c r="Z173" s="676"/>
      <c r="AA173" s="676"/>
    </row>
    <row r="174" spans="1:27" x14ac:dyDescent="0.25">
      <c r="A174" s="584"/>
      <c r="B174" s="712"/>
      <c r="C174" s="584" t="s">
        <v>82</v>
      </c>
      <c r="D174" s="584" t="s">
        <v>363</v>
      </c>
      <c r="E174" s="712" t="s">
        <v>717</v>
      </c>
      <c r="F174" s="360">
        <v>1.3731040000000001</v>
      </c>
      <c r="G174" s="360">
        <v>1</v>
      </c>
      <c r="H174" s="360"/>
      <c r="I174" s="360">
        <f>F174*G174*H107</f>
        <v>1.3731040000000001</v>
      </c>
      <c r="J174" s="506"/>
      <c r="K174" s="506"/>
      <c r="L174" s="506"/>
      <c r="M174" s="506"/>
      <c r="N174" s="506"/>
      <c r="O174" s="506"/>
      <c r="P174" s="676"/>
      <c r="Q174" s="676"/>
      <c r="R174" s="676"/>
      <c r="S174" s="676"/>
      <c r="T174" s="676"/>
      <c r="U174" s="676"/>
      <c r="V174" s="676"/>
      <c r="W174" s="676"/>
      <c r="X174" s="676"/>
      <c r="Y174" s="676"/>
      <c r="Z174" s="676"/>
      <c r="AA174" s="676"/>
    </row>
    <row r="175" spans="1:27" x14ac:dyDescent="0.25">
      <c r="A175" s="584"/>
      <c r="B175" s="712"/>
      <c r="C175" s="584" t="s">
        <v>1024</v>
      </c>
      <c r="D175" s="584" t="s">
        <v>128</v>
      </c>
      <c r="E175" s="712" t="s">
        <v>717</v>
      </c>
      <c r="F175" s="360">
        <v>8.8119999999999994</v>
      </c>
      <c r="G175" s="360">
        <v>1</v>
      </c>
      <c r="H175" s="360"/>
      <c r="I175" s="360">
        <f>F175*G175*H107</f>
        <v>8.8119999999999994</v>
      </c>
      <c r="J175" s="506"/>
      <c r="K175" s="506"/>
      <c r="L175" s="506"/>
      <c r="M175" s="506"/>
      <c r="N175" s="506"/>
      <c r="O175" s="506"/>
      <c r="P175" s="676"/>
      <c r="Q175" s="676"/>
      <c r="R175" s="676"/>
      <c r="S175" s="676"/>
      <c r="T175" s="676"/>
      <c r="U175" s="676"/>
      <c r="V175" s="676"/>
      <c r="W175" s="676"/>
      <c r="X175" s="676"/>
      <c r="Y175" s="676"/>
      <c r="Z175" s="676"/>
      <c r="AA175" s="676"/>
    </row>
    <row r="176" spans="1:27" x14ac:dyDescent="0.25">
      <c r="A176" s="584"/>
      <c r="B176" s="712"/>
      <c r="C176" s="584" t="s">
        <v>1089</v>
      </c>
      <c r="D176" s="584" t="s">
        <v>949</v>
      </c>
      <c r="E176" s="712" t="s">
        <v>717</v>
      </c>
      <c r="F176" s="360">
        <v>1.25322936</v>
      </c>
      <c r="G176" s="360">
        <v>1</v>
      </c>
      <c r="H176" s="360"/>
      <c r="I176" s="360">
        <f>F176*G176*H107</f>
        <v>1.25322936</v>
      </c>
      <c r="J176" s="506"/>
      <c r="K176" s="506"/>
      <c r="L176" s="506"/>
      <c r="M176" s="506"/>
      <c r="N176" s="506"/>
      <c r="O176" s="506"/>
      <c r="P176" s="676"/>
      <c r="Q176" s="676"/>
      <c r="R176" s="676"/>
      <c r="S176" s="676"/>
      <c r="T176" s="676"/>
      <c r="U176" s="676"/>
      <c r="V176" s="676"/>
      <c r="W176" s="676"/>
      <c r="X176" s="676"/>
      <c r="Y176" s="676"/>
      <c r="Z176" s="676"/>
      <c r="AA176" s="676"/>
    </row>
    <row r="177" spans="1:27" x14ac:dyDescent="0.25">
      <c r="A177" s="584"/>
      <c r="B177" s="712"/>
      <c r="C177" s="584" t="s">
        <v>1055</v>
      </c>
      <c r="D177" s="584" t="s">
        <v>517</v>
      </c>
      <c r="E177" s="712" t="s">
        <v>717</v>
      </c>
      <c r="F177" s="360">
        <v>6.3520699999999999E-2</v>
      </c>
      <c r="G177" s="360">
        <v>1</v>
      </c>
      <c r="H177" s="360"/>
      <c r="I177" s="360">
        <f>F177*G177*H107</f>
        <v>6.3520699999999999E-2</v>
      </c>
      <c r="J177" s="506"/>
      <c r="K177" s="506"/>
      <c r="L177" s="506"/>
      <c r="M177" s="506"/>
      <c r="N177" s="506"/>
      <c r="O177" s="506"/>
      <c r="P177" s="676"/>
      <c r="Q177" s="676"/>
      <c r="R177" s="676"/>
      <c r="S177" s="676"/>
      <c r="T177" s="676"/>
      <c r="U177" s="676"/>
      <c r="V177" s="676"/>
      <c r="W177" s="676"/>
      <c r="X177" s="676"/>
      <c r="Y177" s="676"/>
      <c r="Z177" s="676"/>
      <c r="AA177" s="676"/>
    </row>
    <row r="178" spans="1:27" x14ac:dyDescent="0.25">
      <c r="A178" s="584"/>
      <c r="B178" s="712"/>
      <c r="C178" s="584" t="s">
        <v>995</v>
      </c>
      <c r="D178" s="584" t="s">
        <v>588</v>
      </c>
      <c r="E178" s="712" t="s">
        <v>717</v>
      </c>
      <c r="F178" s="360">
        <v>0.26400000000000001</v>
      </c>
      <c r="G178" s="360">
        <v>1</v>
      </c>
      <c r="H178" s="360"/>
      <c r="I178" s="360">
        <f>F178*G178*H107</f>
        <v>0.26400000000000001</v>
      </c>
      <c r="J178" s="506"/>
      <c r="K178" s="506"/>
      <c r="L178" s="506"/>
      <c r="M178" s="506"/>
      <c r="N178" s="506"/>
      <c r="O178" s="506"/>
      <c r="P178" s="676"/>
      <c r="Q178" s="676"/>
      <c r="R178" s="676"/>
      <c r="S178" s="676"/>
      <c r="T178" s="676"/>
      <c r="U178" s="676"/>
      <c r="V178" s="676"/>
      <c r="W178" s="676"/>
      <c r="X178" s="676"/>
      <c r="Y178" s="676"/>
      <c r="Z178" s="676"/>
      <c r="AA178" s="676"/>
    </row>
    <row r="179" spans="1:27" x14ac:dyDescent="0.25">
      <c r="A179" s="584"/>
      <c r="B179" s="712"/>
      <c r="C179" s="584" t="s">
        <v>798</v>
      </c>
      <c r="D179" s="584" t="s">
        <v>988</v>
      </c>
      <c r="E179" s="712" t="s">
        <v>717</v>
      </c>
      <c r="F179" s="360">
        <v>1.4399501800000001</v>
      </c>
      <c r="G179" s="360">
        <v>1</v>
      </c>
      <c r="H179" s="360"/>
      <c r="I179" s="360">
        <f>F179*G179*H107</f>
        <v>1.4399501800000001</v>
      </c>
      <c r="J179" s="506"/>
      <c r="K179" s="506"/>
      <c r="L179" s="506"/>
      <c r="M179" s="506"/>
      <c r="N179" s="506"/>
      <c r="O179" s="506"/>
      <c r="P179" s="676"/>
      <c r="Q179" s="676"/>
      <c r="R179" s="676"/>
      <c r="S179" s="676"/>
      <c r="T179" s="676"/>
      <c r="U179" s="676"/>
      <c r="V179" s="676"/>
      <c r="W179" s="676"/>
      <c r="X179" s="676"/>
      <c r="Y179" s="676"/>
      <c r="Z179" s="676"/>
      <c r="AA179" s="676"/>
    </row>
    <row r="180" spans="1:27" x14ac:dyDescent="0.25">
      <c r="A180" s="584"/>
      <c r="B180" s="712"/>
      <c r="C180" s="584" t="s">
        <v>1101</v>
      </c>
      <c r="D180" s="584" t="s">
        <v>632</v>
      </c>
      <c r="E180" s="712" t="s">
        <v>717</v>
      </c>
      <c r="F180" s="360">
        <v>0.26400000000000001</v>
      </c>
      <c r="G180" s="360">
        <v>1</v>
      </c>
      <c r="H180" s="360"/>
      <c r="I180" s="360">
        <f>F180*G180*H107</f>
        <v>0.26400000000000001</v>
      </c>
      <c r="J180" s="506"/>
      <c r="K180" s="506"/>
      <c r="L180" s="506"/>
      <c r="M180" s="506"/>
      <c r="N180" s="506"/>
      <c r="O180" s="506"/>
      <c r="P180" s="676"/>
      <c r="Q180" s="676"/>
      <c r="R180" s="676"/>
      <c r="S180" s="676"/>
      <c r="T180" s="676"/>
      <c r="U180" s="676"/>
      <c r="V180" s="676"/>
      <c r="W180" s="676"/>
      <c r="X180" s="676"/>
      <c r="Y180" s="676"/>
      <c r="Z180" s="676"/>
      <c r="AA180" s="676"/>
    </row>
    <row r="181" spans="1:27" x14ac:dyDescent="0.25">
      <c r="A181" s="584"/>
      <c r="B181" s="712"/>
      <c r="C181" s="584" t="s">
        <v>1126</v>
      </c>
      <c r="D181" s="584" t="s">
        <v>585</v>
      </c>
      <c r="E181" s="712" t="s">
        <v>717</v>
      </c>
      <c r="F181" s="360">
        <v>0.102258</v>
      </c>
      <c r="G181" s="360">
        <v>1</v>
      </c>
      <c r="H181" s="360"/>
      <c r="I181" s="360">
        <f>F181*G181*H107</f>
        <v>0.102258</v>
      </c>
      <c r="J181" s="506"/>
      <c r="K181" s="506"/>
      <c r="L181" s="506"/>
      <c r="M181" s="506"/>
      <c r="N181" s="506"/>
      <c r="O181" s="506"/>
      <c r="P181" s="676"/>
      <c r="Q181" s="676"/>
      <c r="R181" s="676"/>
      <c r="S181" s="676"/>
      <c r="T181" s="676"/>
      <c r="U181" s="676"/>
      <c r="V181" s="676"/>
      <c r="W181" s="676"/>
      <c r="X181" s="676"/>
      <c r="Y181" s="676"/>
      <c r="Z181" s="676"/>
      <c r="AA181" s="676"/>
    </row>
    <row r="182" spans="1:27" x14ac:dyDescent="0.25">
      <c r="A182" s="584"/>
      <c r="B182" s="712"/>
      <c r="C182" s="584" t="s">
        <v>759</v>
      </c>
      <c r="D182" s="584" t="s">
        <v>42</v>
      </c>
      <c r="E182" s="712" t="s">
        <v>717</v>
      </c>
      <c r="F182" s="360">
        <v>0.476518</v>
      </c>
      <c r="G182" s="360">
        <v>1</v>
      </c>
      <c r="H182" s="360"/>
      <c r="I182" s="360">
        <f>F182*G182*H107</f>
        <v>0.476518</v>
      </c>
      <c r="J182" s="506"/>
      <c r="K182" s="506"/>
      <c r="L182" s="506"/>
      <c r="M182" s="506"/>
      <c r="N182" s="506"/>
      <c r="O182" s="506"/>
      <c r="P182" s="676"/>
      <c r="Q182" s="676"/>
      <c r="R182" s="676"/>
      <c r="S182" s="676"/>
      <c r="T182" s="676"/>
      <c r="U182" s="676"/>
      <c r="V182" s="676"/>
      <c r="W182" s="676"/>
      <c r="X182" s="676"/>
      <c r="Y182" s="676"/>
      <c r="Z182" s="676"/>
      <c r="AA182" s="676"/>
    </row>
    <row r="183" spans="1:27" x14ac:dyDescent="0.25">
      <c r="A183" s="584"/>
      <c r="B183" s="712"/>
      <c r="C183" s="584" t="s">
        <v>82</v>
      </c>
      <c r="D183" s="584" t="s">
        <v>363</v>
      </c>
      <c r="E183" s="712" t="s">
        <v>717</v>
      </c>
      <c r="F183" s="360">
        <v>1.3731040000000001</v>
      </c>
      <c r="G183" s="360">
        <v>1</v>
      </c>
      <c r="H183" s="360"/>
      <c r="I183" s="360">
        <f>F183*G183*H107</f>
        <v>1.3731040000000001</v>
      </c>
      <c r="J183" s="506"/>
      <c r="K183" s="506"/>
      <c r="L183" s="506"/>
      <c r="M183" s="506"/>
      <c r="N183" s="506"/>
      <c r="O183" s="506"/>
      <c r="P183" s="676"/>
      <c r="Q183" s="676"/>
      <c r="R183" s="676"/>
      <c r="S183" s="676"/>
      <c r="T183" s="676"/>
      <c r="U183" s="676"/>
      <c r="V183" s="676"/>
      <c r="W183" s="676"/>
      <c r="X183" s="676"/>
      <c r="Y183" s="676"/>
      <c r="Z183" s="676"/>
      <c r="AA183" s="676"/>
    </row>
    <row r="184" spans="1:27" x14ac:dyDescent="0.25">
      <c r="A184" s="584"/>
      <c r="B184" s="712"/>
      <c r="C184" s="584" t="s">
        <v>1024</v>
      </c>
      <c r="D184" s="584" t="s">
        <v>128</v>
      </c>
      <c r="E184" s="712" t="s">
        <v>717</v>
      </c>
      <c r="F184" s="360">
        <v>8.8119999999999994</v>
      </c>
      <c r="G184" s="360">
        <v>1</v>
      </c>
      <c r="H184" s="360"/>
      <c r="I184" s="360">
        <f>F184*G184*H107</f>
        <v>8.8119999999999994</v>
      </c>
      <c r="J184" s="506"/>
      <c r="K184" s="506"/>
      <c r="L184" s="506"/>
      <c r="M184" s="506"/>
      <c r="N184" s="506"/>
      <c r="O184" s="506"/>
      <c r="P184" s="676"/>
      <c r="Q184" s="676"/>
      <c r="R184" s="676"/>
      <c r="S184" s="676"/>
      <c r="T184" s="676"/>
      <c r="U184" s="676"/>
      <c r="V184" s="676"/>
      <c r="W184" s="676"/>
      <c r="X184" s="676"/>
      <c r="Y184" s="676"/>
      <c r="Z184" s="676"/>
      <c r="AA184" s="676"/>
    </row>
    <row r="185" spans="1:27" x14ac:dyDescent="0.25">
      <c r="A185" s="584"/>
      <c r="B185" s="712"/>
      <c r="C185" s="584" t="s">
        <v>1089</v>
      </c>
      <c r="D185" s="584" t="s">
        <v>949</v>
      </c>
      <c r="E185" s="712" t="s">
        <v>717</v>
      </c>
      <c r="F185" s="360">
        <v>1.25322936</v>
      </c>
      <c r="G185" s="360">
        <v>1</v>
      </c>
      <c r="H185" s="360"/>
      <c r="I185" s="360">
        <f>F185*G185*H107</f>
        <v>1.25322936</v>
      </c>
      <c r="J185" s="506"/>
      <c r="K185" s="506"/>
      <c r="L185" s="506"/>
      <c r="M185" s="506"/>
      <c r="N185" s="506"/>
      <c r="O185" s="506"/>
      <c r="P185" s="676"/>
      <c r="Q185" s="676"/>
      <c r="R185" s="676"/>
      <c r="S185" s="676"/>
      <c r="T185" s="676"/>
      <c r="U185" s="676"/>
      <c r="V185" s="676"/>
      <c r="W185" s="676"/>
      <c r="X185" s="676"/>
      <c r="Y185" s="676"/>
      <c r="Z185" s="676"/>
      <c r="AA185" s="676"/>
    </row>
    <row r="186" spans="1:27" x14ac:dyDescent="0.25">
      <c r="A186" s="584"/>
      <c r="B186" s="712"/>
      <c r="C186" s="584" t="s">
        <v>1055</v>
      </c>
      <c r="D186" s="584" t="s">
        <v>517</v>
      </c>
      <c r="E186" s="712" t="s">
        <v>717</v>
      </c>
      <c r="F186" s="360">
        <v>6.3520699999999999E-2</v>
      </c>
      <c r="G186" s="360">
        <v>1</v>
      </c>
      <c r="H186" s="360"/>
      <c r="I186" s="360">
        <f>F186*G186*H107</f>
        <v>6.3520699999999999E-2</v>
      </c>
      <c r="J186" s="506"/>
      <c r="K186" s="506"/>
      <c r="L186" s="506"/>
      <c r="M186" s="506"/>
      <c r="N186" s="506"/>
      <c r="O186" s="506"/>
      <c r="P186" s="676"/>
      <c r="Q186" s="676"/>
      <c r="R186" s="676"/>
      <c r="S186" s="676"/>
      <c r="T186" s="676"/>
      <c r="U186" s="676"/>
      <c r="V186" s="676"/>
      <c r="W186" s="676"/>
      <c r="X186" s="676"/>
      <c r="Y186" s="676"/>
      <c r="Z186" s="676"/>
      <c r="AA186" s="676"/>
    </row>
    <row r="187" spans="1:27" x14ac:dyDescent="0.25">
      <c r="A187" s="584"/>
      <c r="B187" s="712"/>
      <c r="C187" s="584" t="s">
        <v>995</v>
      </c>
      <c r="D187" s="584" t="s">
        <v>588</v>
      </c>
      <c r="E187" s="712" t="s">
        <v>717</v>
      </c>
      <c r="F187" s="360">
        <v>0.26400000000000001</v>
      </c>
      <c r="G187" s="360">
        <v>1</v>
      </c>
      <c r="H187" s="360"/>
      <c r="I187" s="360">
        <f>F187*G187*H107</f>
        <v>0.26400000000000001</v>
      </c>
      <c r="J187" s="506"/>
      <c r="K187" s="506"/>
      <c r="L187" s="506"/>
      <c r="M187" s="506"/>
      <c r="N187" s="506"/>
      <c r="O187" s="506"/>
      <c r="P187" s="676"/>
      <c r="Q187" s="676"/>
      <c r="R187" s="676"/>
      <c r="S187" s="676"/>
      <c r="T187" s="676"/>
      <c r="U187" s="676"/>
      <c r="V187" s="676"/>
      <c r="W187" s="676"/>
      <c r="X187" s="676"/>
      <c r="Y187" s="676"/>
      <c r="Z187" s="676"/>
      <c r="AA187" s="676"/>
    </row>
    <row r="188" spans="1:27" x14ac:dyDescent="0.25">
      <c r="A188" s="584"/>
      <c r="B188" s="712"/>
      <c r="C188" s="584" t="s">
        <v>798</v>
      </c>
      <c r="D188" s="584" t="s">
        <v>988</v>
      </c>
      <c r="E188" s="712" t="s">
        <v>717</v>
      </c>
      <c r="F188" s="360">
        <v>1.4399501800000001</v>
      </c>
      <c r="G188" s="360">
        <v>1</v>
      </c>
      <c r="H188" s="360"/>
      <c r="I188" s="360">
        <f>F188*G188*H107</f>
        <v>1.4399501800000001</v>
      </c>
      <c r="J188" s="506"/>
      <c r="K188" s="506"/>
      <c r="L188" s="506"/>
      <c r="M188" s="506"/>
      <c r="N188" s="506"/>
      <c r="O188" s="506"/>
      <c r="P188" s="676"/>
      <c r="Q188" s="676"/>
      <c r="R188" s="676"/>
      <c r="S188" s="676"/>
      <c r="T188" s="676"/>
      <c r="U188" s="676"/>
      <c r="V188" s="676"/>
      <c r="W188" s="676"/>
      <c r="X188" s="676"/>
      <c r="Y188" s="676"/>
      <c r="Z188" s="676"/>
      <c r="AA188" s="676"/>
    </row>
    <row r="189" spans="1:27" x14ac:dyDescent="0.25">
      <c r="A189" s="584"/>
      <c r="B189" s="712"/>
      <c r="C189" s="584" t="s">
        <v>1101</v>
      </c>
      <c r="D189" s="584" t="s">
        <v>632</v>
      </c>
      <c r="E189" s="712" t="s">
        <v>717</v>
      </c>
      <c r="F189" s="360">
        <v>0.26400000000000001</v>
      </c>
      <c r="G189" s="360">
        <v>1</v>
      </c>
      <c r="H189" s="360"/>
      <c r="I189" s="360">
        <f>F189*G189*H107</f>
        <v>0.26400000000000001</v>
      </c>
      <c r="J189" s="506"/>
      <c r="K189" s="506"/>
      <c r="L189" s="506"/>
      <c r="M189" s="506"/>
      <c r="N189" s="506"/>
      <c r="O189" s="506"/>
      <c r="P189" s="676"/>
      <c r="Q189" s="676"/>
      <c r="R189" s="676"/>
      <c r="S189" s="676"/>
      <c r="T189" s="676"/>
      <c r="U189" s="676"/>
      <c r="V189" s="676"/>
      <c r="W189" s="676"/>
      <c r="X189" s="676"/>
      <c r="Y189" s="676"/>
      <c r="Z189" s="676"/>
      <c r="AA189" s="676"/>
    </row>
    <row r="190" spans="1:27" x14ac:dyDescent="0.25">
      <c r="A190" s="584"/>
      <c r="B190" s="712"/>
      <c r="C190" s="584" t="s">
        <v>1126</v>
      </c>
      <c r="D190" s="584" t="s">
        <v>585</v>
      </c>
      <c r="E190" s="712" t="s">
        <v>717</v>
      </c>
      <c r="F190" s="360">
        <v>0.102258</v>
      </c>
      <c r="G190" s="360">
        <v>1</v>
      </c>
      <c r="H190" s="360"/>
      <c r="I190" s="360">
        <f>F190*G190*H107</f>
        <v>0.102258</v>
      </c>
      <c r="J190" s="506"/>
      <c r="K190" s="506"/>
      <c r="L190" s="506"/>
      <c r="M190" s="506"/>
      <c r="N190" s="506"/>
      <c r="O190" s="506"/>
      <c r="P190" s="676"/>
      <c r="Q190" s="676"/>
      <c r="R190" s="676"/>
      <c r="S190" s="676"/>
      <c r="T190" s="676"/>
      <c r="U190" s="676"/>
      <c r="V190" s="676"/>
      <c r="W190" s="676"/>
      <c r="X190" s="676"/>
      <c r="Y190" s="676"/>
      <c r="Z190" s="676"/>
      <c r="AA190" s="676"/>
    </row>
    <row r="191" spans="1:27" x14ac:dyDescent="0.25">
      <c r="A191" s="584"/>
      <c r="B191" s="712"/>
      <c r="C191" s="584" t="s">
        <v>759</v>
      </c>
      <c r="D191" s="584" t="s">
        <v>42</v>
      </c>
      <c r="E191" s="712" t="s">
        <v>717</v>
      </c>
      <c r="F191" s="360">
        <v>0.476518</v>
      </c>
      <c r="G191" s="360">
        <v>1</v>
      </c>
      <c r="H191" s="360"/>
      <c r="I191" s="360">
        <f>F191*G191*H107</f>
        <v>0.476518</v>
      </c>
      <c r="J191" s="506"/>
      <c r="K191" s="506"/>
      <c r="L191" s="506"/>
      <c r="M191" s="506"/>
      <c r="N191" s="506"/>
      <c r="O191" s="506"/>
      <c r="P191" s="676"/>
      <c r="Q191" s="676"/>
      <c r="R191" s="676"/>
      <c r="S191" s="676"/>
      <c r="T191" s="676"/>
      <c r="U191" s="676"/>
      <c r="V191" s="676"/>
      <c r="W191" s="676"/>
      <c r="X191" s="676"/>
      <c r="Y191" s="676"/>
      <c r="Z191" s="676"/>
      <c r="AA191" s="676"/>
    </row>
    <row r="192" spans="1:27" x14ac:dyDescent="0.25">
      <c r="A192" s="584"/>
      <c r="B192" s="712"/>
      <c r="C192" s="584" t="s">
        <v>82</v>
      </c>
      <c r="D192" s="584" t="s">
        <v>363</v>
      </c>
      <c r="E192" s="712" t="s">
        <v>717</v>
      </c>
      <c r="F192" s="360">
        <v>1.3731040000000001</v>
      </c>
      <c r="G192" s="360">
        <v>1</v>
      </c>
      <c r="H192" s="360"/>
      <c r="I192" s="360">
        <f>F192*G192*H107</f>
        <v>1.3731040000000001</v>
      </c>
      <c r="J192" s="506"/>
      <c r="K192" s="506"/>
      <c r="L192" s="506"/>
      <c r="M192" s="506"/>
      <c r="N192" s="506"/>
      <c r="O192" s="506"/>
      <c r="P192" s="676"/>
      <c r="Q192" s="676"/>
      <c r="R192" s="676"/>
      <c r="S192" s="676"/>
      <c r="T192" s="676"/>
      <c r="U192" s="676"/>
      <c r="V192" s="676"/>
      <c r="W192" s="676"/>
      <c r="X192" s="676"/>
      <c r="Y192" s="676"/>
      <c r="Z192" s="676"/>
      <c r="AA192" s="676"/>
    </row>
    <row r="193" spans="1:27" x14ac:dyDescent="0.25">
      <c r="A193" s="584"/>
      <c r="B193" s="712"/>
      <c r="C193" s="584" t="s">
        <v>1024</v>
      </c>
      <c r="D193" s="584" t="s">
        <v>128</v>
      </c>
      <c r="E193" s="712" t="s">
        <v>717</v>
      </c>
      <c r="F193" s="360">
        <v>8.8119999999999994</v>
      </c>
      <c r="G193" s="360">
        <v>1</v>
      </c>
      <c r="H193" s="360"/>
      <c r="I193" s="360">
        <f>F193*G193*H107</f>
        <v>8.8119999999999994</v>
      </c>
      <c r="J193" s="506"/>
      <c r="K193" s="506"/>
      <c r="L193" s="506"/>
      <c r="M193" s="506"/>
      <c r="N193" s="506"/>
      <c r="O193" s="506"/>
      <c r="P193" s="676"/>
      <c r="Q193" s="676"/>
      <c r="R193" s="676"/>
      <c r="S193" s="676"/>
      <c r="T193" s="676"/>
      <c r="U193" s="676"/>
      <c r="V193" s="676"/>
      <c r="W193" s="676"/>
      <c r="X193" s="676"/>
      <c r="Y193" s="676"/>
      <c r="Z193" s="676"/>
      <c r="AA193" s="676"/>
    </row>
    <row r="194" spans="1:27" x14ac:dyDescent="0.25">
      <c r="A194" s="584"/>
      <c r="B194" s="712"/>
      <c r="C194" s="584" t="s">
        <v>1089</v>
      </c>
      <c r="D194" s="584" t="s">
        <v>949</v>
      </c>
      <c r="E194" s="712" t="s">
        <v>717</v>
      </c>
      <c r="F194" s="360">
        <v>1.25322936</v>
      </c>
      <c r="G194" s="360">
        <v>1</v>
      </c>
      <c r="H194" s="360"/>
      <c r="I194" s="360">
        <f>F194*G194*H107</f>
        <v>1.25322936</v>
      </c>
      <c r="J194" s="506"/>
      <c r="K194" s="506"/>
      <c r="L194" s="506"/>
      <c r="M194" s="506"/>
      <c r="N194" s="506"/>
      <c r="O194" s="506"/>
      <c r="P194" s="676"/>
      <c r="Q194" s="676"/>
      <c r="R194" s="676"/>
      <c r="S194" s="676"/>
      <c r="T194" s="676"/>
      <c r="U194" s="676"/>
      <c r="V194" s="676"/>
      <c r="W194" s="676"/>
      <c r="X194" s="676"/>
      <c r="Y194" s="676"/>
      <c r="Z194" s="676"/>
      <c r="AA194" s="676"/>
    </row>
    <row r="195" spans="1:27" x14ac:dyDescent="0.25">
      <c r="A195" s="584"/>
      <c r="B195" s="712"/>
      <c r="C195" s="584" t="s">
        <v>1055</v>
      </c>
      <c r="D195" s="584" t="s">
        <v>517</v>
      </c>
      <c r="E195" s="712" t="s">
        <v>717</v>
      </c>
      <c r="F195" s="360">
        <v>6.3520699999999999E-2</v>
      </c>
      <c r="G195" s="360">
        <v>1</v>
      </c>
      <c r="H195" s="360"/>
      <c r="I195" s="360">
        <f>F195*G195*H107</f>
        <v>6.3520699999999999E-2</v>
      </c>
      <c r="J195" s="506"/>
      <c r="K195" s="506"/>
      <c r="L195" s="506"/>
      <c r="M195" s="506"/>
      <c r="N195" s="506"/>
      <c r="O195" s="506"/>
      <c r="P195" s="676"/>
      <c r="Q195" s="676"/>
      <c r="R195" s="676"/>
      <c r="S195" s="676"/>
      <c r="T195" s="676"/>
      <c r="U195" s="676"/>
      <c r="V195" s="676"/>
      <c r="W195" s="676"/>
      <c r="X195" s="676"/>
      <c r="Y195" s="676"/>
      <c r="Z195" s="676"/>
      <c r="AA195" s="676"/>
    </row>
    <row r="196" spans="1:27" x14ac:dyDescent="0.25">
      <c r="A196" s="584"/>
      <c r="B196" s="712"/>
      <c r="C196" s="584" t="s">
        <v>995</v>
      </c>
      <c r="D196" s="584" t="s">
        <v>588</v>
      </c>
      <c r="E196" s="712" t="s">
        <v>717</v>
      </c>
      <c r="F196" s="360">
        <v>0.26400000000000001</v>
      </c>
      <c r="G196" s="360">
        <v>1</v>
      </c>
      <c r="H196" s="360"/>
      <c r="I196" s="360">
        <f>F196*G196*H107</f>
        <v>0.26400000000000001</v>
      </c>
      <c r="J196" s="506"/>
      <c r="K196" s="506"/>
      <c r="L196" s="506"/>
      <c r="M196" s="506"/>
      <c r="N196" s="506"/>
      <c r="O196" s="506"/>
      <c r="P196" s="676"/>
      <c r="Q196" s="676"/>
      <c r="R196" s="676"/>
      <c r="S196" s="676"/>
      <c r="T196" s="676"/>
      <c r="U196" s="676"/>
      <c r="V196" s="676"/>
      <c r="W196" s="676"/>
      <c r="X196" s="676"/>
      <c r="Y196" s="676"/>
      <c r="Z196" s="676"/>
      <c r="AA196" s="676"/>
    </row>
    <row r="197" spans="1:27" x14ac:dyDescent="0.25">
      <c r="A197" s="584"/>
      <c r="B197" s="712"/>
      <c r="C197" s="584" t="s">
        <v>798</v>
      </c>
      <c r="D197" s="584" t="s">
        <v>988</v>
      </c>
      <c r="E197" s="712" t="s">
        <v>717</v>
      </c>
      <c r="F197" s="360">
        <v>1.4399501800000001</v>
      </c>
      <c r="G197" s="360">
        <v>1</v>
      </c>
      <c r="H197" s="360"/>
      <c r="I197" s="360">
        <f>F197*G197*H107</f>
        <v>1.4399501800000001</v>
      </c>
      <c r="J197" s="506"/>
      <c r="K197" s="506"/>
      <c r="L197" s="506"/>
      <c r="M197" s="506"/>
      <c r="N197" s="506"/>
      <c r="O197" s="506"/>
      <c r="P197" s="676"/>
      <c r="Q197" s="676"/>
      <c r="R197" s="676"/>
      <c r="S197" s="676"/>
      <c r="T197" s="676"/>
      <c r="U197" s="676"/>
      <c r="V197" s="676"/>
      <c r="W197" s="676"/>
      <c r="X197" s="676"/>
      <c r="Y197" s="676"/>
      <c r="Z197" s="676"/>
      <c r="AA197" s="676"/>
    </row>
    <row r="198" spans="1:27" x14ac:dyDescent="0.25">
      <c r="A198" s="373"/>
      <c r="B198" s="497">
        <v>3</v>
      </c>
      <c r="C198" s="373" t="s">
        <v>1269</v>
      </c>
      <c r="D198" s="373" t="s">
        <v>1099</v>
      </c>
      <c r="E198" s="497" t="s">
        <v>434</v>
      </c>
      <c r="F198" s="158"/>
      <c r="G198" s="158"/>
      <c r="H198" s="158">
        <v>1</v>
      </c>
      <c r="I198" s="158">
        <f>SUM(I199:I208)</f>
        <v>7.1089420000000016</v>
      </c>
      <c r="J198" s="292">
        <f>BGCM_GiaGoc_N4507_1</f>
        <v>0</v>
      </c>
      <c r="K198" s="292">
        <f>I198*J198</f>
        <v>0</v>
      </c>
      <c r="L198" s="292">
        <f>BGCM_GiaHT_N4507_1</f>
        <v>0</v>
      </c>
      <c r="M198" s="292">
        <f>I198*L198</f>
        <v>0</v>
      </c>
      <c r="N198" s="292">
        <f>L198-J198</f>
        <v>0</v>
      </c>
      <c r="O198" s="292">
        <f>I198*N198</f>
        <v>0</v>
      </c>
      <c r="P198" s="676"/>
      <c r="Q198" s="676"/>
      <c r="R198" s="676"/>
      <c r="S198" s="676"/>
      <c r="T198" s="676"/>
      <c r="U198" s="676"/>
      <c r="V198" s="676"/>
      <c r="W198" s="676"/>
      <c r="X198" s="676"/>
      <c r="Y198" s="676"/>
      <c r="Z198" s="676"/>
      <c r="AA198" s="676"/>
    </row>
    <row r="199" spans="1:27" x14ac:dyDescent="0.25">
      <c r="A199" s="584"/>
      <c r="B199" s="712"/>
      <c r="C199" s="584" t="s">
        <v>1248</v>
      </c>
      <c r="D199" s="584" t="s">
        <v>196</v>
      </c>
      <c r="E199" s="712" t="s">
        <v>717</v>
      </c>
      <c r="F199" s="360">
        <v>0.71089420000000003</v>
      </c>
      <c r="G199" s="360">
        <v>1</v>
      </c>
      <c r="H199" s="360"/>
      <c r="I199" s="360">
        <f>F199*G199*H198</f>
        <v>0.71089420000000003</v>
      </c>
      <c r="J199" s="506"/>
      <c r="K199" s="506"/>
      <c r="L199" s="506"/>
      <c r="M199" s="506"/>
      <c r="N199" s="506"/>
      <c r="O199" s="506"/>
      <c r="P199" s="676"/>
      <c r="Q199" s="676"/>
      <c r="R199" s="676"/>
      <c r="S199" s="676"/>
      <c r="T199" s="676"/>
      <c r="U199" s="676"/>
      <c r="V199" s="676"/>
      <c r="W199" s="676"/>
      <c r="X199" s="676"/>
      <c r="Y199" s="676"/>
      <c r="Z199" s="676"/>
      <c r="AA199" s="676"/>
    </row>
    <row r="200" spans="1:27" x14ac:dyDescent="0.25">
      <c r="A200" s="584"/>
      <c r="B200" s="712"/>
      <c r="C200" s="584" t="s">
        <v>1248</v>
      </c>
      <c r="D200" s="584" t="s">
        <v>196</v>
      </c>
      <c r="E200" s="712" t="s">
        <v>717</v>
      </c>
      <c r="F200" s="360">
        <v>0.71089420000000003</v>
      </c>
      <c r="G200" s="360">
        <v>1</v>
      </c>
      <c r="H200" s="360"/>
      <c r="I200" s="360">
        <f>F200*G200*H198</f>
        <v>0.71089420000000003</v>
      </c>
      <c r="J200" s="506"/>
      <c r="K200" s="506"/>
      <c r="L200" s="506"/>
      <c r="M200" s="506"/>
      <c r="N200" s="506"/>
      <c r="O200" s="506"/>
      <c r="P200" s="676"/>
      <c r="Q200" s="676"/>
      <c r="R200" s="676"/>
      <c r="S200" s="676"/>
      <c r="T200" s="676"/>
      <c r="U200" s="676"/>
      <c r="V200" s="676"/>
      <c r="W200" s="676"/>
      <c r="X200" s="676"/>
      <c r="Y200" s="676"/>
      <c r="Z200" s="676"/>
      <c r="AA200" s="676"/>
    </row>
    <row r="201" spans="1:27" x14ac:dyDescent="0.25">
      <c r="A201" s="584"/>
      <c r="B201" s="712"/>
      <c r="C201" s="584" t="s">
        <v>1248</v>
      </c>
      <c r="D201" s="584" t="s">
        <v>196</v>
      </c>
      <c r="E201" s="712" t="s">
        <v>717</v>
      </c>
      <c r="F201" s="360">
        <v>0.71089420000000003</v>
      </c>
      <c r="G201" s="360">
        <v>1</v>
      </c>
      <c r="H201" s="360"/>
      <c r="I201" s="360">
        <f>F201*G201*H198</f>
        <v>0.71089420000000003</v>
      </c>
      <c r="J201" s="506"/>
      <c r="K201" s="506"/>
      <c r="L201" s="506"/>
      <c r="M201" s="506"/>
      <c r="N201" s="506"/>
      <c r="O201" s="506"/>
      <c r="P201" s="676"/>
      <c r="Q201" s="676"/>
      <c r="R201" s="676"/>
      <c r="S201" s="676"/>
      <c r="T201" s="676"/>
      <c r="U201" s="676"/>
      <c r="V201" s="676"/>
      <c r="W201" s="676"/>
      <c r="X201" s="676"/>
      <c r="Y201" s="676"/>
      <c r="Z201" s="676"/>
      <c r="AA201" s="676"/>
    </row>
    <row r="202" spans="1:27" x14ac:dyDescent="0.25">
      <c r="A202" s="584"/>
      <c r="B202" s="712"/>
      <c r="C202" s="584" t="s">
        <v>1248</v>
      </c>
      <c r="D202" s="584" t="s">
        <v>196</v>
      </c>
      <c r="E202" s="712" t="s">
        <v>717</v>
      </c>
      <c r="F202" s="360">
        <v>0.71089420000000003</v>
      </c>
      <c r="G202" s="360">
        <v>1</v>
      </c>
      <c r="H202" s="360"/>
      <c r="I202" s="360">
        <f>F202*G202*H198</f>
        <v>0.71089420000000003</v>
      </c>
      <c r="J202" s="506"/>
      <c r="K202" s="506"/>
      <c r="L202" s="506"/>
      <c r="M202" s="506"/>
      <c r="N202" s="506"/>
      <c r="O202" s="506"/>
      <c r="P202" s="676"/>
      <c r="Q202" s="676"/>
      <c r="R202" s="676"/>
      <c r="S202" s="676"/>
      <c r="T202" s="676"/>
      <c r="U202" s="676"/>
      <c r="V202" s="676"/>
      <c r="W202" s="676"/>
      <c r="X202" s="676"/>
      <c r="Y202" s="676"/>
      <c r="Z202" s="676"/>
      <c r="AA202" s="676"/>
    </row>
    <row r="203" spans="1:27" x14ac:dyDescent="0.25">
      <c r="A203" s="584"/>
      <c r="B203" s="712"/>
      <c r="C203" s="584" t="s">
        <v>1248</v>
      </c>
      <c r="D203" s="584" t="s">
        <v>196</v>
      </c>
      <c r="E203" s="712" t="s">
        <v>717</v>
      </c>
      <c r="F203" s="360">
        <v>0.71089420000000003</v>
      </c>
      <c r="G203" s="360">
        <v>1</v>
      </c>
      <c r="H203" s="360"/>
      <c r="I203" s="360">
        <f>F203*G203*H198</f>
        <v>0.71089420000000003</v>
      </c>
      <c r="J203" s="506"/>
      <c r="K203" s="506"/>
      <c r="L203" s="506"/>
      <c r="M203" s="506"/>
      <c r="N203" s="506"/>
      <c r="O203" s="506"/>
      <c r="P203" s="676"/>
      <c r="Q203" s="676"/>
      <c r="R203" s="676"/>
      <c r="S203" s="676"/>
      <c r="T203" s="676"/>
      <c r="U203" s="676"/>
      <c r="V203" s="676"/>
      <c r="W203" s="676"/>
      <c r="X203" s="676"/>
      <c r="Y203" s="676"/>
      <c r="Z203" s="676"/>
      <c r="AA203" s="676"/>
    </row>
    <row r="204" spans="1:27" x14ac:dyDescent="0.25">
      <c r="A204" s="584"/>
      <c r="B204" s="712"/>
      <c r="C204" s="584" t="s">
        <v>1248</v>
      </c>
      <c r="D204" s="584" t="s">
        <v>196</v>
      </c>
      <c r="E204" s="712" t="s">
        <v>717</v>
      </c>
      <c r="F204" s="360">
        <v>0.71089420000000003</v>
      </c>
      <c r="G204" s="360">
        <v>1</v>
      </c>
      <c r="H204" s="360"/>
      <c r="I204" s="360">
        <f>F204*G204*H198</f>
        <v>0.71089420000000003</v>
      </c>
      <c r="J204" s="506"/>
      <c r="K204" s="506"/>
      <c r="L204" s="506"/>
      <c r="M204" s="506"/>
      <c r="N204" s="506"/>
      <c r="O204" s="506"/>
      <c r="P204" s="676"/>
      <c r="Q204" s="676"/>
      <c r="R204" s="676"/>
      <c r="S204" s="676"/>
      <c r="T204" s="676"/>
      <c r="U204" s="676"/>
      <c r="V204" s="676"/>
      <c r="W204" s="676"/>
      <c r="X204" s="676"/>
      <c r="Y204" s="676"/>
      <c r="Z204" s="676"/>
      <c r="AA204" s="676"/>
    </row>
    <row r="205" spans="1:27" x14ac:dyDescent="0.25">
      <c r="A205" s="584"/>
      <c r="B205" s="712"/>
      <c r="C205" s="584" t="s">
        <v>1248</v>
      </c>
      <c r="D205" s="584" t="s">
        <v>196</v>
      </c>
      <c r="E205" s="712" t="s">
        <v>717</v>
      </c>
      <c r="F205" s="360">
        <v>0.71089420000000003</v>
      </c>
      <c r="G205" s="360">
        <v>1</v>
      </c>
      <c r="H205" s="360"/>
      <c r="I205" s="360">
        <f>F205*G205*H198</f>
        <v>0.71089420000000003</v>
      </c>
      <c r="J205" s="506"/>
      <c r="K205" s="506"/>
      <c r="L205" s="506"/>
      <c r="M205" s="506"/>
      <c r="N205" s="506"/>
      <c r="O205" s="506"/>
      <c r="P205" s="676"/>
      <c r="Q205" s="676"/>
      <c r="R205" s="676"/>
      <c r="S205" s="676"/>
      <c r="T205" s="676"/>
      <c r="U205" s="676"/>
      <c r="V205" s="676"/>
      <c r="W205" s="676"/>
      <c r="X205" s="676"/>
      <c r="Y205" s="676"/>
      <c r="Z205" s="676"/>
      <c r="AA205" s="676"/>
    </row>
    <row r="206" spans="1:27" x14ac:dyDescent="0.25">
      <c r="A206" s="584"/>
      <c r="B206" s="712"/>
      <c r="C206" s="584" t="s">
        <v>1248</v>
      </c>
      <c r="D206" s="584" t="s">
        <v>196</v>
      </c>
      <c r="E206" s="712" t="s">
        <v>717</v>
      </c>
      <c r="F206" s="360">
        <v>0.71089420000000003</v>
      </c>
      <c r="G206" s="360">
        <v>1</v>
      </c>
      <c r="H206" s="360"/>
      <c r="I206" s="360">
        <f>F206*G206*H198</f>
        <v>0.71089420000000003</v>
      </c>
      <c r="J206" s="506"/>
      <c r="K206" s="506"/>
      <c r="L206" s="506"/>
      <c r="M206" s="506"/>
      <c r="N206" s="506"/>
      <c r="O206" s="506"/>
      <c r="P206" s="676"/>
      <c r="Q206" s="676"/>
      <c r="R206" s="676"/>
      <c r="S206" s="676"/>
      <c r="T206" s="676"/>
      <c r="U206" s="676"/>
      <c r="V206" s="676"/>
      <c r="W206" s="676"/>
      <c r="X206" s="676"/>
      <c r="Y206" s="676"/>
      <c r="Z206" s="676"/>
      <c r="AA206" s="676"/>
    </row>
    <row r="207" spans="1:27" x14ac:dyDescent="0.25">
      <c r="A207" s="584"/>
      <c r="B207" s="712"/>
      <c r="C207" s="584" t="s">
        <v>1248</v>
      </c>
      <c r="D207" s="584" t="s">
        <v>196</v>
      </c>
      <c r="E207" s="712" t="s">
        <v>717</v>
      </c>
      <c r="F207" s="360">
        <v>0.71089420000000003</v>
      </c>
      <c r="G207" s="360">
        <v>1</v>
      </c>
      <c r="H207" s="360"/>
      <c r="I207" s="360">
        <f>F207*G207*H198</f>
        <v>0.71089420000000003</v>
      </c>
      <c r="J207" s="506"/>
      <c r="K207" s="506"/>
      <c r="L207" s="506"/>
      <c r="M207" s="506"/>
      <c r="N207" s="506"/>
      <c r="O207" s="506"/>
      <c r="P207" s="676"/>
      <c r="Q207" s="676"/>
      <c r="R207" s="676"/>
      <c r="S207" s="676"/>
      <c r="T207" s="676"/>
      <c r="U207" s="676"/>
      <c r="V207" s="676"/>
      <c r="W207" s="676"/>
      <c r="X207" s="676"/>
      <c r="Y207" s="676"/>
      <c r="Z207" s="676"/>
      <c r="AA207" s="676"/>
    </row>
    <row r="208" spans="1:27" x14ac:dyDescent="0.25">
      <c r="A208" s="584"/>
      <c r="B208" s="712"/>
      <c r="C208" s="584" t="s">
        <v>1248</v>
      </c>
      <c r="D208" s="584" t="s">
        <v>196</v>
      </c>
      <c r="E208" s="712" t="s">
        <v>717</v>
      </c>
      <c r="F208" s="360">
        <v>0.71089420000000003</v>
      </c>
      <c r="G208" s="360">
        <v>1</v>
      </c>
      <c r="H208" s="360"/>
      <c r="I208" s="360">
        <f>F208*G208*H198</f>
        <v>0.71089420000000003</v>
      </c>
      <c r="J208" s="506"/>
      <c r="K208" s="506"/>
      <c r="L208" s="506"/>
      <c r="M208" s="506"/>
      <c r="N208" s="506"/>
      <c r="O208" s="506"/>
      <c r="P208" s="676"/>
      <c r="Q208" s="676"/>
      <c r="R208" s="676"/>
      <c r="S208" s="676"/>
      <c r="T208" s="676"/>
      <c r="U208" s="676"/>
      <c r="V208" s="676"/>
      <c r="W208" s="676"/>
      <c r="X208" s="676"/>
      <c r="Y208" s="676"/>
      <c r="Z208" s="676"/>
      <c r="AA208" s="676"/>
    </row>
    <row r="209" spans="1:27" x14ac:dyDescent="0.25">
      <c r="A209" s="373"/>
      <c r="B209" s="497">
        <v>4</v>
      </c>
      <c r="C209" s="373" t="s">
        <v>292</v>
      </c>
      <c r="D209" s="373" t="s">
        <v>1042</v>
      </c>
      <c r="E209" s="497" t="s">
        <v>434</v>
      </c>
      <c r="F209" s="158"/>
      <c r="G209" s="158"/>
      <c r="H209" s="158">
        <v>1</v>
      </c>
      <c r="I209" s="158">
        <f>SUM(I210:I219)</f>
        <v>0.6256799999999999</v>
      </c>
      <c r="J209" s="292">
        <f>BGCM_GiaGoc_N4607_1</f>
        <v>0</v>
      </c>
      <c r="K209" s="292">
        <f>I209*J209</f>
        <v>0</v>
      </c>
      <c r="L209" s="292">
        <f>BGCM_GiaHT_N4607_1</f>
        <v>0</v>
      </c>
      <c r="M209" s="292">
        <f>I209*L209</f>
        <v>0</v>
      </c>
      <c r="N209" s="292">
        <f>L209-J209</f>
        <v>0</v>
      </c>
      <c r="O209" s="292">
        <f>I209*N209</f>
        <v>0</v>
      </c>
      <c r="P209" s="676"/>
      <c r="Q209" s="676"/>
      <c r="R209" s="676"/>
      <c r="S209" s="676"/>
      <c r="T209" s="676"/>
      <c r="U209" s="676"/>
      <c r="V209" s="676"/>
      <c r="W209" s="676"/>
      <c r="X209" s="676"/>
      <c r="Y209" s="676"/>
      <c r="Z209" s="676"/>
      <c r="AA209" s="676"/>
    </row>
    <row r="210" spans="1:27" x14ac:dyDescent="0.25">
      <c r="A210" s="584"/>
      <c r="B210" s="712"/>
      <c r="C210" s="584" t="s">
        <v>208</v>
      </c>
      <c r="D210" s="584" t="s">
        <v>682</v>
      </c>
      <c r="E210" s="712" t="s">
        <v>717</v>
      </c>
      <c r="F210" s="360">
        <v>6.2567999999999999E-2</v>
      </c>
      <c r="G210" s="360">
        <v>1</v>
      </c>
      <c r="H210" s="360"/>
      <c r="I210" s="360">
        <f>F210*G210*H209</f>
        <v>6.2567999999999999E-2</v>
      </c>
      <c r="J210" s="506"/>
      <c r="K210" s="506"/>
      <c r="L210" s="506"/>
      <c r="M210" s="506"/>
      <c r="N210" s="506"/>
      <c r="O210" s="506"/>
      <c r="P210" s="676"/>
      <c r="Q210" s="676"/>
      <c r="R210" s="676"/>
      <c r="S210" s="676"/>
      <c r="T210" s="676"/>
      <c r="U210" s="676"/>
      <c r="V210" s="676"/>
      <c r="W210" s="676"/>
      <c r="X210" s="676"/>
      <c r="Y210" s="676"/>
      <c r="Z210" s="676"/>
      <c r="AA210" s="676"/>
    </row>
    <row r="211" spans="1:27" x14ac:dyDescent="0.25">
      <c r="A211" s="584"/>
      <c r="B211" s="712"/>
      <c r="C211" s="584" t="s">
        <v>208</v>
      </c>
      <c r="D211" s="584" t="s">
        <v>682</v>
      </c>
      <c r="E211" s="712" t="s">
        <v>717</v>
      </c>
      <c r="F211" s="360">
        <v>6.2567999999999999E-2</v>
      </c>
      <c r="G211" s="360">
        <v>1</v>
      </c>
      <c r="H211" s="360"/>
      <c r="I211" s="360">
        <f>F211*G211*H209</f>
        <v>6.2567999999999999E-2</v>
      </c>
      <c r="J211" s="506"/>
      <c r="K211" s="506"/>
      <c r="L211" s="506"/>
      <c r="M211" s="506"/>
      <c r="N211" s="506"/>
      <c r="O211" s="506"/>
      <c r="P211" s="676"/>
      <c r="Q211" s="676"/>
      <c r="R211" s="676"/>
      <c r="S211" s="676"/>
      <c r="T211" s="676"/>
      <c r="U211" s="676"/>
      <c r="V211" s="676"/>
      <c r="W211" s="676"/>
      <c r="X211" s="676"/>
      <c r="Y211" s="676"/>
      <c r="Z211" s="676"/>
      <c r="AA211" s="676"/>
    </row>
    <row r="212" spans="1:27" x14ac:dyDescent="0.25">
      <c r="A212" s="584"/>
      <c r="B212" s="712"/>
      <c r="C212" s="584" t="s">
        <v>208</v>
      </c>
      <c r="D212" s="584" t="s">
        <v>682</v>
      </c>
      <c r="E212" s="712" t="s">
        <v>717</v>
      </c>
      <c r="F212" s="360">
        <v>6.2567999999999999E-2</v>
      </c>
      <c r="G212" s="360">
        <v>1</v>
      </c>
      <c r="H212" s="360"/>
      <c r="I212" s="360">
        <f>F212*G212*H209</f>
        <v>6.2567999999999999E-2</v>
      </c>
      <c r="J212" s="506"/>
      <c r="K212" s="506"/>
      <c r="L212" s="506"/>
      <c r="M212" s="506"/>
      <c r="N212" s="506"/>
      <c r="O212" s="506"/>
      <c r="P212" s="676"/>
      <c r="Q212" s="676"/>
      <c r="R212" s="676"/>
      <c r="S212" s="676"/>
      <c r="T212" s="676"/>
      <c r="U212" s="676"/>
      <c r="V212" s="676"/>
      <c r="W212" s="676"/>
      <c r="X212" s="676"/>
      <c r="Y212" s="676"/>
      <c r="Z212" s="676"/>
      <c r="AA212" s="676"/>
    </row>
    <row r="213" spans="1:27" x14ac:dyDescent="0.25">
      <c r="A213" s="584"/>
      <c r="B213" s="712"/>
      <c r="C213" s="584" t="s">
        <v>208</v>
      </c>
      <c r="D213" s="584" t="s">
        <v>682</v>
      </c>
      <c r="E213" s="712" t="s">
        <v>717</v>
      </c>
      <c r="F213" s="360">
        <v>6.2567999999999999E-2</v>
      </c>
      <c r="G213" s="360">
        <v>1</v>
      </c>
      <c r="H213" s="360"/>
      <c r="I213" s="360">
        <f>F213*G213*H209</f>
        <v>6.2567999999999999E-2</v>
      </c>
      <c r="J213" s="506"/>
      <c r="K213" s="506"/>
      <c r="L213" s="506"/>
      <c r="M213" s="506"/>
      <c r="N213" s="506"/>
      <c r="O213" s="506"/>
      <c r="P213" s="676"/>
      <c r="Q213" s="676"/>
      <c r="R213" s="676"/>
      <c r="S213" s="676"/>
      <c r="T213" s="676"/>
      <c r="U213" s="676"/>
      <c r="V213" s="676"/>
      <c r="W213" s="676"/>
      <c r="X213" s="676"/>
      <c r="Y213" s="676"/>
      <c r="Z213" s="676"/>
      <c r="AA213" s="676"/>
    </row>
    <row r="214" spans="1:27" x14ac:dyDescent="0.25">
      <c r="A214" s="584"/>
      <c r="B214" s="712"/>
      <c r="C214" s="584" t="s">
        <v>208</v>
      </c>
      <c r="D214" s="584" t="s">
        <v>682</v>
      </c>
      <c r="E214" s="712" t="s">
        <v>717</v>
      </c>
      <c r="F214" s="360">
        <v>6.2567999999999999E-2</v>
      </c>
      <c r="G214" s="360">
        <v>1</v>
      </c>
      <c r="H214" s="360"/>
      <c r="I214" s="360">
        <f>F214*G214*H209</f>
        <v>6.2567999999999999E-2</v>
      </c>
      <c r="J214" s="506"/>
      <c r="K214" s="506"/>
      <c r="L214" s="506"/>
      <c r="M214" s="506"/>
      <c r="N214" s="506"/>
      <c r="O214" s="506"/>
      <c r="P214" s="676"/>
      <c r="Q214" s="676"/>
      <c r="R214" s="676"/>
      <c r="S214" s="676"/>
      <c r="T214" s="676"/>
      <c r="U214" s="676"/>
      <c r="V214" s="676"/>
      <c r="W214" s="676"/>
      <c r="X214" s="676"/>
      <c r="Y214" s="676"/>
      <c r="Z214" s="676"/>
      <c r="AA214" s="676"/>
    </row>
    <row r="215" spans="1:27" x14ac:dyDescent="0.25">
      <c r="A215" s="584"/>
      <c r="B215" s="712"/>
      <c r="C215" s="584" t="s">
        <v>208</v>
      </c>
      <c r="D215" s="584" t="s">
        <v>682</v>
      </c>
      <c r="E215" s="712" t="s">
        <v>717</v>
      </c>
      <c r="F215" s="360">
        <v>6.2567999999999999E-2</v>
      </c>
      <c r="G215" s="360">
        <v>1</v>
      </c>
      <c r="H215" s="360"/>
      <c r="I215" s="360">
        <f>F215*G215*H209</f>
        <v>6.2567999999999999E-2</v>
      </c>
      <c r="J215" s="506"/>
      <c r="K215" s="506"/>
      <c r="L215" s="506"/>
      <c r="M215" s="506"/>
      <c r="N215" s="506"/>
      <c r="O215" s="506"/>
      <c r="P215" s="676"/>
      <c r="Q215" s="676"/>
      <c r="R215" s="676"/>
      <c r="S215" s="676"/>
      <c r="T215" s="676"/>
      <c r="U215" s="676"/>
      <c r="V215" s="676"/>
      <c r="W215" s="676"/>
      <c r="X215" s="676"/>
      <c r="Y215" s="676"/>
      <c r="Z215" s="676"/>
      <c r="AA215" s="676"/>
    </row>
    <row r="216" spans="1:27" x14ac:dyDescent="0.25">
      <c r="A216" s="584"/>
      <c r="B216" s="712"/>
      <c r="C216" s="584" t="s">
        <v>208</v>
      </c>
      <c r="D216" s="584" t="s">
        <v>682</v>
      </c>
      <c r="E216" s="712" t="s">
        <v>717</v>
      </c>
      <c r="F216" s="360">
        <v>6.2567999999999999E-2</v>
      </c>
      <c r="G216" s="360">
        <v>1</v>
      </c>
      <c r="H216" s="360"/>
      <c r="I216" s="360">
        <f>F216*G216*H209</f>
        <v>6.2567999999999999E-2</v>
      </c>
      <c r="J216" s="506"/>
      <c r="K216" s="506"/>
      <c r="L216" s="506"/>
      <c r="M216" s="506"/>
      <c r="N216" s="506"/>
      <c r="O216" s="506"/>
      <c r="P216" s="676"/>
      <c r="Q216" s="676"/>
      <c r="R216" s="676"/>
      <c r="S216" s="676"/>
      <c r="T216" s="676"/>
      <c r="U216" s="676"/>
      <c r="V216" s="676"/>
      <c r="W216" s="676"/>
      <c r="X216" s="676"/>
      <c r="Y216" s="676"/>
      <c r="Z216" s="676"/>
      <c r="AA216" s="676"/>
    </row>
    <row r="217" spans="1:27" x14ac:dyDescent="0.25">
      <c r="A217" s="584"/>
      <c r="B217" s="712"/>
      <c r="C217" s="584" t="s">
        <v>208</v>
      </c>
      <c r="D217" s="584" t="s">
        <v>682</v>
      </c>
      <c r="E217" s="712" t="s">
        <v>717</v>
      </c>
      <c r="F217" s="360">
        <v>6.2567999999999999E-2</v>
      </c>
      <c r="G217" s="360">
        <v>1</v>
      </c>
      <c r="H217" s="360"/>
      <c r="I217" s="360">
        <f>F217*G217*H209</f>
        <v>6.2567999999999999E-2</v>
      </c>
      <c r="J217" s="506"/>
      <c r="K217" s="506"/>
      <c r="L217" s="506"/>
      <c r="M217" s="506"/>
      <c r="N217" s="506"/>
      <c r="O217" s="506"/>
      <c r="P217" s="676"/>
      <c r="Q217" s="676"/>
      <c r="R217" s="676"/>
      <c r="S217" s="676"/>
      <c r="T217" s="676"/>
      <c r="U217" s="676"/>
      <c r="V217" s="676"/>
      <c r="W217" s="676"/>
      <c r="X217" s="676"/>
      <c r="Y217" s="676"/>
      <c r="Z217" s="676"/>
      <c r="AA217" s="676"/>
    </row>
    <row r="218" spans="1:27" x14ac:dyDescent="0.25">
      <c r="A218" s="584"/>
      <c r="B218" s="712"/>
      <c r="C218" s="584" t="s">
        <v>208</v>
      </c>
      <c r="D218" s="584" t="s">
        <v>682</v>
      </c>
      <c r="E218" s="712" t="s">
        <v>717</v>
      </c>
      <c r="F218" s="360">
        <v>6.2567999999999999E-2</v>
      </c>
      <c r="G218" s="360">
        <v>1</v>
      </c>
      <c r="H218" s="360"/>
      <c r="I218" s="360">
        <f>F218*G218*H209</f>
        <v>6.2567999999999999E-2</v>
      </c>
      <c r="J218" s="506"/>
      <c r="K218" s="506"/>
      <c r="L218" s="506"/>
      <c r="M218" s="506"/>
      <c r="N218" s="506"/>
      <c r="O218" s="506"/>
      <c r="P218" s="676"/>
      <c r="Q218" s="676"/>
      <c r="R218" s="676"/>
      <c r="S218" s="676"/>
      <c r="T218" s="676"/>
      <c r="U218" s="676"/>
      <c r="V218" s="676"/>
      <c r="W218" s="676"/>
      <c r="X218" s="676"/>
      <c r="Y218" s="676"/>
      <c r="Z218" s="676"/>
      <c r="AA218" s="676"/>
    </row>
    <row r="219" spans="1:27" x14ac:dyDescent="0.25">
      <c r="A219" s="584"/>
      <c r="B219" s="712"/>
      <c r="C219" s="584" t="s">
        <v>208</v>
      </c>
      <c r="D219" s="584" t="s">
        <v>682</v>
      </c>
      <c r="E219" s="712" t="s">
        <v>717</v>
      </c>
      <c r="F219" s="360">
        <v>6.2567999999999999E-2</v>
      </c>
      <c r="G219" s="360">
        <v>1</v>
      </c>
      <c r="H219" s="360"/>
      <c r="I219" s="360">
        <f>F219*G219*H209</f>
        <v>6.2567999999999999E-2</v>
      </c>
      <c r="J219" s="506"/>
      <c r="K219" s="506"/>
      <c r="L219" s="506"/>
      <c r="M219" s="506"/>
      <c r="N219" s="506"/>
      <c r="O219" s="506"/>
      <c r="P219" s="676"/>
      <c r="Q219" s="676"/>
      <c r="R219" s="676"/>
      <c r="S219" s="676"/>
      <c r="T219" s="676"/>
      <c r="U219" s="676"/>
      <c r="V219" s="676"/>
      <c r="W219" s="676"/>
      <c r="X219" s="676"/>
      <c r="Y219" s="676"/>
      <c r="Z219" s="676"/>
      <c r="AA219" s="676"/>
    </row>
    <row r="220" spans="1:27" x14ac:dyDescent="0.25">
      <c r="A220" s="373"/>
      <c r="B220" s="497">
        <v>5</v>
      </c>
      <c r="C220" s="373" t="s">
        <v>85</v>
      </c>
      <c r="D220" s="373" t="s">
        <v>657</v>
      </c>
      <c r="E220" s="497" t="s">
        <v>434</v>
      </c>
      <c r="F220" s="158"/>
      <c r="G220" s="158"/>
      <c r="H220" s="158">
        <v>1</v>
      </c>
      <c r="I220" s="158">
        <f>SUM(I221:I230)</f>
        <v>10.497092</v>
      </c>
      <c r="J220" s="292">
        <f>BGCM_GiaGoc_NLX414_1</f>
        <v>0</v>
      </c>
      <c r="K220" s="292">
        <f>I220*J220</f>
        <v>0</v>
      </c>
      <c r="L220" s="292">
        <f>BGCM_GiaHT_NLX414_1</f>
        <v>0</v>
      </c>
      <c r="M220" s="292">
        <f>I220*L220</f>
        <v>0</v>
      </c>
      <c r="N220" s="292">
        <f>L220-J220</f>
        <v>0</v>
      </c>
      <c r="O220" s="292">
        <f>I220*N220</f>
        <v>0</v>
      </c>
      <c r="P220" s="676"/>
      <c r="Q220" s="676"/>
      <c r="R220" s="676"/>
      <c r="S220" s="676"/>
      <c r="T220" s="676"/>
      <c r="U220" s="676"/>
      <c r="V220" s="676"/>
      <c r="W220" s="676"/>
      <c r="X220" s="676"/>
      <c r="Y220" s="676"/>
      <c r="Z220" s="676"/>
      <c r="AA220" s="676"/>
    </row>
    <row r="221" spans="1:27" x14ac:dyDescent="0.25">
      <c r="A221" s="584"/>
      <c r="B221" s="712"/>
      <c r="C221" s="584" t="s">
        <v>811</v>
      </c>
      <c r="D221" s="584" t="s">
        <v>929</v>
      </c>
      <c r="E221" s="712" t="s">
        <v>717</v>
      </c>
      <c r="F221" s="360">
        <v>1.0497091999999999</v>
      </c>
      <c r="G221" s="360">
        <v>1</v>
      </c>
      <c r="H221" s="360"/>
      <c r="I221" s="360">
        <f>F221*G221*H220</f>
        <v>1.0497091999999999</v>
      </c>
      <c r="J221" s="506"/>
      <c r="K221" s="506"/>
      <c r="L221" s="506"/>
      <c r="M221" s="506"/>
      <c r="N221" s="506"/>
      <c r="O221" s="506"/>
      <c r="P221" s="676"/>
      <c r="Q221" s="676"/>
      <c r="R221" s="676"/>
      <c r="S221" s="676"/>
      <c r="T221" s="676"/>
      <c r="U221" s="676"/>
      <c r="V221" s="676"/>
      <c r="W221" s="676"/>
      <c r="X221" s="676"/>
      <c r="Y221" s="676"/>
      <c r="Z221" s="676"/>
      <c r="AA221" s="676"/>
    </row>
    <row r="222" spans="1:27" x14ac:dyDescent="0.25">
      <c r="A222" s="584"/>
      <c r="B222" s="712"/>
      <c r="C222" s="584" t="s">
        <v>811</v>
      </c>
      <c r="D222" s="584" t="s">
        <v>929</v>
      </c>
      <c r="E222" s="712" t="s">
        <v>717</v>
      </c>
      <c r="F222" s="360">
        <v>1.0497091999999999</v>
      </c>
      <c r="G222" s="360">
        <v>1</v>
      </c>
      <c r="H222" s="360"/>
      <c r="I222" s="360">
        <f>F222*G222*H220</f>
        <v>1.0497091999999999</v>
      </c>
      <c r="J222" s="506"/>
      <c r="K222" s="506"/>
      <c r="L222" s="506"/>
      <c r="M222" s="506"/>
      <c r="N222" s="506"/>
      <c r="O222" s="506"/>
      <c r="P222" s="676"/>
      <c r="Q222" s="676"/>
      <c r="R222" s="676"/>
      <c r="S222" s="676"/>
      <c r="T222" s="676"/>
      <c r="U222" s="676"/>
      <c r="V222" s="676"/>
      <c r="W222" s="676"/>
      <c r="X222" s="676"/>
      <c r="Y222" s="676"/>
      <c r="Z222" s="676"/>
      <c r="AA222" s="676"/>
    </row>
    <row r="223" spans="1:27" x14ac:dyDescent="0.25">
      <c r="A223" s="584"/>
      <c r="B223" s="712"/>
      <c r="C223" s="584" t="s">
        <v>811</v>
      </c>
      <c r="D223" s="584" t="s">
        <v>929</v>
      </c>
      <c r="E223" s="712" t="s">
        <v>717</v>
      </c>
      <c r="F223" s="360">
        <v>1.0497091999999999</v>
      </c>
      <c r="G223" s="360">
        <v>1</v>
      </c>
      <c r="H223" s="360"/>
      <c r="I223" s="360">
        <f>F223*G223*H220</f>
        <v>1.0497091999999999</v>
      </c>
      <c r="J223" s="506"/>
      <c r="K223" s="506"/>
      <c r="L223" s="506"/>
      <c r="M223" s="506"/>
      <c r="N223" s="506"/>
      <c r="O223" s="506"/>
      <c r="P223" s="676"/>
      <c r="Q223" s="676"/>
      <c r="R223" s="676"/>
      <c r="S223" s="676"/>
      <c r="T223" s="676"/>
      <c r="U223" s="676"/>
      <c r="V223" s="676"/>
      <c r="W223" s="676"/>
      <c r="X223" s="676"/>
      <c r="Y223" s="676"/>
      <c r="Z223" s="676"/>
      <c r="AA223" s="676"/>
    </row>
    <row r="224" spans="1:27" x14ac:dyDescent="0.25">
      <c r="A224" s="584"/>
      <c r="B224" s="712"/>
      <c r="C224" s="584" t="s">
        <v>811</v>
      </c>
      <c r="D224" s="584" t="s">
        <v>929</v>
      </c>
      <c r="E224" s="712" t="s">
        <v>717</v>
      </c>
      <c r="F224" s="360">
        <v>1.0497091999999999</v>
      </c>
      <c r="G224" s="360">
        <v>1</v>
      </c>
      <c r="H224" s="360"/>
      <c r="I224" s="360">
        <f>F224*G224*H220</f>
        <v>1.0497091999999999</v>
      </c>
      <c r="J224" s="506"/>
      <c r="K224" s="506"/>
      <c r="L224" s="506"/>
      <c r="M224" s="506"/>
      <c r="N224" s="506"/>
      <c r="O224" s="506"/>
      <c r="P224" s="676"/>
      <c r="Q224" s="676"/>
      <c r="R224" s="676"/>
      <c r="S224" s="676"/>
      <c r="T224" s="676"/>
      <c r="U224" s="676"/>
      <c r="V224" s="676"/>
      <c r="W224" s="676"/>
      <c r="X224" s="676"/>
      <c r="Y224" s="676"/>
      <c r="Z224" s="676"/>
      <c r="AA224" s="676"/>
    </row>
    <row r="225" spans="1:27" x14ac:dyDescent="0.25">
      <c r="A225" s="584"/>
      <c r="B225" s="712"/>
      <c r="C225" s="584" t="s">
        <v>811</v>
      </c>
      <c r="D225" s="584" t="s">
        <v>929</v>
      </c>
      <c r="E225" s="712" t="s">
        <v>717</v>
      </c>
      <c r="F225" s="360">
        <v>1.0497091999999999</v>
      </c>
      <c r="G225" s="360">
        <v>1</v>
      </c>
      <c r="H225" s="360"/>
      <c r="I225" s="360">
        <f>F225*G225*H220</f>
        <v>1.0497091999999999</v>
      </c>
      <c r="J225" s="506"/>
      <c r="K225" s="506"/>
      <c r="L225" s="506"/>
      <c r="M225" s="506"/>
      <c r="N225" s="506"/>
      <c r="O225" s="506"/>
      <c r="P225" s="676"/>
      <c r="Q225" s="676"/>
      <c r="R225" s="676"/>
      <c r="S225" s="676"/>
      <c r="T225" s="676"/>
      <c r="U225" s="676"/>
      <c r="V225" s="676"/>
      <c r="W225" s="676"/>
      <c r="X225" s="676"/>
      <c r="Y225" s="676"/>
      <c r="Z225" s="676"/>
      <c r="AA225" s="676"/>
    </row>
    <row r="226" spans="1:27" x14ac:dyDescent="0.25">
      <c r="A226" s="584"/>
      <c r="B226" s="712"/>
      <c r="C226" s="584" t="s">
        <v>811</v>
      </c>
      <c r="D226" s="584" t="s">
        <v>929</v>
      </c>
      <c r="E226" s="712" t="s">
        <v>717</v>
      </c>
      <c r="F226" s="360">
        <v>1.0497091999999999</v>
      </c>
      <c r="G226" s="360">
        <v>1</v>
      </c>
      <c r="H226" s="360"/>
      <c r="I226" s="360">
        <f>F226*G226*H220</f>
        <v>1.0497091999999999</v>
      </c>
      <c r="J226" s="506"/>
      <c r="K226" s="506"/>
      <c r="L226" s="506"/>
      <c r="M226" s="506"/>
      <c r="N226" s="506"/>
      <c r="O226" s="506"/>
      <c r="P226" s="676"/>
      <c r="Q226" s="676"/>
      <c r="R226" s="676"/>
      <c r="S226" s="676"/>
      <c r="T226" s="676"/>
      <c r="U226" s="676"/>
      <c r="V226" s="676"/>
      <c r="W226" s="676"/>
      <c r="X226" s="676"/>
      <c r="Y226" s="676"/>
      <c r="Z226" s="676"/>
      <c r="AA226" s="676"/>
    </row>
    <row r="227" spans="1:27" x14ac:dyDescent="0.25">
      <c r="A227" s="584"/>
      <c r="B227" s="712"/>
      <c r="C227" s="584" t="s">
        <v>811</v>
      </c>
      <c r="D227" s="584" t="s">
        <v>929</v>
      </c>
      <c r="E227" s="712" t="s">
        <v>717</v>
      </c>
      <c r="F227" s="360">
        <v>1.0497091999999999</v>
      </c>
      <c r="G227" s="360">
        <v>1</v>
      </c>
      <c r="H227" s="360"/>
      <c r="I227" s="360">
        <f>F227*G227*H220</f>
        <v>1.0497091999999999</v>
      </c>
      <c r="J227" s="506"/>
      <c r="K227" s="506"/>
      <c r="L227" s="506"/>
      <c r="M227" s="506"/>
      <c r="N227" s="506"/>
      <c r="O227" s="506"/>
      <c r="P227" s="676"/>
      <c r="Q227" s="676"/>
      <c r="R227" s="676"/>
      <c r="S227" s="676"/>
      <c r="T227" s="676"/>
      <c r="U227" s="676"/>
      <c r="V227" s="676"/>
      <c r="W227" s="676"/>
      <c r="X227" s="676"/>
      <c r="Y227" s="676"/>
      <c r="Z227" s="676"/>
      <c r="AA227" s="676"/>
    </row>
    <row r="228" spans="1:27" x14ac:dyDescent="0.25">
      <c r="A228" s="584"/>
      <c r="B228" s="712"/>
      <c r="C228" s="584" t="s">
        <v>811</v>
      </c>
      <c r="D228" s="584" t="s">
        <v>929</v>
      </c>
      <c r="E228" s="712" t="s">
        <v>717</v>
      </c>
      <c r="F228" s="360">
        <v>1.0497091999999999</v>
      </c>
      <c r="G228" s="360">
        <v>1</v>
      </c>
      <c r="H228" s="360"/>
      <c r="I228" s="360">
        <f>F228*G228*H220</f>
        <v>1.0497091999999999</v>
      </c>
      <c r="J228" s="506"/>
      <c r="K228" s="506"/>
      <c r="L228" s="506"/>
      <c r="M228" s="506"/>
      <c r="N228" s="506"/>
      <c r="O228" s="506"/>
      <c r="P228" s="676"/>
      <c r="Q228" s="676"/>
      <c r="R228" s="676"/>
      <c r="S228" s="676"/>
      <c r="T228" s="676"/>
      <c r="U228" s="676"/>
      <c r="V228" s="676"/>
      <c r="W228" s="676"/>
      <c r="X228" s="676"/>
      <c r="Y228" s="676"/>
      <c r="Z228" s="676"/>
      <c r="AA228" s="676"/>
    </row>
    <row r="229" spans="1:27" x14ac:dyDescent="0.25">
      <c r="A229" s="584"/>
      <c r="B229" s="712"/>
      <c r="C229" s="584" t="s">
        <v>811</v>
      </c>
      <c r="D229" s="584" t="s">
        <v>929</v>
      </c>
      <c r="E229" s="712" t="s">
        <v>717</v>
      </c>
      <c r="F229" s="360">
        <v>1.0497091999999999</v>
      </c>
      <c r="G229" s="360">
        <v>1</v>
      </c>
      <c r="H229" s="360"/>
      <c r="I229" s="360">
        <f>F229*G229*H220</f>
        <v>1.0497091999999999</v>
      </c>
      <c r="J229" s="506"/>
      <c r="K229" s="506"/>
      <c r="L229" s="506"/>
      <c r="M229" s="506"/>
      <c r="N229" s="506"/>
      <c r="O229" s="506"/>
      <c r="P229" s="676"/>
      <c r="Q229" s="676"/>
      <c r="R229" s="676"/>
      <c r="S229" s="676"/>
      <c r="T229" s="676"/>
      <c r="U229" s="676"/>
      <c r="V229" s="676"/>
      <c r="W229" s="676"/>
      <c r="X229" s="676"/>
      <c r="Y229" s="676"/>
      <c r="Z229" s="676"/>
      <c r="AA229" s="676"/>
    </row>
    <row r="230" spans="1:27" x14ac:dyDescent="0.25">
      <c r="A230" s="584"/>
      <c r="B230" s="712"/>
      <c r="C230" s="584" t="s">
        <v>811</v>
      </c>
      <c r="D230" s="584" t="s">
        <v>929</v>
      </c>
      <c r="E230" s="712" t="s">
        <v>717</v>
      </c>
      <c r="F230" s="360">
        <v>1.0497091999999999</v>
      </c>
      <c r="G230" s="360">
        <v>1</v>
      </c>
      <c r="H230" s="360"/>
      <c r="I230" s="360">
        <f>F230*G230*H220</f>
        <v>1.0497091999999999</v>
      </c>
      <c r="J230" s="506"/>
      <c r="K230" s="506"/>
      <c r="L230" s="506"/>
      <c r="M230" s="506"/>
      <c r="N230" s="506"/>
      <c r="O230" s="506"/>
      <c r="P230" s="676"/>
      <c r="Q230" s="676"/>
      <c r="R230" s="676"/>
      <c r="S230" s="676"/>
      <c r="T230" s="676"/>
      <c r="U230" s="676"/>
      <c r="V230" s="676"/>
      <c r="W230" s="676"/>
      <c r="X230" s="676"/>
      <c r="Y230" s="676"/>
      <c r="Z230" s="676"/>
      <c r="AA230" s="676"/>
    </row>
    <row r="231" spans="1:27" x14ac:dyDescent="0.25">
      <c r="A231" s="373"/>
      <c r="B231" s="497">
        <v>6</v>
      </c>
      <c r="C231" s="373" t="s">
        <v>140</v>
      </c>
      <c r="D231" s="373" t="s">
        <v>222</v>
      </c>
      <c r="E231" s="497" t="s">
        <v>434</v>
      </c>
      <c r="F231" s="158"/>
      <c r="G231" s="158"/>
      <c r="H231" s="158">
        <v>1</v>
      </c>
      <c r="I231" s="158">
        <f>SUM(I232:I241)</f>
        <v>2.4620000000000002</v>
      </c>
      <c r="J231" s="292">
        <f>BGCM_GiaGoc_NLX424_1</f>
        <v>0</v>
      </c>
      <c r="K231" s="292">
        <f>I231*J231</f>
        <v>0</v>
      </c>
      <c r="L231" s="292">
        <f>BGCM_GiaHT_NLX424_1</f>
        <v>0</v>
      </c>
      <c r="M231" s="292">
        <f>I231*L231</f>
        <v>0</v>
      </c>
      <c r="N231" s="292">
        <f>L231-J231</f>
        <v>0</v>
      </c>
      <c r="O231" s="292">
        <f>I231*N231</f>
        <v>0</v>
      </c>
      <c r="P231" s="676"/>
      <c r="Q231" s="676"/>
      <c r="R231" s="676"/>
      <c r="S231" s="676"/>
      <c r="T231" s="676"/>
      <c r="U231" s="676"/>
      <c r="V231" s="676"/>
      <c r="W231" s="676"/>
      <c r="X231" s="676"/>
      <c r="Y231" s="676"/>
      <c r="Z231" s="676"/>
      <c r="AA231" s="676"/>
    </row>
    <row r="232" spans="1:27" x14ac:dyDescent="0.25">
      <c r="A232" s="584"/>
      <c r="B232" s="712"/>
      <c r="C232" s="584" t="s">
        <v>1060</v>
      </c>
      <c r="D232" s="584" t="s">
        <v>790</v>
      </c>
      <c r="E232" s="712" t="s">
        <v>717</v>
      </c>
      <c r="F232" s="360">
        <v>0.2462</v>
      </c>
      <c r="G232" s="360">
        <v>1</v>
      </c>
      <c r="H232" s="360"/>
      <c r="I232" s="360">
        <f>F232*G232*H231</f>
        <v>0.2462</v>
      </c>
      <c r="J232" s="506"/>
      <c r="K232" s="506"/>
      <c r="L232" s="506"/>
      <c r="M232" s="506"/>
      <c r="N232" s="506"/>
      <c r="O232" s="506"/>
      <c r="P232" s="676"/>
      <c r="Q232" s="676"/>
      <c r="R232" s="676"/>
      <c r="S232" s="676"/>
      <c r="T232" s="676"/>
      <c r="U232" s="676"/>
      <c r="V232" s="676"/>
      <c r="W232" s="676"/>
      <c r="X232" s="676"/>
      <c r="Y232" s="676"/>
      <c r="Z232" s="676"/>
      <c r="AA232" s="676"/>
    </row>
    <row r="233" spans="1:27" x14ac:dyDescent="0.25">
      <c r="A233" s="584"/>
      <c r="B233" s="712"/>
      <c r="C233" s="584" t="s">
        <v>1060</v>
      </c>
      <c r="D233" s="584" t="s">
        <v>790</v>
      </c>
      <c r="E233" s="712" t="s">
        <v>717</v>
      </c>
      <c r="F233" s="360">
        <v>0.2462</v>
      </c>
      <c r="G233" s="360">
        <v>1</v>
      </c>
      <c r="H233" s="360"/>
      <c r="I233" s="360">
        <f>F233*G233*H231</f>
        <v>0.2462</v>
      </c>
      <c r="J233" s="506"/>
      <c r="K233" s="506"/>
      <c r="L233" s="506"/>
      <c r="M233" s="506"/>
      <c r="N233" s="506"/>
      <c r="O233" s="506"/>
      <c r="P233" s="676"/>
      <c r="Q233" s="676"/>
      <c r="R233" s="676"/>
      <c r="S233" s="676"/>
      <c r="T233" s="676"/>
      <c r="U233" s="676"/>
      <c r="V233" s="676"/>
      <c r="W233" s="676"/>
      <c r="X233" s="676"/>
      <c r="Y233" s="676"/>
      <c r="Z233" s="676"/>
      <c r="AA233" s="676"/>
    </row>
    <row r="234" spans="1:27" x14ac:dyDescent="0.25">
      <c r="A234" s="584"/>
      <c r="B234" s="712"/>
      <c r="C234" s="584" t="s">
        <v>1060</v>
      </c>
      <c r="D234" s="584" t="s">
        <v>790</v>
      </c>
      <c r="E234" s="712" t="s">
        <v>717</v>
      </c>
      <c r="F234" s="360">
        <v>0.2462</v>
      </c>
      <c r="G234" s="360">
        <v>1</v>
      </c>
      <c r="H234" s="360"/>
      <c r="I234" s="360">
        <f>F234*G234*H231</f>
        <v>0.2462</v>
      </c>
      <c r="J234" s="506"/>
      <c r="K234" s="506"/>
      <c r="L234" s="506"/>
      <c r="M234" s="506"/>
      <c r="N234" s="506"/>
      <c r="O234" s="506"/>
      <c r="P234" s="676"/>
      <c r="Q234" s="676"/>
      <c r="R234" s="676"/>
      <c r="S234" s="676"/>
      <c r="T234" s="676"/>
      <c r="U234" s="676"/>
      <c r="V234" s="676"/>
      <c r="W234" s="676"/>
      <c r="X234" s="676"/>
      <c r="Y234" s="676"/>
      <c r="Z234" s="676"/>
      <c r="AA234" s="676"/>
    </row>
    <row r="235" spans="1:27" x14ac:dyDescent="0.25">
      <c r="A235" s="584"/>
      <c r="B235" s="712"/>
      <c r="C235" s="584" t="s">
        <v>1060</v>
      </c>
      <c r="D235" s="584" t="s">
        <v>790</v>
      </c>
      <c r="E235" s="712" t="s">
        <v>717</v>
      </c>
      <c r="F235" s="360">
        <v>0.2462</v>
      </c>
      <c r="G235" s="360">
        <v>1</v>
      </c>
      <c r="H235" s="360"/>
      <c r="I235" s="360">
        <f>F235*G235*H231</f>
        <v>0.2462</v>
      </c>
      <c r="J235" s="506"/>
      <c r="K235" s="506"/>
      <c r="L235" s="506"/>
      <c r="M235" s="506"/>
      <c r="N235" s="506"/>
      <c r="O235" s="506"/>
      <c r="P235" s="676"/>
      <c r="Q235" s="676"/>
      <c r="R235" s="676"/>
      <c r="S235" s="676"/>
      <c r="T235" s="676"/>
      <c r="U235" s="676"/>
      <c r="V235" s="676"/>
      <c r="W235" s="676"/>
      <c r="X235" s="676"/>
      <c r="Y235" s="676"/>
      <c r="Z235" s="676"/>
      <c r="AA235" s="676"/>
    </row>
    <row r="236" spans="1:27" x14ac:dyDescent="0.25">
      <c r="A236" s="584"/>
      <c r="B236" s="712"/>
      <c r="C236" s="584" t="s">
        <v>1060</v>
      </c>
      <c r="D236" s="584" t="s">
        <v>790</v>
      </c>
      <c r="E236" s="712" t="s">
        <v>717</v>
      </c>
      <c r="F236" s="360">
        <v>0.2462</v>
      </c>
      <c r="G236" s="360">
        <v>1</v>
      </c>
      <c r="H236" s="360"/>
      <c r="I236" s="360">
        <f>F236*G236*H231</f>
        <v>0.2462</v>
      </c>
      <c r="J236" s="506"/>
      <c r="K236" s="506"/>
      <c r="L236" s="506"/>
      <c r="M236" s="506"/>
      <c r="N236" s="506"/>
      <c r="O236" s="506"/>
      <c r="P236" s="676"/>
      <c r="Q236" s="676"/>
      <c r="R236" s="676"/>
      <c r="S236" s="676"/>
      <c r="T236" s="676"/>
      <c r="U236" s="676"/>
      <c r="V236" s="676"/>
      <c r="W236" s="676"/>
      <c r="X236" s="676"/>
      <c r="Y236" s="676"/>
      <c r="Z236" s="676"/>
      <c r="AA236" s="676"/>
    </row>
    <row r="237" spans="1:27" x14ac:dyDescent="0.25">
      <c r="A237" s="584"/>
      <c r="B237" s="712"/>
      <c r="C237" s="584" t="s">
        <v>1060</v>
      </c>
      <c r="D237" s="584" t="s">
        <v>790</v>
      </c>
      <c r="E237" s="712" t="s">
        <v>717</v>
      </c>
      <c r="F237" s="360">
        <v>0.2462</v>
      </c>
      <c r="G237" s="360">
        <v>1</v>
      </c>
      <c r="H237" s="360"/>
      <c r="I237" s="360">
        <f>F237*G237*H231</f>
        <v>0.2462</v>
      </c>
      <c r="J237" s="506"/>
      <c r="K237" s="506"/>
      <c r="L237" s="506"/>
      <c r="M237" s="506"/>
      <c r="N237" s="506"/>
      <c r="O237" s="506"/>
      <c r="P237" s="676"/>
      <c r="Q237" s="676"/>
      <c r="R237" s="676"/>
      <c r="S237" s="676"/>
      <c r="T237" s="676"/>
      <c r="U237" s="676"/>
      <c r="V237" s="676"/>
      <c r="W237" s="676"/>
      <c r="X237" s="676"/>
      <c r="Y237" s="676"/>
      <c r="Z237" s="676"/>
      <c r="AA237" s="676"/>
    </row>
    <row r="238" spans="1:27" x14ac:dyDescent="0.25">
      <c r="A238" s="584"/>
      <c r="B238" s="712"/>
      <c r="C238" s="584" t="s">
        <v>1060</v>
      </c>
      <c r="D238" s="584" t="s">
        <v>790</v>
      </c>
      <c r="E238" s="712" t="s">
        <v>717</v>
      </c>
      <c r="F238" s="360">
        <v>0.2462</v>
      </c>
      <c r="G238" s="360">
        <v>1</v>
      </c>
      <c r="H238" s="360"/>
      <c r="I238" s="360">
        <f>F238*G238*H231</f>
        <v>0.2462</v>
      </c>
      <c r="J238" s="506"/>
      <c r="K238" s="506"/>
      <c r="L238" s="506"/>
      <c r="M238" s="506"/>
      <c r="N238" s="506"/>
      <c r="O238" s="506"/>
      <c r="P238" s="676"/>
      <c r="Q238" s="676"/>
      <c r="R238" s="676"/>
      <c r="S238" s="676"/>
      <c r="T238" s="676"/>
      <c r="U238" s="676"/>
      <c r="V238" s="676"/>
      <c r="W238" s="676"/>
      <c r="X238" s="676"/>
      <c r="Y238" s="676"/>
      <c r="Z238" s="676"/>
      <c r="AA238" s="676"/>
    </row>
    <row r="239" spans="1:27" x14ac:dyDescent="0.25">
      <c r="A239" s="584"/>
      <c r="B239" s="712"/>
      <c r="C239" s="584" t="s">
        <v>1060</v>
      </c>
      <c r="D239" s="584" t="s">
        <v>790</v>
      </c>
      <c r="E239" s="712" t="s">
        <v>717</v>
      </c>
      <c r="F239" s="360">
        <v>0.2462</v>
      </c>
      <c r="G239" s="360">
        <v>1</v>
      </c>
      <c r="H239" s="360"/>
      <c r="I239" s="360">
        <f>F239*G239*H231</f>
        <v>0.2462</v>
      </c>
      <c r="J239" s="506"/>
      <c r="K239" s="506"/>
      <c r="L239" s="506"/>
      <c r="M239" s="506"/>
      <c r="N239" s="506"/>
      <c r="O239" s="506"/>
      <c r="P239" s="676"/>
      <c r="Q239" s="676"/>
      <c r="R239" s="676"/>
      <c r="S239" s="676"/>
      <c r="T239" s="676"/>
      <c r="U239" s="676"/>
      <c r="V239" s="676"/>
      <c r="W239" s="676"/>
      <c r="X239" s="676"/>
      <c r="Y239" s="676"/>
      <c r="Z239" s="676"/>
      <c r="AA239" s="676"/>
    </row>
    <row r="240" spans="1:27" x14ac:dyDescent="0.25">
      <c r="A240" s="584"/>
      <c r="B240" s="712"/>
      <c r="C240" s="584" t="s">
        <v>1060</v>
      </c>
      <c r="D240" s="584" t="s">
        <v>790</v>
      </c>
      <c r="E240" s="712" t="s">
        <v>717</v>
      </c>
      <c r="F240" s="360">
        <v>0.2462</v>
      </c>
      <c r="G240" s="360">
        <v>1</v>
      </c>
      <c r="H240" s="360"/>
      <c r="I240" s="360">
        <f>F240*G240*H231</f>
        <v>0.2462</v>
      </c>
      <c r="J240" s="506"/>
      <c r="K240" s="506"/>
      <c r="L240" s="506"/>
      <c r="M240" s="506"/>
      <c r="N240" s="506"/>
      <c r="O240" s="506"/>
      <c r="P240" s="676"/>
      <c r="Q240" s="676"/>
      <c r="R240" s="676"/>
      <c r="S240" s="676"/>
      <c r="T240" s="676"/>
      <c r="U240" s="676"/>
      <c r="V240" s="676"/>
      <c r="W240" s="676"/>
      <c r="X240" s="676"/>
      <c r="Y240" s="676"/>
      <c r="Z240" s="676"/>
      <c r="AA240" s="676"/>
    </row>
    <row r="241" spans="1:27" x14ac:dyDescent="0.25">
      <c r="A241" s="584"/>
      <c r="B241" s="712"/>
      <c r="C241" s="584" t="s">
        <v>1060</v>
      </c>
      <c r="D241" s="584" t="s">
        <v>790</v>
      </c>
      <c r="E241" s="712" t="s">
        <v>717</v>
      </c>
      <c r="F241" s="360">
        <v>0.2462</v>
      </c>
      <c r="G241" s="360">
        <v>1</v>
      </c>
      <c r="H241" s="360"/>
      <c r="I241" s="360">
        <f>F241*G241*H231</f>
        <v>0.2462</v>
      </c>
      <c r="J241" s="506"/>
      <c r="K241" s="506"/>
      <c r="L241" s="506"/>
      <c r="M241" s="506"/>
      <c r="N241" s="506"/>
      <c r="O241" s="506"/>
      <c r="P241" s="676"/>
      <c r="Q241" s="676"/>
      <c r="R241" s="676"/>
      <c r="S241" s="676"/>
      <c r="T241" s="676"/>
      <c r="U241" s="676"/>
      <c r="V241" s="676"/>
      <c r="W241" s="676"/>
      <c r="X241" s="676"/>
      <c r="Y241" s="676"/>
      <c r="Z241" s="676"/>
      <c r="AA241" s="676"/>
    </row>
    <row r="242" spans="1:27" x14ac:dyDescent="0.25">
      <c r="A242" s="373"/>
      <c r="B242" s="497">
        <v>7</v>
      </c>
      <c r="C242" s="373" t="s">
        <v>200</v>
      </c>
      <c r="D242" s="373" t="s">
        <v>1100</v>
      </c>
      <c r="E242" s="497" t="s">
        <v>434</v>
      </c>
      <c r="F242" s="158"/>
      <c r="G242" s="158"/>
      <c r="H242" s="158">
        <v>1</v>
      </c>
      <c r="I242" s="158">
        <f>SUM(I243:I262)</f>
        <v>15.431243599999998</v>
      </c>
      <c r="J242" s="292">
        <f>BGCM_GiaGoc_NLX434_1</f>
        <v>0</v>
      </c>
      <c r="K242" s="292">
        <f>I242*J242</f>
        <v>0</v>
      </c>
      <c r="L242" s="292">
        <f>BGCM_GiaHT_NLX434_1</f>
        <v>0</v>
      </c>
      <c r="M242" s="292">
        <f>I242*L242</f>
        <v>0</v>
      </c>
      <c r="N242" s="292">
        <f>L242-J242</f>
        <v>0</v>
      </c>
      <c r="O242" s="292">
        <f>I242*N242</f>
        <v>0</v>
      </c>
      <c r="P242" s="676"/>
      <c r="Q242" s="676"/>
      <c r="R242" s="676"/>
      <c r="S242" s="676"/>
      <c r="T242" s="676"/>
      <c r="U242" s="676"/>
      <c r="V242" s="676"/>
      <c r="W242" s="676"/>
      <c r="X242" s="676"/>
      <c r="Y242" s="676"/>
      <c r="Z242" s="676"/>
      <c r="AA242" s="676"/>
    </row>
    <row r="243" spans="1:27" x14ac:dyDescent="0.25">
      <c r="A243" s="584"/>
      <c r="B243" s="712"/>
      <c r="C243" s="584" t="s">
        <v>811</v>
      </c>
      <c r="D243" s="584" t="s">
        <v>929</v>
      </c>
      <c r="E243" s="712" t="s">
        <v>717</v>
      </c>
      <c r="F243" s="360">
        <v>1.0497091999999999</v>
      </c>
      <c r="G243" s="360">
        <v>1</v>
      </c>
      <c r="H243" s="360"/>
      <c r="I243" s="360">
        <f>F243*G243*H242</f>
        <v>1.0497091999999999</v>
      </c>
      <c r="J243" s="506"/>
      <c r="K243" s="506"/>
      <c r="L243" s="506"/>
      <c r="M243" s="506"/>
      <c r="N243" s="506"/>
      <c r="O243" s="506"/>
      <c r="P243" s="676"/>
      <c r="Q243" s="676"/>
      <c r="R243" s="676"/>
      <c r="S243" s="676"/>
      <c r="T243" s="676"/>
      <c r="U243" s="676"/>
      <c r="V243" s="676"/>
      <c r="W243" s="676"/>
      <c r="X243" s="676"/>
      <c r="Y243" s="676"/>
      <c r="Z243" s="676"/>
      <c r="AA243" s="676"/>
    </row>
    <row r="244" spans="1:27" x14ac:dyDescent="0.25">
      <c r="A244" s="584"/>
      <c r="B244" s="712"/>
      <c r="C244" s="584" t="s">
        <v>970</v>
      </c>
      <c r="D244" s="584" t="s">
        <v>1218</v>
      </c>
      <c r="E244" s="712" t="s">
        <v>717</v>
      </c>
      <c r="F244" s="360">
        <v>0.49341516000000002</v>
      </c>
      <c r="G244" s="360">
        <v>1</v>
      </c>
      <c r="H244" s="360"/>
      <c r="I244" s="360">
        <f>F244*G244*H242</f>
        <v>0.49341516000000002</v>
      </c>
      <c r="J244" s="506"/>
      <c r="K244" s="506"/>
      <c r="L244" s="506"/>
      <c r="M244" s="506"/>
      <c r="N244" s="506"/>
      <c r="O244" s="506"/>
      <c r="P244" s="676"/>
      <c r="Q244" s="676"/>
      <c r="R244" s="676"/>
      <c r="S244" s="676"/>
      <c r="T244" s="676"/>
      <c r="U244" s="676"/>
      <c r="V244" s="676"/>
      <c r="W244" s="676"/>
      <c r="X244" s="676"/>
      <c r="Y244" s="676"/>
      <c r="Z244" s="676"/>
      <c r="AA244" s="676"/>
    </row>
    <row r="245" spans="1:27" x14ac:dyDescent="0.25">
      <c r="A245" s="584"/>
      <c r="B245" s="712"/>
      <c r="C245" s="584" t="s">
        <v>811</v>
      </c>
      <c r="D245" s="584" t="s">
        <v>929</v>
      </c>
      <c r="E245" s="712" t="s">
        <v>717</v>
      </c>
      <c r="F245" s="360">
        <v>1.0497091999999999</v>
      </c>
      <c r="G245" s="360">
        <v>1</v>
      </c>
      <c r="H245" s="360"/>
      <c r="I245" s="360">
        <f>F245*G245*H242</f>
        <v>1.0497091999999999</v>
      </c>
      <c r="J245" s="506"/>
      <c r="K245" s="506"/>
      <c r="L245" s="506"/>
      <c r="M245" s="506"/>
      <c r="N245" s="506"/>
      <c r="O245" s="506"/>
      <c r="P245" s="676"/>
      <c r="Q245" s="676"/>
      <c r="R245" s="676"/>
      <c r="S245" s="676"/>
      <c r="T245" s="676"/>
      <c r="U245" s="676"/>
      <c r="V245" s="676"/>
      <c r="W245" s="676"/>
      <c r="X245" s="676"/>
      <c r="Y245" s="676"/>
      <c r="Z245" s="676"/>
      <c r="AA245" s="676"/>
    </row>
    <row r="246" spans="1:27" x14ac:dyDescent="0.25">
      <c r="A246" s="584"/>
      <c r="B246" s="712"/>
      <c r="C246" s="584" t="s">
        <v>970</v>
      </c>
      <c r="D246" s="584" t="s">
        <v>1218</v>
      </c>
      <c r="E246" s="712" t="s">
        <v>717</v>
      </c>
      <c r="F246" s="360">
        <v>0.49341516000000002</v>
      </c>
      <c r="G246" s="360">
        <v>1</v>
      </c>
      <c r="H246" s="360"/>
      <c r="I246" s="360">
        <f>F246*G246*H242</f>
        <v>0.49341516000000002</v>
      </c>
      <c r="J246" s="506"/>
      <c r="K246" s="506"/>
      <c r="L246" s="506"/>
      <c r="M246" s="506"/>
      <c r="N246" s="506"/>
      <c r="O246" s="506"/>
      <c r="P246" s="676"/>
      <c r="Q246" s="676"/>
      <c r="R246" s="676"/>
      <c r="S246" s="676"/>
      <c r="T246" s="676"/>
      <c r="U246" s="676"/>
      <c r="V246" s="676"/>
      <c r="W246" s="676"/>
      <c r="X246" s="676"/>
      <c r="Y246" s="676"/>
      <c r="Z246" s="676"/>
      <c r="AA246" s="676"/>
    </row>
    <row r="247" spans="1:27" x14ac:dyDescent="0.25">
      <c r="A247" s="584"/>
      <c r="B247" s="712"/>
      <c r="C247" s="584" t="s">
        <v>811</v>
      </c>
      <c r="D247" s="584" t="s">
        <v>929</v>
      </c>
      <c r="E247" s="712" t="s">
        <v>717</v>
      </c>
      <c r="F247" s="360">
        <v>1.0497091999999999</v>
      </c>
      <c r="G247" s="360">
        <v>1</v>
      </c>
      <c r="H247" s="360"/>
      <c r="I247" s="360">
        <f>F247*G247*H242</f>
        <v>1.0497091999999999</v>
      </c>
      <c r="J247" s="506"/>
      <c r="K247" s="506"/>
      <c r="L247" s="506"/>
      <c r="M247" s="506"/>
      <c r="N247" s="506"/>
      <c r="O247" s="506"/>
      <c r="P247" s="676"/>
      <c r="Q247" s="676"/>
      <c r="R247" s="676"/>
      <c r="S247" s="676"/>
      <c r="T247" s="676"/>
      <c r="U247" s="676"/>
      <c r="V247" s="676"/>
      <c r="W247" s="676"/>
      <c r="X247" s="676"/>
      <c r="Y247" s="676"/>
      <c r="Z247" s="676"/>
      <c r="AA247" s="676"/>
    </row>
    <row r="248" spans="1:27" x14ac:dyDescent="0.25">
      <c r="A248" s="584"/>
      <c r="B248" s="712"/>
      <c r="C248" s="584" t="s">
        <v>970</v>
      </c>
      <c r="D248" s="584" t="s">
        <v>1218</v>
      </c>
      <c r="E248" s="712" t="s">
        <v>717</v>
      </c>
      <c r="F248" s="360">
        <v>0.49341516000000002</v>
      </c>
      <c r="G248" s="360">
        <v>1</v>
      </c>
      <c r="H248" s="360"/>
      <c r="I248" s="360">
        <f>F248*G248*H242</f>
        <v>0.49341516000000002</v>
      </c>
      <c r="J248" s="506"/>
      <c r="K248" s="506"/>
      <c r="L248" s="506"/>
      <c r="M248" s="506"/>
      <c r="N248" s="506"/>
      <c r="O248" s="506"/>
      <c r="P248" s="676"/>
      <c r="Q248" s="676"/>
      <c r="R248" s="676"/>
      <c r="S248" s="676"/>
      <c r="T248" s="676"/>
      <c r="U248" s="676"/>
      <c r="V248" s="676"/>
      <c r="W248" s="676"/>
      <c r="X248" s="676"/>
      <c r="Y248" s="676"/>
      <c r="Z248" s="676"/>
      <c r="AA248" s="676"/>
    </row>
    <row r="249" spans="1:27" x14ac:dyDescent="0.25">
      <c r="A249" s="584"/>
      <c r="B249" s="712"/>
      <c r="C249" s="584" t="s">
        <v>811</v>
      </c>
      <c r="D249" s="584" t="s">
        <v>929</v>
      </c>
      <c r="E249" s="712" t="s">
        <v>717</v>
      </c>
      <c r="F249" s="360">
        <v>1.0497091999999999</v>
      </c>
      <c r="G249" s="360">
        <v>1</v>
      </c>
      <c r="H249" s="360"/>
      <c r="I249" s="360">
        <f>F249*G249*H242</f>
        <v>1.0497091999999999</v>
      </c>
      <c r="J249" s="506"/>
      <c r="K249" s="506"/>
      <c r="L249" s="506"/>
      <c r="M249" s="506"/>
      <c r="N249" s="506"/>
      <c r="O249" s="506"/>
      <c r="P249" s="676"/>
      <c r="Q249" s="676"/>
      <c r="R249" s="676"/>
      <c r="S249" s="676"/>
      <c r="T249" s="676"/>
      <c r="U249" s="676"/>
      <c r="V249" s="676"/>
      <c r="W249" s="676"/>
      <c r="X249" s="676"/>
      <c r="Y249" s="676"/>
      <c r="Z249" s="676"/>
      <c r="AA249" s="676"/>
    </row>
    <row r="250" spans="1:27" x14ac:dyDescent="0.25">
      <c r="A250" s="584"/>
      <c r="B250" s="712"/>
      <c r="C250" s="584" t="s">
        <v>970</v>
      </c>
      <c r="D250" s="584" t="s">
        <v>1218</v>
      </c>
      <c r="E250" s="712" t="s">
        <v>717</v>
      </c>
      <c r="F250" s="360">
        <v>0.49341516000000002</v>
      </c>
      <c r="G250" s="360">
        <v>1</v>
      </c>
      <c r="H250" s="360"/>
      <c r="I250" s="360">
        <f>F250*G250*H242</f>
        <v>0.49341516000000002</v>
      </c>
      <c r="J250" s="506"/>
      <c r="K250" s="506"/>
      <c r="L250" s="506"/>
      <c r="M250" s="506"/>
      <c r="N250" s="506"/>
      <c r="O250" s="506"/>
      <c r="P250" s="676"/>
      <c r="Q250" s="676"/>
      <c r="R250" s="676"/>
      <c r="S250" s="676"/>
      <c r="T250" s="676"/>
      <c r="U250" s="676"/>
      <c r="V250" s="676"/>
      <c r="W250" s="676"/>
      <c r="X250" s="676"/>
      <c r="Y250" s="676"/>
      <c r="Z250" s="676"/>
      <c r="AA250" s="676"/>
    </row>
    <row r="251" spans="1:27" x14ac:dyDescent="0.25">
      <c r="A251" s="584"/>
      <c r="B251" s="712"/>
      <c r="C251" s="584" t="s">
        <v>811</v>
      </c>
      <c r="D251" s="584" t="s">
        <v>929</v>
      </c>
      <c r="E251" s="712" t="s">
        <v>717</v>
      </c>
      <c r="F251" s="360">
        <v>1.0497091999999999</v>
      </c>
      <c r="G251" s="360">
        <v>1</v>
      </c>
      <c r="H251" s="360"/>
      <c r="I251" s="360">
        <f>F251*G251*H242</f>
        <v>1.0497091999999999</v>
      </c>
      <c r="J251" s="506"/>
      <c r="K251" s="506"/>
      <c r="L251" s="506"/>
      <c r="M251" s="506"/>
      <c r="N251" s="506"/>
      <c r="O251" s="506"/>
      <c r="P251" s="676"/>
      <c r="Q251" s="676"/>
      <c r="R251" s="676"/>
      <c r="S251" s="676"/>
      <c r="T251" s="676"/>
      <c r="U251" s="676"/>
      <c r="V251" s="676"/>
      <c r="W251" s="676"/>
      <c r="X251" s="676"/>
      <c r="Y251" s="676"/>
      <c r="Z251" s="676"/>
      <c r="AA251" s="676"/>
    </row>
    <row r="252" spans="1:27" x14ac:dyDescent="0.25">
      <c r="A252" s="584"/>
      <c r="B252" s="712"/>
      <c r="C252" s="584" t="s">
        <v>970</v>
      </c>
      <c r="D252" s="584" t="s">
        <v>1218</v>
      </c>
      <c r="E252" s="712" t="s">
        <v>717</v>
      </c>
      <c r="F252" s="360">
        <v>0.49341516000000002</v>
      </c>
      <c r="G252" s="360">
        <v>1</v>
      </c>
      <c r="H252" s="360"/>
      <c r="I252" s="360">
        <f>F252*G252*H242</f>
        <v>0.49341516000000002</v>
      </c>
      <c r="J252" s="506"/>
      <c r="K252" s="506"/>
      <c r="L252" s="506"/>
      <c r="M252" s="506"/>
      <c r="N252" s="506"/>
      <c r="O252" s="506"/>
      <c r="P252" s="676"/>
      <c r="Q252" s="676"/>
      <c r="R252" s="676"/>
      <c r="S252" s="676"/>
      <c r="T252" s="676"/>
      <c r="U252" s="676"/>
      <c r="V252" s="676"/>
      <c r="W252" s="676"/>
      <c r="X252" s="676"/>
      <c r="Y252" s="676"/>
      <c r="Z252" s="676"/>
      <c r="AA252" s="676"/>
    </row>
    <row r="253" spans="1:27" x14ac:dyDescent="0.25">
      <c r="A253" s="584"/>
      <c r="B253" s="712"/>
      <c r="C253" s="584" t="s">
        <v>811</v>
      </c>
      <c r="D253" s="584" t="s">
        <v>929</v>
      </c>
      <c r="E253" s="712" t="s">
        <v>717</v>
      </c>
      <c r="F253" s="360">
        <v>1.0497091999999999</v>
      </c>
      <c r="G253" s="360">
        <v>1</v>
      </c>
      <c r="H253" s="360"/>
      <c r="I253" s="360">
        <f>F253*G253*H242</f>
        <v>1.0497091999999999</v>
      </c>
      <c r="J253" s="506"/>
      <c r="K253" s="506"/>
      <c r="L253" s="506"/>
      <c r="M253" s="506"/>
      <c r="N253" s="506"/>
      <c r="O253" s="506"/>
      <c r="P253" s="676"/>
      <c r="Q253" s="676"/>
      <c r="R253" s="676"/>
      <c r="S253" s="676"/>
      <c r="T253" s="676"/>
      <c r="U253" s="676"/>
      <c r="V253" s="676"/>
      <c r="W253" s="676"/>
      <c r="X253" s="676"/>
      <c r="Y253" s="676"/>
      <c r="Z253" s="676"/>
      <c r="AA253" s="676"/>
    </row>
    <row r="254" spans="1:27" x14ac:dyDescent="0.25">
      <c r="A254" s="584"/>
      <c r="B254" s="712"/>
      <c r="C254" s="584" t="s">
        <v>970</v>
      </c>
      <c r="D254" s="584" t="s">
        <v>1218</v>
      </c>
      <c r="E254" s="712" t="s">
        <v>717</v>
      </c>
      <c r="F254" s="360">
        <v>0.49341516000000002</v>
      </c>
      <c r="G254" s="360">
        <v>1</v>
      </c>
      <c r="H254" s="360"/>
      <c r="I254" s="360">
        <f>F254*G254*H242</f>
        <v>0.49341516000000002</v>
      </c>
      <c r="J254" s="506"/>
      <c r="K254" s="506"/>
      <c r="L254" s="506"/>
      <c r="M254" s="506"/>
      <c r="N254" s="506"/>
      <c r="O254" s="506"/>
      <c r="P254" s="676"/>
      <c r="Q254" s="676"/>
      <c r="R254" s="676"/>
      <c r="S254" s="676"/>
      <c r="T254" s="676"/>
      <c r="U254" s="676"/>
      <c r="V254" s="676"/>
      <c r="W254" s="676"/>
      <c r="X254" s="676"/>
      <c r="Y254" s="676"/>
      <c r="Z254" s="676"/>
      <c r="AA254" s="676"/>
    </row>
    <row r="255" spans="1:27" x14ac:dyDescent="0.25">
      <c r="A255" s="584"/>
      <c r="B255" s="712"/>
      <c r="C255" s="584" t="s">
        <v>811</v>
      </c>
      <c r="D255" s="584" t="s">
        <v>929</v>
      </c>
      <c r="E255" s="712" t="s">
        <v>717</v>
      </c>
      <c r="F255" s="360">
        <v>1.0497091999999999</v>
      </c>
      <c r="G255" s="360">
        <v>1</v>
      </c>
      <c r="H255" s="360"/>
      <c r="I255" s="360">
        <f>F255*G255*H242</f>
        <v>1.0497091999999999</v>
      </c>
      <c r="J255" s="506"/>
      <c r="K255" s="506"/>
      <c r="L255" s="506"/>
      <c r="M255" s="506"/>
      <c r="N255" s="506"/>
      <c r="O255" s="506"/>
      <c r="P255" s="676"/>
      <c r="Q255" s="676"/>
      <c r="R255" s="676"/>
      <c r="S255" s="676"/>
      <c r="T255" s="676"/>
      <c r="U255" s="676"/>
      <c r="V255" s="676"/>
      <c r="W255" s="676"/>
      <c r="X255" s="676"/>
      <c r="Y255" s="676"/>
      <c r="Z255" s="676"/>
      <c r="AA255" s="676"/>
    </row>
    <row r="256" spans="1:27" x14ac:dyDescent="0.25">
      <c r="A256" s="584"/>
      <c r="B256" s="712"/>
      <c r="C256" s="584" t="s">
        <v>970</v>
      </c>
      <c r="D256" s="584" t="s">
        <v>1218</v>
      </c>
      <c r="E256" s="712" t="s">
        <v>717</v>
      </c>
      <c r="F256" s="360">
        <v>0.49341516000000002</v>
      </c>
      <c r="G256" s="360">
        <v>1</v>
      </c>
      <c r="H256" s="360"/>
      <c r="I256" s="360">
        <f>F256*G256*H242</f>
        <v>0.49341516000000002</v>
      </c>
      <c r="J256" s="506"/>
      <c r="K256" s="506"/>
      <c r="L256" s="506"/>
      <c r="M256" s="506"/>
      <c r="N256" s="506"/>
      <c r="O256" s="506"/>
      <c r="P256" s="676"/>
      <c r="Q256" s="676"/>
      <c r="R256" s="676"/>
      <c r="S256" s="676"/>
      <c r="T256" s="676"/>
      <c r="U256" s="676"/>
      <c r="V256" s="676"/>
      <c r="W256" s="676"/>
      <c r="X256" s="676"/>
      <c r="Y256" s="676"/>
      <c r="Z256" s="676"/>
      <c r="AA256" s="676"/>
    </row>
    <row r="257" spans="1:27" x14ac:dyDescent="0.25">
      <c r="A257" s="584"/>
      <c r="B257" s="712"/>
      <c r="C257" s="584" t="s">
        <v>811</v>
      </c>
      <c r="D257" s="584" t="s">
        <v>929</v>
      </c>
      <c r="E257" s="712" t="s">
        <v>717</v>
      </c>
      <c r="F257" s="360">
        <v>1.0497091999999999</v>
      </c>
      <c r="G257" s="360">
        <v>1</v>
      </c>
      <c r="H257" s="360"/>
      <c r="I257" s="360">
        <f>F257*G257*H242</f>
        <v>1.0497091999999999</v>
      </c>
      <c r="J257" s="506"/>
      <c r="K257" s="506"/>
      <c r="L257" s="506"/>
      <c r="M257" s="506"/>
      <c r="N257" s="506"/>
      <c r="O257" s="506"/>
      <c r="P257" s="676"/>
      <c r="Q257" s="676"/>
      <c r="R257" s="676"/>
      <c r="S257" s="676"/>
      <c r="T257" s="676"/>
      <c r="U257" s="676"/>
      <c r="V257" s="676"/>
      <c r="W257" s="676"/>
      <c r="X257" s="676"/>
      <c r="Y257" s="676"/>
      <c r="Z257" s="676"/>
      <c r="AA257" s="676"/>
    </row>
    <row r="258" spans="1:27" x14ac:dyDescent="0.25">
      <c r="A258" s="584"/>
      <c r="B258" s="712"/>
      <c r="C258" s="584" t="s">
        <v>970</v>
      </c>
      <c r="D258" s="584" t="s">
        <v>1218</v>
      </c>
      <c r="E258" s="712" t="s">
        <v>717</v>
      </c>
      <c r="F258" s="360">
        <v>0.49341516000000002</v>
      </c>
      <c r="G258" s="360">
        <v>1</v>
      </c>
      <c r="H258" s="360"/>
      <c r="I258" s="360">
        <f>F258*G258*H242</f>
        <v>0.49341516000000002</v>
      </c>
      <c r="J258" s="506"/>
      <c r="K258" s="506"/>
      <c r="L258" s="506"/>
      <c r="M258" s="506"/>
      <c r="N258" s="506"/>
      <c r="O258" s="506"/>
      <c r="P258" s="676"/>
      <c r="Q258" s="676"/>
      <c r="R258" s="676"/>
      <c r="S258" s="676"/>
      <c r="T258" s="676"/>
      <c r="U258" s="676"/>
      <c r="V258" s="676"/>
      <c r="W258" s="676"/>
      <c r="X258" s="676"/>
      <c r="Y258" s="676"/>
      <c r="Z258" s="676"/>
      <c r="AA258" s="676"/>
    </row>
    <row r="259" spans="1:27" x14ac:dyDescent="0.25">
      <c r="A259" s="584"/>
      <c r="B259" s="712"/>
      <c r="C259" s="584" t="s">
        <v>811</v>
      </c>
      <c r="D259" s="584" t="s">
        <v>929</v>
      </c>
      <c r="E259" s="712" t="s">
        <v>717</v>
      </c>
      <c r="F259" s="360">
        <v>1.0497091999999999</v>
      </c>
      <c r="G259" s="360">
        <v>1</v>
      </c>
      <c r="H259" s="360"/>
      <c r="I259" s="360">
        <f>F259*G259*H242</f>
        <v>1.0497091999999999</v>
      </c>
      <c r="J259" s="506"/>
      <c r="K259" s="506"/>
      <c r="L259" s="506"/>
      <c r="M259" s="506"/>
      <c r="N259" s="506"/>
      <c r="O259" s="506"/>
      <c r="P259" s="676"/>
      <c r="Q259" s="676"/>
      <c r="R259" s="676"/>
      <c r="S259" s="676"/>
      <c r="T259" s="676"/>
      <c r="U259" s="676"/>
      <c r="V259" s="676"/>
      <c r="W259" s="676"/>
      <c r="X259" s="676"/>
      <c r="Y259" s="676"/>
      <c r="Z259" s="676"/>
      <c r="AA259" s="676"/>
    </row>
    <row r="260" spans="1:27" x14ac:dyDescent="0.25">
      <c r="A260" s="584"/>
      <c r="B260" s="712"/>
      <c r="C260" s="584" t="s">
        <v>970</v>
      </c>
      <c r="D260" s="584" t="s">
        <v>1218</v>
      </c>
      <c r="E260" s="712" t="s">
        <v>717</v>
      </c>
      <c r="F260" s="360">
        <v>0.49341516000000002</v>
      </c>
      <c r="G260" s="360">
        <v>1</v>
      </c>
      <c r="H260" s="360"/>
      <c r="I260" s="360">
        <f>F260*G260*H242</f>
        <v>0.49341516000000002</v>
      </c>
      <c r="J260" s="506"/>
      <c r="K260" s="506"/>
      <c r="L260" s="506"/>
      <c r="M260" s="506"/>
      <c r="N260" s="506"/>
      <c r="O260" s="506"/>
      <c r="P260" s="676"/>
      <c r="Q260" s="676"/>
      <c r="R260" s="676"/>
      <c r="S260" s="676"/>
      <c r="T260" s="676"/>
      <c r="U260" s="676"/>
      <c r="V260" s="676"/>
      <c r="W260" s="676"/>
      <c r="X260" s="676"/>
      <c r="Y260" s="676"/>
      <c r="Z260" s="676"/>
      <c r="AA260" s="676"/>
    </row>
    <row r="261" spans="1:27" x14ac:dyDescent="0.25">
      <c r="A261" s="584"/>
      <c r="B261" s="712"/>
      <c r="C261" s="584" t="s">
        <v>811</v>
      </c>
      <c r="D261" s="584" t="s">
        <v>929</v>
      </c>
      <c r="E261" s="712" t="s">
        <v>717</v>
      </c>
      <c r="F261" s="360">
        <v>1.0497091999999999</v>
      </c>
      <c r="G261" s="360">
        <v>1</v>
      </c>
      <c r="H261" s="360"/>
      <c r="I261" s="360">
        <f>F261*G261*H242</f>
        <v>1.0497091999999999</v>
      </c>
      <c r="J261" s="506"/>
      <c r="K261" s="506"/>
      <c r="L261" s="506"/>
      <c r="M261" s="506"/>
      <c r="N261" s="506"/>
      <c r="O261" s="506"/>
      <c r="P261" s="676"/>
      <c r="Q261" s="676"/>
      <c r="R261" s="676"/>
      <c r="S261" s="676"/>
      <c r="T261" s="676"/>
      <c r="U261" s="676"/>
      <c r="V261" s="676"/>
      <c r="W261" s="676"/>
      <c r="X261" s="676"/>
      <c r="Y261" s="676"/>
      <c r="Z261" s="676"/>
      <c r="AA261" s="676"/>
    </row>
    <row r="262" spans="1:27" x14ac:dyDescent="0.25">
      <c r="A262" s="523"/>
      <c r="B262" s="638"/>
      <c r="C262" s="523" t="s">
        <v>970</v>
      </c>
      <c r="D262" s="523" t="s">
        <v>1218</v>
      </c>
      <c r="E262" s="638" t="s">
        <v>717</v>
      </c>
      <c r="F262" s="293">
        <v>0.49341516000000002</v>
      </c>
      <c r="G262" s="293">
        <v>1</v>
      </c>
      <c r="H262" s="293"/>
      <c r="I262" s="293">
        <f>F262*G262*H242</f>
        <v>0.49341516000000002</v>
      </c>
      <c r="J262" s="436"/>
      <c r="K262" s="436"/>
      <c r="L262" s="436"/>
      <c r="M262" s="436"/>
      <c r="N262" s="436"/>
      <c r="O262" s="436"/>
      <c r="P262" s="676"/>
      <c r="Q262" s="676"/>
      <c r="R262" s="676"/>
      <c r="S262" s="676"/>
      <c r="T262" s="676"/>
      <c r="U262" s="676"/>
      <c r="V262" s="676"/>
      <c r="W262" s="676"/>
      <c r="X262" s="676"/>
      <c r="Y262" s="676"/>
      <c r="Z262" s="676"/>
      <c r="AA262" s="676"/>
    </row>
    <row r="263" spans="1:27" x14ac:dyDescent="0.25">
      <c r="A263" s="679"/>
      <c r="B263" s="697"/>
      <c r="C263" s="571"/>
      <c r="D263" s="571" t="s">
        <v>607</v>
      </c>
      <c r="E263" s="697"/>
      <c r="F263" s="365"/>
      <c r="G263" s="365"/>
      <c r="H263" s="365"/>
      <c r="I263" s="365">
        <v>0</v>
      </c>
      <c r="J263" s="490"/>
      <c r="K263" s="490">
        <f>SUM(K6:K262)</f>
        <v>0</v>
      </c>
      <c r="L263" s="490"/>
      <c r="M263" s="490">
        <f>SUM(M6:M262)</f>
        <v>0</v>
      </c>
      <c r="N263" s="490"/>
      <c r="O263" s="490">
        <f>SUM(O6:O262)</f>
        <v>0</v>
      </c>
      <c r="P263" s="676"/>
      <c r="Q263" s="676"/>
      <c r="R263" s="676"/>
      <c r="S263" s="676"/>
      <c r="T263" s="676"/>
      <c r="U263" s="676"/>
      <c r="V263" s="676"/>
      <c r="W263" s="676"/>
      <c r="X263" s="676"/>
      <c r="Y263" s="676"/>
      <c r="Z263" s="676"/>
      <c r="AA263" s="676"/>
    </row>
    <row r="264" spans="1:27" x14ac:dyDescent="0.25">
      <c r="B264" s="676"/>
      <c r="C264" s="676"/>
      <c r="D264" s="676"/>
      <c r="E264" s="676"/>
      <c r="F264" s="676"/>
      <c r="G264" s="676"/>
      <c r="H264" s="676"/>
      <c r="I264" s="676"/>
      <c r="J264" s="676"/>
      <c r="K264" s="676"/>
      <c r="L264" s="676"/>
      <c r="M264" s="676"/>
      <c r="N264" s="676"/>
      <c r="O264" s="676"/>
      <c r="P264" s="676"/>
      <c r="Q264" s="676"/>
      <c r="R264" s="676"/>
      <c r="S264" s="676"/>
      <c r="T264" s="676"/>
      <c r="U264" s="676"/>
      <c r="V264" s="676"/>
      <c r="W264" s="676"/>
      <c r="X264" s="676"/>
      <c r="Y264" s="676"/>
      <c r="Z264" s="676"/>
      <c r="AA264" s="676"/>
    </row>
    <row r="265" spans="1:27" x14ac:dyDescent="0.25">
      <c r="B265" s="676"/>
      <c r="C265" s="676"/>
      <c r="D265" s="676"/>
      <c r="E265" s="676"/>
      <c r="F265" s="676"/>
      <c r="G265" s="676"/>
      <c r="H265" s="676"/>
      <c r="I265" s="676"/>
      <c r="J265" s="676"/>
      <c r="K265" s="676"/>
      <c r="L265" s="676"/>
      <c r="M265" s="676"/>
      <c r="N265" s="676"/>
      <c r="O265" s="676"/>
      <c r="P265" s="676"/>
      <c r="Q265" s="676"/>
      <c r="R265" s="676"/>
      <c r="S265" s="676"/>
      <c r="T265" s="676"/>
      <c r="U265" s="676"/>
      <c r="V265" s="676"/>
      <c r="W265" s="676"/>
      <c r="X265" s="676"/>
      <c r="Y265" s="676"/>
      <c r="Z265" s="676"/>
      <c r="AA265" s="676"/>
    </row>
  </sheetData>
  <mergeCells count="4">
    <mergeCell ref="A1:O1"/>
    <mergeCell ref="A2:O2"/>
    <mergeCell ref="A3:O3"/>
    <mergeCell ref="A4:O4"/>
  </mergeCells>
  <pageMargins left="0.75" right="0.75" top="0.79" bottom="0.79" header="0.3" footer="0.3"/>
  <pageSetup paperSize="9" scale="90" orientation="landscape" useFirstPageNumber="1" horizontalDpi="65532"/>
  <headerFooter>
    <oddFooter>&amp;CTrang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8"/>
  <sheetViews>
    <sheetView showZeros="0" topLeftCell="B1" workbookViewId="0">
      <selection activeCell="C25" sqref="C25"/>
    </sheetView>
  </sheetViews>
  <sheetFormatPr defaultColWidth="9.140625" defaultRowHeight="15" x14ac:dyDescent="0.25"/>
  <cols>
    <col min="1" max="1" width="5.42578125" style="291" hidden="1" customWidth="1"/>
    <col min="2" max="2" width="9.7109375" style="291" customWidth="1"/>
    <col min="3" max="3" width="47.85546875" style="291" customWidth="1"/>
    <col min="4" max="4" width="12.7109375" style="291" customWidth="1"/>
    <col min="5" max="5" width="36.42578125" style="291" customWidth="1"/>
    <col min="6" max="6" width="19.42578125" style="291" customWidth="1"/>
    <col min="7" max="7" width="5.5703125" style="291" customWidth="1"/>
    <col min="8" max="8" width="5.42578125" style="291" bestFit="1" customWidth="1"/>
    <col min="9" max="9" width="5.140625" style="291" customWidth="1"/>
    <col min="10" max="10" width="9.140625" style="291" customWidth="1"/>
    <col min="11" max="16384" width="9.140625" style="291"/>
  </cols>
  <sheetData>
    <row r="1" spans="1:27" ht="18.75" x14ac:dyDescent="0.3">
      <c r="A1" s="1060" t="s">
        <v>596</v>
      </c>
      <c r="B1" s="1060" t="s">
        <v>596</v>
      </c>
      <c r="C1" s="1060" t="s">
        <v>596</v>
      </c>
      <c r="D1" s="1060" t="s">
        <v>596</v>
      </c>
      <c r="E1" s="1060" t="s">
        <v>596</v>
      </c>
      <c r="F1" s="1060" t="s">
        <v>596</v>
      </c>
      <c r="G1" s="210"/>
      <c r="H1" s="533" t="b">
        <f>ISERR(E6&amp;E7&amp;E8&amp;E9&amp;E10&amp;E11&amp;E12&amp;E13&amp;E14&amp;E15&amp;E16&amp;E17&amp;E18&amp;E19&amp;E20&amp;E21&amp;E22&amp;E23&amp;E24&amp;E25&amp;E26&amp;E27&amp;E28&amp;E29)</f>
        <v>0</v>
      </c>
      <c r="I1" s="210"/>
      <c r="J1" s="210"/>
    </row>
    <row r="2" spans="1:27" x14ac:dyDescent="0.25">
      <c r="A2" s="1061" t="s">
        <v>315</v>
      </c>
      <c r="B2" s="1061" t="s">
        <v>315</v>
      </c>
      <c r="C2" s="1061" t="s">
        <v>315</v>
      </c>
      <c r="D2" s="1061" t="s">
        <v>315</v>
      </c>
      <c r="E2" s="1061" t="s">
        <v>315</v>
      </c>
      <c r="F2" s="1061" t="s">
        <v>315</v>
      </c>
      <c r="G2" s="210"/>
      <c r="H2" s="210"/>
      <c r="I2" s="210"/>
      <c r="J2" s="210"/>
    </row>
    <row r="3" spans="1:27" x14ac:dyDescent="0.25">
      <c r="A3" s="1061" t="s">
        <v>60</v>
      </c>
      <c r="B3" s="1061" t="s">
        <v>60</v>
      </c>
      <c r="C3" s="1061" t="s">
        <v>60</v>
      </c>
      <c r="D3" s="1061" t="s">
        <v>60</v>
      </c>
      <c r="E3" s="1061" t="s">
        <v>60</v>
      </c>
      <c r="F3" s="1061" t="s">
        <v>60</v>
      </c>
      <c r="G3" s="210"/>
      <c r="H3" s="210"/>
      <c r="I3" s="210"/>
      <c r="J3" s="210"/>
    </row>
    <row r="4" spans="1:27" x14ac:dyDescent="0.25">
      <c r="A4" s="210"/>
      <c r="B4" s="90"/>
      <c r="C4" s="90"/>
      <c r="D4" s="90"/>
      <c r="E4" s="90"/>
      <c r="F4" s="90"/>
      <c r="G4" s="723"/>
      <c r="H4" s="723"/>
      <c r="I4" s="390" t="str">
        <f>IF(H1,"Xem hướng dẫn sửa lỗi #NAME tại: ","")</f>
        <v/>
      </c>
      <c r="J4" s="723"/>
      <c r="K4" s="445"/>
      <c r="L4" s="445"/>
      <c r="M4" s="445"/>
      <c r="N4" s="445"/>
      <c r="O4" s="445"/>
      <c r="P4" s="445"/>
      <c r="Q4" s="445"/>
      <c r="R4" s="445"/>
      <c r="S4" s="445"/>
      <c r="T4" s="445"/>
      <c r="U4" s="445"/>
      <c r="V4" s="445"/>
      <c r="W4" s="445"/>
      <c r="X4" s="445"/>
      <c r="Y4" s="445"/>
      <c r="Z4" s="445"/>
      <c r="AA4" s="445"/>
    </row>
    <row r="5" spans="1:27" ht="20.25" customHeight="1" x14ac:dyDescent="0.25">
      <c r="A5" s="472"/>
      <c r="B5" s="532" t="s">
        <v>386</v>
      </c>
      <c r="C5" s="532" t="s">
        <v>1239</v>
      </c>
      <c r="D5" s="532" t="s">
        <v>550</v>
      </c>
      <c r="E5" s="532" t="s">
        <v>1091</v>
      </c>
      <c r="F5" s="532" t="s">
        <v>120</v>
      </c>
      <c r="G5" s="723"/>
      <c r="H5" s="723"/>
      <c r="I5" s="384" t="str">
        <f>IF(H1,"https://dutoaneta.vn/huong-dan-xu-ly-loi-name-khi-xuat-excel/","")</f>
        <v/>
      </c>
      <c r="J5" s="388"/>
      <c r="K5" s="445"/>
      <c r="L5" s="445"/>
      <c r="M5" s="445"/>
      <c r="N5" s="445"/>
      <c r="O5" s="445"/>
      <c r="P5" s="445"/>
      <c r="Q5" s="445"/>
      <c r="R5" s="445"/>
      <c r="S5" s="445"/>
      <c r="T5" s="445"/>
      <c r="U5" s="445"/>
      <c r="V5" s="445"/>
      <c r="W5" s="445"/>
      <c r="X5" s="445"/>
      <c r="Y5" s="445"/>
      <c r="Z5" s="445"/>
      <c r="AA5" s="445"/>
    </row>
    <row r="6" spans="1:27" x14ac:dyDescent="0.25">
      <c r="A6" s="458"/>
      <c r="B6" s="742">
        <v>1</v>
      </c>
      <c r="C6" s="40" t="s">
        <v>547</v>
      </c>
      <c r="D6" s="742" t="s">
        <v>962</v>
      </c>
      <c r="E6" s="742" t="s">
        <v>836</v>
      </c>
      <c r="F6" s="102" t="e">
        <f>F7+F8</f>
        <v>#REF!</v>
      </c>
      <c r="G6" s="723"/>
      <c r="H6" s="723"/>
      <c r="I6" s="723"/>
      <c r="J6" s="723"/>
      <c r="K6" s="445"/>
      <c r="L6" s="445"/>
      <c r="M6" s="445"/>
      <c r="N6" s="445"/>
      <c r="O6" s="445"/>
      <c r="P6" s="445"/>
      <c r="Q6" s="445"/>
      <c r="R6" s="445"/>
      <c r="S6" s="445"/>
      <c r="T6" s="445"/>
      <c r="U6" s="445"/>
      <c r="V6" s="445"/>
      <c r="W6" s="445"/>
      <c r="X6" s="445"/>
      <c r="Y6" s="445"/>
      <c r="Z6" s="445"/>
      <c r="AA6" s="445"/>
    </row>
    <row r="7" spans="1:27" x14ac:dyDescent="0.25">
      <c r="A7" s="207"/>
      <c r="B7" s="641"/>
      <c r="C7" s="716" t="s">
        <v>954</v>
      </c>
      <c r="D7" s="641" t="s">
        <v>1103</v>
      </c>
      <c r="E7" s="641" t="s">
        <v>314</v>
      </c>
      <c r="F7" s="88" t="e">
        <f>'Du toan chi tiet'!#REF!+'Du toan chi tiet'!#REF!</f>
        <v>#REF!</v>
      </c>
      <c r="G7" s="723"/>
      <c r="H7" s="723"/>
      <c r="I7" s="723"/>
      <c r="J7" s="723"/>
      <c r="K7" s="445"/>
      <c r="L7" s="445"/>
      <c r="M7" s="445"/>
      <c r="N7" s="445"/>
      <c r="O7" s="445"/>
      <c r="P7" s="445"/>
      <c r="Q7" s="445"/>
      <c r="R7" s="445"/>
      <c r="S7" s="445"/>
      <c r="T7" s="445"/>
      <c r="U7" s="445"/>
      <c r="V7" s="445"/>
      <c r="W7" s="445"/>
      <c r="X7" s="445"/>
      <c r="Y7" s="445"/>
      <c r="Z7" s="445"/>
      <c r="AA7" s="445"/>
    </row>
    <row r="8" spans="1:27" x14ac:dyDescent="0.25">
      <c r="A8" s="207"/>
      <c r="B8" s="641"/>
      <c r="C8" s="716" t="s">
        <v>1007</v>
      </c>
      <c r="D8" s="641" t="s">
        <v>306</v>
      </c>
      <c r="E8" s="641" t="s">
        <v>1002</v>
      </c>
      <c r="F8" s="88" t="e">
        <f>THVL!AA125</f>
        <v>#REF!</v>
      </c>
      <c r="G8" s="723"/>
      <c r="H8" s="723"/>
      <c r="I8" s="723"/>
      <c r="J8" s="723"/>
      <c r="K8" s="445"/>
      <c r="L8" s="445"/>
      <c r="M8" s="445"/>
      <c r="N8" s="445"/>
      <c r="O8" s="445"/>
      <c r="P8" s="445"/>
      <c r="Q8" s="445"/>
      <c r="R8" s="445"/>
      <c r="S8" s="445"/>
      <c r="T8" s="445"/>
      <c r="U8" s="445"/>
      <c r="V8" s="445"/>
      <c r="W8" s="445"/>
      <c r="X8" s="445"/>
      <c r="Y8" s="445"/>
      <c r="Z8" s="445"/>
      <c r="AA8" s="445"/>
    </row>
    <row r="9" spans="1:27" x14ac:dyDescent="0.25">
      <c r="A9" s="207"/>
      <c r="B9" s="499">
        <v>2</v>
      </c>
      <c r="C9" s="563" t="s">
        <v>301</v>
      </c>
      <c r="D9" s="499" t="s">
        <v>1018</v>
      </c>
      <c r="E9" s="499" t="s">
        <v>671</v>
      </c>
      <c r="F9" s="620" t="e">
        <f>F12</f>
        <v>#REF!</v>
      </c>
      <c r="G9" s="723"/>
      <c r="H9" s="723"/>
      <c r="I9" s="723"/>
      <c r="J9" s="723"/>
      <c r="K9" s="445"/>
      <c r="L9" s="445"/>
      <c r="M9" s="445"/>
      <c r="N9" s="445"/>
      <c r="O9" s="445"/>
      <c r="P9" s="445"/>
      <c r="Q9" s="445"/>
      <c r="R9" s="445"/>
      <c r="S9" s="445"/>
      <c r="T9" s="445"/>
      <c r="U9" s="445"/>
      <c r="V9" s="445"/>
      <c r="W9" s="445"/>
      <c r="X9" s="445"/>
      <c r="Y9" s="445"/>
      <c r="Z9" s="445"/>
      <c r="AA9" s="445"/>
    </row>
    <row r="10" spans="1:27" x14ac:dyDescent="0.25">
      <c r="A10" s="207"/>
      <c r="B10" s="641"/>
      <c r="C10" s="716" t="s">
        <v>122</v>
      </c>
      <c r="D10" s="641" t="s">
        <v>1173</v>
      </c>
      <c r="E10" s="641" t="s">
        <v>314</v>
      </c>
      <c r="F10" s="5" t="e">
        <f>'Du toan chi tiet'!#REF!</f>
        <v>#REF!</v>
      </c>
      <c r="G10" s="723"/>
      <c r="H10" s="723"/>
      <c r="I10" s="723"/>
      <c r="J10" s="723"/>
      <c r="K10" s="445"/>
      <c r="L10" s="445"/>
      <c r="M10" s="445"/>
      <c r="N10" s="445"/>
      <c r="O10" s="445"/>
      <c r="P10" s="445"/>
      <c r="Q10" s="445"/>
      <c r="R10" s="445"/>
      <c r="S10" s="445"/>
      <c r="T10" s="445"/>
      <c r="U10" s="445"/>
      <c r="V10" s="445"/>
      <c r="W10" s="445"/>
      <c r="X10" s="445"/>
      <c r="Y10" s="445"/>
      <c r="Z10" s="445"/>
      <c r="AA10" s="445"/>
    </row>
    <row r="11" spans="1:27" x14ac:dyDescent="0.25">
      <c r="A11" s="207"/>
      <c r="B11" s="641"/>
      <c r="C11" s="716" t="s">
        <v>897</v>
      </c>
      <c r="D11" s="641" t="s">
        <v>364</v>
      </c>
      <c r="E11" s="641" t="s">
        <v>137</v>
      </c>
      <c r="F11" s="5" t="e">
        <f>THNC!AA52</f>
        <v>#REF!</v>
      </c>
      <c r="G11" s="723"/>
      <c r="H11" s="723"/>
      <c r="I11" s="723"/>
      <c r="J11" s="723"/>
      <c r="K11" s="445"/>
      <c r="L11" s="445"/>
      <c r="M11" s="445"/>
      <c r="N11" s="445"/>
      <c r="O11" s="445"/>
      <c r="P11" s="445"/>
      <c r="Q11" s="445"/>
      <c r="R11" s="445"/>
      <c r="S11" s="445"/>
      <c r="T11" s="445"/>
      <c r="U11" s="445"/>
      <c r="V11" s="445"/>
      <c r="W11" s="445"/>
      <c r="X11" s="445"/>
      <c r="Y11" s="445"/>
      <c r="Z11" s="445"/>
      <c r="AA11" s="445"/>
    </row>
    <row r="12" spans="1:27" x14ac:dyDescent="0.25">
      <c r="A12" s="207"/>
      <c r="B12" s="641"/>
      <c r="C12" s="716" t="s">
        <v>701</v>
      </c>
      <c r="D12" s="641" t="s">
        <v>671</v>
      </c>
      <c r="E12" s="641" t="s">
        <v>513</v>
      </c>
      <c r="F12" s="5" t="e">
        <f>(F10 + F11)*'Thông tin'!E69*'Thông tin'!E73*'Thông tin'!E74</f>
        <v>#REF!</v>
      </c>
      <c r="G12" s="723"/>
      <c r="H12" s="723"/>
      <c r="I12" s="390" t="str">
        <f>IF(ISERR(E12),"Xem hướng dẫn sửa lỗi #NAME: ","")</f>
        <v/>
      </c>
      <c r="J12" s="388" t="str">
        <f>IF(ISERR(E12),"https://dutoaneta.vn/huong-dan-xu-ly-loi-name-khi-xuat-excel/","")</f>
        <v/>
      </c>
      <c r="K12" s="445"/>
      <c r="L12" s="445"/>
      <c r="M12" s="445"/>
      <c r="N12" s="445"/>
      <c r="O12" s="445"/>
      <c r="P12" s="445"/>
      <c r="Q12" s="445"/>
      <c r="R12" s="445"/>
      <c r="S12" s="445"/>
      <c r="T12" s="445"/>
      <c r="U12" s="445"/>
      <c r="V12" s="445"/>
      <c r="W12" s="445"/>
      <c r="X12" s="445"/>
      <c r="Y12" s="445"/>
      <c r="Z12" s="445"/>
      <c r="AA12" s="445"/>
    </row>
    <row r="13" spans="1:27" x14ac:dyDescent="0.25">
      <c r="A13" s="207"/>
      <c r="B13" s="499">
        <v>3</v>
      </c>
      <c r="C13" s="563" t="s">
        <v>1175</v>
      </c>
      <c r="D13" s="499" t="s">
        <v>138</v>
      </c>
      <c r="E13" s="499" t="s">
        <v>1246</v>
      </c>
      <c r="F13" s="620" t="e">
        <f>F16</f>
        <v>#REF!</v>
      </c>
      <c r="G13" s="723"/>
      <c r="H13" s="723"/>
      <c r="I13" s="388"/>
      <c r="J13" s="723"/>
      <c r="K13" s="445"/>
      <c r="L13" s="445"/>
      <c r="M13" s="445"/>
      <c r="N13" s="445"/>
      <c r="O13" s="445"/>
      <c r="P13" s="445"/>
      <c r="Q13" s="445"/>
      <c r="R13" s="445"/>
      <c r="S13" s="445"/>
      <c r="T13" s="445"/>
      <c r="U13" s="445"/>
      <c r="V13" s="445"/>
      <c r="W13" s="445"/>
      <c r="X13" s="445"/>
      <c r="Y13" s="445"/>
      <c r="Z13" s="445"/>
      <c r="AA13" s="445"/>
    </row>
    <row r="14" spans="1:27" x14ac:dyDescent="0.25">
      <c r="A14" s="207"/>
      <c r="B14" s="641"/>
      <c r="C14" s="716" t="s">
        <v>644</v>
      </c>
      <c r="D14" s="641" t="s">
        <v>1225</v>
      </c>
      <c r="E14" s="641" t="s">
        <v>314</v>
      </c>
      <c r="F14" s="5" t="e">
        <f>'Du toan chi tiet'!#REF!</f>
        <v>#REF!</v>
      </c>
      <c r="G14" s="723"/>
      <c r="H14" s="723"/>
      <c r="I14" s="723"/>
      <c r="J14" s="723"/>
      <c r="K14" s="445"/>
      <c r="L14" s="445"/>
      <c r="M14" s="445"/>
      <c r="N14" s="445"/>
      <c r="O14" s="445"/>
      <c r="P14" s="445"/>
      <c r="Q14" s="445"/>
      <c r="R14" s="445"/>
      <c r="S14" s="445"/>
      <c r="T14" s="445"/>
      <c r="U14" s="445"/>
      <c r="V14" s="445"/>
      <c r="W14" s="445"/>
      <c r="X14" s="445"/>
      <c r="Y14" s="445"/>
      <c r="Z14" s="445"/>
      <c r="AA14" s="445"/>
    </row>
    <row r="15" spans="1:27" x14ac:dyDescent="0.25">
      <c r="A15" s="207"/>
      <c r="B15" s="641"/>
      <c r="C15" s="716" t="s">
        <v>504</v>
      </c>
      <c r="D15" s="641" t="s">
        <v>1168</v>
      </c>
      <c r="E15" s="641" t="s">
        <v>770</v>
      </c>
      <c r="F15" s="5" t="e">
        <f>THM!AA106</f>
        <v>#REF!</v>
      </c>
      <c r="G15" s="723"/>
      <c r="H15" s="723"/>
      <c r="I15" s="723"/>
      <c r="J15" s="723"/>
      <c r="K15" s="445"/>
      <c r="L15" s="445"/>
      <c r="M15" s="445"/>
      <c r="N15" s="445"/>
      <c r="O15" s="445"/>
      <c r="P15" s="445"/>
      <c r="Q15" s="445"/>
      <c r="R15" s="445"/>
      <c r="S15" s="445"/>
      <c r="T15" s="445"/>
      <c r="U15" s="445"/>
      <c r="V15" s="445"/>
      <c r="W15" s="445"/>
      <c r="X15" s="445"/>
      <c r="Y15" s="445"/>
      <c r="Z15" s="445"/>
      <c r="AA15" s="445"/>
    </row>
    <row r="16" spans="1:27" x14ac:dyDescent="0.25">
      <c r="A16" s="207"/>
      <c r="B16" s="641"/>
      <c r="C16" s="716" t="s">
        <v>701</v>
      </c>
      <c r="D16" s="641" t="s">
        <v>1246</v>
      </c>
      <c r="E16" s="641" t="s">
        <v>248</v>
      </c>
      <c r="F16" s="5" t="e">
        <f>(F14 +F15)*'Thông tin'!E62*'Thông tin'!E70*'Thông tin'!E71</f>
        <v>#REF!</v>
      </c>
      <c r="G16" s="723"/>
      <c r="H16" s="723"/>
      <c r="I16" s="723"/>
      <c r="J16" s="723"/>
      <c r="K16" s="445"/>
      <c r="L16" s="445"/>
      <c r="M16" s="445"/>
      <c r="N16" s="445"/>
      <c r="O16" s="445"/>
      <c r="P16" s="445"/>
      <c r="Q16" s="445"/>
      <c r="R16" s="445"/>
      <c r="S16" s="445"/>
      <c r="T16" s="445"/>
      <c r="U16" s="445"/>
      <c r="V16" s="445"/>
      <c r="W16" s="445"/>
      <c r="X16" s="445"/>
      <c r="Y16" s="445"/>
      <c r="Z16" s="445"/>
      <c r="AA16" s="445"/>
    </row>
    <row r="17" spans="1:27" x14ac:dyDescent="0.25">
      <c r="A17" s="207"/>
      <c r="B17" s="641" t="s">
        <v>489</v>
      </c>
      <c r="C17" s="716" t="s">
        <v>599</v>
      </c>
      <c r="D17" s="641" t="s">
        <v>356</v>
      </c>
      <c r="E17" s="641" t="s">
        <v>242</v>
      </c>
      <c r="F17" s="5" t="e">
        <f>F6 + F9 + F13</f>
        <v>#REF!</v>
      </c>
      <c r="G17" s="723"/>
      <c r="H17" s="723"/>
      <c r="I17" s="723"/>
      <c r="J17" s="723"/>
      <c r="K17" s="445"/>
      <c r="L17" s="445"/>
      <c r="M17" s="445"/>
      <c r="N17" s="445"/>
      <c r="O17" s="445"/>
      <c r="P17" s="445"/>
      <c r="Q17" s="445"/>
      <c r="R17" s="445"/>
      <c r="S17" s="445"/>
      <c r="T17" s="445"/>
      <c r="U17" s="445"/>
      <c r="V17" s="445"/>
      <c r="W17" s="445"/>
      <c r="X17" s="445"/>
      <c r="Y17" s="445"/>
      <c r="Z17" s="445"/>
      <c r="AA17" s="445"/>
    </row>
    <row r="18" spans="1:27" x14ac:dyDescent="0.25">
      <c r="A18" s="207"/>
      <c r="B18" s="641" t="s">
        <v>548</v>
      </c>
      <c r="C18" s="716" t="s">
        <v>2</v>
      </c>
      <c r="D18" s="641"/>
      <c r="E18" s="641"/>
      <c r="F18" s="5">
        <v>0</v>
      </c>
      <c r="G18" s="723"/>
      <c r="H18" s="723"/>
      <c r="I18" s="723"/>
      <c r="J18" s="723"/>
      <c r="K18" s="445"/>
      <c r="L18" s="445"/>
      <c r="M18" s="445"/>
      <c r="N18" s="445"/>
      <c r="O18" s="445"/>
      <c r="P18" s="445"/>
      <c r="Q18" s="445"/>
      <c r="R18" s="445"/>
      <c r="S18" s="445"/>
      <c r="T18" s="445"/>
      <c r="U18" s="445"/>
      <c r="V18" s="445"/>
      <c r="W18" s="445"/>
      <c r="X18" s="445"/>
      <c r="Y18" s="445"/>
      <c r="Z18" s="445"/>
      <c r="AA18" s="445"/>
    </row>
    <row r="19" spans="1:27" x14ac:dyDescent="0.25">
      <c r="A19" s="207"/>
      <c r="B19" s="641">
        <v>1</v>
      </c>
      <c r="C19" s="716" t="s">
        <v>265</v>
      </c>
      <c r="D19" s="641" t="s">
        <v>653</v>
      </c>
      <c r="E19" s="641" t="s">
        <v>281</v>
      </c>
      <c r="F19" s="5" t="e">
        <f>F17*'Thông tin'!E67</f>
        <v>#REF!</v>
      </c>
      <c r="G19" s="723"/>
      <c r="H19" s="723"/>
      <c r="I19" s="723"/>
      <c r="J19" s="723"/>
      <c r="K19" s="445"/>
      <c r="L19" s="445"/>
      <c r="M19" s="445"/>
      <c r="N19" s="445"/>
      <c r="O19" s="445"/>
      <c r="P19" s="445"/>
      <c r="Q19" s="445"/>
      <c r="R19" s="445"/>
      <c r="S19" s="445"/>
      <c r="T19" s="445"/>
      <c r="U19" s="445"/>
      <c r="V19" s="445"/>
      <c r="W19" s="445"/>
      <c r="X19" s="445"/>
      <c r="Y19" s="445"/>
      <c r="Z19" s="445"/>
      <c r="AA19" s="445"/>
    </row>
    <row r="20" spans="1:27" x14ac:dyDescent="0.25">
      <c r="A20" s="207"/>
      <c r="B20" s="641">
        <v>2</v>
      </c>
      <c r="C20" s="716" t="s">
        <v>765</v>
      </c>
      <c r="D20" s="641" t="s">
        <v>602</v>
      </c>
      <c r="E20" s="641" t="s">
        <v>805</v>
      </c>
      <c r="F20" s="5" t="e">
        <f xml:space="preserve"> F17 *'Thông tin'!E60</f>
        <v>#REF!</v>
      </c>
      <c r="G20" s="723"/>
      <c r="H20" s="723"/>
      <c r="I20" s="723"/>
      <c r="J20" s="723"/>
      <c r="K20" s="445"/>
      <c r="L20" s="445"/>
      <c r="M20" s="445"/>
      <c r="N20" s="445"/>
      <c r="O20" s="445"/>
      <c r="P20" s="445"/>
      <c r="Q20" s="445"/>
      <c r="R20" s="445"/>
      <c r="S20" s="445"/>
      <c r="T20" s="445"/>
      <c r="U20" s="445"/>
      <c r="V20" s="445"/>
      <c r="W20" s="445"/>
      <c r="X20" s="445"/>
      <c r="Y20" s="445"/>
      <c r="Z20" s="445"/>
      <c r="AA20" s="445"/>
    </row>
    <row r="21" spans="1:27" ht="30" x14ac:dyDescent="0.25">
      <c r="A21" s="207"/>
      <c r="B21" s="641">
        <v>3</v>
      </c>
      <c r="C21" s="716" t="s">
        <v>457</v>
      </c>
      <c r="D21" s="641" t="s">
        <v>881</v>
      </c>
      <c r="E21" s="641" t="s">
        <v>960</v>
      </c>
      <c r="F21" s="5" t="e">
        <f xml:space="preserve"> F17*'Thông tin'!E65</f>
        <v>#REF!</v>
      </c>
      <c r="G21" s="723"/>
      <c r="H21" s="723"/>
      <c r="I21" s="723"/>
      <c r="J21" s="723"/>
      <c r="K21" s="445"/>
      <c r="L21" s="445"/>
      <c r="M21" s="445"/>
      <c r="N21" s="445"/>
      <c r="O21" s="445"/>
      <c r="P21" s="445"/>
      <c r="Q21" s="445"/>
      <c r="R21" s="445"/>
      <c r="S21" s="445"/>
      <c r="T21" s="445"/>
      <c r="U21" s="445"/>
      <c r="V21" s="445"/>
      <c r="W21" s="445"/>
      <c r="X21" s="445"/>
      <c r="Y21" s="445"/>
      <c r="Z21" s="445"/>
      <c r="AA21" s="445"/>
    </row>
    <row r="22" spans="1:27" x14ac:dyDescent="0.25">
      <c r="A22" s="207"/>
      <c r="B22" s="641"/>
      <c r="C22" s="716" t="s">
        <v>1244</v>
      </c>
      <c r="D22" s="641" t="s">
        <v>1032</v>
      </c>
      <c r="E22" s="641" t="s">
        <v>119</v>
      </c>
      <c r="F22" s="5" t="e">
        <f>F19 + F20 + F21</f>
        <v>#REF!</v>
      </c>
      <c r="G22" s="723"/>
      <c r="H22" s="723"/>
      <c r="I22" s="723"/>
      <c r="J22" s="723"/>
      <c r="K22" s="445"/>
      <c r="L22" s="445"/>
      <c r="M22" s="445"/>
      <c r="N22" s="445"/>
      <c r="O22" s="445"/>
      <c r="P22" s="445"/>
      <c r="Q22" s="445"/>
      <c r="R22" s="445"/>
      <c r="S22" s="445"/>
      <c r="T22" s="445"/>
      <c r="U22" s="445"/>
      <c r="V22" s="445"/>
      <c r="W22" s="445"/>
      <c r="X22" s="445"/>
      <c r="Y22" s="445"/>
      <c r="Z22" s="445"/>
      <c r="AA22" s="445"/>
    </row>
    <row r="23" spans="1:27" x14ac:dyDescent="0.25">
      <c r="A23" s="207"/>
      <c r="B23" s="641" t="s">
        <v>309</v>
      </c>
      <c r="C23" s="716" t="s">
        <v>990</v>
      </c>
      <c r="D23" s="641" t="s">
        <v>307</v>
      </c>
      <c r="E23" s="641" t="s">
        <v>820</v>
      </c>
      <c r="F23" s="5" t="e">
        <f>(F17 + F22)*'Thông tin'!E63</f>
        <v>#REF!</v>
      </c>
      <c r="G23" s="723"/>
      <c r="H23" s="723"/>
      <c r="I23" s="723"/>
      <c r="J23" s="723"/>
      <c r="K23" s="445"/>
      <c r="L23" s="445"/>
      <c r="M23" s="445"/>
      <c r="N23" s="445"/>
      <c r="O23" s="445"/>
      <c r="P23" s="445"/>
      <c r="Q23" s="445"/>
      <c r="R23" s="445"/>
      <c r="S23" s="445"/>
      <c r="T23" s="445"/>
      <c r="U23" s="445"/>
      <c r="V23" s="445"/>
      <c r="W23" s="445"/>
      <c r="X23" s="445"/>
      <c r="Y23" s="445"/>
      <c r="Z23" s="445"/>
      <c r="AA23" s="445"/>
    </row>
    <row r="24" spans="1:27" x14ac:dyDescent="0.25">
      <c r="A24" s="207"/>
      <c r="B24" s="499"/>
      <c r="C24" s="563" t="s">
        <v>142</v>
      </c>
      <c r="D24" s="499" t="s">
        <v>286</v>
      </c>
      <c r="E24" s="499" t="s">
        <v>258</v>
      </c>
      <c r="F24" s="620" t="e">
        <f>F17 + F22 + F23</f>
        <v>#REF!</v>
      </c>
      <c r="G24" s="723"/>
      <c r="H24" s="723"/>
      <c r="I24" s="723"/>
      <c r="J24" s="723"/>
      <c r="K24" s="445"/>
      <c r="L24" s="445"/>
      <c r="M24" s="445"/>
      <c r="N24" s="445"/>
      <c r="O24" s="445"/>
      <c r="P24" s="445"/>
      <c r="Q24" s="445"/>
      <c r="R24" s="445"/>
      <c r="S24" s="445"/>
      <c r="T24" s="445"/>
      <c r="U24" s="445"/>
      <c r="V24" s="445"/>
      <c r="W24" s="445"/>
      <c r="X24" s="445"/>
      <c r="Y24" s="445"/>
      <c r="Z24" s="445"/>
      <c r="AA24" s="445"/>
    </row>
    <row r="25" spans="1:27" x14ac:dyDescent="0.25">
      <c r="A25" s="207"/>
      <c r="B25" s="641" t="s">
        <v>609</v>
      </c>
      <c r="C25" s="716" t="s">
        <v>762</v>
      </c>
      <c r="D25" s="641" t="s">
        <v>830</v>
      </c>
      <c r="E25" s="641" t="s">
        <v>1107</v>
      </c>
      <c r="F25" s="5" t="e">
        <f>F24*'Thông tin'!E61</f>
        <v>#REF!</v>
      </c>
      <c r="G25" s="723"/>
      <c r="H25" s="723"/>
      <c r="I25" s="723"/>
      <c r="J25" s="723"/>
      <c r="K25" s="445"/>
      <c r="L25" s="445"/>
      <c r="M25" s="445"/>
      <c r="N25" s="445"/>
      <c r="O25" s="445"/>
      <c r="P25" s="445"/>
      <c r="Q25" s="445"/>
      <c r="R25" s="445"/>
      <c r="S25" s="445"/>
      <c r="T25" s="445"/>
      <c r="U25" s="445"/>
      <c r="V25" s="445"/>
      <c r="W25" s="445"/>
      <c r="X25" s="445"/>
      <c r="Y25" s="445"/>
      <c r="Z25" s="445"/>
      <c r="AA25" s="445"/>
    </row>
    <row r="26" spans="1:27" x14ac:dyDescent="0.25">
      <c r="A26" s="207"/>
      <c r="B26" s="641"/>
      <c r="C26" s="563" t="s">
        <v>953</v>
      </c>
      <c r="D26" s="499" t="s">
        <v>1108</v>
      </c>
      <c r="E26" s="499" t="s">
        <v>44</v>
      </c>
      <c r="F26" s="727" t="e">
        <f>F24 + F25</f>
        <v>#REF!</v>
      </c>
      <c r="G26" s="723"/>
      <c r="H26" s="723"/>
      <c r="I26" s="723"/>
      <c r="J26" s="723"/>
      <c r="K26" s="445"/>
      <c r="L26" s="445"/>
      <c r="M26" s="445"/>
      <c r="N26" s="445"/>
      <c r="O26" s="445"/>
      <c r="P26" s="445"/>
      <c r="Q26" s="445"/>
      <c r="R26" s="445"/>
      <c r="S26" s="445"/>
      <c r="T26" s="445"/>
      <c r="U26" s="445"/>
      <c r="V26" s="445"/>
      <c r="W26" s="445"/>
      <c r="X26" s="445"/>
      <c r="Y26" s="445"/>
      <c r="Z26" s="445"/>
      <c r="AA26" s="445"/>
    </row>
    <row r="27" spans="1:27" x14ac:dyDescent="0.25">
      <c r="A27" s="469"/>
      <c r="B27" s="1062" t="s">
        <v>341</v>
      </c>
      <c r="C27" s="1063" t="s">
        <v>341</v>
      </c>
      <c r="D27" s="1062" t="s">
        <v>341</v>
      </c>
      <c r="E27" s="1062" t="s">
        <v>341</v>
      </c>
      <c r="F27" s="1064" t="s">
        <v>341</v>
      </c>
      <c r="G27" s="723"/>
      <c r="H27" s="723"/>
      <c r="I27" s="723"/>
      <c r="J27" s="723"/>
      <c r="K27" s="445"/>
      <c r="L27" s="445"/>
      <c r="M27" s="445"/>
      <c r="N27" s="445"/>
      <c r="O27" s="445"/>
      <c r="P27" s="445"/>
      <c r="Q27" s="445"/>
      <c r="R27" s="445"/>
      <c r="S27" s="445"/>
      <c r="T27" s="445"/>
      <c r="U27" s="445"/>
      <c r="V27" s="445"/>
      <c r="W27" s="445"/>
      <c r="X27" s="445"/>
      <c r="Y27" s="445"/>
      <c r="Z27" s="445"/>
      <c r="AA27" s="445"/>
    </row>
    <row r="28" spans="1:27" x14ac:dyDescent="0.25">
      <c r="A28" s="210"/>
      <c r="B28" s="723"/>
      <c r="C28" s="723"/>
      <c r="D28" s="723"/>
      <c r="E28" s="723"/>
      <c r="F28" s="723"/>
      <c r="G28" s="723"/>
      <c r="H28" s="723"/>
      <c r="I28" s="723"/>
      <c r="J28" s="723"/>
      <c r="K28" s="445"/>
      <c r="L28" s="445"/>
      <c r="M28" s="445"/>
      <c r="N28" s="445"/>
      <c r="O28" s="445"/>
      <c r="P28" s="445"/>
      <c r="Q28" s="445"/>
      <c r="R28" s="445"/>
      <c r="S28" s="445"/>
      <c r="T28" s="445"/>
      <c r="U28" s="445"/>
      <c r="V28" s="445"/>
      <c r="W28" s="445"/>
      <c r="X28" s="445"/>
      <c r="Y28" s="445"/>
      <c r="Z28" s="445"/>
      <c r="AA28" s="445"/>
    </row>
    <row r="29" spans="1:27" x14ac:dyDescent="0.25">
      <c r="A29" s="210"/>
      <c r="B29" s="723"/>
      <c r="C29" s="723"/>
      <c r="D29" s="723"/>
      <c r="E29" s="723"/>
      <c r="F29" s="723"/>
      <c r="G29" s="723"/>
      <c r="H29" s="723"/>
      <c r="I29" s="723"/>
      <c r="J29" s="723"/>
      <c r="K29" s="445"/>
      <c r="L29" s="445"/>
      <c r="M29" s="445"/>
      <c r="N29" s="445"/>
      <c r="O29" s="445"/>
      <c r="P29" s="445"/>
      <c r="Q29" s="445"/>
      <c r="R29" s="445"/>
      <c r="S29" s="445"/>
      <c r="T29" s="445"/>
      <c r="U29" s="445"/>
      <c r="V29" s="445"/>
      <c r="W29" s="445"/>
      <c r="X29" s="445"/>
      <c r="Y29" s="445"/>
      <c r="Z29" s="445"/>
      <c r="AA29" s="445"/>
    </row>
    <row r="30" spans="1:27" x14ac:dyDescent="0.25">
      <c r="A30" s="210"/>
      <c r="B30" s="1065"/>
      <c r="C30" s="1065"/>
      <c r="D30" s="723"/>
      <c r="E30" s="1065" t="s">
        <v>600</v>
      </c>
      <c r="F30" s="1065" t="s">
        <v>600</v>
      </c>
      <c r="G30" s="723"/>
      <c r="H30" s="723"/>
      <c r="I30" s="723"/>
      <c r="J30" s="723"/>
      <c r="K30" s="445"/>
      <c r="L30" s="445"/>
      <c r="M30" s="445"/>
      <c r="N30" s="445"/>
      <c r="O30" s="445"/>
      <c r="P30" s="445"/>
      <c r="Q30" s="445"/>
      <c r="R30" s="445"/>
      <c r="S30" s="445"/>
      <c r="T30" s="445"/>
      <c r="U30" s="445"/>
      <c r="V30" s="445"/>
      <c r="W30" s="445"/>
      <c r="X30" s="445"/>
      <c r="Y30" s="445"/>
      <c r="Z30" s="445"/>
      <c r="AA30" s="445"/>
    </row>
    <row r="31" spans="1:27" x14ac:dyDescent="0.25">
      <c r="A31" s="210"/>
      <c r="B31" s="1066" t="s">
        <v>1015</v>
      </c>
      <c r="C31" s="1066" t="s">
        <v>1015</v>
      </c>
      <c r="D31" s="210"/>
      <c r="E31" s="1066" t="s">
        <v>806</v>
      </c>
      <c r="F31" s="1066" t="s">
        <v>806</v>
      </c>
      <c r="G31" s="210"/>
      <c r="H31" s="210"/>
      <c r="I31" s="210"/>
      <c r="J31" s="210"/>
    </row>
    <row r="32" spans="1:27" x14ac:dyDescent="0.25">
      <c r="A32" s="210"/>
      <c r="B32" s="210"/>
      <c r="C32" s="210"/>
      <c r="D32" s="210"/>
      <c r="E32" s="210"/>
      <c r="F32" s="210"/>
      <c r="G32" s="210"/>
      <c r="H32" s="210"/>
      <c r="I32" s="210"/>
      <c r="J32" s="210"/>
    </row>
    <row r="33" spans="1:10" x14ac:dyDescent="0.25">
      <c r="A33" s="210"/>
      <c r="B33" s="210"/>
      <c r="C33" s="210"/>
      <c r="D33" s="210"/>
      <c r="E33" s="210"/>
      <c r="F33" s="210"/>
      <c r="G33" s="210"/>
      <c r="H33" s="210"/>
      <c r="I33" s="210"/>
      <c r="J33" s="210"/>
    </row>
    <row r="34" spans="1:10" x14ac:dyDescent="0.25">
      <c r="A34" s="210"/>
      <c r="B34" s="210"/>
      <c r="C34" s="210"/>
      <c r="D34" s="210"/>
      <c r="E34" s="210"/>
      <c r="F34" s="210"/>
      <c r="G34" s="210"/>
      <c r="H34" s="210"/>
      <c r="I34" s="210"/>
      <c r="J34" s="210"/>
    </row>
    <row r="35" spans="1:10" x14ac:dyDescent="0.25">
      <c r="A35" s="210"/>
      <c r="B35" s="210"/>
      <c r="C35" s="210"/>
      <c r="D35" s="210"/>
      <c r="E35" s="210"/>
      <c r="F35" s="210"/>
      <c r="G35" s="210"/>
      <c r="H35" s="210"/>
      <c r="I35" s="210"/>
      <c r="J35" s="210"/>
    </row>
    <row r="36" spans="1:10" x14ac:dyDescent="0.25">
      <c r="A36" s="210"/>
      <c r="B36" s="210"/>
      <c r="C36" s="210"/>
      <c r="D36" s="210"/>
      <c r="E36" s="210"/>
      <c r="F36" s="210"/>
      <c r="G36" s="210"/>
      <c r="H36" s="210"/>
      <c r="I36" s="210"/>
      <c r="J36" s="210"/>
    </row>
    <row r="37" spans="1:10" x14ac:dyDescent="0.25">
      <c r="A37" s="210"/>
      <c r="B37" s="1067" t="s">
        <v>884</v>
      </c>
      <c r="C37" s="1067" t="s">
        <v>884</v>
      </c>
      <c r="D37" s="210"/>
      <c r="E37" s="1067" t="s">
        <v>736</v>
      </c>
      <c r="F37" s="1067" t="s">
        <v>736</v>
      </c>
      <c r="G37" s="210"/>
      <c r="H37" s="210"/>
      <c r="I37" s="210"/>
      <c r="J37" s="210"/>
    </row>
    <row r="38" spans="1:10" x14ac:dyDescent="0.25">
      <c r="A38" s="210"/>
      <c r="B38" s="1068"/>
      <c r="C38" s="1068"/>
      <c r="D38" s="210"/>
      <c r="E38" s="1068" t="s">
        <v>175</v>
      </c>
      <c r="F38" s="1068" t="s">
        <v>175</v>
      </c>
      <c r="G38" s="210"/>
      <c r="H38" s="210"/>
      <c r="I38" s="210"/>
      <c r="J38" s="210"/>
    </row>
  </sheetData>
  <mergeCells count="12">
    <mergeCell ref="B31:C31"/>
    <mergeCell ref="B37:C37"/>
    <mergeCell ref="B38:C38"/>
    <mergeCell ref="E30:F30"/>
    <mergeCell ref="E31:F31"/>
    <mergeCell ref="E37:F37"/>
    <mergeCell ref="E38:F38"/>
    <mergeCell ref="A1:F1"/>
    <mergeCell ref="A2:F2"/>
    <mergeCell ref="A3:F3"/>
    <mergeCell ref="B27:F27"/>
    <mergeCell ref="B30:C30"/>
  </mergeCells>
  <hyperlinks>
    <hyperlink ref="J12" r:id="rId1" display="https://dutoaneta.vn/huong-dan-xu-ly-loi-name-khi-xuat-excel/"/>
    <hyperlink ref="I5" r:id="rId2" display="https://dutoaneta.vn/huong-dan-xu-ly-loi-name-khi-xuat-excel/"/>
  </hyperlinks>
  <pageMargins left="0.75" right="0.75" top="0.79" bottom="0.79" header="0.3" footer="0.3"/>
  <pageSetup paperSize="9" orientation="landscape" useFirstPageNumber="1" horizontalDpi="65532"/>
  <headerFooter>
    <oddFooter>&amp;CTrang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showZeros="0" workbookViewId="0">
      <pane xSplit="1" ySplit="1" topLeftCell="B2" activePane="bottomRight" state="frozen"/>
      <selection pane="topRight"/>
      <selection pane="bottomLeft"/>
      <selection pane="bottomRight" activeCell="B2" sqref="B2"/>
    </sheetView>
  </sheetViews>
  <sheetFormatPr defaultRowHeight="15" x14ac:dyDescent="0.25"/>
  <cols>
    <col min="1" max="1" width="7.7109375" customWidth="1"/>
    <col min="2" max="2" width="40.28515625" customWidth="1"/>
    <col min="3" max="3" width="11" customWidth="1"/>
    <col min="4" max="4" width="5.7109375" customWidth="1"/>
    <col min="5" max="5" width="30.85546875" customWidth="1"/>
    <col min="6" max="6" width="16.42578125" customWidth="1"/>
    <col min="7" max="7" width="20" customWidth="1"/>
    <col min="8" max="8" width="16.85546875" customWidth="1"/>
    <col min="9" max="9" width="13.85546875" customWidth="1"/>
    <col min="10" max="10" width="8" customWidth="1"/>
    <col min="11" max="11" width="9.140625" customWidth="1"/>
  </cols>
  <sheetData>
    <row r="1" spans="1:11" ht="17.649999999999999" customHeight="1" x14ac:dyDescent="0.25">
      <c r="A1" s="256" t="s">
        <v>1264</v>
      </c>
      <c r="B1" s="256"/>
      <c r="C1" s="256"/>
      <c r="D1" s="256"/>
      <c r="E1" s="256"/>
      <c r="F1" s="256"/>
      <c r="G1" s="256"/>
      <c r="H1" s="256"/>
      <c r="I1" s="304"/>
      <c r="J1" s="146"/>
      <c r="K1" s="150"/>
    </row>
    <row r="2" spans="1:11" ht="18" customHeight="1" x14ac:dyDescent="0.25">
      <c r="A2" s="50" t="s">
        <v>1217</v>
      </c>
      <c r="B2" s="50"/>
      <c r="C2" s="50"/>
      <c r="D2" s="50"/>
      <c r="E2" s="50"/>
      <c r="F2" s="50"/>
      <c r="G2" s="50"/>
      <c r="H2" s="50"/>
      <c r="I2" s="304" t="s">
        <v>839</v>
      </c>
      <c r="J2" s="146"/>
      <c r="K2" s="150"/>
    </row>
    <row r="3" spans="1:11" ht="14.1" customHeight="1" x14ac:dyDescent="0.25">
      <c r="A3" s="254"/>
      <c r="B3" s="572" t="s">
        <v>220</v>
      </c>
      <c r="C3" s="1075" t="s">
        <v>559</v>
      </c>
      <c r="D3" s="1075"/>
      <c r="E3" s="1075"/>
      <c r="F3" s="701"/>
      <c r="G3" s="701"/>
      <c r="H3" s="701"/>
      <c r="I3" s="165" t="s">
        <v>383</v>
      </c>
      <c r="J3" s="146"/>
      <c r="K3" s="150"/>
    </row>
    <row r="4" spans="1:11" ht="14.1" customHeight="1" x14ac:dyDescent="0.25">
      <c r="A4" s="254"/>
      <c r="B4" s="330" t="s">
        <v>1221</v>
      </c>
      <c r="C4" s="1076" t="s">
        <v>1073</v>
      </c>
      <c r="D4" s="1076"/>
      <c r="E4" s="1076"/>
      <c r="F4" s="701"/>
      <c r="G4" s="701"/>
      <c r="H4" s="701"/>
      <c r="I4" s="165" t="s">
        <v>339</v>
      </c>
      <c r="J4" s="146"/>
      <c r="K4" s="150"/>
    </row>
    <row r="5" spans="1:11" ht="14.1" customHeight="1" x14ac:dyDescent="0.25">
      <c r="A5" s="254"/>
      <c r="B5" s="330" t="s">
        <v>996</v>
      </c>
      <c r="C5" s="1076" t="s">
        <v>417</v>
      </c>
      <c r="D5" s="1076"/>
      <c r="E5" s="1076"/>
      <c r="F5" s="701"/>
      <c r="G5" s="701"/>
      <c r="H5" s="701"/>
      <c r="I5" s="165" t="s">
        <v>1082</v>
      </c>
      <c r="J5" s="146"/>
      <c r="K5" s="150"/>
    </row>
    <row r="6" spans="1:11" ht="14.1" customHeight="1" x14ac:dyDescent="0.25">
      <c r="A6" s="254"/>
      <c r="B6" s="330" t="s">
        <v>229</v>
      </c>
      <c r="C6" s="1076"/>
      <c r="D6" s="1076"/>
      <c r="E6" s="1076"/>
      <c r="F6" s="701"/>
      <c r="G6" s="701"/>
      <c r="H6" s="701"/>
      <c r="I6" s="165" t="s">
        <v>189</v>
      </c>
      <c r="J6" s="146"/>
      <c r="K6" s="150"/>
    </row>
    <row r="7" spans="1:11" ht="35.25" customHeight="1" x14ac:dyDescent="0.25">
      <c r="A7" s="135"/>
      <c r="B7" s="177" t="s">
        <v>396</v>
      </c>
      <c r="C7" s="1077">
        <v>0.1</v>
      </c>
      <c r="D7" s="1077"/>
      <c r="E7" s="1077"/>
      <c r="F7" s="150"/>
      <c r="G7" s="150"/>
      <c r="H7" s="1074" t="s">
        <v>419</v>
      </c>
      <c r="I7" s="1074"/>
      <c r="J7" s="146"/>
      <c r="K7" s="150"/>
    </row>
    <row r="8" spans="1:11" ht="28.15" customHeight="1" x14ac:dyDescent="0.25">
      <c r="A8" s="405" t="s">
        <v>386</v>
      </c>
      <c r="B8" s="84" t="s">
        <v>538</v>
      </c>
      <c r="C8" s="228" t="s">
        <v>813</v>
      </c>
      <c r="D8" s="84" t="s">
        <v>972</v>
      </c>
      <c r="E8" s="405" t="s">
        <v>1091</v>
      </c>
      <c r="F8" s="84" t="s">
        <v>566</v>
      </c>
      <c r="G8" s="84" t="s">
        <v>909</v>
      </c>
      <c r="H8" s="84" t="s">
        <v>373</v>
      </c>
      <c r="I8" s="352" t="s">
        <v>550</v>
      </c>
      <c r="J8" s="146" t="s">
        <v>443</v>
      </c>
      <c r="K8" s="150"/>
    </row>
    <row r="9" spans="1:11" ht="15" customHeight="1" x14ac:dyDescent="0.25">
      <c r="A9" s="538">
        <v>1</v>
      </c>
      <c r="B9" s="662" t="s">
        <v>110</v>
      </c>
      <c r="C9" s="9"/>
      <c r="D9" s="275"/>
      <c r="E9" s="294" t="s">
        <v>98</v>
      </c>
      <c r="F9" s="431">
        <f t="shared" ref="F9:H9" si="0">SUM(F10:F10)</f>
        <v>830241943.74759996</v>
      </c>
      <c r="G9" s="27">
        <f t="shared" si="0"/>
        <v>66419355.499807999</v>
      </c>
      <c r="H9" s="27">
        <f t="shared" si="0"/>
        <v>896661299.24740803</v>
      </c>
      <c r="I9" s="275" t="s">
        <v>1108</v>
      </c>
      <c r="J9" s="671">
        <v>1</v>
      </c>
      <c r="K9" s="708"/>
    </row>
    <row r="10" spans="1:11" ht="28.15" customHeight="1" x14ac:dyDescent="0.25">
      <c r="A10" s="538"/>
      <c r="B10" s="569" t="s">
        <v>873</v>
      </c>
      <c r="C10" s="9"/>
      <c r="D10" s="275"/>
      <c r="E10" s="197" t="s">
        <v>162</v>
      </c>
      <c r="F10" s="345">
        <v>830241943.74759996</v>
      </c>
      <c r="G10" s="709">
        <v>66419355.499807999</v>
      </c>
      <c r="H10" s="709">
        <v>896661299.24740803</v>
      </c>
      <c r="I10" s="275"/>
      <c r="J10" s="671"/>
      <c r="K10" s="145" t="s">
        <v>1159</v>
      </c>
    </row>
    <row r="11" spans="1:11" ht="15" customHeight="1" x14ac:dyDescent="0.25">
      <c r="A11" s="175">
        <v>2</v>
      </c>
      <c r="B11" s="314" t="s">
        <v>70</v>
      </c>
      <c r="C11" s="392"/>
      <c r="D11" s="631"/>
      <c r="E11" s="683" t="s">
        <v>36</v>
      </c>
      <c r="F11" s="709">
        <v>0</v>
      </c>
      <c r="G11" s="27">
        <v>0</v>
      </c>
      <c r="H11" s="27">
        <v>0</v>
      </c>
      <c r="I11" s="631" t="s">
        <v>109</v>
      </c>
      <c r="J11" s="671">
        <v>1</v>
      </c>
      <c r="K11" s="708"/>
    </row>
    <row r="12" spans="1:11" ht="15" customHeight="1" x14ac:dyDescent="0.25">
      <c r="A12" s="175">
        <v>3</v>
      </c>
      <c r="B12" s="314" t="s">
        <v>760</v>
      </c>
      <c r="C12" s="392">
        <f>VLOOKUP(C3,'Tra định mức'!B179:O183,14,FALSE)*1/100</f>
        <v>2.6800000000000001E-3</v>
      </c>
      <c r="D12" s="631"/>
      <c r="E12" s="683" t="s">
        <v>1105</v>
      </c>
      <c r="F12" s="27">
        <f>IF(J12&gt;0,ROUND(PRODUCT(F$9+F$11,C12,D12),0),0)</f>
        <v>2225048</v>
      </c>
      <c r="G12" s="27">
        <f>IF(J12&gt;0,ROUND(F12*$C$7,0),0)</f>
        <v>222505</v>
      </c>
      <c r="H12" s="27">
        <f>IF(J12&gt;0,F12+G12,0)</f>
        <v>2447553</v>
      </c>
      <c r="I12" s="631" t="s">
        <v>168</v>
      </c>
      <c r="J12" s="671">
        <v>1</v>
      </c>
      <c r="K12" s="708"/>
    </row>
    <row r="13" spans="1:11" ht="15" customHeight="1" x14ac:dyDescent="0.25">
      <c r="A13" s="175">
        <v>4</v>
      </c>
      <c r="B13" s="314" t="s">
        <v>711</v>
      </c>
      <c r="C13" s="392"/>
      <c r="D13" s="631"/>
      <c r="E13" s="683"/>
      <c r="F13" s="27">
        <f>IF(J13&gt;0,ROUND(SUMIF(J14:J48,1,F14:F48),0),0)</f>
        <v>30116386</v>
      </c>
      <c r="G13" s="27">
        <f>IF(J13&gt;0,SUMIF(J14:J48,1,G14:G48),0)</f>
        <v>3011639</v>
      </c>
      <c r="H13" s="27">
        <f>IF(J13&gt;0,SUMIF(J14:J48,1,H14:H48),0)</f>
        <v>33128025</v>
      </c>
      <c r="I13" s="631" t="s">
        <v>384</v>
      </c>
      <c r="J13" s="671">
        <v>1</v>
      </c>
      <c r="K13" s="708"/>
    </row>
    <row r="14" spans="1:11" ht="15" customHeight="1" x14ac:dyDescent="0.25">
      <c r="A14" s="61">
        <v>4.0999999999999996</v>
      </c>
      <c r="B14" s="186" t="s">
        <v>331</v>
      </c>
      <c r="C14" s="299"/>
      <c r="D14" s="536"/>
      <c r="E14" s="587"/>
      <c r="F14" s="709">
        <v>0</v>
      </c>
      <c r="G14" s="709">
        <f t="shared" ref="G14:G32" si="1">ROUND(F14*$C$7,0)</f>
        <v>0</v>
      </c>
      <c r="H14" s="709">
        <f t="shared" ref="H14:H32" si="2">F14+G14</f>
        <v>0</v>
      </c>
      <c r="I14" s="87" t="s">
        <v>754</v>
      </c>
      <c r="J14" s="671">
        <v>1</v>
      </c>
      <c r="K14" s="708"/>
    </row>
    <row r="15" spans="1:11" ht="15" customHeight="1" x14ac:dyDescent="0.25">
      <c r="A15" s="61">
        <v>4.2</v>
      </c>
      <c r="B15" s="186" t="s">
        <v>308</v>
      </c>
      <c r="C15" s="299">
        <v>0.03</v>
      </c>
      <c r="D15" s="536"/>
      <c r="E15" s="587" t="s">
        <v>442</v>
      </c>
      <c r="F15" s="709">
        <f>ROUND(PRODUCT(F14,C15,D15),0)</f>
        <v>0</v>
      </c>
      <c r="G15" s="709">
        <f t="shared" si="1"/>
        <v>0</v>
      </c>
      <c r="H15" s="709">
        <f t="shared" si="2"/>
        <v>0</v>
      </c>
      <c r="I15" s="87" t="s">
        <v>290</v>
      </c>
      <c r="J15" s="671">
        <v>1</v>
      </c>
      <c r="K15" s="708"/>
    </row>
    <row r="16" spans="1:11" ht="28.15" customHeight="1" x14ac:dyDescent="0.25">
      <c r="A16" s="61">
        <v>4.3</v>
      </c>
      <c r="B16" s="186" t="s">
        <v>126</v>
      </c>
      <c r="C16" s="299">
        <v>4.0719999999999999E-2</v>
      </c>
      <c r="D16" s="536"/>
      <c r="E16" s="587" t="s">
        <v>442</v>
      </c>
      <c r="F16" s="709">
        <f>ROUND(PRODUCT(F14,C16,D16),0)</f>
        <v>0</v>
      </c>
      <c r="G16" s="709">
        <f t="shared" si="1"/>
        <v>0</v>
      </c>
      <c r="H16" s="709">
        <f t="shared" si="2"/>
        <v>0</v>
      </c>
      <c r="I16" s="87" t="s">
        <v>358</v>
      </c>
      <c r="J16" s="671">
        <v>1</v>
      </c>
      <c r="K16" s="708"/>
    </row>
    <row r="17" spans="1:11" ht="15" customHeight="1" x14ac:dyDescent="0.25">
      <c r="A17" s="61">
        <v>4.4000000000000004</v>
      </c>
      <c r="B17" s="186" t="s">
        <v>464</v>
      </c>
      <c r="C17" s="299">
        <v>0</v>
      </c>
      <c r="D17" s="536"/>
      <c r="E17" s="587" t="s">
        <v>176</v>
      </c>
      <c r="F17" s="709">
        <f t="shared" ref="F17:F18" si="3">ROUND(PRODUCT(F$9+F$11,C17,D17),0)</f>
        <v>0</v>
      </c>
      <c r="G17" s="709">
        <f t="shared" si="1"/>
        <v>0</v>
      </c>
      <c r="H17" s="709">
        <f t="shared" si="2"/>
        <v>0</v>
      </c>
      <c r="I17" s="87" t="s">
        <v>851</v>
      </c>
      <c r="J17" s="671">
        <v>1</v>
      </c>
      <c r="K17" s="708"/>
    </row>
    <row r="18" spans="1:11" ht="28.15" customHeight="1" x14ac:dyDescent="0.25">
      <c r="A18" s="61">
        <v>4.5</v>
      </c>
      <c r="B18" s="186" t="s">
        <v>751</v>
      </c>
      <c r="C18" s="299">
        <v>0</v>
      </c>
      <c r="D18" s="536"/>
      <c r="E18" s="587" t="s">
        <v>176</v>
      </c>
      <c r="F18" s="709">
        <f t="shared" si="3"/>
        <v>0</v>
      </c>
      <c r="G18" s="709">
        <f t="shared" si="1"/>
        <v>0</v>
      </c>
      <c r="H18" s="709">
        <f t="shared" si="2"/>
        <v>0</v>
      </c>
      <c r="I18" s="87" t="s">
        <v>6</v>
      </c>
      <c r="J18" s="671">
        <v>1</v>
      </c>
      <c r="K18" s="708"/>
    </row>
    <row r="19" spans="1:11" ht="28.15" customHeight="1" x14ac:dyDescent="0.25">
      <c r="A19" s="61">
        <v>4.5999999999999996</v>
      </c>
      <c r="B19" s="186" t="s">
        <v>948</v>
      </c>
      <c r="C19" s="299"/>
      <c r="D19" s="536"/>
      <c r="E19" s="587"/>
      <c r="F19" s="709">
        <v>8000000</v>
      </c>
      <c r="G19" s="709">
        <f t="shared" si="1"/>
        <v>800000</v>
      </c>
      <c r="H19" s="709">
        <f t="shared" si="2"/>
        <v>8800000</v>
      </c>
      <c r="I19" s="87" t="s">
        <v>639</v>
      </c>
      <c r="J19" s="671">
        <v>1</v>
      </c>
      <c r="K19" s="708"/>
    </row>
    <row r="20" spans="1:11" ht="28.15" customHeight="1" x14ac:dyDescent="0.25">
      <c r="A20" s="61">
        <v>4.7</v>
      </c>
      <c r="B20" s="186" t="s">
        <v>724</v>
      </c>
      <c r="C20" s="299">
        <f>VLOOKUP(C3,'Tra định mức'!B191:O195,14,FALSE)*1/100</f>
        <v>1.6000000000000001E-4</v>
      </c>
      <c r="D20" s="536"/>
      <c r="E20" s="587" t="s">
        <v>176</v>
      </c>
      <c r="F20" s="709">
        <f t="shared" ref="F20:F21" si="4">ROUND(PRODUCT(F$9+F$11,C20,D20),0)</f>
        <v>132839</v>
      </c>
      <c r="G20" s="709">
        <f t="shared" si="1"/>
        <v>13284</v>
      </c>
      <c r="H20" s="709">
        <f t="shared" si="2"/>
        <v>146123</v>
      </c>
      <c r="I20" s="87" t="s">
        <v>927</v>
      </c>
      <c r="J20" s="671">
        <v>1</v>
      </c>
      <c r="K20" s="708"/>
    </row>
    <row r="21" spans="1:11" ht="28.15" customHeight="1" x14ac:dyDescent="0.25">
      <c r="A21" s="61">
        <v>4.8</v>
      </c>
      <c r="B21" s="186" t="s">
        <v>327</v>
      </c>
      <c r="C21" s="299">
        <f>VLOOKUP(C3,'Tra định mức'!B203:O207,14,FALSE)*1/100</f>
        <v>6.3000000000000003E-4</v>
      </c>
      <c r="D21" s="536"/>
      <c r="E21" s="587" t="s">
        <v>176</v>
      </c>
      <c r="F21" s="709">
        <f t="shared" si="4"/>
        <v>523052</v>
      </c>
      <c r="G21" s="709">
        <f t="shared" si="1"/>
        <v>52305</v>
      </c>
      <c r="H21" s="709">
        <f t="shared" si="2"/>
        <v>575357</v>
      </c>
      <c r="I21" s="87" t="s">
        <v>31</v>
      </c>
      <c r="J21" s="671">
        <v>1</v>
      </c>
      <c r="K21" s="708"/>
    </row>
    <row r="22" spans="1:11" ht="28.15" customHeight="1" x14ac:dyDescent="0.25">
      <c r="A22" s="61">
        <v>4.9000000000000004</v>
      </c>
      <c r="B22" s="186" t="s">
        <v>1231</v>
      </c>
      <c r="C22" s="299">
        <f>VLOOKUP(C3,'Tra định mức'!B215:G219,6,FALSE)*1/100</f>
        <v>0</v>
      </c>
      <c r="D22" s="536"/>
      <c r="E22" s="587" t="s">
        <v>176</v>
      </c>
      <c r="F22" s="709">
        <f>MAX(5000000,ROUND(PRODUCT(F$9+F$11,C22,D22),0))</f>
        <v>5000000</v>
      </c>
      <c r="G22" s="709">
        <f t="shared" si="1"/>
        <v>500000</v>
      </c>
      <c r="H22" s="709">
        <f t="shared" si="2"/>
        <v>5500000</v>
      </c>
      <c r="I22" s="87" t="s">
        <v>1183</v>
      </c>
      <c r="J22" s="671">
        <v>1</v>
      </c>
      <c r="K22" s="708"/>
    </row>
    <row r="23" spans="1:11" ht="28.15" customHeight="1" x14ac:dyDescent="0.25">
      <c r="A23" s="61" t="s">
        <v>335</v>
      </c>
      <c r="B23" s="186" t="s">
        <v>974</v>
      </c>
      <c r="C23" s="299">
        <f>VLOOKUP(C3,'Tra định mức'!B299:O303,14,FALSE)*1/100</f>
        <v>3.0000000000000001E-5</v>
      </c>
      <c r="D23" s="536"/>
      <c r="E23" s="587" t="s">
        <v>176</v>
      </c>
      <c r="F23" s="709">
        <f t="shared" ref="F23:F24" si="5">ROUND(PRODUCT(F$9+F$11,C23,D23),0)</f>
        <v>24907</v>
      </c>
      <c r="G23" s="709">
        <f t="shared" si="1"/>
        <v>2491</v>
      </c>
      <c r="H23" s="709">
        <f t="shared" si="2"/>
        <v>27398</v>
      </c>
      <c r="I23" s="87" t="s">
        <v>512</v>
      </c>
      <c r="J23" s="671">
        <v>1</v>
      </c>
      <c r="K23" s="708"/>
    </row>
    <row r="24" spans="1:11" ht="28.15" customHeight="1" x14ac:dyDescent="0.25">
      <c r="A24" s="61">
        <v>4.1100000000000003</v>
      </c>
      <c r="B24" s="186" t="s">
        <v>1093</v>
      </c>
      <c r="C24" s="299">
        <f>VLOOKUP(C3,'Tra định mức'!B311:O315,14,FALSE)*1/100</f>
        <v>8.9999999999999992E-5</v>
      </c>
      <c r="D24" s="536"/>
      <c r="E24" s="587" t="s">
        <v>176</v>
      </c>
      <c r="F24" s="709">
        <f t="shared" si="5"/>
        <v>74722</v>
      </c>
      <c r="G24" s="709">
        <f t="shared" si="1"/>
        <v>7472</v>
      </c>
      <c r="H24" s="709">
        <f t="shared" si="2"/>
        <v>82194</v>
      </c>
      <c r="I24" s="87" t="s">
        <v>708</v>
      </c>
      <c r="J24" s="671">
        <v>1</v>
      </c>
      <c r="K24" s="708"/>
    </row>
    <row r="25" spans="1:11" ht="15" customHeight="1" x14ac:dyDescent="0.25">
      <c r="A25" s="61">
        <v>4.12</v>
      </c>
      <c r="B25" s="186" t="s">
        <v>95</v>
      </c>
      <c r="C25" s="299">
        <v>0.2</v>
      </c>
      <c r="D25" s="536"/>
      <c r="E25" s="587" t="s">
        <v>243</v>
      </c>
      <c r="F25" s="709">
        <f>ROUND(PRODUCT(F24,C25,D25),0)</f>
        <v>14944</v>
      </c>
      <c r="G25" s="709">
        <f t="shared" si="1"/>
        <v>1494</v>
      </c>
      <c r="H25" s="709">
        <f t="shared" si="2"/>
        <v>16438</v>
      </c>
      <c r="I25" s="87" t="s">
        <v>902</v>
      </c>
      <c r="J25" s="671">
        <v>1</v>
      </c>
      <c r="K25" s="708"/>
    </row>
    <row r="26" spans="1:11" ht="28.15" customHeight="1" x14ac:dyDescent="0.25">
      <c r="A26" s="61">
        <v>4.13</v>
      </c>
      <c r="B26" s="186" t="s">
        <v>305</v>
      </c>
      <c r="C26" s="299">
        <f>C30+C32</f>
        <v>3.3E-4</v>
      </c>
      <c r="D26" s="536">
        <v>1.2</v>
      </c>
      <c r="E26" s="587" t="s">
        <v>106</v>
      </c>
      <c r="F26" s="709">
        <f>ROUND(PRODUCT(F$9,C26,D26),0)</f>
        <v>328776</v>
      </c>
      <c r="G26" s="709">
        <f t="shared" si="1"/>
        <v>32878</v>
      </c>
      <c r="H26" s="709">
        <f t="shared" si="2"/>
        <v>361654</v>
      </c>
      <c r="I26" s="87" t="s">
        <v>1191</v>
      </c>
      <c r="J26" s="671">
        <v>1</v>
      </c>
      <c r="K26" s="708"/>
    </row>
    <row r="27" spans="1:11" ht="15" customHeight="1" x14ac:dyDescent="0.25">
      <c r="A27" s="61">
        <v>4.1399999999999997</v>
      </c>
      <c r="B27" s="186" t="s">
        <v>382</v>
      </c>
      <c r="C27" s="299"/>
      <c r="D27" s="536"/>
      <c r="E27" s="587" t="s">
        <v>98</v>
      </c>
      <c r="F27" s="709"/>
      <c r="G27" s="709">
        <f t="shared" si="1"/>
        <v>0</v>
      </c>
      <c r="H27" s="709">
        <f t="shared" si="2"/>
        <v>0</v>
      </c>
      <c r="I27" s="87" t="s">
        <v>351</v>
      </c>
      <c r="J27" s="671">
        <v>1</v>
      </c>
      <c r="K27" s="708"/>
    </row>
    <row r="28" spans="1:11" ht="28.15" customHeight="1" x14ac:dyDescent="0.25">
      <c r="A28" s="61">
        <v>4.1500000000000004</v>
      </c>
      <c r="B28" s="186" t="s">
        <v>28</v>
      </c>
      <c r="C28" s="299">
        <f>IF(C4='Tra định mức'!W230,VLOOKUP(C3&amp;C4&amp;C5,'Tra định mức'!T229:U291,2,FALSE),0)*1/100</f>
        <v>0</v>
      </c>
      <c r="D28" s="536"/>
      <c r="E28" s="587" t="s">
        <v>106</v>
      </c>
      <c r="F28" s="709">
        <f t="shared" ref="F28:F29" si="6">ROUND(PRODUCT(F$9,C28,D28),0)</f>
        <v>0</v>
      </c>
      <c r="G28" s="709">
        <f t="shared" si="1"/>
        <v>0</v>
      </c>
      <c r="H28" s="709">
        <f t="shared" si="2"/>
        <v>0</v>
      </c>
      <c r="I28" s="87" t="s">
        <v>455</v>
      </c>
      <c r="J28" s="671">
        <v>1</v>
      </c>
      <c r="K28" s="708"/>
    </row>
    <row r="29" spans="1:11" ht="28.15" customHeight="1" x14ac:dyDescent="0.25">
      <c r="A29" s="61">
        <v>4.16</v>
      </c>
      <c r="B29" s="186" t="s">
        <v>232</v>
      </c>
      <c r="C29" s="299">
        <f>IF(OR(C4='Tra định mức'!W229, C4='Tra định mức'!W230),VLOOKUP(C3&amp;'Tra định mức'!W229&amp;C5,'Tra định mức'!T229:U291,2,FALSE),0)*1/100</f>
        <v>0</v>
      </c>
      <c r="D29" s="536"/>
      <c r="E29" s="587" t="s">
        <v>1036</v>
      </c>
      <c r="F29" s="709">
        <f t="shared" si="6"/>
        <v>0</v>
      </c>
      <c r="G29" s="709">
        <f t="shared" si="1"/>
        <v>0</v>
      </c>
      <c r="H29" s="709">
        <f t="shared" si="2"/>
        <v>0</v>
      </c>
      <c r="I29" s="87" t="s">
        <v>300</v>
      </c>
      <c r="J29" s="671">
        <v>1</v>
      </c>
      <c r="K29" s="708"/>
    </row>
    <row r="30" spans="1:11" ht="28.15" customHeight="1" x14ac:dyDescent="0.25">
      <c r="A30" s="61">
        <v>4.17</v>
      </c>
      <c r="B30" s="186" t="s">
        <v>715</v>
      </c>
      <c r="C30" s="299">
        <f>VLOOKUP(C3,'Tra định mức'!B323:N327,13,FALSE)*1/100</f>
        <v>1.7000000000000001E-4</v>
      </c>
      <c r="D30" s="536"/>
      <c r="E30" s="587" t="s">
        <v>106</v>
      </c>
      <c r="F30" s="709">
        <f>MAX(ROUND(F9*C30,0),IF(C30 &gt; 0, 2000000, 0))</f>
        <v>2000000</v>
      </c>
      <c r="G30" s="709">
        <f t="shared" si="1"/>
        <v>200000</v>
      </c>
      <c r="H30" s="709">
        <f t="shared" si="2"/>
        <v>2200000</v>
      </c>
      <c r="I30" s="87" t="s">
        <v>1062</v>
      </c>
      <c r="J30" s="694">
        <v>1</v>
      </c>
      <c r="K30" s="708"/>
    </row>
    <row r="31" spans="1:11" ht="15" customHeight="1" x14ac:dyDescent="0.25">
      <c r="A31" s="61">
        <v>4.18</v>
      </c>
      <c r="B31" s="186" t="s">
        <v>374</v>
      </c>
      <c r="C31" s="299">
        <v>0</v>
      </c>
      <c r="D31" s="536"/>
      <c r="E31" s="587"/>
      <c r="F31" s="709">
        <v>0</v>
      </c>
      <c r="G31" s="709">
        <f t="shared" si="1"/>
        <v>0</v>
      </c>
      <c r="H31" s="709">
        <f t="shared" si="2"/>
        <v>0</v>
      </c>
      <c r="I31" s="87" t="s">
        <v>411</v>
      </c>
      <c r="J31" s="671">
        <v>1</v>
      </c>
      <c r="K31" s="708"/>
    </row>
    <row r="32" spans="1:11" ht="28.15" customHeight="1" x14ac:dyDescent="0.25">
      <c r="A32" s="61">
        <v>4.1900000000000004</v>
      </c>
      <c r="B32" s="186" t="s">
        <v>549</v>
      </c>
      <c r="C32" s="299">
        <f>VLOOKUP(C3,'Tra định mức'!B335:N339,13,FALSE)*1/100</f>
        <v>1.6000000000000001E-4</v>
      </c>
      <c r="D32" s="536"/>
      <c r="E32" s="587" t="s">
        <v>106</v>
      </c>
      <c r="F32" s="709">
        <f>MAX(ROUND(F9*C32,0),IF(C32 &gt; 0, 2000000, 0))</f>
        <v>2000000</v>
      </c>
      <c r="G32" s="709">
        <f t="shared" si="1"/>
        <v>200000</v>
      </c>
      <c r="H32" s="709">
        <f t="shared" si="2"/>
        <v>2200000</v>
      </c>
      <c r="I32" s="87" t="s">
        <v>406</v>
      </c>
      <c r="J32" s="671">
        <v>1</v>
      </c>
      <c r="K32" s="708"/>
    </row>
    <row r="33" spans="1:11" ht="15" customHeight="1" x14ac:dyDescent="0.25">
      <c r="A33" s="61"/>
      <c r="B33" s="186" t="s">
        <v>170</v>
      </c>
      <c r="C33" s="299"/>
      <c r="D33" s="536"/>
      <c r="E33" s="587" t="s">
        <v>799</v>
      </c>
      <c r="F33" s="709">
        <v>871133736</v>
      </c>
      <c r="G33" s="709" t="e">
        <f>ROUND(GGTXD!D7,0)</f>
        <v>#REF!</v>
      </c>
      <c r="H33" s="709"/>
      <c r="I33" s="87" t="s">
        <v>1220</v>
      </c>
      <c r="J33" s="671" t="s">
        <v>668</v>
      </c>
      <c r="K33" s="708"/>
    </row>
    <row r="34" spans="1:11" ht="15" hidden="1" customHeight="1" x14ac:dyDescent="0.25">
      <c r="A34" s="61"/>
      <c r="B34" s="186" t="s">
        <v>322</v>
      </c>
      <c r="C34" s="299"/>
      <c r="D34" s="536"/>
      <c r="E34" s="587" t="s">
        <v>799</v>
      </c>
      <c r="F34" s="709">
        <v>871133736</v>
      </c>
      <c r="G34" s="709" t="e">
        <f>ROUND(GGTXD!D16,0)</f>
        <v>#REF!</v>
      </c>
      <c r="H34" s="709"/>
      <c r="I34" s="87" t="s">
        <v>483</v>
      </c>
      <c r="J34" s="671">
        <v>0</v>
      </c>
      <c r="K34" s="708"/>
    </row>
    <row r="35" spans="1:11" ht="40.9" customHeight="1" x14ac:dyDescent="0.25">
      <c r="A35" s="61" t="s">
        <v>400</v>
      </c>
      <c r="B35" s="186" t="s">
        <v>700</v>
      </c>
      <c r="C35" s="299">
        <f>VLOOKUP(C3,'Tra định mức'!B355:K359,10,FALSE)*1/100</f>
        <v>2.3000000000000001E-4</v>
      </c>
      <c r="D35" s="536"/>
      <c r="E35" s="587" t="s">
        <v>524</v>
      </c>
      <c r="F35" s="709">
        <f>ROUND(PRODUCT(F$33,C35,D35),0)</f>
        <v>200361</v>
      </c>
      <c r="G35" s="709">
        <f t="shared" ref="G35:G48" si="7">ROUND(F35*$C$7,0)</f>
        <v>20036</v>
      </c>
      <c r="H35" s="709">
        <f t="shared" ref="H35:H48" si="8">F35+G35</f>
        <v>220397</v>
      </c>
      <c r="I35" s="87" t="s">
        <v>117</v>
      </c>
      <c r="J35" s="671">
        <v>1</v>
      </c>
      <c r="K35" s="708"/>
    </row>
    <row r="36" spans="1:11" ht="28.15" customHeight="1" x14ac:dyDescent="0.25">
      <c r="A36" s="61" t="s">
        <v>774</v>
      </c>
      <c r="B36" s="186" t="s">
        <v>38</v>
      </c>
      <c r="C36" s="299">
        <v>5.0000000000000001E-4</v>
      </c>
      <c r="D36" s="536"/>
      <c r="E36" s="587" t="s">
        <v>524</v>
      </c>
      <c r="F36" s="709">
        <f t="shared" ref="F36:F37" si="9">ROUND(IF(F$33*C36&lt;1000000,1000000,IF(F$33*C36&gt;30000000,30000000,F$33*C36)),0)</f>
        <v>1000000</v>
      </c>
      <c r="G36" s="709">
        <f t="shared" si="7"/>
        <v>100000</v>
      </c>
      <c r="H36" s="709">
        <f t="shared" si="8"/>
        <v>1100000</v>
      </c>
      <c r="I36" s="87" t="s">
        <v>847</v>
      </c>
      <c r="J36" s="671">
        <v>1</v>
      </c>
      <c r="K36" s="708"/>
    </row>
    <row r="37" spans="1:11" ht="28.15" customHeight="1" x14ac:dyDescent="0.25">
      <c r="A37" s="61" t="s">
        <v>1151</v>
      </c>
      <c r="B37" s="186" t="s">
        <v>785</v>
      </c>
      <c r="C37" s="299">
        <v>2.9999999999999997E-4</v>
      </c>
      <c r="D37" s="536"/>
      <c r="E37" s="587" t="s">
        <v>524</v>
      </c>
      <c r="F37" s="709">
        <f t="shared" si="9"/>
        <v>1000000</v>
      </c>
      <c r="G37" s="709">
        <f t="shared" si="7"/>
        <v>100000</v>
      </c>
      <c r="H37" s="709">
        <f t="shared" si="8"/>
        <v>1100000</v>
      </c>
      <c r="I37" s="87" t="s">
        <v>424</v>
      </c>
      <c r="J37" s="671">
        <v>1</v>
      </c>
      <c r="K37" s="708"/>
    </row>
    <row r="38" spans="1:11" ht="28.15" customHeight="1" x14ac:dyDescent="0.25">
      <c r="A38" s="61" t="s">
        <v>207</v>
      </c>
      <c r="B38" s="186" t="s">
        <v>192</v>
      </c>
      <c r="C38" s="299">
        <v>1E-3</v>
      </c>
      <c r="D38" s="536"/>
      <c r="E38" s="587" t="s">
        <v>524</v>
      </c>
      <c r="F38" s="709">
        <f t="shared" ref="F38:F39" si="10">ROUND(IF(F$33*C38&lt;1000000,1000000,IF(F$33*C38&gt;50000000,50000000,F$33*C38)),0)</f>
        <v>1000000</v>
      </c>
      <c r="G38" s="709">
        <f t="shared" si="7"/>
        <v>100000</v>
      </c>
      <c r="H38" s="709">
        <f t="shared" si="8"/>
        <v>1100000</v>
      </c>
      <c r="I38" s="87" t="s">
        <v>803</v>
      </c>
      <c r="J38" s="671">
        <v>1</v>
      </c>
      <c r="K38" s="708"/>
    </row>
    <row r="39" spans="1:11" ht="28.15" customHeight="1" x14ac:dyDescent="0.25">
      <c r="A39" s="61" t="s">
        <v>55</v>
      </c>
      <c r="B39" s="186" t="s">
        <v>467</v>
      </c>
      <c r="C39" s="299">
        <v>5.0000000000000001E-4</v>
      </c>
      <c r="D39" s="536"/>
      <c r="E39" s="587" t="s">
        <v>524</v>
      </c>
      <c r="F39" s="709">
        <f t="shared" si="10"/>
        <v>1000000</v>
      </c>
      <c r="G39" s="709">
        <f t="shared" si="7"/>
        <v>100000</v>
      </c>
      <c r="H39" s="709">
        <f t="shared" si="8"/>
        <v>1100000</v>
      </c>
      <c r="I39" s="87" t="s">
        <v>1170</v>
      </c>
      <c r="J39" s="671">
        <v>1</v>
      </c>
      <c r="K39" s="708"/>
    </row>
    <row r="40" spans="1:11" ht="28.15" customHeight="1" x14ac:dyDescent="0.25">
      <c r="A40" s="61" t="s">
        <v>408</v>
      </c>
      <c r="B40" s="186" t="s">
        <v>1222</v>
      </c>
      <c r="C40" s="299">
        <v>5.0000000000000001E-4</v>
      </c>
      <c r="D40" s="536"/>
      <c r="E40" s="587" t="s">
        <v>524</v>
      </c>
      <c r="F40" s="709">
        <f>ROUND(IF(F$33*C40&lt;1000000,1000000,IF(F$33*C40&gt;30000000,30000000,F$33*C40)),0)</f>
        <v>1000000</v>
      </c>
      <c r="G40" s="709">
        <f t="shared" si="7"/>
        <v>100000</v>
      </c>
      <c r="H40" s="709">
        <f t="shared" si="8"/>
        <v>1100000</v>
      </c>
      <c r="I40" s="87" t="s">
        <v>1153</v>
      </c>
      <c r="J40" s="671">
        <v>1</v>
      </c>
      <c r="K40" s="708"/>
    </row>
    <row r="41" spans="1:11" ht="28.15" customHeight="1" x14ac:dyDescent="0.25">
      <c r="A41" s="61" t="s">
        <v>782</v>
      </c>
      <c r="B41" s="186" t="s">
        <v>987</v>
      </c>
      <c r="C41" s="299">
        <v>1E-3</v>
      </c>
      <c r="D41" s="536"/>
      <c r="E41" s="587" t="s">
        <v>524</v>
      </c>
      <c r="F41" s="709">
        <f t="shared" ref="F41:F43" si="11">ROUND(IF(F$33*C41&lt;1000000,1000000,IF(F$33*C41&gt;50000000,50000000,F$33*C41)),0)</f>
        <v>1000000</v>
      </c>
      <c r="G41" s="709">
        <f t="shared" si="7"/>
        <v>100000</v>
      </c>
      <c r="H41" s="709">
        <f t="shared" si="8"/>
        <v>1100000</v>
      </c>
      <c r="I41" s="87" t="s">
        <v>1</v>
      </c>
      <c r="J41" s="671">
        <v>1</v>
      </c>
      <c r="K41" s="708"/>
    </row>
    <row r="42" spans="1:11" ht="28.15" customHeight="1" x14ac:dyDescent="0.25">
      <c r="A42" s="61" t="s">
        <v>1164</v>
      </c>
      <c r="B42" s="186" t="s">
        <v>1252</v>
      </c>
      <c r="C42" s="299">
        <v>5.0000000000000001E-4</v>
      </c>
      <c r="D42" s="536"/>
      <c r="E42" s="587" t="s">
        <v>524</v>
      </c>
      <c r="F42" s="709">
        <f t="shared" si="11"/>
        <v>1000000</v>
      </c>
      <c r="G42" s="709">
        <f t="shared" si="7"/>
        <v>100000</v>
      </c>
      <c r="H42" s="709">
        <f t="shared" si="8"/>
        <v>1100000</v>
      </c>
      <c r="I42" s="87" t="s">
        <v>525</v>
      </c>
      <c r="J42" s="671">
        <v>1</v>
      </c>
      <c r="K42" s="708"/>
    </row>
    <row r="43" spans="1:11" ht="28.15" customHeight="1" x14ac:dyDescent="0.25">
      <c r="A43" s="61" t="s">
        <v>971</v>
      </c>
      <c r="B43" s="186" t="s">
        <v>703</v>
      </c>
      <c r="C43" s="299">
        <v>2.0000000000000001E-4</v>
      </c>
      <c r="D43" s="536"/>
      <c r="E43" s="587" t="s">
        <v>524</v>
      </c>
      <c r="F43" s="709">
        <f t="shared" si="11"/>
        <v>1000000</v>
      </c>
      <c r="G43" s="709">
        <f t="shared" si="7"/>
        <v>100000</v>
      </c>
      <c r="H43" s="709">
        <f t="shared" si="8"/>
        <v>1100000</v>
      </c>
      <c r="I43" s="87" t="s">
        <v>1088</v>
      </c>
      <c r="J43" s="671">
        <v>1</v>
      </c>
      <c r="K43" s="708"/>
    </row>
    <row r="44" spans="1:11" ht="28.15" customHeight="1" x14ac:dyDescent="0.25">
      <c r="A44" s="61" t="s">
        <v>67</v>
      </c>
      <c r="B44" s="186" t="s">
        <v>783</v>
      </c>
      <c r="C44" s="299">
        <f>VLOOKUP(C3,'Tra định mức'!B379:N383,13,FALSE)*1/100</f>
        <v>4.3800000000000002E-3</v>
      </c>
      <c r="D44" s="536"/>
      <c r="E44" s="587" t="s">
        <v>106</v>
      </c>
      <c r="F44" s="709">
        <f>ROUND(PRODUCT(F$9,C44,D44),0)</f>
        <v>3636460</v>
      </c>
      <c r="G44" s="709">
        <f t="shared" si="7"/>
        <v>363646</v>
      </c>
      <c r="H44" s="709">
        <f t="shared" si="8"/>
        <v>4000106</v>
      </c>
      <c r="I44" s="87" t="s">
        <v>1178</v>
      </c>
      <c r="J44" s="671">
        <v>1</v>
      </c>
      <c r="K44" s="708"/>
    </row>
    <row r="45" spans="1:11" ht="40.9" customHeight="1" x14ac:dyDescent="0.25">
      <c r="A45" s="61" t="s">
        <v>993</v>
      </c>
      <c r="B45" s="186" t="s">
        <v>656</v>
      </c>
      <c r="C45" s="299">
        <v>3.6700000000000001E-3</v>
      </c>
      <c r="D45" s="536"/>
      <c r="E45" s="587" t="s">
        <v>1236</v>
      </c>
      <c r="F45" s="709">
        <f>ROUND(PRODUCT(F$11,C45,D45),0)</f>
        <v>0</v>
      </c>
      <c r="G45" s="709">
        <f t="shared" si="7"/>
        <v>0</v>
      </c>
      <c r="H45" s="709">
        <f t="shared" si="8"/>
        <v>0</v>
      </c>
      <c r="I45" s="87" t="s">
        <v>1219</v>
      </c>
      <c r="J45" s="671">
        <v>1</v>
      </c>
      <c r="K45" s="708"/>
    </row>
    <row r="46" spans="1:11" ht="28.15" customHeight="1" x14ac:dyDescent="0.25">
      <c r="A46" s="61" t="s">
        <v>823</v>
      </c>
      <c r="B46" s="186" t="s">
        <v>1065</v>
      </c>
      <c r="C46" s="299">
        <v>0.3</v>
      </c>
      <c r="D46" s="536"/>
      <c r="E46" s="587" t="s">
        <v>1237</v>
      </c>
      <c r="F46" s="709">
        <f>ROUND(PRODUCT(F35+F45,C46,D46),0)</f>
        <v>60108</v>
      </c>
      <c r="G46" s="709">
        <f t="shared" si="7"/>
        <v>6011</v>
      </c>
      <c r="H46" s="709">
        <f t="shared" si="8"/>
        <v>66119</v>
      </c>
      <c r="I46" s="87" t="s">
        <v>164</v>
      </c>
      <c r="J46" s="671">
        <v>1</v>
      </c>
      <c r="K46" s="708"/>
    </row>
    <row r="47" spans="1:11" ht="15" customHeight="1" x14ac:dyDescent="0.25">
      <c r="A47" s="61" t="s">
        <v>1201</v>
      </c>
      <c r="B47" s="186" t="s">
        <v>1241</v>
      </c>
      <c r="C47" s="299">
        <v>0.6</v>
      </c>
      <c r="D47" s="536"/>
      <c r="E47" s="587" t="s">
        <v>1237</v>
      </c>
      <c r="F47" s="709">
        <f>ROUND(PRODUCT(F35+F45,C47,D47),0)</f>
        <v>120217</v>
      </c>
      <c r="G47" s="709">
        <f t="shared" si="7"/>
        <v>12022</v>
      </c>
      <c r="H47" s="709">
        <f t="shared" si="8"/>
        <v>132239</v>
      </c>
      <c r="I47" s="87" t="s">
        <v>368</v>
      </c>
      <c r="J47" s="671">
        <v>1</v>
      </c>
      <c r="K47" s="708"/>
    </row>
    <row r="48" spans="1:11" ht="28.15" customHeight="1" x14ac:dyDescent="0.25">
      <c r="A48" s="61" t="s">
        <v>273</v>
      </c>
      <c r="B48" s="186" t="s">
        <v>134</v>
      </c>
      <c r="C48" s="299">
        <v>8.4399999999999996E-3</v>
      </c>
      <c r="D48" s="536"/>
      <c r="E48" s="587" t="s">
        <v>1236</v>
      </c>
      <c r="F48" s="709">
        <f>ROUND(PRODUCT(F$11,C48,D48),0)</f>
        <v>0</v>
      </c>
      <c r="G48" s="709">
        <f t="shared" si="7"/>
        <v>0</v>
      </c>
      <c r="H48" s="709">
        <f t="shared" si="8"/>
        <v>0</v>
      </c>
      <c r="I48" s="87" t="s">
        <v>1111</v>
      </c>
      <c r="J48" s="671">
        <v>1</v>
      </c>
      <c r="K48" s="708"/>
    </row>
    <row r="49" spans="1:11" ht="15" customHeight="1" x14ac:dyDescent="0.25">
      <c r="A49" s="175">
        <v>5</v>
      </c>
      <c r="B49" s="314" t="s">
        <v>963</v>
      </c>
      <c r="C49" s="392"/>
      <c r="D49" s="631"/>
      <c r="E49" s="683"/>
      <c r="F49" s="27">
        <f>IF(J49&gt;0,SUMIF(J50:J57,1,F50:F57),0)</f>
        <v>17353228.52</v>
      </c>
      <c r="G49" s="27">
        <f>IF(J49&gt;0,SUMIF(J50:J57,1,G50:G57),0)</f>
        <v>1123475</v>
      </c>
      <c r="H49" s="27">
        <f>IF(J49&gt;0,SUMIF(J50:J58,1,H50:H58),0)</f>
        <v>19203995.52</v>
      </c>
      <c r="I49" s="631" t="s">
        <v>1142</v>
      </c>
      <c r="J49" s="671">
        <v>1</v>
      </c>
      <c r="K49" s="708"/>
    </row>
    <row r="50" spans="1:11" ht="15" customHeight="1" x14ac:dyDescent="0.25">
      <c r="A50" s="61">
        <v>5.0999999999999996</v>
      </c>
      <c r="B50" s="186" t="s">
        <v>448</v>
      </c>
      <c r="C50" s="299"/>
      <c r="D50" s="536"/>
      <c r="E50" s="587" t="s">
        <v>98</v>
      </c>
      <c r="F50" s="709"/>
      <c r="G50" s="709">
        <f t="shared" ref="G50:G53" si="12">ROUND(F50*$C$7,0)</f>
        <v>0</v>
      </c>
      <c r="H50" s="709">
        <f t="shared" ref="H50:H58" si="13">F50+G50</f>
        <v>0</v>
      </c>
      <c r="I50" s="87" t="s">
        <v>378</v>
      </c>
      <c r="J50" s="671">
        <v>1</v>
      </c>
      <c r="K50" s="708"/>
    </row>
    <row r="51" spans="1:11" ht="28.15" customHeight="1" x14ac:dyDescent="0.25">
      <c r="A51" s="61">
        <v>5.2</v>
      </c>
      <c r="B51" s="186" t="s">
        <v>465</v>
      </c>
      <c r="C51" s="299">
        <f>VLOOKUP(C3,'Tra định mức'!B138:L142,11,FALSE)*1/100</f>
        <v>1.4000000000000001E-4</v>
      </c>
      <c r="D51" s="536"/>
      <c r="E51" s="587" t="s">
        <v>106</v>
      </c>
      <c r="F51" s="709">
        <f t="shared" ref="F51:F52" si="14">ROUND(PRODUCT(F$9,C51,D51),0)</f>
        <v>116234</v>
      </c>
      <c r="G51" s="709">
        <f t="shared" si="12"/>
        <v>11623</v>
      </c>
      <c r="H51" s="709">
        <f t="shared" si="13"/>
        <v>127857</v>
      </c>
      <c r="I51" s="87" t="s">
        <v>749</v>
      </c>
      <c r="J51" s="671">
        <v>1</v>
      </c>
      <c r="K51" s="708"/>
    </row>
    <row r="52" spans="1:11" ht="28.15" customHeight="1" x14ac:dyDescent="0.25">
      <c r="A52" s="61">
        <v>5.3</v>
      </c>
      <c r="B52" s="186" t="s">
        <v>767</v>
      </c>
      <c r="C52" s="299">
        <f>VLOOKUP(C3,'Tra định mức'!B157:L161,11,FALSE)*1/100</f>
        <v>1.2E-4</v>
      </c>
      <c r="D52" s="536"/>
      <c r="E52" s="587" t="s">
        <v>106</v>
      </c>
      <c r="F52" s="709">
        <f t="shared" si="14"/>
        <v>99629</v>
      </c>
      <c r="G52" s="709">
        <f t="shared" si="12"/>
        <v>9963</v>
      </c>
      <c r="H52" s="709">
        <f t="shared" si="13"/>
        <v>109592</v>
      </c>
      <c r="I52" s="87" t="s">
        <v>975</v>
      </c>
      <c r="J52" s="671">
        <v>1</v>
      </c>
      <c r="K52" s="708"/>
    </row>
    <row r="53" spans="1:11" ht="28.15" customHeight="1" x14ac:dyDescent="0.25">
      <c r="A53" s="61">
        <v>5.4</v>
      </c>
      <c r="B53" s="186" t="s">
        <v>633</v>
      </c>
      <c r="C53" s="299">
        <v>1.9000000000000001E-4</v>
      </c>
      <c r="D53" s="536"/>
      <c r="E53" s="587" t="s">
        <v>37</v>
      </c>
      <c r="F53" s="709">
        <f>K63*C53</f>
        <v>214093.52000000002</v>
      </c>
      <c r="G53" s="709">
        <f t="shared" si="12"/>
        <v>21409</v>
      </c>
      <c r="H53" s="709">
        <f t="shared" si="13"/>
        <v>235502.52000000002</v>
      </c>
      <c r="I53" s="87" t="s">
        <v>174</v>
      </c>
      <c r="J53" s="671">
        <v>1</v>
      </c>
      <c r="K53" s="708"/>
    </row>
    <row r="54" spans="1:11" ht="28.15" customHeight="1" x14ac:dyDescent="0.25">
      <c r="A54" s="61">
        <v>5.5</v>
      </c>
      <c r="B54" s="186" t="s">
        <v>487</v>
      </c>
      <c r="C54" s="299">
        <f>'Tra định mức'!J438</f>
        <v>5.7000000000000002E-3</v>
      </c>
      <c r="D54" s="536"/>
      <c r="E54" s="587" t="s">
        <v>1250</v>
      </c>
      <c r="F54" s="709">
        <f>MAX(ROUND((K63-K59)*C54,0),IF(C54 &gt; 0,500000,0))</f>
        <v>6118474</v>
      </c>
      <c r="G54" s="709"/>
      <c r="H54" s="709">
        <f t="shared" si="13"/>
        <v>6118474</v>
      </c>
      <c r="I54" s="87" t="s">
        <v>352</v>
      </c>
      <c r="J54" s="671">
        <v>1</v>
      </c>
      <c r="K54" s="708"/>
    </row>
    <row r="55" spans="1:11" ht="28.15" customHeight="1" x14ac:dyDescent="0.25">
      <c r="A55" s="61">
        <v>5.6</v>
      </c>
      <c r="B55" s="186" t="s">
        <v>874</v>
      </c>
      <c r="C55" s="299">
        <f>'Tra định mức'!J437</f>
        <v>9.5999999999999992E-3</v>
      </c>
      <c r="D55" s="536"/>
      <c r="E55" s="587" t="s">
        <v>1250</v>
      </c>
      <c r="F55" s="709">
        <f>MAX(ROUND((K63-K59)*C55,0),IF(C55 &gt; 0,1000000,0))</f>
        <v>10304798</v>
      </c>
      <c r="G55" s="709">
        <f t="shared" ref="G55:G57" si="15">ROUND(F55*$C$7,0)</f>
        <v>1030480</v>
      </c>
      <c r="H55" s="709">
        <f t="shared" si="13"/>
        <v>11335278</v>
      </c>
      <c r="I55" s="87" t="s">
        <v>1238</v>
      </c>
      <c r="J55" s="671">
        <v>1</v>
      </c>
      <c r="K55" s="708"/>
    </row>
    <row r="56" spans="1:11" ht="28.15" customHeight="1" x14ac:dyDescent="0.25">
      <c r="A56" s="61">
        <v>5.7</v>
      </c>
      <c r="B56" s="186" t="s">
        <v>299</v>
      </c>
      <c r="C56" s="299">
        <v>0</v>
      </c>
      <c r="D56" s="536"/>
      <c r="E56" s="587" t="s">
        <v>106</v>
      </c>
      <c r="F56" s="709">
        <f>ROUND(PRODUCT(F$9,C56,D56),0)</f>
        <v>0</v>
      </c>
      <c r="G56" s="709">
        <f t="shared" si="15"/>
        <v>0</v>
      </c>
      <c r="H56" s="709">
        <f t="shared" si="13"/>
        <v>0</v>
      </c>
      <c r="I56" s="87" t="s">
        <v>1085</v>
      </c>
      <c r="J56" s="671">
        <v>1</v>
      </c>
      <c r="K56" s="708"/>
    </row>
    <row r="57" spans="1:11" ht="28.15" customHeight="1" x14ac:dyDescent="0.25">
      <c r="A57" s="61">
        <v>5.8</v>
      </c>
      <c r="B57" s="186" t="s">
        <v>907</v>
      </c>
      <c r="C57" s="299">
        <f>VLOOKUP(C3,'Tra định mức'!B414:I418,8,FALSE)*1/100</f>
        <v>5.0000000000000004E-6</v>
      </c>
      <c r="D57" s="536"/>
      <c r="E57" s="587" t="s">
        <v>37</v>
      </c>
      <c r="F57" s="709">
        <f>MIN(MAX(ROUND((K63)*C57,0),IF(C57&gt;0,500000,0)),150000000)</f>
        <v>500000</v>
      </c>
      <c r="G57" s="709">
        <f t="shared" si="15"/>
        <v>50000</v>
      </c>
      <c r="H57" s="709">
        <f t="shared" si="13"/>
        <v>550000</v>
      </c>
      <c r="I57" s="87" t="s">
        <v>1171</v>
      </c>
      <c r="J57" s="671">
        <v>1</v>
      </c>
      <c r="K57" s="708"/>
    </row>
    <row r="58" spans="1:11" ht="28.15" customHeight="1" x14ac:dyDescent="0.25">
      <c r="A58" s="61">
        <v>5.9</v>
      </c>
      <c r="B58" s="186" t="s">
        <v>178</v>
      </c>
      <c r="C58" s="299">
        <v>0.2</v>
      </c>
      <c r="D58" s="536"/>
      <c r="E58" s="587" t="s">
        <v>1025</v>
      </c>
      <c r="F58" s="709">
        <f>C58*F44</f>
        <v>727292</v>
      </c>
      <c r="G58" s="709"/>
      <c r="H58" s="709">
        <f t="shared" si="13"/>
        <v>727292</v>
      </c>
      <c r="I58" s="87"/>
      <c r="J58" s="671">
        <v>1</v>
      </c>
      <c r="K58" s="708"/>
    </row>
    <row r="59" spans="1:11" ht="15" customHeight="1" x14ac:dyDescent="0.25">
      <c r="A59" s="175">
        <v>6</v>
      </c>
      <c r="B59" s="314" t="s">
        <v>1138</v>
      </c>
      <c r="C59" s="392"/>
      <c r="D59" s="631"/>
      <c r="E59" s="683" t="s">
        <v>75</v>
      </c>
      <c r="F59" s="27">
        <f>IF(J59&gt;0,F60+F61,0)</f>
        <v>43996830</v>
      </c>
      <c r="G59" s="27">
        <f>IF(J59&gt;0,G60+G61,0)</f>
        <v>4399683</v>
      </c>
      <c r="H59" s="27">
        <f>IF(J59&gt;0,H60+H61,0)</f>
        <v>48396513</v>
      </c>
      <c r="I59" s="631" t="s">
        <v>1247</v>
      </c>
      <c r="J59" s="671">
        <v>1</v>
      </c>
      <c r="K59" s="145">
        <v>53391551</v>
      </c>
    </row>
    <row r="60" spans="1:11" ht="28.15" customHeight="1" x14ac:dyDescent="0.25">
      <c r="A60" s="61">
        <v>6.1</v>
      </c>
      <c r="B60" s="186" t="s">
        <v>922</v>
      </c>
      <c r="C60" s="299">
        <v>0.05</v>
      </c>
      <c r="D60" s="536"/>
      <c r="E60" s="587" t="s">
        <v>586</v>
      </c>
      <c r="F60" s="709">
        <f>ROUND(PRODUCT(F9+F11+F12+F13+F49,C60,D60),0)</f>
        <v>43996830</v>
      </c>
      <c r="G60" s="709">
        <f>ROUND(F60*$C$7,0)</f>
        <v>4399683</v>
      </c>
      <c r="H60" s="709">
        <f>F60+G60</f>
        <v>48396513</v>
      </c>
      <c r="I60" s="87" t="s">
        <v>240</v>
      </c>
      <c r="J60" s="671">
        <v>1</v>
      </c>
      <c r="K60" s="708"/>
    </row>
    <row r="61" spans="1:11" ht="15" customHeight="1" x14ac:dyDescent="0.25">
      <c r="A61" s="61">
        <v>6.2</v>
      </c>
      <c r="B61" s="186" t="s">
        <v>1040</v>
      </c>
      <c r="C61" s="299">
        <f>ROUND(H61/H62,5)</f>
        <v>0</v>
      </c>
      <c r="D61" s="536"/>
      <c r="E61" s="587"/>
      <c r="F61" s="709"/>
      <c r="G61" s="709"/>
      <c r="H61" s="709"/>
      <c r="I61" s="87" t="s">
        <v>610</v>
      </c>
      <c r="J61" s="671">
        <v>1</v>
      </c>
      <c r="K61" s="708"/>
    </row>
    <row r="62" spans="1:11" ht="15" customHeight="1" x14ac:dyDescent="0.25">
      <c r="A62" s="61"/>
      <c r="B62" s="702" t="s">
        <v>1132</v>
      </c>
      <c r="C62" s="392"/>
      <c r="D62" s="631"/>
      <c r="E62" s="683" t="s">
        <v>342</v>
      </c>
      <c r="F62" s="27">
        <f t="shared" ref="F62:G62" si="16">ROUND(F9+F11+F12+F13+F49+F59,0)</f>
        <v>923933436</v>
      </c>
      <c r="G62" s="27">
        <f t="shared" si="16"/>
        <v>75176657</v>
      </c>
      <c r="H62" s="27">
        <f>SUMIF(J9,"&gt;0",H9)+SUMIF(J11,"&gt;0",H11)+SUMIF(J12,"&gt;0",H12)+SUMIF(J13,"&gt;0",H13)+SUMIF(J49,"&gt;0",H49)+SUMIF(J59,"&gt;0",H59)</f>
        <v>999837385.76740801</v>
      </c>
      <c r="I62" s="631" t="s">
        <v>1083</v>
      </c>
      <c r="J62" s="671">
        <v>1</v>
      </c>
      <c r="K62" s="708"/>
    </row>
    <row r="63" spans="1:11" ht="15" customHeight="1" x14ac:dyDescent="0.25">
      <c r="A63" s="686"/>
      <c r="B63" s="457" t="s">
        <v>367</v>
      </c>
      <c r="C63" s="137"/>
      <c r="D63" s="703"/>
      <c r="E63" s="443" t="s">
        <v>98</v>
      </c>
      <c r="F63" s="553"/>
      <c r="G63" s="553"/>
      <c r="H63" s="553">
        <f>ROUND(H62,-3)</f>
        <v>999837000</v>
      </c>
      <c r="I63" s="387" t="s">
        <v>328</v>
      </c>
      <c r="J63" s="671"/>
      <c r="K63" s="145">
        <v>1126808000</v>
      </c>
    </row>
    <row r="64" spans="1:11" ht="15.4" customHeight="1" x14ac:dyDescent="0.25">
      <c r="A64" s="1070" t="s">
        <v>291</v>
      </c>
      <c r="B64" s="1071"/>
      <c r="C64" s="1071"/>
      <c r="D64" s="1071"/>
      <c r="E64" s="1071"/>
      <c r="F64" s="1071"/>
      <c r="G64" s="1071"/>
      <c r="H64" s="1072"/>
      <c r="I64" s="470"/>
      <c r="J64" s="671"/>
      <c r="K64" s="708"/>
    </row>
    <row r="65" spans="1:11" ht="14.1" customHeight="1" x14ac:dyDescent="0.25">
      <c r="A65" s="666"/>
      <c r="B65" s="708"/>
      <c r="C65" s="486"/>
      <c r="D65" s="708"/>
      <c r="E65" s="666"/>
      <c r="F65" s="708"/>
      <c r="G65" s="708"/>
      <c r="H65" s="265">
        <f>SUMIF(J9,"&gt;0",H9)+SUMIF(J11,"&gt;0",H11)+SUMIF(J12,"&gt;0",H12)+SUMIF(J13,"&gt;0",H13)+SUMIF(J49,"&gt;0",H49)</f>
        <v>951440872.76740801</v>
      </c>
      <c r="I65" s="694" t="s">
        <v>536</v>
      </c>
      <c r="J65" s="671"/>
      <c r="K65" s="708"/>
    </row>
    <row r="66" spans="1:11" ht="14.1" customHeight="1" x14ac:dyDescent="0.25">
      <c r="A66" s="666"/>
      <c r="B66" s="173" t="s">
        <v>1015</v>
      </c>
      <c r="C66" s="279"/>
      <c r="D66" s="492"/>
      <c r="E66" s="481"/>
      <c r="F66" s="1073" t="s">
        <v>806</v>
      </c>
      <c r="G66" s="1073"/>
      <c r="H66" s="1073"/>
      <c r="I66" s="393"/>
      <c r="J66" s="671"/>
      <c r="K66" s="708"/>
    </row>
    <row r="67" spans="1:11" ht="14.1" customHeight="1" x14ac:dyDescent="0.25">
      <c r="A67" s="666"/>
      <c r="B67" s="60"/>
      <c r="C67" s="161"/>
      <c r="D67" s="194"/>
      <c r="E67" s="359"/>
      <c r="F67" s="194"/>
      <c r="G67" s="194"/>
      <c r="H67" s="194"/>
      <c r="I67" s="393"/>
      <c r="J67" s="671"/>
      <c r="K67" s="708"/>
    </row>
    <row r="68" spans="1:11" ht="14.1" customHeight="1" x14ac:dyDescent="0.25">
      <c r="A68" s="666"/>
      <c r="B68" s="60"/>
      <c r="C68" s="161"/>
      <c r="D68" s="194"/>
      <c r="E68" s="359"/>
      <c r="F68" s="194"/>
      <c r="G68" s="194"/>
      <c r="H68" s="194"/>
      <c r="I68" s="393"/>
      <c r="J68" s="671"/>
      <c r="K68" s="708"/>
    </row>
    <row r="69" spans="1:11" ht="14.1" customHeight="1" x14ac:dyDescent="0.25">
      <c r="A69" s="666"/>
      <c r="B69" s="60"/>
      <c r="C69" s="161"/>
      <c r="D69" s="194"/>
      <c r="E69" s="359"/>
      <c r="F69" s="194"/>
      <c r="G69" s="194"/>
      <c r="H69" s="194"/>
      <c r="I69" s="393"/>
      <c r="J69" s="671"/>
      <c r="K69" s="708"/>
    </row>
    <row r="70" spans="1:11" ht="14.1" customHeight="1" x14ac:dyDescent="0.25">
      <c r="A70" s="666"/>
      <c r="B70" s="60"/>
      <c r="C70" s="161"/>
      <c r="D70" s="194"/>
      <c r="E70" s="359"/>
      <c r="F70" s="194"/>
      <c r="G70" s="194"/>
      <c r="H70" s="194"/>
      <c r="I70" s="393"/>
      <c r="J70" s="671"/>
      <c r="K70" s="708"/>
    </row>
    <row r="71" spans="1:11" ht="14.1" customHeight="1" x14ac:dyDescent="0.25">
      <c r="A71" s="666"/>
      <c r="B71" s="60" t="s">
        <v>111</v>
      </c>
      <c r="C71" s="161"/>
      <c r="D71" s="194"/>
      <c r="E71" s="359"/>
      <c r="F71" s="1069" t="s">
        <v>111</v>
      </c>
      <c r="G71" s="1069"/>
      <c r="H71" s="1069"/>
      <c r="I71" s="393"/>
      <c r="J71" s="671"/>
      <c r="K71" s="708"/>
    </row>
    <row r="72" spans="1:11" ht="14.1" customHeight="1" x14ac:dyDescent="0.25">
      <c r="A72" s="666"/>
      <c r="B72" s="60" t="s">
        <v>395</v>
      </c>
      <c r="C72" s="161"/>
      <c r="D72" s="194"/>
      <c r="E72" s="359"/>
      <c r="F72" s="1069" t="s">
        <v>766</v>
      </c>
      <c r="G72" s="1069"/>
      <c r="H72" s="1069"/>
      <c r="I72" s="393"/>
      <c r="J72" s="671"/>
      <c r="K72" s="708"/>
    </row>
    <row r="73" spans="1:11" ht="14.1" customHeight="1" x14ac:dyDescent="0.25">
      <c r="A73" s="666"/>
      <c r="B73" s="194"/>
      <c r="C73" s="161"/>
      <c r="D73" s="194"/>
      <c r="E73" s="359"/>
      <c r="F73" s="1069" t="s">
        <v>1066</v>
      </c>
      <c r="G73" s="1069"/>
      <c r="H73" s="1069"/>
      <c r="I73" s="393"/>
      <c r="J73" s="671"/>
      <c r="K73" s="708"/>
    </row>
    <row r="74" spans="1:11" ht="14.1" customHeight="1" x14ac:dyDescent="0.25">
      <c r="A74" s="666"/>
      <c r="B74" s="194"/>
      <c r="C74" s="161"/>
      <c r="D74" s="194"/>
      <c r="E74" s="359"/>
      <c r="F74" s="194"/>
      <c r="G74" s="194"/>
      <c r="H74" s="194"/>
      <c r="I74" s="393"/>
      <c r="J74" s="671"/>
      <c r="K74" s="708"/>
    </row>
  </sheetData>
  <mergeCells count="11">
    <mergeCell ref="H7:I7"/>
    <mergeCell ref="C3:E3"/>
    <mergeCell ref="C4:E4"/>
    <mergeCell ref="C5:E5"/>
    <mergeCell ref="C6:E6"/>
    <mergeCell ref="C7:E7"/>
    <mergeCell ref="F73:H73"/>
    <mergeCell ref="A64:H64"/>
    <mergeCell ref="F66:H66"/>
    <mergeCell ref="F71:H71"/>
    <mergeCell ref="F72:H72"/>
  </mergeCells>
  <dataValidations count="3">
    <dataValidation type="list" allowBlank="1" showInputMessage="1" showErrorMessage="1" sqref="C3">
      <formula1>loaiCongTrinh</formula1>
    </dataValidation>
    <dataValidation type="list" allowBlank="1" showInputMessage="1" showErrorMessage="1" sqref="C5">
      <formula1>capCongTrinh</formula1>
    </dataValidation>
    <dataValidation type="list" allowBlank="1" showInputMessage="1" showErrorMessage="1" sqref="C4">
      <formula1>loaiThietKe</formula1>
    </dataValidation>
  </dataValidations>
  <pageMargins left="0.7" right="0.7" top="0.75" bottom="0.75" header="0.3" footer="0.3"/>
  <pageSetup paperSize="9" scale="75"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844"/>
  <sheetViews>
    <sheetView showZeros="0" topLeftCell="B1" workbookViewId="0">
      <selection activeCell="G12" sqref="G12"/>
    </sheetView>
  </sheetViews>
  <sheetFormatPr defaultColWidth="9.140625" defaultRowHeight="15" x14ac:dyDescent="0.25"/>
  <cols>
    <col min="1" max="1" width="9.140625" style="751" hidden="1" customWidth="1"/>
    <col min="2" max="2" width="4.85546875" style="751" bestFit="1" customWidth="1"/>
    <col min="3" max="3" width="10" style="514" hidden="1" customWidth="1"/>
    <col min="4" max="4" width="9.42578125" style="514" customWidth="1"/>
    <col min="5" max="5" width="38.85546875" style="751" customWidth="1"/>
    <col min="6" max="6" width="6.85546875" style="751" customWidth="1"/>
    <col min="7" max="8" width="10.140625" style="751" customWidth="1"/>
    <col min="9" max="9" width="6.5703125" style="751" customWidth="1"/>
    <col min="10" max="10" width="10.5703125" style="751" customWidth="1"/>
    <col min="11" max="18" width="9.140625" style="751" customWidth="1"/>
    <col min="19" max="19" width="14.140625" style="751" customWidth="1"/>
    <col min="20" max="20" width="9.140625" style="751" customWidth="1"/>
    <col min="21" max="16384" width="9.140625" style="751"/>
  </cols>
  <sheetData>
    <row r="1" spans="1:27" ht="18.75" x14ac:dyDescent="0.3">
      <c r="A1" s="1078" t="s">
        <v>124</v>
      </c>
      <c r="B1" s="1078"/>
      <c r="C1" s="1078"/>
      <c r="D1" s="1078"/>
      <c r="E1" s="1078"/>
      <c r="F1" s="1078"/>
      <c r="G1" s="1078"/>
      <c r="H1" s="1078"/>
      <c r="I1" s="1078"/>
      <c r="J1" s="1078"/>
    </row>
    <row r="2" spans="1:27" x14ac:dyDescent="0.25">
      <c r="A2" s="1079" t="s">
        <v>315</v>
      </c>
      <c r="B2" s="1079"/>
      <c r="C2" s="1079"/>
      <c r="D2" s="1079"/>
      <c r="E2" s="1079"/>
      <c r="F2" s="1079"/>
      <c r="G2" s="1079"/>
      <c r="H2" s="1079"/>
      <c r="I2" s="1079"/>
      <c r="J2" s="1079"/>
    </row>
    <row r="3" spans="1:27" x14ac:dyDescent="0.25">
      <c r="A3" s="1079" t="s">
        <v>284</v>
      </c>
      <c r="B3" s="1079"/>
      <c r="C3" s="1079"/>
      <c r="D3" s="1079"/>
      <c r="E3" s="1079"/>
      <c r="F3" s="1079"/>
      <c r="G3" s="1079"/>
      <c r="H3" s="1079"/>
      <c r="I3" s="1079"/>
      <c r="J3" s="1079"/>
    </row>
    <row r="4" spans="1:27" x14ac:dyDescent="0.25">
      <c r="A4" s="1080" t="s">
        <v>98</v>
      </c>
      <c r="B4" s="1081"/>
      <c r="C4" s="1081"/>
      <c r="D4" s="1081"/>
      <c r="E4" s="1081"/>
      <c r="F4" s="1081"/>
      <c r="G4" s="1081"/>
      <c r="H4" s="1081"/>
      <c r="I4" s="1081"/>
      <c r="J4" s="1081"/>
      <c r="K4" s="49"/>
      <c r="L4" s="49"/>
      <c r="M4" s="49"/>
      <c r="N4" s="49"/>
      <c r="O4" s="49"/>
      <c r="P4" s="49"/>
      <c r="Q4" s="49"/>
      <c r="R4" s="49"/>
      <c r="S4" s="49"/>
      <c r="T4" s="49"/>
      <c r="U4" s="49"/>
      <c r="V4" s="49"/>
      <c r="W4" s="49"/>
      <c r="X4" s="49"/>
      <c r="Y4" s="49"/>
      <c r="Z4" s="49"/>
      <c r="AA4" s="49"/>
    </row>
    <row r="5" spans="1:27" ht="28.5" x14ac:dyDescent="0.25">
      <c r="A5" s="724"/>
      <c r="B5" s="724" t="s">
        <v>386</v>
      </c>
      <c r="C5" s="476" t="s">
        <v>217</v>
      </c>
      <c r="D5" s="476" t="s">
        <v>793</v>
      </c>
      <c r="E5" s="724" t="s">
        <v>64</v>
      </c>
      <c r="F5" s="724" t="s">
        <v>1136</v>
      </c>
      <c r="G5" s="724" t="s">
        <v>1243</v>
      </c>
      <c r="H5" s="724" t="s">
        <v>822</v>
      </c>
      <c r="I5" s="724" t="s">
        <v>972</v>
      </c>
      <c r="J5" s="724" t="s">
        <v>120</v>
      </c>
      <c r="K5" s="49"/>
      <c r="L5" s="49"/>
      <c r="M5" s="49"/>
      <c r="N5" s="49"/>
      <c r="O5" s="49"/>
      <c r="P5" s="49"/>
      <c r="Q5" s="49"/>
      <c r="R5" s="49"/>
      <c r="S5" s="49"/>
      <c r="T5" s="49"/>
      <c r="U5" s="49"/>
      <c r="V5" s="49"/>
      <c r="W5" s="49"/>
      <c r="X5" s="49"/>
      <c r="Y5" s="49"/>
      <c r="Z5" s="49"/>
      <c r="AA5" s="49"/>
    </row>
    <row r="6" spans="1:27" ht="45" x14ac:dyDescent="0.25">
      <c r="A6" s="458"/>
      <c r="B6" s="130">
        <v>1</v>
      </c>
      <c r="C6" s="234" t="str">
        <f>'Du toan chi tiet'!C8</f>
        <v>AD.23263</v>
      </c>
      <c r="D6" s="234" t="str">
        <f>'Du toan chi tiet'!C8</f>
        <v>AD.23263</v>
      </c>
      <c r="E6" s="730" t="str">
        <f>'Du toan chi tiet'!D8</f>
        <v>Rải thảm mặt đường Carboncor Asphalt, bằng phương pháp thủ cơ giới, chiều dày mặt đường đã lèn ép 3cm</v>
      </c>
      <c r="F6" s="130" t="str">
        <f>'Du toan chi tiet'!E8</f>
        <v>m2</v>
      </c>
      <c r="G6" s="664"/>
      <c r="H6" s="282"/>
      <c r="I6" s="450"/>
      <c r="J6" s="282"/>
      <c r="K6" s="49"/>
      <c r="L6" s="49"/>
      <c r="M6" s="49"/>
      <c r="N6" s="49"/>
      <c r="O6" s="49"/>
      <c r="P6" s="49"/>
      <c r="Q6" s="49"/>
      <c r="R6" s="49"/>
      <c r="S6" s="49"/>
      <c r="T6" s="49"/>
      <c r="U6" s="49"/>
      <c r="V6" s="49"/>
      <c r="W6" s="49"/>
      <c r="X6" s="49"/>
      <c r="Y6" s="49"/>
      <c r="Z6" s="49"/>
      <c r="AA6" s="49"/>
    </row>
    <row r="7" spans="1:27" x14ac:dyDescent="0.25">
      <c r="A7" s="261"/>
      <c r="B7" s="690"/>
      <c r="C7" s="745" t="s">
        <v>98</v>
      </c>
      <c r="D7" s="745" t="s">
        <v>98</v>
      </c>
      <c r="E7" s="247" t="s">
        <v>547</v>
      </c>
      <c r="F7" s="690" t="s">
        <v>962</v>
      </c>
      <c r="G7" s="133"/>
      <c r="H7" s="44"/>
      <c r="I7" s="233"/>
      <c r="J7" s="44">
        <f>SUM(J8:J9)</f>
        <v>222467.38400000002</v>
      </c>
      <c r="K7" s="49"/>
      <c r="L7" s="49"/>
      <c r="M7" s="49"/>
      <c r="N7" s="49"/>
      <c r="O7" s="49"/>
      <c r="P7" s="49"/>
      <c r="Q7" s="49"/>
      <c r="R7" s="49"/>
      <c r="S7" s="49"/>
      <c r="T7" s="49"/>
      <c r="U7" s="49"/>
      <c r="V7" s="49"/>
      <c r="W7" s="49"/>
      <c r="X7" s="49"/>
      <c r="Y7" s="49"/>
      <c r="Z7" s="49"/>
      <c r="AA7" s="49"/>
    </row>
    <row r="8" spans="1:27" x14ac:dyDescent="0.25">
      <c r="A8" s="207"/>
      <c r="B8" s="641"/>
      <c r="C8" s="711" t="s">
        <v>98</v>
      </c>
      <c r="D8" s="276" t="s">
        <v>1256</v>
      </c>
      <c r="E8" s="191" t="str">
        <f>" - " &amp; 'Giá VL'!E6</f>
        <v xml:space="preserve"> - Carboncor Asphalt (loại CA 9,5)</v>
      </c>
      <c r="F8" s="641" t="str">
        <f>'Giá VL'!F6</f>
        <v>tấn</v>
      </c>
      <c r="G8" s="67">
        <f>'Phan tich don gia'!G8</f>
        <v>5.8200000000000002E-2</v>
      </c>
      <c r="H8" s="5">
        <f>'Giá VL'!V6</f>
        <v>3822120</v>
      </c>
      <c r="I8" s="198">
        <f>'Du toan chi tiet'!V8</f>
        <v>1</v>
      </c>
      <c r="J8" s="5">
        <f t="shared" ref="J8:J9" si="0">PRODUCT(G8,H8,I8)</f>
        <v>222447.38400000002</v>
      </c>
      <c r="K8" s="49"/>
      <c r="L8" s="49"/>
      <c r="M8" s="49"/>
      <c r="N8" s="49"/>
      <c r="O8" s="49"/>
      <c r="P8" s="49"/>
      <c r="Q8" s="49"/>
      <c r="R8" s="49"/>
      <c r="S8" s="49"/>
      <c r="T8" s="49"/>
      <c r="U8" s="49"/>
      <c r="V8" s="49"/>
      <c r="W8" s="49"/>
      <c r="X8" s="49"/>
      <c r="Y8" s="49"/>
      <c r="Z8" s="49"/>
      <c r="AA8" s="49"/>
    </row>
    <row r="9" spans="1:27" x14ac:dyDescent="0.25">
      <c r="A9" s="207"/>
      <c r="B9" s="641"/>
      <c r="C9" s="711" t="s">
        <v>98</v>
      </c>
      <c r="D9" s="276" t="s">
        <v>956</v>
      </c>
      <c r="E9" s="191" t="str">
        <f>" - " &amp; 'Giá VL'!E23</f>
        <v xml:space="preserve"> - Nước</v>
      </c>
      <c r="F9" s="641" t="str">
        <f>'Giá VL'!F23</f>
        <v>lít</v>
      </c>
      <c r="G9" s="67">
        <f>'Phan tich don gia'!G9</f>
        <v>2</v>
      </c>
      <c r="H9" s="5">
        <f>'Giá VL'!V23</f>
        <v>10</v>
      </c>
      <c r="I9" s="198">
        <f>'Du toan chi tiet'!V8</f>
        <v>1</v>
      </c>
      <c r="J9" s="5">
        <f t="shared" si="0"/>
        <v>20</v>
      </c>
      <c r="K9" s="49"/>
      <c r="L9" s="49"/>
      <c r="M9" s="49"/>
      <c r="N9" s="49"/>
      <c r="O9" s="49"/>
      <c r="P9" s="49"/>
      <c r="Q9" s="49"/>
      <c r="R9" s="49"/>
      <c r="S9" s="49"/>
      <c r="T9" s="49"/>
      <c r="U9" s="49"/>
      <c r="V9" s="49"/>
      <c r="W9" s="49"/>
      <c r="X9" s="49"/>
      <c r="Y9" s="49"/>
      <c r="Z9" s="49"/>
      <c r="AA9" s="49"/>
    </row>
    <row r="10" spans="1:27" x14ac:dyDescent="0.25">
      <c r="A10" s="261"/>
      <c r="B10" s="690"/>
      <c r="C10" s="745" t="s">
        <v>98</v>
      </c>
      <c r="D10" s="745" t="s">
        <v>98</v>
      </c>
      <c r="E10" s="247" t="s">
        <v>301</v>
      </c>
      <c r="F10" s="690" t="s">
        <v>1018</v>
      </c>
      <c r="G10" s="133"/>
      <c r="H10" s="44"/>
      <c r="I10" s="233"/>
      <c r="J10" s="44">
        <f>SUM(J11:J11)</f>
        <v>2017.6000000000001</v>
      </c>
      <c r="K10" s="49"/>
      <c r="L10" s="49"/>
      <c r="M10" s="49"/>
      <c r="N10" s="49"/>
      <c r="O10" s="49"/>
      <c r="P10" s="49"/>
      <c r="Q10" s="49"/>
      <c r="R10" s="49"/>
      <c r="S10" s="49"/>
      <c r="T10" s="49"/>
      <c r="U10" s="49"/>
      <c r="V10" s="49"/>
      <c r="W10" s="49"/>
      <c r="X10" s="49"/>
      <c r="Y10" s="49"/>
      <c r="Z10" s="49"/>
      <c r="AA10" s="49"/>
    </row>
    <row r="11" spans="1:27" x14ac:dyDescent="0.25">
      <c r="A11" s="207"/>
      <c r="B11" s="641"/>
      <c r="C11" s="711" t="s">
        <v>98</v>
      </c>
      <c r="D11" s="276" t="s">
        <v>706</v>
      </c>
      <c r="E11" s="191" t="str">
        <f>" - " &amp; 'Giá NC'!E8</f>
        <v xml:space="preserve"> - Nhân công bậc 3,5/7 - Nhóm 2</v>
      </c>
      <c r="F11" s="641" t="str">
        <f>'Giá NC'!F8</f>
        <v>công</v>
      </c>
      <c r="G11" s="67">
        <f>'Phan tich don gia'!G11</f>
        <v>8.0000000000000002E-3</v>
      </c>
      <c r="H11" s="5">
        <f>'Giá NC'!K8</f>
        <v>252200</v>
      </c>
      <c r="I11" s="198">
        <f>'Du toan chi tiet'!W8</f>
        <v>1</v>
      </c>
      <c r="J11" s="5">
        <f>PRODUCT(G11,H11,I11)</f>
        <v>2017.6000000000001</v>
      </c>
      <c r="K11" s="49"/>
      <c r="L11" s="49"/>
      <c r="M11" s="49"/>
      <c r="N11" s="49"/>
      <c r="O11" s="49"/>
      <c r="P11" s="49"/>
      <c r="Q11" s="49"/>
      <c r="R11" s="49"/>
      <c r="S11" s="49"/>
      <c r="T11" s="49"/>
      <c r="U11" s="49"/>
      <c r="V11" s="49"/>
      <c r="W11" s="49"/>
      <c r="X11" s="49"/>
      <c r="Y11" s="49"/>
      <c r="Z11" s="49"/>
      <c r="AA11" s="49"/>
    </row>
    <row r="12" spans="1:27" x14ac:dyDescent="0.25">
      <c r="A12" s="261"/>
      <c r="B12" s="690"/>
      <c r="C12" s="745" t="s">
        <v>98</v>
      </c>
      <c r="D12" s="745" t="s">
        <v>98</v>
      </c>
      <c r="E12" s="247" t="s">
        <v>1175</v>
      </c>
      <c r="F12" s="690" t="s">
        <v>138</v>
      </c>
      <c r="G12" s="133"/>
      <c r="H12" s="44"/>
      <c r="I12" s="233"/>
      <c r="J12" s="44">
        <f>SUM(J13:J17)</f>
        <v>3181.718715</v>
      </c>
      <c r="K12" s="49"/>
      <c r="L12" s="49"/>
      <c r="M12" s="49"/>
      <c r="N12" s="49"/>
      <c r="O12" s="49"/>
      <c r="P12" s="49"/>
      <c r="Q12" s="49"/>
      <c r="R12" s="49"/>
      <c r="S12" s="49"/>
      <c r="T12" s="49"/>
      <c r="U12" s="49"/>
      <c r="V12" s="49"/>
      <c r="W12" s="49"/>
      <c r="X12" s="49"/>
      <c r="Y12" s="49"/>
      <c r="Z12" s="49"/>
      <c r="AA12" s="49"/>
    </row>
    <row r="13" spans="1:27" ht="30" x14ac:dyDescent="0.25">
      <c r="A13" s="207"/>
      <c r="B13" s="641"/>
      <c r="C13" s="711" t="s">
        <v>98</v>
      </c>
      <c r="D13" s="276" t="s">
        <v>1248</v>
      </c>
      <c r="E13" s="191" t="str">
        <f>" - " &amp; 'Giá Máy'!E19</f>
        <v xml:space="preserve"> - Máy rải hỗn hợp bê tông nhựa 130 - 140CV</v>
      </c>
      <c r="F13" s="641" t="str">
        <f>'Giá Máy'!F19</f>
        <v>ca</v>
      </c>
      <c r="G13" s="67">
        <f>'Phan tich don gia'!G13</f>
        <v>3.3E-4</v>
      </c>
      <c r="H13" s="5">
        <f>'Giá Máy'!J19</f>
        <v>5455372</v>
      </c>
      <c r="I13" s="198">
        <f>'Du toan chi tiet'!X8</f>
        <v>1</v>
      </c>
      <c r="J13" s="5">
        <f t="shared" ref="J13:J16" si="1">PRODUCT(G13,H13,I13)</f>
        <v>1800.2727600000001</v>
      </c>
      <c r="K13" s="49"/>
      <c r="L13" s="49"/>
      <c r="M13" s="49"/>
      <c r="N13" s="49"/>
      <c r="O13" s="49"/>
      <c r="P13" s="49"/>
      <c r="Q13" s="49"/>
      <c r="R13" s="49"/>
      <c r="S13" s="49"/>
      <c r="T13" s="49"/>
      <c r="U13" s="49"/>
      <c r="V13" s="49"/>
      <c r="W13" s="49"/>
      <c r="X13" s="49"/>
      <c r="Y13" s="49"/>
      <c r="Z13" s="49"/>
      <c r="AA13" s="49"/>
    </row>
    <row r="14" spans="1:27" x14ac:dyDescent="0.25">
      <c r="A14" s="207"/>
      <c r="B14" s="641"/>
      <c r="C14" s="711" t="s">
        <v>98</v>
      </c>
      <c r="D14" s="276" t="s">
        <v>798</v>
      </c>
      <c r="E14" s="191" t="str">
        <f>" - " &amp; 'Giá Máy'!E25</f>
        <v xml:space="preserve"> - Máy lu bánh thép 6T</v>
      </c>
      <c r="F14" s="641" t="str">
        <f>'Giá Máy'!F25</f>
        <v>ca</v>
      </c>
      <c r="G14" s="67">
        <f>'Phan tich don gia'!G14</f>
        <v>6.3000000000000003E-4</v>
      </c>
      <c r="H14" s="5">
        <f>'Giá Máy'!J25</f>
        <v>953819</v>
      </c>
      <c r="I14" s="198">
        <f>'Du toan chi tiet'!X8</f>
        <v>1</v>
      </c>
      <c r="J14" s="5">
        <f t="shared" si="1"/>
        <v>600.90597000000002</v>
      </c>
      <c r="K14" s="49"/>
      <c r="L14" s="49"/>
      <c r="M14" s="49"/>
      <c r="N14" s="49"/>
      <c r="O14" s="49"/>
      <c r="P14" s="49"/>
      <c r="Q14" s="49"/>
      <c r="R14" s="49"/>
      <c r="S14" s="49"/>
      <c r="T14" s="49"/>
      <c r="U14" s="49"/>
      <c r="V14" s="49"/>
      <c r="W14" s="49"/>
      <c r="X14" s="49"/>
      <c r="Y14" s="49"/>
      <c r="Z14" s="49"/>
      <c r="AA14" s="49"/>
    </row>
    <row r="15" spans="1:27" x14ac:dyDescent="0.25">
      <c r="A15" s="207"/>
      <c r="B15" s="641"/>
      <c r="C15" s="711" t="s">
        <v>98</v>
      </c>
      <c r="D15" s="276" t="s">
        <v>970</v>
      </c>
      <c r="E15" s="191" t="str">
        <f>" - " &amp; 'Giá Máy'!E23</f>
        <v xml:space="preserve"> - Ô tô tưới nước 5m3</v>
      </c>
      <c r="F15" s="641" t="str">
        <f>'Giá Máy'!F23</f>
        <v>ca</v>
      </c>
      <c r="G15" s="67">
        <f>'Phan tich don gia'!G15</f>
        <v>2.1000000000000001E-4</v>
      </c>
      <c r="H15" s="5">
        <f>'Giá Máy'!J23</f>
        <v>1202488</v>
      </c>
      <c r="I15" s="198">
        <f>'Du toan chi tiet'!X8</f>
        <v>1</v>
      </c>
      <c r="J15" s="5">
        <f t="shared" si="1"/>
        <v>252.52248</v>
      </c>
      <c r="K15" s="49"/>
      <c r="L15" s="49"/>
      <c r="M15" s="49"/>
      <c r="N15" s="49"/>
      <c r="O15" s="49"/>
      <c r="P15" s="49"/>
      <c r="Q15" s="49"/>
      <c r="R15" s="49"/>
      <c r="S15" s="49"/>
      <c r="T15" s="49"/>
      <c r="U15" s="49"/>
      <c r="V15" s="49"/>
      <c r="W15" s="49"/>
      <c r="X15" s="49"/>
      <c r="Y15" s="49"/>
      <c r="Z15" s="49"/>
      <c r="AA15" s="49"/>
    </row>
    <row r="16" spans="1:27" x14ac:dyDescent="0.25">
      <c r="A16" s="207"/>
      <c r="B16" s="641"/>
      <c r="C16" s="711" t="s">
        <v>98</v>
      </c>
      <c r="D16" s="276" t="s">
        <v>1089</v>
      </c>
      <c r="E16" s="191" t="str">
        <f>" - " &amp; 'Giá Máy'!E18</f>
        <v xml:space="preserve"> - Máy nén khí diezel 600m3/h</v>
      </c>
      <c r="F16" s="641" t="str">
        <f>'Giá Máy'!F18</f>
        <v>ca</v>
      </c>
      <c r="G16" s="67">
        <f>'Phan tich don gia'!G16</f>
        <v>3.1E-4</v>
      </c>
      <c r="H16" s="5">
        <f>'Giá Máy'!J18</f>
        <v>1703277.5</v>
      </c>
      <c r="I16" s="198">
        <f>'Du toan chi tiet'!X8</f>
        <v>1</v>
      </c>
      <c r="J16" s="5">
        <f t="shared" si="1"/>
        <v>528.01602500000001</v>
      </c>
      <c r="K16" s="49"/>
      <c r="L16" s="49"/>
      <c r="M16" s="49"/>
      <c r="N16" s="49"/>
      <c r="O16" s="49"/>
      <c r="P16" s="49"/>
      <c r="Q16" s="49"/>
      <c r="R16" s="49"/>
      <c r="S16" s="49"/>
      <c r="T16" s="49"/>
      <c r="U16" s="49"/>
      <c r="V16" s="49"/>
      <c r="W16" s="49"/>
      <c r="X16" s="49"/>
      <c r="Y16" s="49"/>
      <c r="Z16" s="49"/>
      <c r="AA16" s="49"/>
    </row>
    <row r="17" spans="1:27" x14ac:dyDescent="0.25">
      <c r="A17" s="207"/>
      <c r="B17" s="641"/>
      <c r="C17" s="711" t="s">
        <v>98</v>
      </c>
      <c r="D17" s="276" t="s">
        <v>98</v>
      </c>
      <c r="E17" s="191" t="s">
        <v>1230</v>
      </c>
      <c r="F17" s="641"/>
      <c r="G17" s="106"/>
      <c r="H17" s="5"/>
      <c r="I17" s="198"/>
      <c r="J17" s="5">
        <f>SUM(J18:J19)</f>
        <v>1.48E-3</v>
      </c>
      <c r="K17" s="49"/>
      <c r="L17" s="49"/>
      <c r="M17" s="49"/>
      <c r="N17" s="49"/>
      <c r="O17" s="49"/>
      <c r="P17" s="49"/>
      <c r="Q17" s="49"/>
      <c r="R17" s="49"/>
      <c r="S17" s="49"/>
      <c r="T17" s="49"/>
      <c r="U17" s="49"/>
      <c r="V17" s="49"/>
      <c r="W17" s="49"/>
      <c r="X17" s="49"/>
      <c r="Y17" s="49"/>
      <c r="Z17" s="49"/>
      <c r="AA17" s="49"/>
    </row>
    <row r="18" spans="1:27" x14ac:dyDescent="0.25">
      <c r="A18" s="207"/>
      <c r="B18" s="641"/>
      <c r="C18" s="711" t="s">
        <v>98</v>
      </c>
      <c r="D18" s="276" t="s">
        <v>98</v>
      </c>
      <c r="E18" s="191" t="s">
        <v>52</v>
      </c>
      <c r="F18" s="641"/>
      <c r="G18" s="106"/>
      <c r="H18" s="5"/>
      <c r="I18" s="198"/>
      <c r="J18" s="5">
        <f>PRODUCT(G13,I13,'Giá Máy'!L19)+PRODUCT(G14,I14,'Giá Máy'!L25)+PRODUCT(G15,I15,'Giá Máy'!L23)+PRODUCT(G16,I16,'Giá Máy'!L18)</f>
        <v>0</v>
      </c>
      <c r="K18" s="49"/>
      <c r="L18" s="49"/>
      <c r="M18" s="49"/>
      <c r="N18" s="49"/>
      <c r="O18" s="49"/>
      <c r="P18" s="49"/>
      <c r="Q18" s="49"/>
      <c r="R18" s="49"/>
      <c r="S18" s="49"/>
      <c r="T18" s="49"/>
      <c r="U18" s="49"/>
      <c r="V18" s="49"/>
      <c r="W18" s="49"/>
      <c r="X18" s="49"/>
      <c r="Y18" s="49"/>
      <c r="Z18" s="49"/>
      <c r="AA18" s="49"/>
    </row>
    <row r="19" spans="1:27" x14ac:dyDescent="0.25">
      <c r="A19" s="207"/>
      <c r="B19" s="641"/>
      <c r="C19" s="711" t="s">
        <v>98</v>
      </c>
      <c r="D19" s="276" t="s">
        <v>98</v>
      </c>
      <c r="E19" s="191" t="s">
        <v>597</v>
      </c>
      <c r="F19" s="641"/>
      <c r="G19" s="106"/>
      <c r="H19" s="5"/>
      <c r="I19" s="198"/>
      <c r="J19" s="5">
        <f>PRODUCT(G13,I13,'Giá Máy'!M19)+PRODUCT(G14,I14,'Giá Máy'!M25)+PRODUCT(G15,I15,'Giá Máy'!M23)+PRODUCT(G16,I16,'Giá Máy'!M18)</f>
        <v>1.48E-3</v>
      </c>
      <c r="K19" s="49"/>
      <c r="L19" s="49"/>
      <c r="M19" s="49"/>
      <c r="N19" s="49"/>
      <c r="O19" s="49"/>
      <c r="P19" s="49"/>
      <c r="Q19" s="49"/>
      <c r="R19" s="49"/>
      <c r="S19" s="49"/>
      <c r="T19" s="49"/>
      <c r="U19" s="49"/>
      <c r="V19" s="49"/>
      <c r="W19" s="49"/>
      <c r="X19" s="49"/>
      <c r="Y19" s="49"/>
      <c r="Z19" s="49"/>
      <c r="AA19" s="49"/>
    </row>
    <row r="20" spans="1:27" x14ac:dyDescent="0.25">
      <c r="A20" s="207"/>
      <c r="B20" s="641"/>
      <c r="C20" s="711" t="s">
        <v>98</v>
      </c>
      <c r="D20" s="276" t="s">
        <v>98</v>
      </c>
      <c r="E20" s="191" t="s">
        <v>599</v>
      </c>
      <c r="F20" s="641" t="s">
        <v>356</v>
      </c>
      <c r="G20" s="106"/>
      <c r="H20" s="5"/>
      <c r="I20" s="198"/>
      <c r="J20" s="5">
        <f>J7+J10+J12</f>
        <v>227666.70271500002</v>
      </c>
      <c r="K20" s="49"/>
      <c r="L20" s="49"/>
      <c r="M20" s="49"/>
      <c r="N20" s="49"/>
      <c r="O20" s="49"/>
      <c r="P20" s="49"/>
      <c r="Q20" s="49"/>
      <c r="R20" s="49"/>
      <c r="S20" s="49"/>
      <c r="T20" s="49"/>
      <c r="U20" s="49"/>
      <c r="V20" s="49"/>
      <c r="W20" s="49"/>
      <c r="X20" s="49"/>
      <c r="Y20" s="49"/>
      <c r="Z20" s="49"/>
      <c r="AA20" s="49"/>
    </row>
    <row r="21" spans="1:27" x14ac:dyDescent="0.25">
      <c r="A21" s="207"/>
      <c r="B21" s="641"/>
      <c r="C21" s="711" t="s">
        <v>98</v>
      </c>
      <c r="D21" s="276" t="s">
        <v>98</v>
      </c>
      <c r="E21" s="191" t="s">
        <v>265</v>
      </c>
      <c r="F21" s="641" t="s">
        <v>653</v>
      </c>
      <c r="G21" s="307">
        <f>'Thông tin'!E67</f>
        <v>7.2999999999999995E-2</v>
      </c>
      <c r="H21" s="5"/>
      <c r="I21" s="198"/>
      <c r="J21" s="5">
        <f>(J20)*G21</f>
        <v>16619.669298195</v>
      </c>
      <c r="K21" s="49"/>
      <c r="L21" s="49"/>
      <c r="M21" s="49"/>
      <c r="N21" s="49"/>
      <c r="O21" s="49"/>
      <c r="P21" s="49"/>
      <c r="Q21" s="49"/>
      <c r="R21" s="49"/>
      <c r="S21" s="49"/>
      <c r="T21" s="49"/>
      <c r="U21" s="49"/>
      <c r="V21" s="49"/>
      <c r="W21" s="49"/>
      <c r="X21" s="49"/>
      <c r="Y21" s="49"/>
      <c r="Z21" s="49"/>
      <c r="AA21" s="49"/>
    </row>
    <row r="22" spans="1:27" x14ac:dyDescent="0.25">
      <c r="A22" s="207"/>
      <c r="B22" s="641"/>
      <c r="C22" s="711" t="s">
        <v>98</v>
      </c>
      <c r="D22" s="276" t="s">
        <v>98</v>
      </c>
      <c r="E22" s="191" t="s">
        <v>765</v>
      </c>
      <c r="F22" s="641" t="s">
        <v>602</v>
      </c>
      <c r="G22" s="307">
        <f>'Thông tin'!E60</f>
        <v>1.1000000000000001E-2</v>
      </c>
      <c r="H22" s="5"/>
      <c r="I22" s="198"/>
      <c r="J22" s="5">
        <f>(J20)*G22</f>
        <v>2504.3337298650004</v>
      </c>
      <c r="K22" s="49"/>
      <c r="L22" s="49"/>
      <c r="M22" s="49"/>
      <c r="N22" s="49"/>
      <c r="O22" s="49"/>
      <c r="P22" s="49"/>
      <c r="Q22" s="49"/>
      <c r="R22" s="49"/>
      <c r="S22" s="49"/>
      <c r="T22" s="49"/>
      <c r="U22" s="49"/>
      <c r="V22" s="49"/>
      <c r="W22" s="49"/>
      <c r="X22" s="49"/>
      <c r="Y22" s="49"/>
      <c r="Z22" s="49"/>
      <c r="AA22" s="49"/>
    </row>
    <row r="23" spans="1:27" ht="30" x14ac:dyDescent="0.25">
      <c r="A23" s="207"/>
      <c r="B23" s="641"/>
      <c r="C23" s="711" t="s">
        <v>98</v>
      </c>
      <c r="D23" s="276" t="s">
        <v>98</v>
      </c>
      <c r="E23" s="191" t="s">
        <v>457</v>
      </c>
      <c r="F23" s="641" t="s">
        <v>881</v>
      </c>
      <c r="G23" s="307">
        <f>'Thông tin'!E65</f>
        <v>2.5000000000000001E-2</v>
      </c>
      <c r="H23" s="5"/>
      <c r="I23" s="198"/>
      <c r="J23" s="5">
        <f>(J20)*G23</f>
        <v>5691.6675678750007</v>
      </c>
      <c r="K23" s="49"/>
      <c r="L23" s="49"/>
      <c r="M23" s="49"/>
      <c r="N23" s="49"/>
      <c r="O23" s="49"/>
      <c r="P23" s="49"/>
      <c r="Q23" s="49"/>
      <c r="R23" s="49"/>
      <c r="S23" s="49"/>
      <c r="T23" s="49"/>
      <c r="U23" s="49"/>
      <c r="V23" s="49"/>
      <c r="W23" s="49"/>
      <c r="X23" s="49"/>
      <c r="Y23" s="49"/>
      <c r="Z23" s="49"/>
      <c r="AA23" s="49"/>
    </row>
    <row r="24" spans="1:27" x14ac:dyDescent="0.25">
      <c r="A24" s="207"/>
      <c r="B24" s="641"/>
      <c r="C24" s="711" t="s">
        <v>98</v>
      </c>
      <c r="D24" s="276" t="s">
        <v>98</v>
      </c>
      <c r="E24" s="191" t="s">
        <v>1244</v>
      </c>
      <c r="F24" s="641" t="s">
        <v>1032</v>
      </c>
      <c r="G24" s="106"/>
      <c r="H24" s="5"/>
      <c r="I24" s="198"/>
      <c r="J24" s="5">
        <f>J21+J22+J23</f>
        <v>24815.670595935</v>
      </c>
      <c r="K24" s="49"/>
      <c r="L24" s="49"/>
      <c r="M24" s="49"/>
      <c r="N24" s="49"/>
      <c r="O24" s="49"/>
      <c r="P24" s="49"/>
      <c r="Q24" s="49"/>
      <c r="R24" s="49"/>
      <c r="S24" s="49"/>
      <c r="T24" s="49"/>
      <c r="U24" s="49"/>
      <c r="V24" s="49"/>
      <c r="W24" s="49"/>
      <c r="X24" s="49"/>
      <c r="Y24" s="49"/>
      <c r="Z24" s="49"/>
      <c r="AA24" s="49"/>
    </row>
    <row r="25" spans="1:27" x14ac:dyDescent="0.25">
      <c r="A25" s="207"/>
      <c r="B25" s="641"/>
      <c r="C25" s="711" t="s">
        <v>98</v>
      </c>
      <c r="D25" s="276" t="s">
        <v>98</v>
      </c>
      <c r="E25" s="191" t="s">
        <v>990</v>
      </c>
      <c r="F25" s="641" t="s">
        <v>307</v>
      </c>
      <c r="G25" s="307">
        <f>'Thông tin'!E63</f>
        <v>5.5E-2</v>
      </c>
      <c r="H25" s="5"/>
      <c r="I25" s="198"/>
      <c r="J25" s="5">
        <f>(J20+J24)*G25</f>
        <v>13886.530532101426</v>
      </c>
      <c r="K25" s="49"/>
      <c r="L25" s="49"/>
      <c r="M25" s="49"/>
      <c r="N25" s="49"/>
      <c r="O25" s="49"/>
      <c r="P25" s="49"/>
      <c r="Q25" s="49"/>
      <c r="R25" s="49"/>
      <c r="S25" s="49"/>
      <c r="T25" s="49"/>
      <c r="U25" s="49"/>
      <c r="V25" s="49"/>
      <c r="W25" s="49"/>
      <c r="X25" s="49"/>
      <c r="Y25" s="49"/>
      <c r="Z25" s="49"/>
      <c r="AA25" s="49"/>
    </row>
    <row r="26" spans="1:27" x14ac:dyDescent="0.25">
      <c r="A26" s="207"/>
      <c r="B26" s="641"/>
      <c r="C26" s="711" t="s">
        <v>98</v>
      </c>
      <c r="D26" s="276" t="s">
        <v>98</v>
      </c>
      <c r="E26" s="7" t="s">
        <v>142</v>
      </c>
      <c r="F26" s="499" t="s">
        <v>286</v>
      </c>
      <c r="G26" s="106"/>
      <c r="H26" s="5"/>
      <c r="I26" s="198"/>
      <c r="J26" s="620">
        <f>J20+J24+J25</f>
        <v>266368.90384303645</v>
      </c>
      <c r="K26" s="49"/>
      <c r="L26" s="49"/>
      <c r="M26" s="49"/>
      <c r="N26" s="49"/>
      <c r="O26" s="49"/>
      <c r="P26" s="49"/>
      <c r="Q26" s="49"/>
      <c r="R26" s="49"/>
      <c r="S26" s="49"/>
      <c r="T26" s="49"/>
      <c r="U26" s="49"/>
      <c r="V26" s="49"/>
      <c r="W26" s="49"/>
      <c r="X26" s="49"/>
      <c r="Y26" s="49"/>
      <c r="Z26" s="49"/>
      <c r="AA26" s="49"/>
    </row>
    <row r="27" spans="1:27" x14ac:dyDescent="0.25">
      <c r="A27" s="207"/>
      <c r="B27" s="641"/>
      <c r="C27" s="711" t="s">
        <v>98</v>
      </c>
      <c r="D27" s="276" t="s">
        <v>98</v>
      </c>
      <c r="E27" s="191" t="s">
        <v>762</v>
      </c>
      <c r="F27" s="641" t="s">
        <v>830</v>
      </c>
      <c r="G27" s="705">
        <f>'Thông tin'!E61</f>
        <v>0.08</v>
      </c>
      <c r="H27" s="5"/>
      <c r="I27" s="198"/>
      <c r="J27" s="5">
        <f>(J26)*G27</f>
        <v>21309.512307442918</v>
      </c>
      <c r="K27" s="49"/>
      <c r="L27" s="49"/>
      <c r="M27" s="49"/>
      <c r="N27" s="49"/>
      <c r="O27" s="49"/>
      <c r="P27" s="49"/>
      <c r="Q27" s="49"/>
      <c r="R27" s="49"/>
      <c r="S27" s="49"/>
      <c r="T27" s="49"/>
      <c r="U27" s="49"/>
      <c r="V27" s="49"/>
      <c r="W27" s="49"/>
      <c r="X27" s="49"/>
      <c r="Y27" s="49"/>
      <c r="Z27" s="49"/>
      <c r="AA27" s="49"/>
    </row>
    <row r="28" spans="1:27" x14ac:dyDescent="0.25">
      <c r="A28" s="122"/>
      <c r="B28" s="581"/>
      <c r="C28" s="636" t="s">
        <v>98</v>
      </c>
      <c r="D28" s="196" t="s">
        <v>98</v>
      </c>
      <c r="E28" s="728" t="s">
        <v>953</v>
      </c>
      <c r="F28" s="429" t="s">
        <v>1108</v>
      </c>
      <c r="G28" s="29"/>
      <c r="H28" s="704"/>
      <c r="I28" s="113"/>
      <c r="J28" s="657">
        <f>J26+J27</f>
        <v>287678.41615047934</v>
      </c>
      <c r="K28" s="49"/>
      <c r="L28" s="49"/>
      <c r="M28" s="49"/>
      <c r="N28" s="49"/>
      <c r="O28" s="49"/>
      <c r="P28" s="49"/>
      <c r="Q28" s="49"/>
      <c r="R28" s="49"/>
      <c r="S28" s="49"/>
      <c r="T28" s="49"/>
      <c r="U28" s="49"/>
      <c r="V28" s="49"/>
      <c r="W28" s="49"/>
      <c r="X28" s="49"/>
      <c r="Y28" s="49"/>
      <c r="Z28" s="49"/>
      <c r="AA28" s="49"/>
    </row>
    <row r="29" spans="1:27" ht="45" x14ac:dyDescent="0.25">
      <c r="A29" s="458"/>
      <c r="B29" s="130">
        <v>2</v>
      </c>
      <c r="C29" s="234" t="str">
        <f>'Du toan chi tiet'!C9</f>
        <v>AD.23261vd</v>
      </c>
      <c r="D29" s="234" t="str">
        <f>'Du toan chi tiet'!C9</f>
        <v>AD.23261vd</v>
      </c>
      <c r="E29" s="730" t="str">
        <f>'Du toan chi tiet'!D9</f>
        <v>Rải thảm mặt đường Carboncor Asphalt, bằng phương pháp thủ cơ giới, chiều dày mặt đường đã lèn ép 1cm</v>
      </c>
      <c r="F29" s="130" t="str">
        <f>'Du toan chi tiet'!E9</f>
        <v>m2</v>
      </c>
      <c r="G29" s="664"/>
      <c r="H29" s="282"/>
      <c r="I29" s="450"/>
      <c r="J29" s="282"/>
      <c r="K29" s="49"/>
      <c r="L29" s="49"/>
      <c r="M29" s="49"/>
      <c r="N29" s="49"/>
      <c r="O29" s="49"/>
      <c r="P29" s="49"/>
      <c r="Q29" s="49"/>
      <c r="R29" s="49"/>
      <c r="S29" s="49"/>
      <c r="T29" s="49"/>
      <c r="U29" s="49"/>
      <c r="V29" s="49"/>
      <c r="W29" s="49"/>
      <c r="X29" s="49"/>
      <c r="Y29" s="49"/>
      <c r="Z29" s="49"/>
      <c r="AA29" s="49"/>
    </row>
    <row r="30" spans="1:27" x14ac:dyDescent="0.25">
      <c r="A30" s="261"/>
      <c r="B30" s="690"/>
      <c r="C30" s="745" t="s">
        <v>98</v>
      </c>
      <c r="D30" s="745" t="s">
        <v>98</v>
      </c>
      <c r="E30" s="247" t="s">
        <v>547</v>
      </c>
      <c r="F30" s="690" t="s">
        <v>962</v>
      </c>
      <c r="G30" s="133"/>
      <c r="H30" s="44"/>
      <c r="I30" s="233"/>
      <c r="J30" s="44">
        <f>SUM(J31:J32)</f>
        <v>75697.97600000001</v>
      </c>
      <c r="K30" s="49"/>
      <c r="L30" s="49"/>
      <c r="M30" s="49"/>
      <c r="N30" s="49"/>
      <c r="O30" s="49"/>
      <c r="P30" s="49"/>
      <c r="Q30" s="49"/>
      <c r="R30" s="49"/>
      <c r="S30" s="49"/>
      <c r="T30" s="49"/>
      <c r="U30" s="49"/>
      <c r="V30" s="49"/>
      <c r="W30" s="49"/>
      <c r="X30" s="49"/>
      <c r="Y30" s="49"/>
      <c r="Z30" s="49"/>
      <c r="AA30" s="49"/>
    </row>
    <row r="31" spans="1:27" x14ac:dyDescent="0.25">
      <c r="A31" s="207"/>
      <c r="B31" s="641"/>
      <c r="C31" s="711" t="s">
        <v>98</v>
      </c>
      <c r="D31" s="276" t="s">
        <v>1256</v>
      </c>
      <c r="E31" s="191" t="str">
        <f>" - " &amp; 'Giá VL'!E6</f>
        <v xml:space="preserve"> - Carboncor Asphalt (loại CA 9,5)</v>
      </c>
      <c r="F31" s="641" t="str">
        <f>'Giá VL'!F6</f>
        <v>tấn</v>
      </c>
      <c r="G31" s="67">
        <f>'Phan tich don gia'!G19</f>
        <v>1.9800000000000002E-2</v>
      </c>
      <c r="H31" s="5">
        <f>'Giá VL'!V6</f>
        <v>3822120</v>
      </c>
      <c r="I31" s="198">
        <f>'Du toan chi tiet'!V9</f>
        <v>1</v>
      </c>
      <c r="J31" s="5">
        <f t="shared" ref="J31:J32" si="2">PRODUCT(G31,H31,I31)</f>
        <v>75677.97600000001</v>
      </c>
      <c r="K31" s="49"/>
      <c r="L31" s="49"/>
      <c r="M31" s="49"/>
      <c r="N31" s="49"/>
      <c r="O31" s="49"/>
      <c r="P31" s="49"/>
      <c r="Q31" s="49"/>
      <c r="R31" s="49"/>
      <c r="S31" s="49"/>
      <c r="T31" s="49"/>
      <c r="U31" s="49"/>
      <c r="V31" s="49"/>
      <c r="W31" s="49"/>
      <c r="X31" s="49"/>
      <c r="Y31" s="49"/>
      <c r="Z31" s="49"/>
      <c r="AA31" s="49"/>
    </row>
    <row r="32" spans="1:27" x14ac:dyDescent="0.25">
      <c r="A32" s="207"/>
      <c r="B32" s="641"/>
      <c r="C32" s="711" t="s">
        <v>98</v>
      </c>
      <c r="D32" s="276" t="s">
        <v>956</v>
      </c>
      <c r="E32" s="191" t="str">
        <f>" - " &amp; 'Giá VL'!E23</f>
        <v xml:space="preserve"> - Nước</v>
      </c>
      <c r="F32" s="641" t="str">
        <f>'Giá VL'!F23</f>
        <v>lít</v>
      </c>
      <c r="G32" s="67">
        <f>'Phan tich don gia'!G20</f>
        <v>2</v>
      </c>
      <c r="H32" s="5">
        <f>'Giá VL'!V23</f>
        <v>10</v>
      </c>
      <c r="I32" s="198">
        <f>'Du toan chi tiet'!V9</f>
        <v>1</v>
      </c>
      <c r="J32" s="5">
        <f t="shared" si="2"/>
        <v>20</v>
      </c>
      <c r="K32" s="49"/>
      <c r="L32" s="49"/>
      <c r="M32" s="49"/>
      <c r="N32" s="49"/>
      <c r="O32" s="49"/>
      <c r="P32" s="49"/>
      <c r="Q32" s="49"/>
      <c r="R32" s="49"/>
      <c r="S32" s="49"/>
      <c r="T32" s="49"/>
      <c r="U32" s="49"/>
      <c r="V32" s="49"/>
      <c r="W32" s="49"/>
      <c r="X32" s="49"/>
      <c r="Y32" s="49"/>
      <c r="Z32" s="49"/>
      <c r="AA32" s="49"/>
    </row>
    <row r="33" spans="1:27" x14ac:dyDescent="0.25">
      <c r="A33" s="261"/>
      <c r="B33" s="690"/>
      <c r="C33" s="745" t="s">
        <v>98</v>
      </c>
      <c r="D33" s="745" t="s">
        <v>98</v>
      </c>
      <c r="E33" s="247" t="s">
        <v>301</v>
      </c>
      <c r="F33" s="690" t="s">
        <v>1018</v>
      </c>
      <c r="G33" s="133"/>
      <c r="H33" s="44"/>
      <c r="I33" s="233"/>
      <c r="J33" s="44">
        <f>SUM(J34:J34)</f>
        <v>1092.8666666666666</v>
      </c>
      <c r="K33" s="49"/>
      <c r="L33" s="49"/>
      <c r="M33" s="49"/>
      <c r="N33" s="49"/>
      <c r="O33" s="49"/>
      <c r="P33" s="49"/>
      <c r="Q33" s="49"/>
      <c r="R33" s="49"/>
      <c r="S33" s="49"/>
      <c r="T33" s="49"/>
      <c r="U33" s="49"/>
      <c r="V33" s="49"/>
      <c r="W33" s="49"/>
      <c r="X33" s="49"/>
      <c r="Y33" s="49"/>
      <c r="Z33" s="49"/>
      <c r="AA33" s="49"/>
    </row>
    <row r="34" spans="1:27" x14ac:dyDescent="0.25">
      <c r="A34" s="207"/>
      <c r="B34" s="641"/>
      <c r="C34" s="711" t="s">
        <v>98</v>
      </c>
      <c r="D34" s="276" t="s">
        <v>706</v>
      </c>
      <c r="E34" s="191" t="str">
        <f>" - " &amp; 'Giá NC'!E8</f>
        <v xml:space="preserve"> - Nhân công bậc 3,5/7 - Nhóm 2</v>
      </c>
      <c r="F34" s="641" t="str">
        <f>'Giá NC'!F8</f>
        <v>công</v>
      </c>
      <c r="G34" s="67">
        <f>'Phan tich don gia'!G22</f>
        <v>4.3333333333333331E-3</v>
      </c>
      <c r="H34" s="5">
        <f>'Giá NC'!K8</f>
        <v>252200</v>
      </c>
      <c r="I34" s="198">
        <f>'Du toan chi tiet'!W9</f>
        <v>1</v>
      </c>
      <c r="J34" s="5">
        <f>PRODUCT(G34,H34,I34)</f>
        <v>1092.8666666666666</v>
      </c>
      <c r="K34" s="49"/>
      <c r="L34" s="49"/>
      <c r="M34" s="49"/>
      <c r="N34" s="49"/>
      <c r="O34" s="49"/>
      <c r="P34" s="49"/>
      <c r="Q34" s="49"/>
      <c r="R34" s="49"/>
      <c r="S34" s="49"/>
      <c r="T34" s="49"/>
      <c r="U34" s="49"/>
      <c r="V34" s="49"/>
      <c r="W34" s="49"/>
      <c r="X34" s="49"/>
      <c r="Y34" s="49"/>
      <c r="Z34" s="49"/>
      <c r="AA34" s="49"/>
    </row>
    <row r="35" spans="1:27" x14ac:dyDescent="0.25">
      <c r="A35" s="261"/>
      <c r="B35" s="690"/>
      <c r="C35" s="745" t="s">
        <v>98</v>
      </c>
      <c r="D35" s="745" t="s">
        <v>98</v>
      </c>
      <c r="E35" s="247" t="s">
        <v>1175</v>
      </c>
      <c r="F35" s="690" t="s">
        <v>138</v>
      </c>
      <c r="G35" s="133"/>
      <c r="H35" s="44"/>
      <c r="I35" s="233"/>
      <c r="J35" s="44">
        <f>SUM(J36:J40)</f>
        <v>1798.3985833333336</v>
      </c>
      <c r="K35" s="49"/>
      <c r="L35" s="49"/>
      <c r="M35" s="49"/>
      <c r="N35" s="49"/>
      <c r="O35" s="49"/>
      <c r="P35" s="49"/>
      <c r="Q35" s="49"/>
      <c r="R35" s="49"/>
      <c r="S35" s="49"/>
      <c r="T35" s="49"/>
      <c r="U35" s="49"/>
      <c r="V35" s="49"/>
      <c r="W35" s="49"/>
      <c r="X35" s="49"/>
      <c r="Y35" s="49"/>
      <c r="Z35" s="49"/>
      <c r="AA35" s="49"/>
    </row>
    <row r="36" spans="1:27" ht="30" x14ac:dyDescent="0.25">
      <c r="A36" s="207"/>
      <c r="B36" s="641"/>
      <c r="C36" s="711" t="s">
        <v>98</v>
      </c>
      <c r="D36" s="276" t="s">
        <v>1248</v>
      </c>
      <c r="E36" s="191" t="str">
        <f>" - " &amp; 'Giá Máy'!E19</f>
        <v xml:space="preserve"> - Máy rải hỗn hợp bê tông nhựa 130 - 140CV</v>
      </c>
      <c r="F36" s="641" t="str">
        <f>'Giá Máy'!F19</f>
        <v>ca</v>
      </c>
      <c r="G36" s="67">
        <f>'Phan tich don gia'!G24</f>
        <v>1.6666666666666666E-4</v>
      </c>
      <c r="H36" s="5">
        <f>'Giá Máy'!J19</f>
        <v>5455372</v>
      </c>
      <c r="I36" s="198">
        <f>'Du toan chi tiet'!X9</f>
        <v>1</v>
      </c>
      <c r="J36" s="5">
        <f t="shared" ref="J36:J39" si="3">PRODUCT(G36,H36,I36)</f>
        <v>909.22866666666664</v>
      </c>
      <c r="K36" s="49"/>
      <c r="L36" s="49"/>
      <c r="M36" s="49"/>
      <c r="N36" s="49"/>
      <c r="O36" s="49"/>
      <c r="P36" s="49"/>
      <c r="Q36" s="49"/>
      <c r="R36" s="49"/>
      <c r="S36" s="49"/>
      <c r="T36" s="49"/>
      <c r="U36" s="49"/>
      <c r="V36" s="49"/>
      <c r="W36" s="49"/>
      <c r="X36" s="49"/>
      <c r="Y36" s="49"/>
      <c r="Z36" s="49"/>
      <c r="AA36" s="49"/>
    </row>
    <row r="37" spans="1:27" x14ac:dyDescent="0.25">
      <c r="A37" s="207"/>
      <c r="B37" s="641"/>
      <c r="C37" s="711" t="s">
        <v>98</v>
      </c>
      <c r="D37" s="276" t="s">
        <v>798</v>
      </c>
      <c r="E37" s="191" t="str">
        <f>" - " &amp; 'Giá Máy'!E25</f>
        <v xml:space="preserve"> - Máy lu bánh thép 6T</v>
      </c>
      <c r="F37" s="641" t="str">
        <f>'Giá Máy'!F25</f>
        <v>ca</v>
      </c>
      <c r="G37" s="67">
        <f>'Phan tich don gia'!G25</f>
        <v>3.8666666666666667E-4</v>
      </c>
      <c r="H37" s="5">
        <f>'Giá Máy'!J25</f>
        <v>953819</v>
      </c>
      <c r="I37" s="198">
        <f>'Du toan chi tiet'!X9</f>
        <v>1</v>
      </c>
      <c r="J37" s="5">
        <f t="shared" si="3"/>
        <v>368.81001333333336</v>
      </c>
      <c r="K37" s="49"/>
      <c r="L37" s="49"/>
      <c r="M37" s="49"/>
      <c r="N37" s="49"/>
      <c r="O37" s="49"/>
      <c r="P37" s="49"/>
      <c r="Q37" s="49"/>
      <c r="R37" s="49"/>
      <c r="S37" s="49"/>
      <c r="T37" s="49"/>
      <c r="U37" s="49"/>
      <c r="V37" s="49"/>
      <c r="W37" s="49"/>
      <c r="X37" s="49"/>
      <c r="Y37" s="49"/>
      <c r="Z37" s="49"/>
      <c r="AA37" s="49"/>
    </row>
    <row r="38" spans="1:27" x14ac:dyDescent="0.25">
      <c r="A38" s="207"/>
      <c r="B38" s="641"/>
      <c r="C38" s="711" t="s">
        <v>98</v>
      </c>
      <c r="D38" s="276" t="s">
        <v>970</v>
      </c>
      <c r="E38" s="191" t="str">
        <f>" - " &amp; 'Giá Máy'!E23</f>
        <v xml:space="preserve"> - Ô tô tưới nước 5m3</v>
      </c>
      <c r="F38" s="641" t="str">
        <f>'Giá Máy'!F23</f>
        <v>ca</v>
      </c>
      <c r="G38" s="67">
        <f>'Phan tich don gia'!G26</f>
        <v>1.4000000000000001E-4</v>
      </c>
      <c r="H38" s="5">
        <f>'Giá Máy'!J23</f>
        <v>1202488</v>
      </c>
      <c r="I38" s="198">
        <f>'Du toan chi tiet'!X9</f>
        <v>1</v>
      </c>
      <c r="J38" s="5">
        <f t="shared" si="3"/>
        <v>168.34832000000003</v>
      </c>
      <c r="K38" s="49"/>
      <c r="L38" s="49"/>
      <c r="M38" s="49"/>
      <c r="N38" s="49"/>
      <c r="O38" s="49"/>
      <c r="P38" s="49"/>
      <c r="Q38" s="49"/>
      <c r="R38" s="49"/>
      <c r="S38" s="49"/>
      <c r="T38" s="49"/>
      <c r="U38" s="49"/>
      <c r="V38" s="49"/>
      <c r="W38" s="49"/>
      <c r="X38" s="49"/>
      <c r="Y38" s="49"/>
      <c r="Z38" s="49"/>
      <c r="AA38" s="49"/>
    </row>
    <row r="39" spans="1:27" x14ac:dyDescent="0.25">
      <c r="A39" s="207"/>
      <c r="B39" s="641"/>
      <c r="C39" s="711" t="s">
        <v>98</v>
      </c>
      <c r="D39" s="276" t="s">
        <v>1089</v>
      </c>
      <c r="E39" s="191" t="str">
        <f>" - " &amp; 'Giá Máy'!E18</f>
        <v xml:space="preserve"> - Máy nén khí diezel 600m3/h</v>
      </c>
      <c r="F39" s="641" t="str">
        <f>'Giá Máy'!F18</f>
        <v>ca</v>
      </c>
      <c r="G39" s="67">
        <f>'Phan tich don gia'!G27</f>
        <v>2.0666666666666666E-4</v>
      </c>
      <c r="H39" s="5">
        <f>'Giá Máy'!J18</f>
        <v>1703277.5</v>
      </c>
      <c r="I39" s="198">
        <f>'Du toan chi tiet'!X9</f>
        <v>1</v>
      </c>
      <c r="J39" s="5">
        <f t="shared" si="3"/>
        <v>352.0106833333333</v>
      </c>
      <c r="K39" s="49"/>
      <c r="L39" s="49"/>
      <c r="M39" s="49"/>
      <c r="N39" s="49"/>
      <c r="O39" s="49"/>
      <c r="P39" s="49"/>
      <c r="Q39" s="49"/>
      <c r="R39" s="49"/>
      <c r="S39" s="49"/>
      <c r="T39" s="49"/>
      <c r="U39" s="49"/>
      <c r="V39" s="49"/>
      <c r="W39" s="49"/>
      <c r="X39" s="49"/>
      <c r="Y39" s="49"/>
      <c r="Z39" s="49"/>
      <c r="AA39" s="49"/>
    </row>
    <row r="40" spans="1:27" x14ac:dyDescent="0.25">
      <c r="A40" s="207"/>
      <c r="B40" s="641"/>
      <c r="C40" s="711" t="s">
        <v>98</v>
      </c>
      <c r="D40" s="276" t="s">
        <v>98</v>
      </c>
      <c r="E40" s="191" t="s">
        <v>1230</v>
      </c>
      <c r="F40" s="641"/>
      <c r="G40" s="106"/>
      <c r="H40" s="5"/>
      <c r="I40" s="198"/>
      <c r="J40" s="5">
        <f>SUM(J41:J42)</f>
        <v>8.9999999999999998E-4</v>
      </c>
      <c r="K40" s="49"/>
      <c r="L40" s="49"/>
      <c r="M40" s="49"/>
      <c r="N40" s="49"/>
      <c r="O40" s="49"/>
      <c r="P40" s="49"/>
      <c r="Q40" s="49"/>
      <c r="R40" s="49"/>
      <c r="S40" s="49"/>
      <c r="T40" s="49"/>
      <c r="U40" s="49"/>
      <c r="V40" s="49"/>
      <c r="W40" s="49"/>
      <c r="X40" s="49"/>
      <c r="Y40" s="49"/>
      <c r="Z40" s="49"/>
      <c r="AA40" s="49"/>
    </row>
    <row r="41" spans="1:27" x14ac:dyDescent="0.25">
      <c r="A41" s="207"/>
      <c r="B41" s="641"/>
      <c r="C41" s="711" t="s">
        <v>98</v>
      </c>
      <c r="D41" s="276" t="s">
        <v>98</v>
      </c>
      <c r="E41" s="191" t="s">
        <v>52</v>
      </c>
      <c r="F41" s="641"/>
      <c r="G41" s="106"/>
      <c r="H41" s="5"/>
      <c r="I41" s="198"/>
      <c r="J41" s="5">
        <f>PRODUCT(G36,I36,'Giá Máy'!L19)+PRODUCT(G37,I37,'Giá Máy'!L25)+PRODUCT(G38,I38,'Giá Máy'!L23)+PRODUCT(G39,I39,'Giá Máy'!L18)</f>
        <v>0</v>
      </c>
      <c r="K41" s="49"/>
      <c r="L41" s="49"/>
      <c r="M41" s="49"/>
      <c r="N41" s="49"/>
      <c r="O41" s="49"/>
      <c r="P41" s="49"/>
      <c r="Q41" s="49"/>
      <c r="R41" s="49"/>
      <c r="S41" s="49"/>
      <c r="T41" s="49"/>
      <c r="U41" s="49"/>
      <c r="V41" s="49"/>
      <c r="W41" s="49"/>
      <c r="X41" s="49"/>
      <c r="Y41" s="49"/>
      <c r="Z41" s="49"/>
      <c r="AA41" s="49"/>
    </row>
    <row r="42" spans="1:27" x14ac:dyDescent="0.25">
      <c r="A42" s="207"/>
      <c r="B42" s="641"/>
      <c r="C42" s="711" t="s">
        <v>98</v>
      </c>
      <c r="D42" s="276" t="s">
        <v>98</v>
      </c>
      <c r="E42" s="191" t="s">
        <v>597</v>
      </c>
      <c r="F42" s="641"/>
      <c r="G42" s="106"/>
      <c r="H42" s="5"/>
      <c r="I42" s="198"/>
      <c r="J42" s="5">
        <f>PRODUCT(G36,I36,'Giá Máy'!M19)+PRODUCT(G37,I37,'Giá Máy'!M25)+PRODUCT(G38,I38,'Giá Máy'!M23)+PRODUCT(G39,I39,'Giá Máy'!M18)</f>
        <v>8.9999999999999998E-4</v>
      </c>
      <c r="K42" s="49"/>
      <c r="L42" s="49"/>
      <c r="M42" s="49"/>
      <c r="N42" s="49"/>
      <c r="O42" s="49"/>
      <c r="P42" s="49"/>
      <c r="Q42" s="49"/>
      <c r="R42" s="49"/>
      <c r="S42" s="49"/>
      <c r="T42" s="49"/>
      <c r="U42" s="49"/>
      <c r="V42" s="49"/>
      <c r="W42" s="49"/>
      <c r="X42" s="49"/>
      <c r="Y42" s="49"/>
      <c r="Z42" s="49"/>
      <c r="AA42" s="49"/>
    </row>
    <row r="43" spans="1:27" x14ac:dyDescent="0.25">
      <c r="A43" s="207"/>
      <c r="B43" s="641"/>
      <c r="C43" s="711" t="s">
        <v>98</v>
      </c>
      <c r="D43" s="276" t="s">
        <v>98</v>
      </c>
      <c r="E43" s="191" t="s">
        <v>599</v>
      </c>
      <c r="F43" s="641" t="s">
        <v>356</v>
      </c>
      <c r="G43" s="106"/>
      <c r="H43" s="5"/>
      <c r="I43" s="198"/>
      <c r="J43" s="5">
        <f>J30+J33+J35</f>
        <v>78589.241250000006</v>
      </c>
      <c r="K43" s="49"/>
      <c r="L43" s="49"/>
      <c r="M43" s="49"/>
      <c r="N43" s="49"/>
      <c r="O43" s="49"/>
      <c r="P43" s="49"/>
      <c r="Q43" s="49"/>
      <c r="R43" s="49"/>
      <c r="S43" s="49"/>
      <c r="T43" s="49"/>
      <c r="U43" s="49"/>
      <c r="V43" s="49"/>
      <c r="W43" s="49"/>
      <c r="X43" s="49"/>
      <c r="Y43" s="49"/>
      <c r="Z43" s="49"/>
      <c r="AA43" s="49"/>
    </row>
    <row r="44" spans="1:27" x14ac:dyDescent="0.25">
      <c r="A44" s="207"/>
      <c r="B44" s="641"/>
      <c r="C44" s="711" t="s">
        <v>98</v>
      </c>
      <c r="D44" s="276" t="s">
        <v>98</v>
      </c>
      <c r="E44" s="191" t="s">
        <v>265</v>
      </c>
      <c r="F44" s="641" t="s">
        <v>653</v>
      </c>
      <c r="G44" s="307">
        <f>'Thông tin'!E67</f>
        <v>7.2999999999999995E-2</v>
      </c>
      <c r="H44" s="5"/>
      <c r="I44" s="198"/>
      <c r="J44" s="5">
        <f>(J43)*G44</f>
        <v>5737.0146112499997</v>
      </c>
      <c r="K44" s="49"/>
      <c r="L44" s="49"/>
      <c r="M44" s="49"/>
      <c r="N44" s="49"/>
      <c r="O44" s="49"/>
      <c r="P44" s="49"/>
      <c r="Q44" s="49"/>
      <c r="R44" s="49"/>
      <c r="S44" s="49"/>
      <c r="T44" s="49"/>
      <c r="U44" s="49"/>
      <c r="V44" s="49"/>
      <c r="W44" s="49"/>
      <c r="X44" s="49"/>
      <c r="Y44" s="49"/>
      <c r="Z44" s="49"/>
      <c r="AA44" s="49"/>
    </row>
    <row r="45" spans="1:27" x14ac:dyDescent="0.25">
      <c r="A45" s="207"/>
      <c r="B45" s="641"/>
      <c r="C45" s="711" t="s">
        <v>98</v>
      </c>
      <c r="D45" s="276" t="s">
        <v>98</v>
      </c>
      <c r="E45" s="191" t="s">
        <v>765</v>
      </c>
      <c r="F45" s="641" t="s">
        <v>602</v>
      </c>
      <c r="G45" s="307">
        <f>'Thông tin'!E60</f>
        <v>1.1000000000000001E-2</v>
      </c>
      <c r="H45" s="5"/>
      <c r="I45" s="198"/>
      <c r="J45" s="5">
        <f>(J43)*G45</f>
        <v>864.48165375000019</v>
      </c>
      <c r="K45" s="49"/>
      <c r="L45" s="49"/>
      <c r="M45" s="49"/>
      <c r="N45" s="49"/>
      <c r="O45" s="49"/>
      <c r="P45" s="49"/>
      <c r="Q45" s="49"/>
      <c r="R45" s="49"/>
      <c r="S45" s="49"/>
      <c r="T45" s="49"/>
      <c r="U45" s="49"/>
      <c r="V45" s="49"/>
      <c r="W45" s="49"/>
      <c r="X45" s="49"/>
      <c r="Y45" s="49"/>
      <c r="Z45" s="49"/>
      <c r="AA45" s="49"/>
    </row>
    <row r="46" spans="1:27" ht="30" x14ac:dyDescent="0.25">
      <c r="A46" s="207"/>
      <c r="B46" s="641"/>
      <c r="C46" s="711" t="s">
        <v>98</v>
      </c>
      <c r="D46" s="276" t="s">
        <v>98</v>
      </c>
      <c r="E46" s="191" t="s">
        <v>457</v>
      </c>
      <c r="F46" s="641" t="s">
        <v>881</v>
      </c>
      <c r="G46" s="307">
        <f>'Thông tin'!E65</f>
        <v>2.5000000000000001E-2</v>
      </c>
      <c r="H46" s="5"/>
      <c r="I46" s="198"/>
      <c r="J46" s="5">
        <f>(J43)*G46</f>
        <v>1964.7310312500003</v>
      </c>
      <c r="K46" s="49"/>
      <c r="L46" s="49"/>
      <c r="M46" s="49"/>
      <c r="N46" s="49"/>
      <c r="O46" s="49"/>
      <c r="P46" s="49"/>
      <c r="Q46" s="49"/>
      <c r="R46" s="49"/>
      <c r="S46" s="49"/>
      <c r="T46" s="49"/>
      <c r="U46" s="49"/>
      <c r="V46" s="49"/>
      <c r="W46" s="49"/>
      <c r="X46" s="49"/>
      <c r="Y46" s="49"/>
      <c r="Z46" s="49"/>
      <c r="AA46" s="49"/>
    </row>
    <row r="47" spans="1:27" x14ac:dyDescent="0.25">
      <c r="A47" s="207"/>
      <c r="B47" s="641"/>
      <c r="C47" s="711" t="s">
        <v>98</v>
      </c>
      <c r="D47" s="276" t="s">
        <v>98</v>
      </c>
      <c r="E47" s="191" t="s">
        <v>1244</v>
      </c>
      <c r="F47" s="641" t="s">
        <v>1032</v>
      </c>
      <c r="G47" s="106"/>
      <c r="H47" s="5"/>
      <c r="I47" s="198"/>
      <c r="J47" s="5">
        <f>J44+J45+J46</f>
        <v>8566.2272962499992</v>
      </c>
      <c r="K47" s="49"/>
      <c r="L47" s="49"/>
      <c r="M47" s="49"/>
      <c r="N47" s="49"/>
      <c r="O47" s="49"/>
      <c r="P47" s="49"/>
      <c r="Q47" s="49"/>
      <c r="R47" s="49"/>
      <c r="S47" s="49"/>
      <c r="T47" s="49"/>
      <c r="U47" s="49"/>
      <c r="V47" s="49"/>
      <c r="W47" s="49"/>
      <c r="X47" s="49"/>
      <c r="Y47" s="49"/>
      <c r="Z47" s="49"/>
      <c r="AA47" s="49"/>
    </row>
    <row r="48" spans="1:27" x14ac:dyDescent="0.25">
      <c r="A48" s="207"/>
      <c r="B48" s="641"/>
      <c r="C48" s="711" t="s">
        <v>98</v>
      </c>
      <c r="D48" s="276" t="s">
        <v>98</v>
      </c>
      <c r="E48" s="191" t="s">
        <v>990</v>
      </c>
      <c r="F48" s="641" t="s">
        <v>307</v>
      </c>
      <c r="G48" s="307">
        <f>'Thông tin'!E63</f>
        <v>5.5E-2</v>
      </c>
      <c r="H48" s="5"/>
      <c r="I48" s="198"/>
      <c r="J48" s="5">
        <f>(J43+J47)*G48</f>
        <v>4793.5507700437502</v>
      </c>
      <c r="K48" s="49"/>
      <c r="L48" s="49"/>
      <c r="M48" s="49"/>
      <c r="N48" s="49"/>
      <c r="O48" s="49"/>
      <c r="P48" s="49"/>
      <c r="Q48" s="49"/>
      <c r="R48" s="49"/>
      <c r="S48" s="49"/>
      <c r="T48" s="49"/>
      <c r="U48" s="49"/>
      <c r="V48" s="49"/>
      <c r="W48" s="49"/>
      <c r="X48" s="49"/>
      <c r="Y48" s="49"/>
      <c r="Z48" s="49"/>
      <c r="AA48" s="49"/>
    </row>
    <row r="49" spans="1:27" x14ac:dyDescent="0.25">
      <c r="A49" s="207"/>
      <c r="B49" s="641"/>
      <c r="C49" s="711" t="s">
        <v>98</v>
      </c>
      <c r="D49" s="276" t="s">
        <v>98</v>
      </c>
      <c r="E49" s="7" t="s">
        <v>142</v>
      </c>
      <c r="F49" s="499" t="s">
        <v>286</v>
      </c>
      <c r="G49" s="106"/>
      <c r="H49" s="5"/>
      <c r="I49" s="198"/>
      <c r="J49" s="620">
        <f>J43+J47+J48</f>
        <v>91949.01931629375</v>
      </c>
      <c r="K49" s="49"/>
      <c r="L49" s="49"/>
      <c r="M49" s="49"/>
      <c r="N49" s="49"/>
      <c r="O49" s="49"/>
      <c r="P49" s="49"/>
      <c r="Q49" s="49"/>
      <c r="R49" s="49"/>
      <c r="S49" s="49"/>
      <c r="T49" s="49"/>
      <c r="U49" s="49"/>
      <c r="V49" s="49"/>
      <c r="W49" s="49"/>
      <c r="X49" s="49"/>
      <c r="Y49" s="49"/>
      <c r="Z49" s="49"/>
      <c r="AA49" s="49"/>
    </row>
    <row r="50" spans="1:27" x14ac:dyDescent="0.25">
      <c r="A50" s="207"/>
      <c r="B50" s="641"/>
      <c r="C50" s="711" t="s">
        <v>98</v>
      </c>
      <c r="D50" s="276" t="s">
        <v>98</v>
      </c>
      <c r="E50" s="191" t="s">
        <v>762</v>
      </c>
      <c r="F50" s="641" t="s">
        <v>830</v>
      </c>
      <c r="G50" s="705">
        <f>'Thông tin'!E61</f>
        <v>0.08</v>
      </c>
      <c r="H50" s="5"/>
      <c r="I50" s="198"/>
      <c r="J50" s="5">
        <f>(J49)*G50</f>
        <v>7355.9215453035004</v>
      </c>
      <c r="K50" s="49"/>
      <c r="L50" s="49"/>
      <c r="M50" s="49"/>
      <c r="N50" s="49"/>
      <c r="O50" s="49"/>
      <c r="P50" s="49"/>
      <c r="Q50" s="49"/>
      <c r="R50" s="49"/>
      <c r="S50" s="49"/>
      <c r="T50" s="49"/>
      <c r="U50" s="49"/>
      <c r="V50" s="49"/>
      <c r="W50" s="49"/>
      <c r="X50" s="49"/>
      <c r="Y50" s="49"/>
      <c r="Z50" s="49"/>
      <c r="AA50" s="49"/>
    </row>
    <row r="51" spans="1:27" x14ac:dyDescent="0.25">
      <c r="A51" s="122"/>
      <c r="B51" s="581"/>
      <c r="C51" s="636" t="s">
        <v>98</v>
      </c>
      <c r="D51" s="196" t="s">
        <v>98</v>
      </c>
      <c r="E51" s="728" t="s">
        <v>953</v>
      </c>
      <c r="F51" s="429" t="s">
        <v>1108</v>
      </c>
      <c r="G51" s="29"/>
      <c r="H51" s="704"/>
      <c r="I51" s="113"/>
      <c r="J51" s="657">
        <f>J49+J50</f>
        <v>99304.94086159725</v>
      </c>
      <c r="K51" s="49"/>
      <c r="L51" s="49"/>
      <c r="M51" s="49"/>
      <c r="N51" s="49"/>
      <c r="O51" s="49"/>
      <c r="P51" s="49"/>
      <c r="Q51" s="49"/>
      <c r="R51" s="49"/>
      <c r="S51" s="49"/>
      <c r="T51" s="49"/>
      <c r="U51" s="49"/>
      <c r="V51" s="49"/>
      <c r="W51" s="49"/>
      <c r="X51" s="49"/>
      <c r="Y51" s="49"/>
      <c r="Z51" s="49"/>
      <c r="AA51" s="49"/>
    </row>
    <row r="52" spans="1:27" x14ac:dyDescent="0.25">
      <c r="A52" s="458"/>
      <c r="B52" s="130">
        <v>3</v>
      </c>
      <c r="C52" s="234" t="e">
        <f>'Du toan chi tiet'!#REF!</f>
        <v>#REF!</v>
      </c>
      <c r="D52" s="234" t="e">
        <f>'Du toan chi tiet'!#REF!</f>
        <v>#REF!</v>
      </c>
      <c r="E52" s="730" t="e">
        <f>'Du toan chi tiet'!#REF!</f>
        <v>#REF!</v>
      </c>
      <c r="F52" s="130" t="e">
        <f>'Du toan chi tiet'!#REF!</f>
        <v>#REF!</v>
      </c>
      <c r="G52" s="664"/>
      <c r="H52" s="282"/>
      <c r="I52" s="450"/>
      <c r="J52" s="282"/>
      <c r="K52" s="49"/>
      <c r="L52" s="49"/>
      <c r="M52" s="49"/>
      <c r="N52" s="49"/>
      <c r="O52" s="49"/>
      <c r="P52" s="49"/>
      <c r="Q52" s="49"/>
      <c r="R52" s="49"/>
      <c r="S52" s="49"/>
      <c r="T52" s="49"/>
      <c r="U52" s="49"/>
      <c r="V52" s="49"/>
      <c r="W52" s="49"/>
      <c r="X52" s="49"/>
      <c r="Y52" s="49"/>
      <c r="Z52" s="49"/>
      <c r="AA52" s="49"/>
    </row>
    <row r="53" spans="1:27" x14ac:dyDescent="0.25">
      <c r="A53" s="261"/>
      <c r="B53" s="690"/>
      <c r="C53" s="745" t="s">
        <v>98</v>
      </c>
      <c r="D53" s="745" t="s">
        <v>98</v>
      </c>
      <c r="E53" s="247" t="s">
        <v>547</v>
      </c>
      <c r="F53" s="690" t="s">
        <v>962</v>
      </c>
      <c r="G53" s="133"/>
      <c r="H53" s="44"/>
      <c r="I53" s="233"/>
      <c r="J53" s="44" t="e">
        <f>SUM(J54:J54)</f>
        <v>#REF!</v>
      </c>
      <c r="K53" s="49"/>
      <c r="L53" s="49"/>
      <c r="M53" s="49"/>
      <c r="N53" s="49"/>
      <c r="O53" s="49"/>
      <c r="P53" s="49"/>
      <c r="Q53" s="49"/>
      <c r="R53" s="49"/>
      <c r="S53" s="49"/>
      <c r="T53" s="49"/>
      <c r="U53" s="49"/>
      <c r="V53" s="49"/>
      <c r="W53" s="49"/>
      <c r="X53" s="49"/>
      <c r="Y53" s="49"/>
      <c r="Z53" s="49"/>
      <c r="AA53" s="49"/>
    </row>
    <row r="54" spans="1:27" x14ac:dyDescent="0.25">
      <c r="A54" s="207"/>
      <c r="B54" s="641"/>
      <c r="C54" s="711" t="s">
        <v>98</v>
      </c>
      <c r="D54" s="276" t="s">
        <v>316</v>
      </c>
      <c r="E54" s="191" t="e">
        <f>" - " &amp; 'Giá VL'!#REF!</f>
        <v>#REF!</v>
      </c>
      <c r="F54" s="641" t="e">
        <f>'Giá VL'!#REF!</f>
        <v>#REF!</v>
      </c>
      <c r="G54" s="67" t="e">
        <f>'Phan tich don gia'!#REF!</f>
        <v>#REF!</v>
      </c>
      <c r="H54" s="5" t="e">
        <f>'Giá VL'!#REF!</f>
        <v>#REF!</v>
      </c>
      <c r="I54" s="198" t="e">
        <f>'Du toan chi tiet'!#REF!</f>
        <v>#REF!</v>
      </c>
      <c r="J54" s="5" t="e">
        <f>PRODUCT(G54,H54,I54)</f>
        <v>#REF!</v>
      </c>
      <c r="K54" s="49"/>
      <c r="L54" s="49"/>
      <c r="M54" s="49"/>
      <c r="N54" s="49"/>
      <c r="O54" s="49"/>
      <c r="P54" s="49"/>
      <c r="Q54" s="49"/>
      <c r="R54" s="49"/>
      <c r="S54" s="49"/>
      <c r="T54" s="49"/>
      <c r="U54" s="49"/>
      <c r="V54" s="49"/>
      <c r="W54" s="49"/>
      <c r="X54" s="49"/>
      <c r="Y54" s="49"/>
      <c r="Z54" s="49"/>
      <c r="AA54" s="49"/>
    </row>
    <row r="55" spans="1:27" x14ac:dyDescent="0.25">
      <c r="A55" s="261"/>
      <c r="B55" s="690"/>
      <c r="C55" s="745" t="s">
        <v>98</v>
      </c>
      <c r="D55" s="745" t="s">
        <v>98</v>
      </c>
      <c r="E55" s="247" t="s">
        <v>301</v>
      </c>
      <c r="F55" s="690" t="s">
        <v>1018</v>
      </c>
      <c r="G55" s="133"/>
      <c r="H55" s="44"/>
      <c r="I55" s="233"/>
      <c r="J55" s="44" t="e">
        <f>SUM(J56:J56)</f>
        <v>#REF!</v>
      </c>
      <c r="K55" s="49"/>
      <c r="L55" s="49"/>
      <c r="M55" s="49"/>
      <c r="N55" s="49"/>
      <c r="O55" s="49"/>
      <c r="P55" s="49"/>
      <c r="Q55" s="49"/>
      <c r="R55" s="49"/>
      <c r="S55" s="49"/>
      <c r="T55" s="49"/>
      <c r="U55" s="49"/>
      <c r="V55" s="49"/>
      <c r="W55" s="49"/>
      <c r="X55" s="49"/>
      <c r="Y55" s="49"/>
      <c r="Z55" s="49"/>
      <c r="AA55" s="49"/>
    </row>
    <row r="56" spans="1:27" x14ac:dyDescent="0.25">
      <c r="A56" s="207"/>
      <c r="B56" s="641"/>
      <c r="C56" s="711" t="s">
        <v>98</v>
      </c>
      <c r="D56" s="276" t="s">
        <v>706</v>
      </c>
      <c r="E56" s="191" t="str">
        <f>" - " &amp; 'Giá NC'!E8</f>
        <v xml:space="preserve"> - Nhân công bậc 3,5/7 - Nhóm 2</v>
      </c>
      <c r="F56" s="641" t="str">
        <f>'Giá NC'!F8</f>
        <v>công</v>
      </c>
      <c r="G56" s="67" t="e">
        <f>'Phan tich don gia'!#REF!</f>
        <v>#REF!</v>
      </c>
      <c r="H56" s="5">
        <f>'Giá NC'!K8</f>
        <v>252200</v>
      </c>
      <c r="I56" s="198" t="e">
        <f>'Du toan chi tiet'!#REF!</f>
        <v>#REF!</v>
      </c>
      <c r="J56" s="5" t="e">
        <f>PRODUCT(G56,H56,I56)</f>
        <v>#REF!</v>
      </c>
      <c r="K56" s="49"/>
      <c r="L56" s="49"/>
      <c r="M56" s="49"/>
      <c r="N56" s="49"/>
      <c r="O56" s="49"/>
      <c r="P56" s="49"/>
      <c r="Q56" s="49"/>
      <c r="R56" s="49"/>
      <c r="S56" s="49"/>
      <c r="T56" s="49"/>
      <c r="U56" s="49"/>
      <c r="V56" s="49"/>
      <c r="W56" s="49"/>
      <c r="X56" s="49"/>
      <c r="Y56" s="49"/>
      <c r="Z56" s="49"/>
      <c r="AA56" s="49"/>
    </row>
    <row r="57" spans="1:27" x14ac:dyDescent="0.25">
      <c r="A57" s="261"/>
      <c r="B57" s="690"/>
      <c r="C57" s="745" t="s">
        <v>98</v>
      </c>
      <c r="D57" s="745" t="s">
        <v>98</v>
      </c>
      <c r="E57" s="247" t="s">
        <v>1175</v>
      </c>
      <c r="F57" s="690" t="s">
        <v>138</v>
      </c>
      <c r="G57" s="133"/>
      <c r="H57" s="44"/>
      <c r="I57" s="233"/>
      <c r="J57" s="44" t="e">
        <f>SUM(J58:J61)</f>
        <v>#REF!</v>
      </c>
      <c r="K57" s="49"/>
      <c r="L57" s="49"/>
      <c r="M57" s="49"/>
      <c r="N57" s="49"/>
      <c r="O57" s="49"/>
      <c r="P57" s="49"/>
      <c r="Q57" s="49"/>
      <c r="R57" s="49"/>
      <c r="S57" s="49"/>
      <c r="T57" s="49"/>
      <c r="U57" s="49"/>
      <c r="V57" s="49"/>
      <c r="W57" s="49"/>
      <c r="X57" s="49"/>
      <c r="Y57" s="49"/>
      <c r="Z57" s="49"/>
      <c r="AA57" s="49"/>
    </row>
    <row r="58" spans="1:27" x14ac:dyDescent="0.25">
      <c r="A58" s="207"/>
      <c r="B58" s="641"/>
      <c r="C58" s="711" t="s">
        <v>98</v>
      </c>
      <c r="D58" s="276" t="s">
        <v>811</v>
      </c>
      <c r="E58" s="191" t="e">
        <f>" - " &amp; 'Giá Máy'!#REF!</f>
        <v>#REF!</v>
      </c>
      <c r="F58" s="641" t="e">
        <f>'Giá Máy'!#REF!</f>
        <v>#REF!</v>
      </c>
      <c r="G58" s="67" t="e">
        <f>'Phan tich don gia'!#REF!</f>
        <v>#REF!</v>
      </c>
      <c r="H58" s="5" t="e">
        <f>'Giá Máy'!#REF!</f>
        <v>#REF!</v>
      </c>
      <c r="I58" s="198" t="e">
        <f>'Du toan chi tiet'!#REF!</f>
        <v>#REF!</v>
      </c>
      <c r="J58" s="5" t="e">
        <f t="shared" ref="J58:J60" si="4">PRODUCT(G58,H58,I58)</f>
        <v>#REF!</v>
      </c>
      <c r="K58" s="49"/>
      <c r="L58" s="49"/>
      <c r="M58" s="49"/>
      <c r="N58" s="49"/>
      <c r="O58" s="49"/>
      <c r="P58" s="49"/>
      <c r="Q58" s="49"/>
      <c r="R58" s="49"/>
      <c r="S58" s="49"/>
      <c r="T58" s="49"/>
      <c r="U58" s="49"/>
      <c r="V58" s="49"/>
      <c r="W58" s="49"/>
      <c r="X58" s="49"/>
      <c r="Y58" s="49"/>
      <c r="Z58" s="49"/>
      <c r="AA58" s="49"/>
    </row>
    <row r="59" spans="1:27" x14ac:dyDescent="0.25">
      <c r="A59" s="207"/>
      <c r="B59" s="641"/>
      <c r="C59" s="711" t="s">
        <v>98</v>
      </c>
      <c r="D59" s="276" t="s">
        <v>1089</v>
      </c>
      <c r="E59" s="191" t="str">
        <f>" - " &amp; 'Giá Máy'!E18</f>
        <v xml:space="preserve"> - Máy nén khí diezel 600m3/h</v>
      </c>
      <c r="F59" s="641" t="str">
        <f>'Giá Máy'!F18</f>
        <v>ca</v>
      </c>
      <c r="G59" s="67" t="e">
        <f>'Phan tich don gia'!#REF!</f>
        <v>#REF!</v>
      </c>
      <c r="H59" s="5">
        <f>'Giá Máy'!J18</f>
        <v>1703277.5</v>
      </c>
      <c r="I59" s="198" t="e">
        <f>'Du toan chi tiet'!#REF!</f>
        <v>#REF!</v>
      </c>
      <c r="J59" s="5" t="e">
        <f t="shared" si="4"/>
        <v>#REF!</v>
      </c>
      <c r="K59" s="49"/>
      <c r="L59" s="49"/>
      <c r="M59" s="49"/>
      <c r="N59" s="49"/>
      <c r="O59" s="49"/>
      <c r="P59" s="49"/>
      <c r="Q59" s="49"/>
      <c r="R59" s="49"/>
      <c r="S59" s="49"/>
      <c r="T59" s="49"/>
      <c r="U59" s="49"/>
      <c r="V59" s="49"/>
      <c r="W59" s="49"/>
      <c r="X59" s="49"/>
      <c r="Y59" s="49"/>
      <c r="Z59" s="49"/>
      <c r="AA59" s="49"/>
    </row>
    <row r="60" spans="1:27" x14ac:dyDescent="0.25">
      <c r="A60" s="207"/>
      <c r="B60" s="641"/>
      <c r="C60" s="711" t="s">
        <v>98</v>
      </c>
      <c r="D60" s="276" t="s">
        <v>1162</v>
      </c>
      <c r="E60" s="191" t="s">
        <v>1080</v>
      </c>
      <c r="F60" s="641" t="s">
        <v>1113</v>
      </c>
      <c r="G60" s="67" t="e">
        <f>'Phan tich don gia'!#REF!</f>
        <v>#REF!</v>
      </c>
      <c r="H60" s="5" t="e">
        <f>IF('Du toan chi tiet'!#REF!&lt;&gt;0,SUM(J58:J59)/100/'Du toan chi tiet'!#REF!,0)</f>
        <v>#REF!</v>
      </c>
      <c r="I60" s="198" t="e">
        <f>'Du toan chi tiet'!#REF!</f>
        <v>#REF!</v>
      </c>
      <c r="J60" s="5" t="e">
        <f t="shared" si="4"/>
        <v>#REF!</v>
      </c>
      <c r="K60" s="49"/>
      <c r="L60" s="49"/>
      <c r="M60" s="49"/>
      <c r="N60" s="49"/>
      <c r="O60" s="49"/>
      <c r="P60" s="49"/>
      <c r="Q60" s="49"/>
      <c r="R60" s="49"/>
      <c r="S60" s="49"/>
      <c r="T60" s="49"/>
      <c r="U60" s="49"/>
      <c r="V60" s="49"/>
      <c r="W60" s="49"/>
      <c r="X60" s="49"/>
      <c r="Y60" s="49"/>
      <c r="Z60" s="49"/>
      <c r="AA60" s="49"/>
    </row>
    <row r="61" spans="1:27" x14ac:dyDescent="0.25">
      <c r="A61" s="207"/>
      <c r="B61" s="641"/>
      <c r="C61" s="711" t="s">
        <v>98</v>
      </c>
      <c r="D61" s="276" t="s">
        <v>98</v>
      </c>
      <c r="E61" s="191" t="s">
        <v>1230</v>
      </c>
      <c r="F61" s="641"/>
      <c r="G61" s="106"/>
      <c r="H61" s="5"/>
      <c r="I61" s="198"/>
      <c r="J61" s="5" t="e">
        <f>SUM(J62:J63)+PRODUCT(G60,I60,THM!X96-THM!R96)</f>
        <v>#REF!</v>
      </c>
      <c r="K61" s="49"/>
      <c r="L61" s="49"/>
      <c r="M61" s="49"/>
      <c r="N61" s="49"/>
      <c r="O61" s="49"/>
      <c r="P61" s="49"/>
      <c r="Q61" s="49"/>
      <c r="R61" s="49"/>
      <c r="S61" s="49"/>
      <c r="T61" s="49"/>
      <c r="U61" s="49"/>
      <c r="V61" s="49"/>
      <c r="W61" s="49"/>
      <c r="X61" s="49"/>
      <c r="Y61" s="49"/>
      <c r="Z61" s="49"/>
      <c r="AA61" s="49"/>
    </row>
    <row r="62" spans="1:27" x14ac:dyDescent="0.25">
      <c r="A62" s="207"/>
      <c r="B62" s="641"/>
      <c r="C62" s="711" t="s">
        <v>98</v>
      </c>
      <c r="D62" s="276" t="s">
        <v>98</v>
      </c>
      <c r="E62" s="191" t="s">
        <v>52</v>
      </c>
      <c r="F62" s="641"/>
      <c r="G62" s="106"/>
      <c r="H62" s="5"/>
      <c r="I62" s="198"/>
      <c r="J62" s="5" t="e">
        <f>PRODUCT(G58,I58,'Giá Máy'!#REF!)+PRODUCT(G59,I59,'Giá Máy'!L18)</f>
        <v>#REF!</v>
      </c>
      <c r="K62" s="49"/>
      <c r="L62" s="49"/>
      <c r="M62" s="49"/>
      <c r="N62" s="49"/>
      <c r="O62" s="49"/>
      <c r="P62" s="49"/>
      <c r="Q62" s="49"/>
      <c r="R62" s="49"/>
      <c r="S62" s="49"/>
      <c r="T62" s="49"/>
      <c r="U62" s="49"/>
      <c r="V62" s="49"/>
      <c r="W62" s="49"/>
      <c r="X62" s="49"/>
      <c r="Y62" s="49"/>
      <c r="Z62" s="49"/>
      <c r="AA62" s="49"/>
    </row>
    <row r="63" spans="1:27" x14ac:dyDescent="0.25">
      <c r="A63" s="207"/>
      <c r="B63" s="641"/>
      <c r="C63" s="711" t="s">
        <v>98</v>
      </c>
      <c r="D63" s="276" t="s">
        <v>98</v>
      </c>
      <c r="E63" s="191" t="s">
        <v>597</v>
      </c>
      <c r="F63" s="641"/>
      <c r="G63" s="106"/>
      <c r="H63" s="5"/>
      <c r="I63" s="198"/>
      <c r="J63" s="5" t="e">
        <f>PRODUCT(G58,I58,'Giá Máy'!#REF!)+PRODUCT(G59,I59,'Giá Máy'!M18)</f>
        <v>#REF!</v>
      </c>
      <c r="K63" s="49"/>
      <c r="L63" s="49"/>
      <c r="M63" s="49"/>
      <c r="N63" s="49"/>
      <c r="O63" s="49"/>
      <c r="P63" s="49"/>
      <c r="Q63" s="49"/>
      <c r="R63" s="49"/>
      <c r="S63" s="49"/>
      <c r="T63" s="49"/>
      <c r="U63" s="49"/>
      <c r="V63" s="49"/>
      <c r="W63" s="49"/>
      <c r="X63" s="49"/>
      <c r="Y63" s="49"/>
      <c r="Z63" s="49"/>
      <c r="AA63" s="49"/>
    </row>
    <row r="64" spans="1:27" x14ac:dyDescent="0.25">
      <c r="A64" s="207"/>
      <c r="B64" s="641"/>
      <c r="C64" s="711" t="s">
        <v>98</v>
      </c>
      <c r="D64" s="276" t="s">
        <v>98</v>
      </c>
      <c r="E64" s="191" t="s">
        <v>599</v>
      </c>
      <c r="F64" s="641" t="s">
        <v>356</v>
      </c>
      <c r="G64" s="106"/>
      <c r="H64" s="5"/>
      <c r="I64" s="198"/>
      <c r="J64" s="5" t="e">
        <f>J53+J55+J57</f>
        <v>#REF!</v>
      </c>
      <c r="K64" s="49"/>
      <c r="L64" s="49"/>
      <c r="M64" s="49"/>
      <c r="N64" s="49"/>
      <c r="O64" s="49"/>
      <c r="P64" s="49"/>
      <c r="Q64" s="49"/>
      <c r="R64" s="49"/>
      <c r="S64" s="49"/>
      <c r="T64" s="49"/>
      <c r="U64" s="49"/>
      <c r="V64" s="49"/>
      <c r="W64" s="49"/>
      <c r="X64" s="49"/>
      <c r="Y64" s="49"/>
      <c r="Z64" s="49"/>
      <c r="AA64" s="49"/>
    </row>
    <row r="65" spans="1:27" x14ac:dyDescent="0.25">
      <c r="A65" s="207"/>
      <c r="B65" s="641"/>
      <c r="C65" s="711" t="s">
        <v>98</v>
      </c>
      <c r="D65" s="276" t="s">
        <v>98</v>
      </c>
      <c r="E65" s="191" t="s">
        <v>265</v>
      </c>
      <c r="F65" s="641" t="s">
        <v>653</v>
      </c>
      <c r="G65" s="307">
        <f>'Thông tin'!E67</f>
        <v>7.2999999999999995E-2</v>
      </c>
      <c r="H65" s="5"/>
      <c r="I65" s="198"/>
      <c r="J65" s="5" t="e">
        <f>(J64)*G65</f>
        <v>#REF!</v>
      </c>
      <c r="K65" s="49"/>
      <c r="L65" s="49"/>
      <c r="M65" s="49"/>
      <c r="N65" s="49"/>
      <c r="O65" s="49"/>
      <c r="P65" s="49"/>
      <c r="Q65" s="49"/>
      <c r="R65" s="49"/>
      <c r="S65" s="49"/>
      <c r="T65" s="49"/>
      <c r="U65" s="49"/>
      <c r="V65" s="49"/>
      <c r="W65" s="49"/>
      <c r="X65" s="49"/>
      <c r="Y65" s="49"/>
      <c r="Z65" s="49"/>
      <c r="AA65" s="49"/>
    </row>
    <row r="66" spans="1:27" x14ac:dyDescent="0.25">
      <c r="A66" s="207"/>
      <c r="B66" s="641"/>
      <c r="C66" s="711" t="s">
        <v>98</v>
      </c>
      <c r="D66" s="276" t="s">
        <v>98</v>
      </c>
      <c r="E66" s="191" t="s">
        <v>765</v>
      </c>
      <c r="F66" s="641" t="s">
        <v>602</v>
      </c>
      <c r="G66" s="307">
        <f>'Thông tin'!E60</f>
        <v>1.1000000000000001E-2</v>
      </c>
      <c r="H66" s="5"/>
      <c r="I66" s="198"/>
      <c r="J66" s="5" t="e">
        <f>(J64)*G66</f>
        <v>#REF!</v>
      </c>
      <c r="K66" s="49"/>
      <c r="L66" s="49"/>
      <c r="M66" s="49"/>
      <c r="N66" s="49"/>
      <c r="O66" s="49"/>
      <c r="P66" s="49"/>
      <c r="Q66" s="49"/>
      <c r="R66" s="49"/>
      <c r="S66" s="49"/>
      <c r="T66" s="49"/>
      <c r="U66" s="49"/>
      <c r="V66" s="49"/>
      <c r="W66" s="49"/>
      <c r="X66" s="49"/>
      <c r="Y66" s="49"/>
      <c r="Z66" s="49"/>
      <c r="AA66" s="49"/>
    </row>
    <row r="67" spans="1:27" ht="30" x14ac:dyDescent="0.25">
      <c r="A67" s="207"/>
      <c r="B67" s="641"/>
      <c r="C67" s="711" t="s">
        <v>98</v>
      </c>
      <c r="D67" s="276" t="s">
        <v>98</v>
      </c>
      <c r="E67" s="191" t="s">
        <v>457</v>
      </c>
      <c r="F67" s="641" t="s">
        <v>881</v>
      </c>
      <c r="G67" s="307">
        <f>'Thông tin'!E65</f>
        <v>2.5000000000000001E-2</v>
      </c>
      <c r="H67" s="5"/>
      <c r="I67" s="198"/>
      <c r="J67" s="5" t="e">
        <f>(J64)*G67</f>
        <v>#REF!</v>
      </c>
      <c r="K67" s="49"/>
      <c r="L67" s="49"/>
      <c r="M67" s="49"/>
      <c r="N67" s="49"/>
      <c r="O67" s="49"/>
      <c r="P67" s="49"/>
      <c r="Q67" s="49"/>
      <c r="R67" s="49"/>
      <c r="S67" s="49"/>
      <c r="T67" s="49"/>
      <c r="U67" s="49"/>
      <c r="V67" s="49"/>
      <c r="W67" s="49"/>
      <c r="X67" s="49"/>
      <c r="Y67" s="49"/>
      <c r="Z67" s="49"/>
      <c r="AA67" s="49"/>
    </row>
    <row r="68" spans="1:27" x14ac:dyDescent="0.25">
      <c r="A68" s="207"/>
      <c r="B68" s="641"/>
      <c r="C68" s="711" t="s">
        <v>98</v>
      </c>
      <c r="D68" s="276" t="s">
        <v>98</v>
      </c>
      <c r="E68" s="191" t="s">
        <v>1244</v>
      </c>
      <c r="F68" s="641" t="s">
        <v>1032</v>
      </c>
      <c r="G68" s="106"/>
      <c r="H68" s="5"/>
      <c r="I68" s="198"/>
      <c r="J68" s="5" t="e">
        <f>J65+J66+J67</f>
        <v>#REF!</v>
      </c>
      <c r="K68" s="49"/>
      <c r="L68" s="49"/>
      <c r="M68" s="49"/>
      <c r="N68" s="49"/>
      <c r="O68" s="49"/>
      <c r="P68" s="49"/>
      <c r="Q68" s="49"/>
      <c r="R68" s="49"/>
      <c r="S68" s="49"/>
      <c r="T68" s="49"/>
      <c r="U68" s="49"/>
      <c r="V68" s="49"/>
      <c r="W68" s="49"/>
      <c r="X68" s="49"/>
      <c r="Y68" s="49"/>
      <c r="Z68" s="49"/>
      <c r="AA68" s="49"/>
    </row>
    <row r="69" spans="1:27" x14ac:dyDescent="0.25">
      <c r="A69" s="207"/>
      <c r="B69" s="641"/>
      <c r="C69" s="711" t="s">
        <v>98</v>
      </c>
      <c r="D69" s="276" t="s">
        <v>98</v>
      </c>
      <c r="E69" s="191" t="s">
        <v>990</v>
      </c>
      <c r="F69" s="641" t="s">
        <v>307</v>
      </c>
      <c r="G69" s="307">
        <f>'Thông tin'!E63</f>
        <v>5.5E-2</v>
      </c>
      <c r="H69" s="5"/>
      <c r="I69" s="198"/>
      <c r="J69" s="5" t="e">
        <f>(J64+J68)*G69</f>
        <v>#REF!</v>
      </c>
      <c r="K69" s="49"/>
      <c r="L69" s="49"/>
      <c r="M69" s="49"/>
      <c r="N69" s="49"/>
      <c r="O69" s="49"/>
      <c r="P69" s="49"/>
      <c r="Q69" s="49"/>
      <c r="R69" s="49"/>
      <c r="S69" s="49"/>
      <c r="T69" s="49"/>
      <c r="U69" s="49"/>
      <c r="V69" s="49"/>
      <c r="W69" s="49"/>
      <c r="X69" s="49"/>
      <c r="Y69" s="49"/>
      <c r="Z69" s="49"/>
      <c r="AA69" s="49"/>
    </row>
    <row r="70" spans="1:27" x14ac:dyDescent="0.25">
      <c r="A70" s="207"/>
      <c r="B70" s="641"/>
      <c r="C70" s="711" t="s">
        <v>98</v>
      </c>
      <c r="D70" s="276" t="s">
        <v>98</v>
      </c>
      <c r="E70" s="7" t="s">
        <v>142</v>
      </c>
      <c r="F70" s="499" t="s">
        <v>286</v>
      </c>
      <c r="G70" s="106"/>
      <c r="H70" s="5"/>
      <c r="I70" s="198"/>
      <c r="J70" s="620" t="e">
        <f>J64+J68+J69</f>
        <v>#REF!</v>
      </c>
      <c r="K70" s="49"/>
      <c r="L70" s="49"/>
      <c r="M70" s="49"/>
      <c r="N70" s="49"/>
      <c r="O70" s="49"/>
      <c r="P70" s="49"/>
      <c r="Q70" s="49"/>
      <c r="R70" s="49"/>
      <c r="S70" s="49"/>
      <c r="T70" s="49"/>
      <c r="U70" s="49"/>
      <c r="V70" s="49"/>
      <c r="W70" s="49"/>
      <c r="X70" s="49"/>
      <c r="Y70" s="49"/>
      <c r="Z70" s="49"/>
      <c r="AA70" s="49"/>
    </row>
    <row r="71" spans="1:27" x14ac:dyDescent="0.25">
      <c r="A71" s="207"/>
      <c r="B71" s="641"/>
      <c r="C71" s="711" t="s">
        <v>98</v>
      </c>
      <c r="D71" s="276" t="s">
        <v>98</v>
      </c>
      <c r="E71" s="191" t="s">
        <v>762</v>
      </c>
      <c r="F71" s="641" t="s">
        <v>830</v>
      </c>
      <c r="G71" s="705">
        <f>'Thông tin'!E61</f>
        <v>0.08</v>
      </c>
      <c r="H71" s="5"/>
      <c r="I71" s="198"/>
      <c r="J71" s="5" t="e">
        <f>(J70)*G71</f>
        <v>#REF!</v>
      </c>
      <c r="K71" s="49"/>
      <c r="L71" s="49"/>
      <c r="M71" s="49"/>
      <c r="N71" s="49"/>
      <c r="O71" s="49"/>
      <c r="P71" s="49"/>
      <c r="Q71" s="49"/>
      <c r="R71" s="49"/>
      <c r="S71" s="49"/>
      <c r="T71" s="49"/>
      <c r="U71" s="49"/>
      <c r="V71" s="49"/>
      <c r="W71" s="49"/>
      <c r="X71" s="49"/>
      <c r="Y71" s="49"/>
      <c r="Z71" s="49"/>
      <c r="AA71" s="49"/>
    </row>
    <row r="72" spans="1:27" x14ac:dyDescent="0.25">
      <c r="A72" s="122"/>
      <c r="B72" s="581"/>
      <c r="C72" s="636" t="s">
        <v>98</v>
      </c>
      <c r="D72" s="196" t="s">
        <v>98</v>
      </c>
      <c r="E72" s="728" t="s">
        <v>953</v>
      </c>
      <c r="F72" s="429" t="s">
        <v>1108</v>
      </c>
      <c r="G72" s="29"/>
      <c r="H72" s="704"/>
      <c r="I72" s="113"/>
      <c r="J72" s="657" t="e">
        <f>J70+J71</f>
        <v>#REF!</v>
      </c>
      <c r="K72" s="49"/>
      <c r="L72" s="49"/>
      <c r="M72" s="49"/>
      <c r="N72" s="49"/>
      <c r="O72" s="49"/>
      <c r="P72" s="49"/>
      <c r="Q72" s="49"/>
      <c r="R72" s="49"/>
      <c r="S72" s="49"/>
      <c r="T72" s="49"/>
      <c r="U72" s="49"/>
      <c r="V72" s="49"/>
      <c r="W72" s="49"/>
      <c r="X72" s="49"/>
      <c r="Y72" s="49"/>
      <c r="Z72" s="49"/>
      <c r="AA72" s="49"/>
    </row>
    <row r="73" spans="1:27" ht="45" x14ac:dyDescent="0.25">
      <c r="A73" s="458"/>
      <c r="B73" s="130">
        <v>4</v>
      </c>
      <c r="C73" s="234" t="str">
        <f>'Du toan chi tiet'!C10</f>
        <v>AF.15433</v>
      </c>
      <c r="D73" s="234" t="str">
        <f>'Du toan chi tiet'!C10</f>
        <v>AF.15433</v>
      </c>
      <c r="E73" s="730" t="str">
        <f>'Du toan chi tiet'!D10</f>
        <v>Bê tông thương phẩm, bê tông mặt đường dày mặt đường ≤25cm, bê tông M300, đá 2x4</v>
      </c>
      <c r="F73" s="130" t="str">
        <f>'Du toan chi tiet'!E10</f>
        <v>m3</v>
      </c>
      <c r="G73" s="664"/>
      <c r="H73" s="282"/>
      <c r="I73" s="450"/>
      <c r="J73" s="282"/>
      <c r="K73" s="49"/>
      <c r="L73" s="49"/>
      <c r="M73" s="49"/>
      <c r="N73" s="49"/>
      <c r="O73" s="49"/>
      <c r="P73" s="49"/>
      <c r="Q73" s="49"/>
      <c r="R73" s="49"/>
      <c r="S73" s="49"/>
      <c r="T73" s="49"/>
      <c r="U73" s="49"/>
      <c r="V73" s="49"/>
      <c r="W73" s="49"/>
      <c r="X73" s="49"/>
      <c r="Y73" s="49"/>
      <c r="Z73" s="49"/>
      <c r="AA73" s="49"/>
    </row>
    <row r="74" spans="1:27" x14ac:dyDescent="0.25">
      <c r="A74" s="261"/>
      <c r="B74" s="690"/>
      <c r="C74" s="745" t="s">
        <v>98</v>
      </c>
      <c r="D74" s="745" t="s">
        <v>98</v>
      </c>
      <c r="E74" s="247" t="s">
        <v>547</v>
      </c>
      <c r="F74" s="690" t="s">
        <v>962</v>
      </c>
      <c r="G74" s="133"/>
      <c r="H74" s="44"/>
      <c r="I74" s="233"/>
      <c r="J74" s="44" t="e">
        <f>SUM(J75:J81)</f>
        <v>#REF!</v>
      </c>
      <c r="K74" s="49"/>
      <c r="L74" s="49"/>
      <c r="M74" s="49"/>
      <c r="N74" s="49"/>
      <c r="O74" s="49"/>
      <c r="P74" s="49"/>
      <c r="Q74" s="49"/>
      <c r="R74" s="49"/>
      <c r="S74" s="49"/>
      <c r="T74" s="49"/>
      <c r="U74" s="49"/>
      <c r="V74" s="49"/>
      <c r="W74" s="49"/>
      <c r="X74" s="49"/>
      <c r="Y74" s="49"/>
      <c r="Z74" s="49"/>
      <c r="AA74" s="49"/>
    </row>
    <row r="75" spans="1:27" x14ac:dyDescent="0.25">
      <c r="A75" s="207"/>
      <c r="B75" s="641"/>
      <c r="C75" s="711" t="s">
        <v>98</v>
      </c>
      <c r="D75" s="276" t="s">
        <v>235</v>
      </c>
      <c r="E75" s="191" t="str">
        <f>" - " &amp; 'Giá VL'!E37</f>
        <v xml:space="preserve"> - Xi măng PCB40</v>
      </c>
      <c r="F75" s="641" t="str">
        <f>'Giá VL'!F37</f>
        <v>kg</v>
      </c>
      <c r="G75" s="67" t="e">
        <f>'Phan tich don gia'!#REF!</f>
        <v>#REF!</v>
      </c>
      <c r="H75" s="5">
        <f>'Giá VL'!V37</f>
        <v>1587.7239999999999</v>
      </c>
      <c r="I75" s="198">
        <f>'Du toan chi tiet'!V10</f>
        <v>1</v>
      </c>
      <c r="J75" s="5" t="e">
        <f t="shared" ref="J75:J81" si="5">PRODUCT(G75,H75,I75)</f>
        <v>#REF!</v>
      </c>
      <c r="K75" s="49"/>
      <c r="L75" s="49"/>
      <c r="M75" s="49"/>
      <c r="N75" s="49"/>
      <c r="O75" s="49"/>
      <c r="P75" s="49"/>
      <c r="Q75" s="49"/>
      <c r="R75" s="49"/>
      <c r="S75" s="49"/>
      <c r="T75" s="49"/>
      <c r="U75" s="49"/>
      <c r="V75" s="49"/>
      <c r="W75" s="49"/>
      <c r="X75" s="49"/>
      <c r="Y75" s="49"/>
      <c r="Z75" s="49"/>
      <c r="AA75" s="49"/>
    </row>
    <row r="76" spans="1:27" x14ac:dyDescent="0.25">
      <c r="A76" s="207"/>
      <c r="B76" s="641"/>
      <c r="C76" s="711" t="s">
        <v>98</v>
      </c>
      <c r="D76" s="276" t="s">
        <v>523</v>
      </c>
      <c r="E76" s="191" t="str">
        <f>" - " &amp; 'Giá VL'!E9</f>
        <v xml:space="preserve"> - Cát vàng</v>
      </c>
      <c r="F76" s="641" t="str">
        <f>'Giá VL'!F9</f>
        <v>m3</v>
      </c>
      <c r="G76" s="67" t="e">
        <f>'Phan tich don gia'!#REF!</f>
        <v>#REF!</v>
      </c>
      <c r="H76" s="5">
        <f>'Giá VL'!V9</f>
        <v>345317.29174999997</v>
      </c>
      <c r="I76" s="198">
        <f>'Du toan chi tiet'!V10</f>
        <v>1</v>
      </c>
      <c r="J76" s="5" t="e">
        <f t="shared" si="5"/>
        <v>#REF!</v>
      </c>
      <c r="K76" s="49"/>
      <c r="L76" s="49"/>
      <c r="M76" s="49"/>
      <c r="N76" s="49"/>
      <c r="O76" s="49"/>
      <c r="P76" s="49"/>
      <c r="Q76" s="49"/>
      <c r="R76" s="49"/>
      <c r="S76" s="49"/>
      <c r="T76" s="49"/>
      <c r="U76" s="49"/>
      <c r="V76" s="49"/>
      <c r="W76" s="49"/>
      <c r="X76" s="49"/>
      <c r="Y76" s="49"/>
      <c r="Z76" s="49"/>
      <c r="AA76" s="49"/>
    </row>
    <row r="77" spans="1:27" x14ac:dyDescent="0.25">
      <c r="A77" s="207"/>
      <c r="B77" s="641"/>
      <c r="C77" s="711" t="s">
        <v>98</v>
      </c>
      <c r="D77" s="276" t="s">
        <v>485</v>
      </c>
      <c r="E77" s="191" t="str">
        <f>" - " &amp; 'Giá VL'!E12</f>
        <v xml:space="preserve"> - Đá 2x4</v>
      </c>
      <c r="F77" s="641" t="str">
        <f>'Giá VL'!F12</f>
        <v>m3</v>
      </c>
      <c r="G77" s="67" t="e">
        <f>'Phan tich don gia'!#REF!</f>
        <v>#REF!</v>
      </c>
      <c r="H77" s="5">
        <f>'Giá VL'!V12</f>
        <v>316313.14456500002</v>
      </c>
      <c r="I77" s="198">
        <f>'Du toan chi tiet'!V10</f>
        <v>1</v>
      </c>
      <c r="J77" s="5" t="e">
        <f t="shared" si="5"/>
        <v>#REF!</v>
      </c>
      <c r="K77" s="49"/>
      <c r="L77" s="49"/>
      <c r="M77" s="49"/>
      <c r="N77" s="49"/>
      <c r="O77" s="49"/>
      <c r="P77" s="49"/>
      <c r="Q77" s="49"/>
      <c r="R77" s="49"/>
      <c r="S77" s="49"/>
      <c r="T77" s="49"/>
      <c r="U77" s="49"/>
      <c r="V77" s="49"/>
      <c r="W77" s="49"/>
      <c r="X77" s="49"/>
      <c r="Y77" s="49"/>
      <c r="Z77" s="49"/>
      <c r="AA77" s="49"/>
    </row>
    <row r="78" spans="1:27" x14ac:dyDescent="0.25">
      <c r="A78" s="207"/>
      <c r="B78" s="641"/>
      <c r="C78" s="711" t="s">
        <v>98</v>
      </c>
      <c r="D78" s="276" t="s">
        <v>956</v>
      </c>
      <c r="E78" s="191" t="str">
        <f>" - " &amp; 'Giá VL'!E23</f>
        <v xml:space="preserve"> - Nước</v>
      </c>
      <c r="F78" s="641" t="str">
        <f>'Giá VL'!F23</f>
        <v>lít</v>
      </c>
      <c r="G78" s="67">
        <f>'Phan tich don gia'!G30</f>
        <v>1.0249999999999999</v>
      </c>
      <c r="H78" s="5">
        <f>'Giá VL'!V23</f>
        <v>10</v>
      </c>
      <c r="I78" s="198">
        <f>'Du toan chi tiet'!V10</f>
        <v>1</v>
      </c>
      <c r="J78" s="5">
        <f t="shared" si="5"/>
        <v>10.25</v>
      </c>
      <c r="K78" s="49"/>
      <c r="L78" s="49"/>
      <c r="M78" s="49"/>
      <c r="N78" s="49"/>
      <c r="O78" s="49"/>
      <c r="P78" s="49"/>
      <c r="Q78" s="49"/>
      <c r="R78" s="49"/>
      <c r="S78" s="49"/>
      <c r="T78" s="49"/>
      <c r="U78" s="49"/>
      <c r="V78" s="49"/>
      <c r="W78" s="49"/>
      <c r="X78" s="49"/>
      <c r="Y78" s="49"/>
      <c r="Z78" s="49"/>
      <c r="AA78" s="49"/>
    </row>
    <row r="79" spans="1:27" x14ac:dyDescent="0.25">
      <c r="A79" s="207"/>
      <c r="B79" s="641"/>
      <c r="C79" s="711" t="s">
        <v>98</v>
      </c>
      <c r="D79" s="276" t="s">
        <v>103</v>
      </c>
      <c r="E79" s="191" t="str">
        <f>" - " &amp; 'Giá VL'!E17</f>
        <v xml:space="preserve"> - Gỗ làm khe co dãn</v>
      </c>
      <c r="F79" s="641" t="str">
        <f>'Giá VL'!F17</f>
        <v>m3</v>
      </c>
      <c r="G79" s="67">
        <f>'Phan tich don gia'!G31</f>
        <v>7.0000000000000001E-3</v>
      </c>
      <c r="H79" s="5">
        <f>'Giá VL'!V17</f>
        <v>4123452.631914</v>
      </c>
      <c r="I79" s="198">
        <f>'Du toan chi tiet'!V10</f>
        <v>1</v>
      </c>
      <c r="J79" s="5">
        <f t="shared" si="5"/>
        <v>28864.168423398001</v>
      </c>
      <c r="K79" s="49"/>
      <c r="L79" s="49"/>
      <c r="M79" s="49"/>
      <c r="N79" s="49"/>
      <c r="O79" s="49"/>
      <c r="P79" s="49"/>
      <c r="Q79" s="49"/>
      <c r="R79" s="49"/>
      <c r="S79" s="49"/>
      <c r="T79" s="49"/>
      <c r="U79" s="49"/>
      <c r="V79" s="49"/>
      <c r="W79" s="49"/>
      <c r="X79" s="49"/>
      <c r="Y79" s="49"/>
      <c r="Z79" s="49"/>
      <c r="AA79" s="49"/>
    </row>
    <row r="80" spans="1:27" x14ac:dyDescent="0.25">
      <c r="A80" s="207"/>
      <c r="B80" s="641"/>
      <c r="C80" s="711" t="s">
        <v>98</v>
      </c>
      <c r="D80" s="276" t="s">
        <v>104</v>
      </c>
      <c r="E80" s="191" t="str">
        <f>" - " &amp; 'Giá VL'!E22</f>
        <v xml:space="preserve"> - Nhựa đường</v>
      </c>
      <c r="F80" s="641" t="str">
        <f>'Giá VL'!F22</f>
        <v>kg</v>
      </c>
      <c r="G80" s="67">
        <f>'Phan tich don gia'!G32</f>
        <v>1.75</v>
      </c>
      <c r="H80" s="5">
        <f>'Giá VL'!V22</f>
        <v>16818</v>
      </c>
      <c r="I80" s="198">
        <f>'Du toan chi tiet'!V10</f>
        <v>1</v>
      </c>
      <c r="J80" s="5">
        <f t="shared" si="5"/>
        <v>29431.5</v>
      </c>
      <c r="K80" s="49"/>
      <c r="L80" s="49"/>
      <c r="M80" s="49"/>
      <c r="N80" s="49"/>
      <c r="O80" s="49"/>
      <c r="P80" s="49"/>
      <c r="Q80" s="49"/>
      <c r="R80" s="49"/>
      <c r="S80" s="49"/>
      <c r="T80" s="49"/>
      <c r="U80" s="49"/>
      <c r="V80" s="49"/>
      <c r="W80" s="49"/>
      <c r="X80" s="49"/>
      <c r="Y80" s="49"/>
      <c r="Z80" s="49"/>
      <c r="AA80" s="49"/>
    </row>
    <row r="81" spans="1:27" x14ac:dyDescent="0.25">
      <c r="A81" s="207"/>
      <c r="B81" s="641"/>
      <c r="C81" s="711" t="s">
        <v>98</v>
      </c>
      <c r="D81" s="276" t="s">
        <v>667</v>
      </c>
      <c r="E81" s="191" t="s">
        <v>238</v>
      </c>
      <c r="F81" s="641" t="s">
        <v>1113</v>
      </c>
      <c r="G81" s="67">
        <f>'Phan tich don gia'!G33</f>
        <v>1.5</v>
      </c>
      <c r="H81" s="5" t="e">
        <f>IF('Du toan chi tiet'!V10&lt;&gt;0,SUM(J75:J80)/100/'Du toan chi tiet'!V10,0)</f>
        <v>#REF!</v>
      </c>
      <c r="I81" s="198">
        <f>'Du toan chi tiet'!V10</f>
        <v>1</v>
      </c>
      <c r="J81" s="5" t="e">
        <f t="shared" si="5"/>
        <v>#REF!</v>
      </c>
      <c r="K81" s="49"/>
      <c r="L81" s="49"/>
      <c r="M81" s="49"/>
      <c r="N81" s="49"/>
      <c r="O81" s="49"/>
      <c r="P81" s="49"/>
      <c r="Q81" s="49"/>
      <c r="R81" s="49"/>
      <c r="S81" s="49"/>
      <c r="T81" s="49"/>
      <c r="U81" s="49"/>
      <c r="V81" s="49"/>
      <c r="W81" s="49"/>
      <c r="X81" s="49"/>
      <c r="Y81" s="49"/>
      <c r="Z81" s="49"/>
      <c r="AA81" s="49"/>
    </row>
    <row r="82" spans="1:27" x14ac:dyDescent="0.25">
      <c r="A82" s="261"/>
      <c r="B82" s="690"/>
      <c r="C82" s="745" t="s">
        <v>98</v>
      </c>
      <c r="D82" s="745" t="s">
        <v>98</v>
      </c>
      <c r="E82" s="247" t="s">
        <v>301</v>
      </c>
      <c r="F82" s="690" t="s">
        <v>1018</v>
      </c>
      <c r="G82" s="133"/>
      <c r="H82" s="44"/>
      <c r="I82" s="233"/>
      <c r="J82" s="44">
        <f>SUM(J83:J83)</f>
        <v>172757</v>
      </c>
      <c r="K82" s="49"/>
      <c r="L82" s="49"/>
      <c r="M82" s="49"/>
      <c r="N82" s="49"/>
      <c r="O82" s="49"/>
      <c r="P82" s="49"/>
      <c r="Q82" s="49"/>
      <c r="R82" s="49"/>
      <c r="S82" s="49"/>
      <c r="T82" s="49"/>
      <c r="U82" s="49"/>
      <c r="V82" s="49"/>
      <c r="W82" s="49"/>
      <c r="X82" s="49"/>
      <c r="Y82" s="49"/>
      <c r="Z82" s="49"/>
      <c r="AA82" s="49"/>
    </row>
    <row r="83" spans="1:27" x14ac:dyDescent="0.25">
      <c r="A83" s="207"/>
      <c r="B83" s="641"/>
      <c r="C83" s="711" t="s">
        <v>98</v>
      </c>
      <c r="D83" s="276" t="s">
        <v>706</v>
      </c>
      <c r="E83" s="191" t="str">
        <f>" - " &amp; 'Giá NC'!E8</f>
        <v xml:space="preserve"> - Nhân công bậc 3,5/7 - Nhóm 2</v>
      </c>
      <c r="F83" s="641" t="str">
        <f>'Giá NC'!F8</f>
        <v>công</v>
      </c>
      <c r="G83" s="67">
        <f>'Phan tich don gia'!G35</f>
        <v>0.68500000000000005</v>
      </c>
      <c r="H83" s="5">
        <f>'Giá NC'!K8</f>
        <v>252200</v>
      </c>
      <c r="I83" s="198">
        <f>'Du toan chi tiet'!W10</f>
        <v>1</v>
      </c>
      <c r="J83" s="5">
        <f>PRODUCT(G83,H83,I83)</f>
        <v>172757</v>
      </c>
      <c r="K83" s="49"/>
      <c r="L83" s="49"/>
      <c r="M83" s="49"/>
      <c r="N83" s="49"/>
      <c r="O83" s="49"/>
      <c r="P83" s="49"/>
      <c r="Q83" s="49"/>
      <c r="R83" s="49"/>
      <c r="S83" s="49"/>
      <c r="T83" s="49"/>
      <c r="U83" s="49"/>
      <c r="V83" s="49"/>
      <c r="W83" s="49"/>
      <c r="X83" s="49"/>
      <c r="Y83" s="49"/>
      <c r="Z83" s="49"/>
      <c r="AA83" s="49"/>
    </row>
    <row r="84" spans="1:27" x14ac:dyDescent="0.25">
      <c r="A84" s="261"/>
      <c r="B84" s="690"/>
      <c r="C84" s="745" t="s">
        <v>98</v>
      </c>
      <c r="D84" s="745" t="s">
        <v>98</v>
      </c>
      <c r="E84" s="247" t="s">
        <v>1175</v>
      </c>
      <c r="F84" s="690" t="s">
        <v>138</v>
      </c>
      <c r="G84" s="133"/>
      <c r="H84" s="44"/>
      <c r="I84" s="233"/>
      <c r="J84" s="44" t="e">
        <f>SUM(J85:J89)</f>
        <v>#REF!</v>
      </c>
      <c r="K84" s="49"/>
      <c r="L84" s="49"/>
      <c r="M84" s="49"/>
      <c r="N84" s="49"/>
      <c r="O84" s="49"/>
      <c r="P84" s="49"/>
      <c r="Q84" s="49"/>
      <c r="R84" s="49"/>
      <c r="S84" s="49"/>
      <c r="T84" s="49"/>
      <c r="U84" s="49"/>
      <c r="V84" s="49"/>
      <c r="W84" s="49"/>
      <c r="X84" s="49"/>
      <c r="Y84" s="49"/>
      <c r="Z84" s="49"/>
      <c r="AA84" s="49"/>
    </row>
    <row r="85" spans="1:27" x14ac:dyDescent="0.25">
      <c r="A85" s="207"/>
      <c r="B85" s="641"/>
      <c r="C85" s="711" t="s">
        <v>98</v>
      </c>
      <c r="D85" s="276" t="s">
        <v>113</v>
      </c>
      <c r="E85" s="191" t="str">
        <f>" - " &amp; 'Giá Máy'!E20</f>
        <v xml:space="preserve"> - Máy trộn bê tông 250 lít</v>
      </c>
      <c r="F85" s="641" t="str">
        <f>'Giá Máy'!F20</f>
        <v>ca</v>
      </c>
      <c r="G85" s="67" t="e">
        <f>'Phan tich don gia'!#REF!</f>
        <v>#REF!</v>
      </c>
      <c r="H85" s="5">
        <f>'Giá Máy'!J20</f>
        <v>317242</v>
      </c>
      <c r="I85" s="198">
        <f>'Du toan chi tiet'!X10</f>
        <v>1</v>
      </c>
      <c r="J85" s="5" t="e">
        <f t="shared" ref="J85:J88" si="6">PRODUCT(G85,H85,I85)</f>
        <v>#REF!</v>
      </c>
      <c r="K85" s="49"/>
      <c r="L85" s="49"/>
      <c r="M85" s="49"/>
      <c r="N85" s="49"/>
      <c r="O85" s="49"/>
      <c r="P85" s="49"/>
      <c r="Q85" s="49"/>
      <c r="R85" s="49"/>
      <c r="S85" s="49"/>
      <c r="T85" s="49"/>
      <c r="U85" s="49"/>
      <c r="V85" s="49"/>
      <c r="W85" s="49"/>
      <c r="X85" s="49"/>
      <c r="Y85" s="49"/>
      <c r="Z85" s="49"/>
      <c r="AA85" s="49"/>
    </row>
    <row r="86" spans="1:27" x14ac:dyDescent="0.25">
      <c r="A86" s="207"/>
      <c r="B86" s="641"/>
      <c r="C86" s="711" t="s">
        <v>98</v>
      </c>
      <c r="D86" s="276" t="s">
        <v>201</v>
      </c>
      <c r="E86" s="191" t="str">
        <f>" - " &amp; 'Giá Máy'!E10</f>
        <v xml:space="preserve"> - Máy đầm bàn 1kW</v>
      </c>
      <c r="F86" s="641" t="str">
        <f>'Giá Máy'!F10</f>
        <v>ca</v>
      </c>
      <c r="G86" s="67">
        <f>'Phan tich don gia'!G37</f>
        <v>8.8999999999999996E-2</v>
      </c>
      <c r="H86" s="5">
        <f>'Giá Máy'!J10</f>
        <v>257212</v>
      </c>
      <c r="I86" s="198">
        <f>'Du toan chi tiet'!X10</f>
        <v>1</v>
      </c>
      <c r="J86" s="5">
        <f t="shared" si="6"/>
        <v>22891.867999999999</v>
      </c>
      <c r="K86" s="49"/>
      <c r="L86" s="49"/>
      <c r="M86" s="49"/>
      <c r="N86" s="49"/>
      <c r="O86" s="49"/>
      <c r="P86" s="49"/>
      <c r="Q86" s="49"/>
      <c r="R86" s="49"/>
      <c r="S86" s="49"/>
      <c r="T86" s="49"/>
      <c r="U86" s="49"/>
      <c r="V86" s="49"/>
      <c r="W86" s="49"/>
      <c r="X86" s="49"/>
      <c r="Y86" s="49"/>
      <c r="Z86" s="49"/>
      <c r="AA86" s="49"/>
    </row>
    <row r="87" spans="1:27" x14ac:dyDescent="0.25">
      <c r="A87" s="207"/>
      <c r="B87" s="641"/>
      <c r="C87" s="711" t="s">
        <v>98</v>
      </c>
      <c r="D87" s="276" t="s">
        <v>194</v>
      </c>
      <c r="E87" s="191" t="str">
        <f>" - " &amp; 'Giá Máy'!E12</f>
        <v xml:space="preserve"> - Máy đầm dùi 1,5kW</v>
      </c>
      <c r="F87" s="641" t="str">
        <f>'Giá Máy'!F12</f>
        <v>ca</v>
      </c>
      <c r="G87" s="67">
        <f>'Phan tich don gia'!G38</f>
        <v>8.8999999999999996E-2</v>
      </c>
      <c r="H87" s="5">
        <f>'Giá Máy'!J12</f>
        <v>265153</v>
      </c>
      <c r="I87" s="198">
        <f>'Du toan chi tiet'!X10</f>
        <v>1</v>
      </c>
      <c r="J87" s="5">
        <f t="shared" si="6"/>
        <v>23598.616999999998</v>
      </c>
      <c r="K87" s="49"/>
      <c r="L87" s="49"/>
      <c r="M87" s="49"/>
      <c r="N87" s="49"/>
      <c r="O87" s="49"/>
      <c r="P87" s="49"/>
      <c r="Q87" s="49"/>
      <c r="R87" s="49"/>
      <c r="S87" s="49"/>
      <c r="T87" s="49"/>
      <c r="U87" s="49"/>
      <c r="V87" s="49"/>
      <c r="W87" s="49"/>
      <c r="X87" s="49"/>
      <c r="Y87" s="49"/>
      <c r="Z87" s="49"/>
      <c r="AA87" s="49"/>
    </row>
    <row r="88" spans="1:27" x14ac:dyDescent="0.25">
      <c r="A88" s="207"/>
      <c r="B88" s="641"/>
      <c r="C88" s="711" t="s">
        <v>98</v>
      </c>
      <c r="D88" s="276" t="s">
        <v>1162</v>
      </c>
      <c r="E88" s="191" t="s">
        <v>1080</v>
      </c>
      <c r="F88" s="641" t="s">
        <v>1113</v>
      </c>
      <c r="G88" s="67">
        <f>'Phan tich don gia'!G39</f>
        <v>2</v>
      </c>
      <c r="H88" s="5" t="e">
        <f>IF('Du toan chi tiet'!X10&lt;&gt;0,SUM(J85:J87)/100/'Du toan chi tiet'!X10,0)</f>
        <v>#REF!</v>
      </c>
      <c r="I88" s="198">
        <f>'Du toan chi tiet'!X10</f>
        <v>1</v>
      </c>
      <c r="J88" s="5" t="e">
        <f t="shared" si="6"/>
        <v>#REF!</v>
      </c>
      <c r="K88" s="49"/>
      <c r="L88" s="49"/>
      <c r="M88" s="49"/>
      <c r="N88" s="49"/>
      <c r="O88" s="49"/>
      <c r="P88" s="49"/>
      <c r="Q88" s="49"/>
      <c r="R88" s="49"/>
      <c r="S88" s="49"/>
      <c r="T88" s="49"/>
      <c r="U88" s="49"/>
      <c r="V88" s="49"/>
      <c r="W88" s="49"/>
      <c r="X88" s="49"/>
      <c r="Y88" s="49"/>
      <c r="Z88" s="49"/>
      <c r="AA88" s="49"/>
    </row>
    <row r="89" spans="1:27" x14ac:dyDescent="0.25">
      <c r="A89" s="207"/>
      <c r="B89" s="641"/>
      <c r="C89" s="711" t="s">
        <v>98</v>
      </c>
      <c r="D89" s="276" t="s">
        <v>98</v>
      </c>
      <c r="E89" s="191" t="s">
        <v>1230</v>
      </c>
      <c r="F89" s="641"/>
      <c r="G89" s="106"/>
      <c r="H89" s="5"/>
      <c r="I89" s="198"/>
      <c r="J89" s="5" t="e">
        <f>SUM(J90:J91)+PRODUCT(G88,I88,THM!X104-THM!R104)</f>
        <v>#REF!</v>
      </c>
      <c r="K89" s="49"/>
      <c r="L89" s="49"/>
      <c r="M89" s="49"/>
      <c r="N89" s="49"/>
      <c r="O89" s="49"/>
      <c r="P89" s="49"/>
      <c r="Q89" s="49"/>
      <c r="R89" s="49"/>
      <c r="S89" s="49"/>
      <c r="T89" s="49"/>
      <c r="U89" s="49"/>
      <c r="V89" s="49"/>
      <c r="W89" s="49"/>
      <c r="X89" s="49"/>
      <c r="Y89" s="49"/>
      <c r="Z89" s="49"/>
      <c r="AA89" s="49"/>
    </row>
    <row r="90" spans="1:27" x14ac:dyDescent="0.25">
      <c r="A90" s="207"/>
      <c r="B90" s="641"/>
      <c r="C90" s="711" t="s">
        <v>98</v>
      </c>
      <c r="D90" s="276" t="s">
        <v>98</v>
      </c>
      <c r="E90" s="191" t="s">
        <v>52</v>
      </c>
      <c r="F90" s="641"/>
      <c r="G90" s="106"/>
      <c r="H90" s="5"/>
      <c r="I90" s="198"/>
      <c r="J90" s="5" t="e">
        <f>PRODUCT(G85,I85,'Giá Máy'!L20)+PRODUCT(G86,I86,'Giá Máy'!L10)+PRODUCT(G87,I87,'Giá Máy'!L12)</f>
        <v>#REF!</v>
      </c>
      <c r="K90" s="49"/>
      <c r="L90" s="49"/>
      <c r="M90" s="49"/>
      <c r="N90" s="49"/>
      <c r="O90" s="49"/>
      <c r="P90" s="49"/>
      <c r="Q90" s="49"/>
      <c r="R90" s="49"/>
      <c r="S90" s="49"/>
      <c r="T90" s="49"/>
      <c r="U90" s="49"/>
      <c r="V90" s="49"/>
      <c r="W90" s="49"/>
      <c r="X90" s="49"/>
      <c r="Y90" s="49"/>
      <c r="Z90" s="49"/>
      <c r="AA90" s="49"/>
    </row>
    <row r="91" spans="1:27" x14ac:dyDescent="0.25">
      <c r="A91" s="207"/>
      <c r="B91" s="641"/>
      <c r="C91" s="711" t="s">
        <v>98</v>
      </c>
      <c r="D91" s="276" t="s">
        <v>98</v>
      </c>
      <c r="E91" s="191" t="s">
        <v>597</v>
      </c>
      <c r="F91" s="641"/>
      <c r="G91" s="106"/>
      <c r="H91" s="5"/>
      <c r="I91" s="198"/>
      <c r="J91" s="5" t="e">
        <f>PRODUCT(G85,I85,'Giá Máy'!M20)+PRODUCT(G86,I86,'Giá Máy'!M10)+PRODUCT(G87,I87,'Giá Máy'!M12)</f>
        <v>#REF!</v>
      </c>
      <c r="K91" s="49"/>
      <c r="L91" s="49"/>
      <c r="M91" s="49"/>
      <c r="N91" s="49"/>
      <c r="O91" s="49"/>
      <c r="P91" s="49"/>
      <c r="Q91" s="49"/>
      <c r="R91" s="49"/>
      <c r="S91" s="49"/>
      <c r="T91" s="49"/>
      <c r="U91" s="49"/>
      <c r="V91" s="49"/>
      <c r="W91" s="49"/>
      <c r="X91" s="49"/>
      <c r="Y91" s="49"/>
      <c r="Z91" s="49"/>
      <c r="AA91" s="49"/>
    </row>
    <row r="92" spans="1:27" x14ac:dyDescent="0.25">
      <c r="A92" s="207"/>
      <c r="B92" s="641"/>
      <c r="C92" s="711" t="s">
        <v>98</v>
      </c>
      <c r="D92" s="276" t="s">
        <v>98</v>
      </c>
      <c r="E92" s="191" t="s">
        <v>599</v>
      </c>
      <c r="F92" s="641" t="s">
        <v>356</v>
      </c>
      <c r="G92" s="106"/>
      <c r="H92" s="5"/>
      <c r="I92" s="198"/>
      <c r="J92" s="5" t="e">
        <f>J74+J82+J84</f>
        <v>#REF!</v>
      </c>
      <c r="K92" s="49"/>
      <c r="L92" s="49"/>
      <c r="M92" s="49"/>
      <c r="N92" s="49"/>
      <c r="O92" s="49"/>
      <c r="P92" s="49"/>
      <c r="Q92" s="49"/>
      <c r="R92" s="49"/>
      <c r="S92" s="49"/>
      <c r="T92" s="49"/>
      <c r="U92" s="49"/>
      <c r="V92" s="49"/>
      <c r="W92" s="49"/>
      <c r="X92" s="49"/>
      <c r="Y92" s="49"/>
      <c r="Z92" s="49"/>
      <c r="AA92" s="49"/>
    </row>
    <row r="93" spans="1:27" x14ac:dyDescent="0.25">
      <c r="A93" s="207"/>
      <c r="B93" s="641"/>
      <c r="C93" s="711" t="s">
        <v>98</v>
      </c>
      <c r="D93" s="276" t="s">
        <v>98</v>
      </c>
      <c r="E93" s="191" t="s">
        <v>265</v>
      </c>
      <c r="F93" s="641" t="s">
        <v>653</v>
      </c>
      <c r="G93" s="307">
        <f>'Thông tin'!E67</f>
        <v>7.2999999999999995E-2</v>
      </c>
      <c r="H93" s="5"/>
      <c r="I93" s="198"/>
      <c r="J93" s="5" t="e">
        <f>(J92)*G93</f>
        <v>#REF!</v>
      </c>
      <c r="K93" s="49"/>
      <c r="L93" s="49"/>
      <c r="M93" s="49"/>
      <c r="N93" s="49"/>
      <c r="O93" s="49"/>
      <c r="P93" s="49"/>
      <c r="Q93" s="49"/>
      <c r="R93" s="49"/>
      <c r="S93" s="49"/>
      <c r="T93" s="49"/>
      <c r="U93" s="49"/>
      <c r="V93" s="49"/>
      <c r="W93" s="49"/>
      <c r="X93" s="49"/>
      <c r="Y93" s="49"/>
      <c r="Z93" s="49"/>
      <c r="AA93" s="49"/>
    </row>
    <row r="94" spans="1:27" x14ac:dyDescent="0.25">
      <c r="A94" s="207"/>
      <c r="B94" s="641"/>
      <c r="C94" s="711" t="s">
        <v>98</v>
      </c>
      <c r="D94" s="276" t="s">
        <v>98</v>
      </c>
      <c r="E94" s="191" t="s">
        <v>765</v>
      </c>
      <c r="F94" s="641" t="s">
        <v>602</v>
      </c>
      <c r="G94" s="307">
        <f>'Thông tin'!E60</f>
        <v>1.1000000000000001E-2</v>
      </c>
      <c r="H94" s="5"/>
      <c r="I94" s="198"/>
      <c r="J94" s="5" t="e">
        <f>(J92)*G94</f>
        <v>#REF!</v>
      </c>
      <c r="K94" s="49"/>
      <c r="L94" s="49"/>
      <c r="M94" s="49"/>
      <c r="N94" s="49"/>
      <c r="O94" s="49"/>
      <c r="P94" s="49"/>
      <c r="Q94" s="49"/>
      <c r="R94" s="49"/>
      <c r="S94" s="49"/>
      <c r="T94" s="49"/>
      <c r="U94" s="49"/>
      <c r="V94" s="49"/>
      <c r="W94" s="49"/>
      <c r="X94" s="49"/>
      <c r="Y94" s="49"/>
      <c r="Z94" s="49"/>
      <c r="AA94" s="49"/>
    </row>
    <row r="95" spans="1:27" ht="30" x14ac:dyDescent="0.25">
      <c r="A95" s="207"/>
      <c r="B95" s="641"/>
      <c r="C95" s="711" t="s">
        <v>98</v>
      </c>
      <c r="D95" s="276" t="s">
        <v>98</v>
      </c>
      <c r="E95" s="191" t="s">
        <v>457</v>
      </c>
      <c r="F95" s="641" t="s">
        <v>881</v>
      </c>
      <c r="G95" s="307">
        <f>'Thông tin'!E65</f>
        <v>2.5000000000000001E-2</v>
      </c>
      <c r="H95" s="5"/>
      <c r="I95" s="198"/>
      <c r="J95" s="5" t="e">
        <f>(J92)*G95</f>
        <v>#REF!</v>
      </c>
      <c r="K95" s="49"/>
      <c r="L95" s="49"/>
      <c r="M95" s="49"/>
      <c r="N95" s="49"/>
      <c r="O95" s="49"/>
      <c r="P95" s="49"/>
      <c r="Q95" s="49"/>
      <c r="R95" s="49"/>
      <c r="S95" s="49"/>
      <c r="T95" s="49"/>
      <c r="U95" s="49"/>
      <c r="V95" s="49"/>
      <c r="W95" s="49"/>
      <c r="X95" s="49"/>
      <c r="Y95" s="49"/>
      <c r="Z95" s="49"/>
      <c r="AA95" s="49"/>
    </row>
    <row r="96" spans="1:27" x14ac:dyDescent="0.25">
      <c r="A96" s="207"/>
      <c r="B96" s="641"/>
      <c r="C96" s="711" t="s">
        <v>98</v>
      </c>
      <c r="D96" s="276" t="s">
        <v>98</v>
      </c>
      <c r="E96" s="191" t="s">
        <v>1244</v>
      </c>
      <c r="F96" s="641" t="s">
        <v>1032</v>
      </c>
      <c r="G96" s="106"/>
      <c r="H96" s="5"/>
      <c r="I96" s="198"/>
      <c r="J96" s="5" t="e">
        <f>J93+J94+J95</f>
        <v>#REF!</v>
      </c>
      <c r="K96" s="49"/>
      <c r="L96" s="49"/>
      <c r="M96" s="49"/>
      <c r="N96" s="49"/>
      <c r="O96" s="49"/>
      <c r="P96" s="49"/>
      <c r="Q96" s="49"/>
      <c r="R96" s="49"/>
      <c r="S96" s="49"/>
      <c r="T96" s="49"/>
      <c r="U96" s="49"/>
      <c r="V96" s="49"/>
      <c r="W96" s="49"/>
      <c r="X96" s="49"/>
      <c r="Y96" s="49"/>
      <c r="Z96" s="49"/>
      <c r="AA96" s="49"/>
    </row>
    <row r="97" spans="1:27" x14ac:dyDescent="0.25">
      <c r="A97" s="207"/>
      <c r="B97" s="641"/>
      <c r="C97" s="711" t="s">
        <v>98</v>
      </c>
      <c r="D97" s="276" t="s">
        <v>98</v>
      </c>
      <c r="E97" s="191" t="s">
        <v>990</v>
      </c>
      <c r="F97" s="641" t="s">
        <v>307</v>
      </c>
      <c r="G97" s="307">
        <f>'Thông tin'!E63</f>
        <v>5.5E-2</v>
      </c>
      <c r="H97" s="5"/>
      <c r="I97" s="198"/>
      <c r="J97" s="5" t="e">
        <f>(J92+J96)*G97</f>
        <v>#REF!</v>
      </c>
      <c r="K97" s="49"/>
      <c r="L97" s="49"/>
      <c r="M97" s="49"/>
      <c r="N97" s="49"/>
      <c r="O97" s="49"/>
      <c r="P97" s="49"/>
      <c r="Q97" s="49"/>
      <c r="R97" s="49"/>
      <c r="S97" s="49"/>
      <c r="T97" s="49"/>
      <c r="U97" s="49"/>
      <c r="V97" s="49"/>
      <c r="W97" s="49"/>
      <c r="X97" s="49"/>
      <c r="Y97" s="49"/>
      <c r="Z97" s="49"/>
      <c r="AA97" s="49"/>
    </row>
    <row r="98" spans="1:27" x14ac:dyDescent="0.25">
      <c r="A98" s="207"/>
      <c r="B98" s="641"/>
      <c r="C98" s="711" t="s">
        <v>98</v>
      </c>
      <c r="D98" s="276" t="s">
        <v>98</v>
      </c>
      <c r="E98" s="7" t="s">
        <v>142</v>
      </c>
      <c r="F98" s="499" t="s">
        <v>286</v>
      </c>
      <c r="G98" s="106"/>
      <c r="H98" s="5"/>
      <c r="I98" s="198"/>
      <c r="J98" s="620" t="e">
        <f>J92+J96+J97</f>
        <v>#REF!</v>
      </c>
      <c r="K98" s="49"/>
      <c r="L98" s="49"/>
      <c r="M98" s="49"/>
      <c r="N98" s="49"/>
      <c r="O98" s="49"/>
      <c r="P98" s="49"/>
      <c r="Q98" s="49"/>
      <c r="R98" s="49"/>
      <c r="S98" s="49"/>
      <c r="T98" s="49"/>
      <c r="U98" s="49"/>
      <c r="V98" s="49"/>
      <c r="W98" s="49"/>
      <c r="X98" s="49"/>
      <c r="Y98" s="49"/>
      <c r="Z98" s="49"/>
      <c r="AA98" s="49"/>
    </row>
    <row r="99" spans="1:27" x14ac:dyDescent="0.25">
      <c r="A99" s="207"/>
      <c r="B99" s="641"/>
      <c r="C99" s="711" t="s">
        <v>98</v>
      </c>
      <c r="D99" s="276" t="s">
        <v>98</v>
      </c>
      <c r="E99" s="191" t="s">
        <v>762</v>
      </c>
      <c r="F99" s="641" t="s">
        <v>830</v>
      </c>
      <c r="G99" s="705">
        <f>'Thông tin'!E61</f>
        <v>0.08</v>
      </c>
      <c r="H99" s="5"/>
      <c r="I99" s="198"/>
      <c r="J99" s="5" t="e">
        <f>(J98)*G99</f>
        <v>#REF!</v>
      </c>
      <c r="K99" s="49"/>
      <c r="L99" s="49"/>
      <c r="M99" s="49"/>
      <c r="N99" s="49"/>
      <c r="O99" s="49"/>
      <c r="P99" s="49"/>
      <c r="Q99" s="49"/>
      <c r="R99" s="49"/>
      <c r="S99" s="49"/>
      <c r="T99" s="49"/>
      <c r="U99" s="49"/>
      <c r="V99" s="49"/>
      <c r="W99" s="49"/>
      <c r="X99" s="49"/>
      <c r="Y99" s="49"/>
      <c r="Z99" s="49"/>
      <c r="AA99" s="49"/>
    </row>
    <row r="100" spans="1:27" x14ac:dyDescent="0.25">
      <c r="A100" s="122"/>
      <c r="B100" s="581"/>
      <c r="C100" s="636" t="s">
        <v>98</v>
      </c>
      <c r="D100" s="196" t="s">
        <v>98</v>
      </c>
      <c r="E100" s="728" t="s">
        <v>953</v>
      </c>
      <c r="F100" s="429" t="s">
        <v>1108</v>
      </c>
      <c r="G100" s="29"/>
      <c r="H100" s="704"/>
      <c r="I100" s="113"/>
      <c r="J100" s="657" t="e">
        <f>J98+J99</f>
        <v>#REF!</v>
      </c>
      <c r="K100" s="49"/>
      <c r="L100" s="49"/>
      <c r="M100" s="49"/>
      <c r="N100" s="49"/>
      <c r="O100" s="49"/>
      <c r="P100" s="49"/>
      <c r="Q100" s="49"/>
      <c r="R100" s="49"/>
      <c r="S100" s="49"/>
      <c r="T100" s="49"/>
      <c r="U100" s="49"/>
      <c r="V100" s="49"/>
      <c r="W100" s="49"/>
      <c r="X100" s="49"/>
      <c r="Y100" s="49"/>
      <c r="Z100" s="49"/>
      <c r="AA100" s="49"/>
    </row>
    <row r="101" spans="1:27" x14ac:dyDescent="0.25">
      <c r="A101" s="458"/>
      <c r="B101" s="130">
        <v>5</v>
      </c>
      <c r="C101" s="234" t="str">
        <f>'Du toan chi tiet'!C11</f>
        <v>AB.66141</v>
      </c>
      <c r="D101" s="234" t="str">
        <f>'Du toan chi tiet'!C11</f>
        <v>AB.66141</v>
      </c>
      <c r="E101" s="730" t="str">
        <f>'Du toan chi tiet'!D11</f>
        <v>Đắp bột đá công trình dày 5cm</v>
      </c>
      <c r="F101" s="130" t="str">
        <f>'Du toan chi tiet'!E11</f>
        <v>m3</v>
      </c>
      <c r="G101" s="664"/>
      <c r="H101" s="282"/>
      <c r="I101" s="450"/>
      <c r="J101" s="282"/>
      <c r="K101" s="49"/>
      <c r="L101" s="49"/>
      <c r="M101" s="49"/>
      <c r="N101" s="49"/>
      <c r="O101" s="49"/>
      <c r="P101" s="49"/>
      <c r="Q101" s="49"/>
      <c r="R101" s="49"/>
      <c r="S101" s="49"/>
      <c r="T101" s="49"/>
      <c r="U101" s="49"/>
      <c r="V101" s="49"/>
      <c r="W101" s="49"/>
      <c r="X101" s="49"/>
      <c r="Y101" s="49"/>
      <c r="Z101" s="49"/>
      <c r="AA101" s="49"/>
    </row>
    <row r="102" spans="1:27" x14ac:dyDescent="0.25">
      <c r="A102" s="261"/>
      <c r="B102" s="690"/>
      <c r="C102" s="745" t="s">
        <v>98</v>
      </c>
      <c r="D102" s="745" t="s">
        <v>98</v>
      </c>
      <c r="E102" s="247" t="s">
        <v>547</v>
      </c>
      <c r="F102" s="690" t="s">
        <v>962</v>
      </c>
      <c r="G102" s="133"/>
      <c r="H102" s="44"/>
      <c r="I102" s="233"/>
      <c r="J102" s="44">
        <f>SUM(J103:J103)</f>
        <v>173936.85111923999</v>
      </c>
      <c r="K102" s="49"/>
      <c r="L102" s="49"/>
      <c r="M102" s="49"/>
      <c r="N102" s="49"/>
      <c r="O102" s="49"/>
      <c r="P102" s="49"/>
      <c r="Q102" s="49"/>
      <c r="R102" s="49"/>
      <c r="S102" s="49"/>
      <c r="T102" s="49"/>
      <c r="U102" s="49"/>
      <c r="V102" s="49"/>
      <c r="W102" s="49"/>
      <c r="X102" s="49"/>
      <c r="Y102" s="49"/>
      <c r="Z102" s="49"/>
      <c r="AA102" s="49"/>
    </row>
    <row r="103" spans="1:27" x14ac:dyDescent="0.25">
      <c r="A103" s="207"/>
      <c r="B103" s="641"/>
      <c r="C103" s="711" t="s">
        <v>98</v>
      </c>
      <c r="D103" s="276" t="s">
        <v>99</v>
      </c>
      <c r="E103" s="191" t="str">
        <f>" - " &amp; 'Giá VL'!E8</f>
        <v xml:space="preserve"> - Bột đá</v>
      </c>
      <c r="F103" s="641" t="str">
        <f>'Giá VL'!F8</f>
        <v>m3</v>
      </c>
      <c r="G103" s="67">
        <f>'Phan tich don gia'!G42</f>
        <v>1.22</v>
      </c>
      <c r="H103" s="5">
        <f>'Giá VL'!V8</f>
        <v>142571.189442</v>
      </c>
      <c r="I103" s="198">
        <f>'Du toan chi tiet'!V11</f>
        <v>1</v>
      </c>
      <c r="J103" s="5">
        <f>PRODUCT(G103,H103,I103)</f>
        <v>173936.85111923999</v>
      </c>
      <c r="K103" s="49"/>
      <c r="L103" s="49"/>
      <c r="M103" s="49"/>
      <c r="N103" s="49"/>
      <c r="O103" s="49"/>
      <c r="P103" s="49"/>
      <c r="Q103" s="49"/>
      <c r="R103" s="49"/>
      <c r="S103" s="49"/>
      <c r="T103" s="49"/>
      <c r="U103" s="49"/>
      <c r="V103" s="49"/>
      <c r="W103" s="49"/>
      <c r="X103" s="49"/>
      <c r="Y103" s="49"/>
      <c r="Z103" s="49"/>
      <c r="AA103" s="49"/>
    </row>
    <row r="104" spans="1:27" x14ac:dyDescent="0.25">
      <c r="A104" s="261"/>
      <c r="B104" s="690"/>
      <c r="C104" s="745" t="s">
        <v>98</v>
      </c>
      <c r="D104" s="745" t="s">
        <v>98</v>
      </c>
      <c r="E104" s="247" t="s">
        <v>301</v>
      </c>
      <c r="F104" s="690" t="s">
        <v>1018</v>
      </c>
      <c r="G104" s="133"/>
      <c r="H104" s="44"/>
      <c r="I104" s="233"/>
      <c r="J104" s="44">
        <f>SUM(J105:J105)</f>
        <v>8501.945099999999</v>
      </c>
      <c r="K104" s="49"/>
      <c r="L104" s="49"/>
      <c r="M104" s="49"/>
      <c r="N104" s="49"/>
      <c r="O104" s="49"/>
      <c r="P104" s="49"/>
      <c r="Q104" s="49"/>
      <c r="R104" s="49"/>
      <c r="S104" s="49"/>
      <c r="T104" s="49"/>
      <c r="U104" s="49"/>
      <c r="V104" s="49"/>
      <c r="W104" s="49"/>
      <c r="X104" s="49"/>
      <c r="Y104" s="49"/>
      <c r="Z104" s="49"/>
      <c r="AA104" s="49"/>
    </row>
    <row r="105" spans="1:27" x14ac:dyDescent="0.25">
      <c r="A105" s="207"/>
      <c r="B105" s="641"/>
      <c r="C105" s="711" t="s">
        <v>98</v>
      </c>
      <c r="D105" s="276" t="s">
        <v>475</v>
      </c>
      <c r="E105" s="191" t="str">
        <f>" - " &amp; 'Giá NC'!E5</f>
        <v xml:space="preserve"> - Nhân công bậc 3,0/7 - Nhóm 1</v>
      </c>
      <c r="F105" s="641" t="str">
        <f>'Giá NC'!F5</f>
        <v>công</v>
      </c>
      <c r="G105" s="67">
        <f>'Phan tich don gia'!G44</f>
        <v>3.8899999999999997E-2</v>
      </c>
      <c r="H105" s="5">
        <f>'Giá NC'!K5</f>
        <v>218559</v>
      </c>
      <c r="I105" s="198">
        <f>'Du toan chi tiet'!W11</f>
        <v>1</v>
      </c>
      <c r="J105" s="5">
        <f>PRODUCT(G105,H105,I105)</f>
        <v>8501.945099999999</v>
      </c>
      <c r="K105" s="49"/>
      <c r="L105" s="49"/>
      <c r="M105" s="49"/>
      <c r="N105" s="49"/>
      <c r="O105" s="49"/>
      <c r="P105" s="49"/>
      <c r="Q105" s="49"/>
      <c r="R105" s="49"/>
      <c r="S105" s="49"/>
      <c r="T105" s="49"/>
      <c r="U105" s="49"/>
      <c r="V105" s="49"/>
      <c r="W105" s="49"/>
      <c r="X105" s="49"/>
      <c r="Y105" s="49"/>
      <c r="Z105" s="49"/>
      <c r="AA105" s="49"/>
    </row>
    <row r="106" spans="1:27" x14ac:dyDescent="0.25">
      <c r="A106" s="261"/>
      <c r="B106" s="690"/>
      <c r="C106" s="745" t="s">
        <v>98</v>
      </c>
      <c r="D106" s="745" t="s">
        <v>98</v>
      </c>
      <c r="E106" s="247" t="s">
        <v>1175</v>
      </c>
      <c r="F106" s="690" t="s">
        <v>138</v>
      </c>
      <c r="G106" s="133"/>
      <c r="H106" s="44"/>
      <c r="I106" s="233"/>
      <c r="J106" s="44">
        <f>SUM(J107:J109)</f>
        <v>7382.8493799999997</v>
      </c>
      <c r="K106" s="49"/>
      <c r="L106" s="49"/>
      <c r="M106" s="49"/>
      <c r="N106" s="49"/>
      <c r="O106" s="49"/>
      <c r="P106" s="49"/>
      <c r="Q106" s="49"/>
      <c r="R106" s="49"/>
      <c r="S106" s="49"/>
      <c r="T106" s="49"/>
      <c r="U106" s="49"/>
      <c r="V106" s="49"/>
      <c r="W106" s="49"/>
      <c r="X106" s="49"/>
      <c r="Y106" s="49"/>
      <c r="Z106" s="49"/>
      <c r="AA106" s="49"/>
    </row>
    <row r="107" spans="1:27" x14ac:dyDescent="0.25">
      <c r="A107" s="207"/>
      <c r="B107" s="641"/>
      <c r="C107" s="711" t="s">
        <v>98</v>
      </c>
      <c r="D107" s="276" t="s">
        <v>551</v>
      </c>
      <c r="E107" s="191" t="str">
        <f>" - " &amp; 'Giá Máy'!E11</f>
        <v xml:space="preserve"> - Máy đầm đất cầm tay 70kg</v>
      </c>
      <c r="F107" s="641" t="str">
        <f>'Giá Máy'!F11</f>
        <v>ca</v>
      </c>
      <c r="G107" s="67">
        <f>'Phan tich don gia'!G46</f>
        <v>1.9E-2</v>
      </c>
      <c r="H107" s="5">
        <f>'Giá Máy'!J11</f>
        <v>380951</v>
      </c>
      <c r="I107" s="198">
        <f>'Du toan chi tiet'!X11</f>
        <v>1</v>
      </c>
      <c r="J107" s="5">
        <f t="shared" ref="J107:J108" si="7">PRODUCT(G107,H107,I107)</f>
        <v>7238.0689999999995</v>
      </c>
      <c r="K107" s="49"/>
      <c r="L107" s="49"/>
      <c r="M107" s="49"/>
      <c r="N107" s="49"/>
      <c r="O107" s="49"/>
      <c r="P107" s="49"/>
      <c r="Q107" s="49"/>
      <c r="R107" s="49"/>
      <c r="S107" s="49"/>
      <c r="T107" s="49"/>
      <c r="U107" s="49"/>
      <c r="V107" s="49"/>
      <c r="W107" s="49"/>
      <c r="X107" s="49"/>
      <c r="Y107" s="49"/>
      <c r="Z107" s="49"/>
      <c r="AA107" s="49"/>
    </row>
    <row r="108" spans="1:27" x14ac:dyDescent="0.25">
      <c r="A108" s="207"/>
      <c r="B108" s="641"/>
      <c r="C108" s="711" t="s">
        <v>98</v>
      </c>
      <c r="D108" s="276" t="s">
        <v>1162</v>
      </c>
      <c r="E108" s="191" t="s">
        <v>1080</v>
      </c>
      <c r="F108" s="641" t="s">
        <v>1113</v>
      </c>
      <c r="G108" s="67">
        <f>'Phan tich don gia'!G47</f>
        <v>2</v>
      </c>
      <c r="H108" s="5">
        <f>IF('Du toan chi tiet'!X11&lt;&gt;0,SUM(J107:J107)/100/'Du toan chi tiet'!X11,0)</f>
        <v>72.380690000000001</v>
      </c>
      <c r="I108" s="198">
        <f>'Du toan chi tiet'!X11</f>
        <v>1</v>
      </c>
      <c r="J108" s="5">
        <f t="shared" si="7"/>
        <v>144.76138</v>
      </c>
      <c r="K108" s="49"/>
      <c r="L108" s="49"/>
      <c r="M108" s="49"/>
      <c r="N108" s="49"/>
      <c r="O108" s="49"/>
      <c r="P108" s="49"/>
      <c r="Q108" s="49"/>
      <c r="R108" s="49"/>
      <c r="S108" s="49"/>
      <c r="T108" s="49"/>
      <c r="U108" s="49"/>
      <c r="V108" s="49"/>
      <c r="W108" s="49"/>
      <c r="X108" s="49"/>
      <c r="Y108" s="49"/>
      <c r="Z108" s="49"/>
      <c r="AA108" s="49"/>
    </row>
    <row r="109" spans="1:27" x14ac:dyDescent="0.25">
      <c r="A109" s="207"/>
      <c r="B109" s="641"/>
      <c r="C109" s="711" t="s">
        <v>98</v>
      </c>
      <c r="D109" s="276" t="s">
        <v>98</v>
      </c>
      <c r="E109" s="191" t="s">
        <v>1230</v>
      </c>
      <c r="F109" s="641"/>
      <c r="G109" s="106"/>
      <c r="H109" s="5"/>
      <c r="I109" s="198"/>
      <c r="J109" s="5">
        <f>SUM(J110:J111)+PRODUCT(G108,I108,THM!X99-THM!R99)</f>
        <v>1.9E-2</v>
      </c>
      <c r="K109" s="49"/>
      <c r="L109" s="49"/>
      <c r="M109" s="49"/>
      <c r="N109" s="49"/>
      <c r="O109" s="49"/>
      <c r="P109" s="49"/>
      <c r="Q109" s="49"/>
      <c r="R109" s="49"/>
      <c r="S109" s="49"/>
      <c r="T109" s="49"/>
      <c r="U109" s="49"/>
      <c r="V109" s="49"/>
      <c r="W109" s="49"/>
      <c r="X109" s="49"/>
      <c r="Y109" s="49"/>
      <c r="Z109" s="49"/>
      <c r="AA109" s="49"/>
    </row>
    <row r="110" spans="1:27" x14ac:dyDescent="0.25">
      <c r="A110" s="207"/>
      <c r="B110" s="641"/>
      <c r="C110" s="711" t="s">
        <v>98</v>
      </c>
      <c r="D110" s="276" t="s">
        <v>98</v>
      </c>
      <c r="E110" s="191" t="s">
        <v>52</v>
      </c>
      <c r="F110" s="641"/>
      <c r="G110" s="106"/>
      <c r="H110" s="5"/>
      <c r="I110" s="198"/>
      <c r="J110" s="5">
        <f>PRODUCT(G107,I107,'Giá Máy'!L11)</f>
        <v>0</v>
      </c>
      <c r="K110" s="49"/>
      <c r="L110" s="49"/>
      <c r="M110" s="49"/>
      <c r="N110" s="49"/>
      <c r="O110" s="49"/>
      <c r="P110" s="49"/>
      <c r="Q110" s="49"/>
      <c r="R110" s="49"/>
      <c r="S110" s="49"/>
      <c r="T110" s="49"/>
      <c r="U110" s="49"/>
      <c r="V110" s="49"/>
      <c r="W110" s="49"/>
      <c r="X110" s="49"/>
      <c r="Y110" s="49"/>
      <c r="Z110" s="49"/>
      <c r="AA110" s="49"/>
    </row>
    <row r="111" spans="1:27" x14ac:dyDescent="0.25">
      <c r="A111" s="207"/>
      <c r="B111" s="641"/>
      <c r="C111" s="711" t="s">
        <v>98</v>
      </c>
      <c r="D111" s="276" t="s">
        <v>98</v>
      </c>
      <c r="E111" s="191" t="s">
        <v>597</v>
      </c>
      <c r="F111" s="641"/>
      <c r="G111" s="106"/>
      <c r="H111" s="5"/>
      <c r="I111" s="198"/>
      <c r="J111" s="5">
        <f>PRODUCT(G107,I107,'Giá Máy'!M11)</f>
        <v>1.9E-2</v>
      </c>
      <c r="K111" s="49"/>
      <c r="L111" s="49"/>
      <c r="M111" s="49"/>
      <c r="N111" s="49"/>
      <c r="O111" s="49"/>
      <c r="P111" s="49"/>
      <c r="Q111" s="49"/>
      <c r="R111" s="49"/>
      <c r="S111" s="49"/>
      <c r="T111" s="49"/>
      <c r="U111" s="49"/>
      <c r="V111" s="49"/>
      <c r="W111" s="49"/>
      <c r="X111" s="49"/>
      <c r="Y111" s="49"/>
      <c r="Z111" s="49"/>
      <c r="AA111" s="49"/>
    </row>
    <row r="112" spans="1:27" x14ac:dyDescent="0.25">
      <c r="A112" s="207"/>
      <c r="B112" s="641"/>
      <c r="C112" s="711" t="s">
        <v>98</v>
      </c>
      <c r="D112" s="276" t="s">
        <v>98</v>
      </c>
      <c r="E112" s="191" t="s">
        <v>599</v>
      </c>
      <c r="F112" s="641" t="s">
        <v>356</v>
      </c>
      <c r="G112" s="106"/>
      <c r="H112" s="5"/>
      <c r="I112" s="198"/>
      <c r="J112" s="5">
        <f>J102+J104+J106</f>
        <v>189821.64559924</v>
      </c>
      <c r="K112" s="49"/>
      <c r="L112" s="49"/>
      <c r="M112" s="49"/>
      <c r="N112" s="49"/>
      <c r="O112" s="49"/>
      <c r="P112" s="49"/>
      <c r="Q112" s="49"/>
      <c r="R112" s="49"/>
      <c r="S112" s="49"/>
      <c r="T112" s="49"/>
      <c r="U112" s="49"/>
      <c r="V112" s="49"/>
      <c r="W112" s="49"/>
      <c r="X112" s="49"/>
      <c r="Y112" s="49"/>
      <c r="Z112" s="49"/>
      <c r="AA112" s="49"/>
    </row>
    <row r="113" spans="1:27" x14ac:dyDescent="0.25">
      <c r="A113" s="207"/>
      <c r="B113" s="641"/>
      <c r="C113" s="711" t="s">
        <v>98</v>
      </c>
      <c r="D113" s="276" t="s">
        <v>98</v>
      </c>
      <c r="E113" s="191" t="s">
        <v>265</v>
      </c>
      <c r="F113" s="641" t="s">
        <v>653</v>
      </c>
      <c r="G113" s="307">
        <f>'Thông tin'!E67</f>
        <v>7.2999999999999995E-2</v>
      </c>
      <c r="H113" s="5"/>
      <c r="I113" s="198"/>
      <c r="J113" s="5">
        <f>(J112)*G113</f>
        <v>13856.980128744519</v>
      </c>
      <c r="K113" s="49"/>
      <c r="L113" s="49"/>
      <c r="M113" s="49"/>
      <c r="N113" s="49"/>
      <c r="O113" s="49"/>
      <c r="P113" s="49"/>
      <c r="Q113" s="49"/>
      <c r="R113" s="49"/>
      <c r="S113" s="49"/>
      <c r="T113" s="49"/>
      <c r="U113" s="49"/>
      <c r="V113" s="49"/>
      <c r="W113" s="49"/>
      <c r="X113" s="49"/>
      <c r="Y113" s="49"/>
      <c r="Z113" s="49"/>
      <c r="AA113" s="49"/>
    </row>
    <row r="114" spans="1:27" x14ac:dyDescent="0.25">
      <c r="A114" s="207"/>
      <c r="B114" s="641"/>
      <c r="C114" s="711" t="s">
        <v>98</v>
      </c>
      <c r="D114" s="276" t="s">
        <v>98</v>
      </c>
      <c r="E114" s="191" t="s">
        <v>765</v>
      </c>
      <c r="F114" s="641" t="s">
        <v>602</v>
      </c>
      <c r="G114" s="307">
        <f>'Thông tin'!E60</f>
        <v>1.1000000000000001E-2</v>
      </c>
      <c r="H114" s="5"/>
      <c r="I114" s="198"/>
      <c r="J114" s="5">
        <f>(J112)*G114</f>
        <v>2088.03810159164</v>
      </c>
      <c r="K114" s="49"/>
      <c r="L114" s="49"/>
      <c r="M114" s="49"/>
      <c r="N114" s="49"/>
      <c r="O114" s="49"/>
      <c r="P114" s="49"/>
      <c r="Q114" s="49"/>
      <c r="R114" s="49"/>
      <c r="S114" s="49"/>
      <c r="T114" s="49"/>
      <c r="U114" s="49"/>
      <c r="V114" s="49"/>
      <c r="W114" s="49"/>
      <c r="X114" s="49"/>
      <c r="Y114" s="49"/>
      <c r="Z114" s="49"/>
      <c r="AA114" s="49"/>
    </row>
    <row r="115" spans="1:27" ht="30" x14ac:dyDescent="0.25">
      <c r="A115" s="207"/>
      <c r="B115" s="641"/>
      <c r="C115" s="711" t="s">
        <v>98</v>
      </c>
      <c r="D115" s="276" t="s">
        <v>98</v>
      </c>
      <c r="E115" s="191" t="s">
        <v>457</v>
      </c>
      <c r="F115" s="641" t="s">
        <v>881</v>
      </c>
      <c r="G115" s="307">
        <f>'Thông tin'!E65</f>
        <v>2.5000000000000001E-2</v>
      </c>
      <c r="H115" s="5"/>
      <c r="I115" s="198"/>
      <c r="J115" s="5">
        <f>(J112)*G115</f>
        <v>4745.541139981</v>
      </c>
      <c r="K115" s="49"/>
      <c r="L115" s="49"/>
      <c r="M115" s="49"/>
      <c r="N115" s="49"/>
      <c r="O115" s="49"/>
      <c r="P115" s="49"/>
      <c r="Q115" s="49"/>
      <c r="R115" s="49"/>
      <c r="S115" s="49"/>
      <c r="T115" s="49"/>
      <c r="U115" s="49"/>
      <c r="V115" s="49"/>
      <c r="W115" s="49"/>
      <c r="X115" s="49"/>
      <c r="Y115" s="49"/>
      <c r="Z115" s="49"/>
      <c r="AA115" s="49"/>
    </row>
    <row r="116" spans="1:27" x14ac:dyDescent="0.25">
      <c r="A116" s="207"/>
      <c r="B116" s="641"/>
      <c r="C116" s="711" t="s">
        <v>98</v>
      </c>
      <c r="D116" s="276" t="s">
        <v>98</v>
      </c>
      <c r="E116" s="191" t="s">
        <v>1244</v>
      </c>
      <c r="F116" s="641" t="s">
        <v>1032</v>
      </c>
      <c r="G116" s="106"/>
      <c r="H116" s="5"/>
      <c r="I116" s="198"/>
      <c r="J116" s="5">
        <f>J113+J114+J115</f>
        <v>20690.559370317158</v>
      </c>
      <c r="K116" s="49"/>
      <c r="L116" s="49"/>
      <c r="M116" s="49"/>
      <c r="N116" s="49"/>
      <c r="O116" s="49"/>
      <c r="P116" s="49"/>
      <c r="Q116" s="49"/>
      <c r="R116" s="49"/>
      <c r="S116" s="49"/>
      <c r="T116" s="49"/>
      <c r="U116" s="49"/>
      <c r="V116" s="49"/>
      <c r="W116" s="49"/>
      <c r="X116" s="49"/>
      <c r="Y116" s="49"/>
      <c r="Z116" s="49"/>
      <c r="AA116" s="49"/>
    </row>
    <row r="117" spans="1:27" x14ac:dyDescent="0.25">
      <c r="A117" s="207"/>
      <c r="B117" s="641"/>
      <c r="C117" s="711" t="s">
        <v>98</v>
      </c>
      <c r="D117" s="276" t="s">
        <v>98</v>
      </c>
      <c r="E117" s="191" t="s">
        <v>990</v>
      </c>
      <c r="F117" s="641" t="s">
        <v>307</v>
      </c>
      <c r="G117" s="307">
        <f>'Thông tin'!E63</f>
        <v>5.5E-2</v>
      </c>
      <c r="H117" s="5"/>
      <c r="I117" s="198"/>
      <c r="J117" s="5">
        <f>(J112+J116)*G117</f>
        <v>11578.171273325643</v>
      </c>
      <c r="K117" s="49"/>
      <c r="L117" s="49"/>
      <c r="M117" s="49"/>
      <c r="N117" s="49"/>
      <c r="O117" s="49"/>
      <c r="P117" s="49"/>
      <c r="Q117" s="49"/>
      <c r="R117" s="49"/>
      <c r="S117" s="49"/>
      <c r="T117" s="49"/>
      <c r="U117" s="49"/>
      <c r="V117" s="49"/>
      <c r="W117" s="49"/>
      <c r="X117" s="49"/>
      <c r="Y117" s="49"/>
      <c r="Z117" s="49"/>
      <c r="AA117" s="49"/>
    </row>
    <row r="118" spans="1:27" x14ac:dyDescent="0.25">
      <c r="A118" s="207"/>
      <c r="B118" s="641"/>
      <c r="C118" s="711" t="s">
        <v>98</v>
      </c>
      <c r="D118" s="276" t="s">
        <v>98</v>
      </c>
      <c r="E118" s="7" t="s">
        <v>142</v>
      </c>
      <c r="F118" s="499" t="s">
        <v>286</v>
      </c>
      <c r="G118" s="106"/>
      <c r="H118" s="5"/>
      <c r="I118" s="198"/>
      <c r="J118" s="620">
        <f>J112+J116+J117</f>
        <v>222090.3762428828</v>
      </c>
      <c r="K118" s="49"/>
      <c r="L118" s="49"/>
      <c r="M118" s="49"/>
      <c r="N118" s="49"/>
      <c r="O118" s="49"/>
      <c r="P118" s="49"/>
      <c r="Q118" s="49"/>
      <c r="R118" s="49"/>
      <c r="S118" s="49"/>
      <c r="T118" s="49"/>
      <c r="U118" s="49"/>
      <c r="V118" s="49"/>
      <c r="W118" s="49"/>
      <c r="X118" s="49"/>
      <c r="Y118" s="49"/>
      <c r="Z118" s="49"/>
      <c r="AA118" s="49"/>
    </row>
    <row r="119" spans="1:27" x14ac:dyDescent="0.25">
      <c r="A119" s="207"/>
      <c r="B119" s="641"/>
      <c r="C119" s="711" t="s">
        <v>98</v>
      </c>
      <c r="D119" s="276" t="s">
        <v>98</v>
      </c>
      <c r="E119" s="191" t="s">
        <v>762</v>
      </c>
      <c r="F119" s="641" t="s">
        <v>830</v>
      </c>
      <c r="G119" s="705">
        <f>'Thông tin'!E61</f>
        <v>0.08</v>
      </c>
      <c r="H119" s="5"/>
      <c r="I119" s="198"/>
      <c r="J119" s="5">
        <f>(J118)*G119</f>
        <v>17767.230099430624</v>
      </c>
      <c r="K119" s="49"/>
      <c r="L119" s="49"/>
      <c r="M119" s="49"/>
      <c r="N119" s="49"/>
      <c r="O119" s="49"/>
      <c r="P119" s="49"/>
      <c r="Q119" s="49"/>
      <c r="R119" s="49"/>
      <c r="S119" s="49"/>
      <c r="T119" s="49"/>
      <c r="U119" s="49"/>
      <c r="V119" s="49"/>
      <c r="W119" s="49"/>
      <c r="X119" s="49"/>
      <c r="Y119" s="49"/>
      <c r="Z119" s="49"/>
      <c r="AA119" s="49"/>
    </row>
    <row r="120" spans="1:27" x14ac:dyDescent="0.25">
      <c r="A120" s="122"/>
      <c r="B120" s="581"/>
      <c r="C120" s="636" t="s">
        <v>98</v>
      </c>
      <c r="D120" s="196" t="s">
        <v>98</v>
      </c>
      <c r="E120" s="728" t="s">
        <v>953</v>
      </c>
      <c r="F120" s="429" t="s">
        <v>1108</v>
      </c>
      <c r="G120" s="29"/>
      <c r="H120" s="704"/>
      <c r="I120" s="113"/>
      <c r="J120" s="657">
        <f>J118+J119</f>
        <v>239857.60634231343</v>
      </c>
      <c r="K120" s="49"/>
      <c r="L120" s="49"/>
      <c r="M120" s="49"/>
      <c r="N120" s="49"/>
      <c r="O120" s="49"/>
      <c r="P120" s="49"/>
      <c r="Q120" s="49"/>
      <c r="R120" s="49"/>
      <c r="S120" s="49"/>
      <c r="T120" s="49"/>
      <c r="U120" s="49"/>
      <c r="V120" s="49"/>
      <c r="W120" s="49"/>
      <c r="X120" s="49"/>
      <c r="Y120" s="49"/>
      <c r="Z120" s="49"/>
      <c r="AA120" s="49"/>
    </row>
    <row r="121" spans="1:27" x14ac:dyDescent="0.25">
      <c r="A121" s="458"/>
      <c r="B121" s="130">
        <v>6</v>
      </c>
      <c r="C121" s="234" t="str">
        <f>'Du toan chi tiet'!C12</f>
        <v>AL.16201</v>
      </c>
      <c r="D121" s="234" t="str">
        <f>'Du toan chi tiet'!C12</f>
        <v>AL.16201</v>
      </c>
      <c r="E121" s="730" t="str">
        <f>'Du toan chi tiet'!D12</f>
        <v>Lót bạc nilong sọc xanh đỏ</v>
      </c>
      <c r="F121" s="130" t="str">
        <f>'Du toan chi tiet'!E12</f>
        <v>m2</v>
      </c>
      <c r="G121" s="664"/>
      <c r="H121" s="282"/>
      <c r="I121" s="450"/>
      <c r="J121" s="282"/>
      <c r="K121" s="49"/>
      <c r="L121" s="49"/>
      <c r="M121" s="49"/>
      <c r="N121" s="49"/>
      <c r="O121" s="49"/>
      <c r="P121" s="49"/>
      <c r="Q121" s="49"/>
      <c r="R121" s="49"/>
      <c r="S121" s="49"/>
      <c r="T121" s="49"/>
      <c r="U121" s="49"/>
      <c r="V121" s="49"/>
      <c r="W121" s="49"/>
      <c r="X121" s="49"/>
      <c r="Y121" s="49"/>
      <c r="Z121" s="49"/>
      <c r="AA121" s="49"/>
    </row>
    <row r="122" spans="1:27" x14ac:dyDescent="0.25">
      <c r="A122" s="261"/>
      <c r="B122" s="690"/>
      <c r="C122" s="745" t="s">
        <v>98</v>
      </c>
      <c r="D122" s="745" t="s">
        <v>98</v>
      </c>
      <c r="E122" s="247" t="s">
        <v>547</v>
      </c>
      <c r="F122" s="690" t="s">
        <v>962</v>
      </c>
      <c r="G122" s="133"/>
      <c r="H122" s="44"/>
      <c r="I122" s="233"/>
      <c r="J122" s="44">
        <f>SUM(J123:J124)</f>
        <v>5610</v>
      </c>
      <c r="K122" s="49"/>
      <c r="L122" s="49"/>
      <c r="M122" s="49"/>
      <c r="N122" s="49"/>
      <c r="O122" s="49"/>
      <c r="P122" s="49"/>
      <c r="Q122" s="49"/>
      <c r="R122" s="49"/>
      <c r="S122" s="49"/>
      <c r="T122" s="49"/>
      <c r="U122" s="49"/>
      <c r="V122" s="49"/>
      <c r="W122" s="49"/>
      <c r="X122" s="49"/>
      <c r="Y122" s="49"/>
      <c r="Z122" s="49"/>
      <c r="AA122" s="49"/>
    </row>
    <row r="123" spans="1:27" x14ac:dyDescent="0.25">
      <c r="A123" s="207"/>
      <c r="B123" s="641"/>
      <c r="C123" s="711" t="s">
        <v>98</v>
      </c>
      <c r="D123" s="276" t="s">
        <v>580</v>
      </c>
      <c r="E123" s="191" t="str">
        <f>" - " &amp; 'Giá VL'!E16</f>
        <v xml:space="preserve"> - Bạc sọc xanh trắng</v>
      </c>
      <c r="F123" s="641" t="str">
        <f>'Giá VL'!F16</f>
        <v>m2</v>
      </c>
      <c r="G123" s="67">
        <f>'Phan tich don gia'!G50</f>
        <v>1.1000000000000001</v>
      </c>
      <c r="H123" s="5">
        <f>'Giá VL'!V16</f>
        <v>5000</v>
      </c>
      <c r="I123" s="198">
        <f>'Du toan chi tiet'!V12</f>
        <v>1</v>
      </c>
      <c r="J123" s="5">
        <f t="shared" ref="J123:J124" si="8">PRODUCT(G123,H123,I123)</f>
        <v>5500</v>
      </c>
      <c r="K123" s="49"/>
      <c r="L123" s="49"/>
      <c r="M123" s="49"/>
      <c r="N123" s="49"/>
      <c r="O123" s="49"/>
      <c r="P123" s="49"/>
      <c r="Q123" s="49"/>
      <c r="R123" s="49"/>
      <c r="S123" s="49"/>
      <c r="T123" s="49"/>
      <c r="U123" s="49"/>
      <c r="V123" s="49"/>
      <c r="W123" s="49"/>
      <c r="X123" s="49"/>
      <c r="Y123" s="49"/>
      <c r="Z123" s="49"/>
      <c r="AA123" s="49"/>
    </row>
    <row r="124" spans="1:27" x14ac:dyDescent="0.25">
      <c r="A124" s="207"/>
      <c r="B124" s="641"/>
      <c r="C124" s="711" t="s">
        <v>98</v>
      </c>
      <c r="D124" s="276" t="s">
        <v>667</v>
      </c>
      <c r="E124" s="191" t="s">
        <v>238</v>
      </c>
      <c r="F124" s="641" t="s">
        <v>1113</v>
      </c>
      <c r="G124" s="67">
        <f>'Phan tich don gia'!G51</f>
        <v>2</v>
      </c>
      <c r="H124" s="5">
        <f>IF('Du toan chi tiet'!V12&lt;&gt;0,SUM(J123:J123)/100/'Du toan chi tiet'!V12,0)</f>
        <v>55</v>
      </c>
      <c r="I124" s="198">
        <f>'Du toan chi tiet'!V12</f>
        <v>1</v>
      </c>
      <c r="J124" s="5">
        <f t="shared" si="8"/>
        <v>110</v>
      </c>
      <c r="K124" s="49"/>
      <c r="L124" s="49"/>
      <c r="M124" s="49"/>
      <c r="N124" s="49"/>
      <c r="O124" s="49"/>
      <c r="P124" s="49"/>
      <c r="Q124" s="49"/>
      <c r="R124" s="49"/>
      <c r="S124" s="49"/>
      <c r="T124" s="49"/>
      <c r="U124" s="49"/>
      <c r="V124" s="49"/>
      <c r="W124" s="49"/>
      <c r="X124" s="49"/>
      <c r="Y124" s="49"/>
      <c r="Z124" s="49"/>
      <c r="AA124" s="49"/>
    </row>
    <row r="125" spans="1:27" x14ac:dyDescent="0.25">
      <c r="A125" s="261"/>
      <c r="B125" s="690"/>
      <c r="C125" s="745" t="s">
        <v>98</v>
      </c>
      <c r="D125" s="745" t="s">
        <v>98</v>
      </c>
      <c r="E125" s="247" t="s">
        <v>301</v>
      </c>
      <c r="F125" s="690" t="s">
        <v>1018</v>
      </c>
      <c r="G125" s="133"/>
      <c r="H125" s="44"/>
      <c r="I125" s="233"/>
      <c r="J125" s="44">
        <f>SUM(J126:J126)</f>
        <v>378.3</v>
      </c>
      <c r="K125" s="49"/>
      <c r="L125" s="49"/>
      <c r="M125" s="49"/>
      <c r="N125" s="49"/>
      <c r="O125" s="49"/>
      <c r="P125" s="49"/>
      <c r="Q125" s="49"/>
      <c r="R125" s="49"/>
      <c r="S125" s="49"/>
      <c r="T125" s="49"/>
      <c r="U125" s="49"/>
      <c r="V125" s="49"/>
      <c r="W125" s="49"/>
      <c r="X125" s="49"/>
      <c r="Y125" s="49"/>
      <c r="Z125" s="49"/>
      <c r="AA125" s="49"/>
    </row>
    <row r="126" spans="1:27" x14ac:dyDescent="0.25">
      <c r="A126" s="207"/>
      <c r="B126" s="641"/>
      <c r="C126" s="711" t="s">
        <v>98</v>
      </c>
      <c r="D126" s="276" t="s">
        <v>706</v>
      </c>
      <c r="E126" s="191" t="str">
        <f>" - " &amp; 'Giá NC'!E8</f>
        <v xml:space="preserve"> - Nhân công bậc 3,5/7 - Nhóm 2</v>
      </c>
      <c r="F126" s="641" t="str">
        <f>'Giá NC'!F8</f>
        <v>công</v>
      </c>
      <c r="G126" s="67">
        <f>'Phan tich don gia'!G53</f>
        <v>1.5E-3</v>
      </c>
      <c r="H126" s="5">
        <f>'Giá NC'!K8</f>
        <v>252200</v>
      </c>
      <c r="I126" s="198">
        <f>'Du toan chi tiet'!W12</f>
        <v>1</v>
      </c>
      <c r="J126" s="5">
        <f>PRODUCT(G126,H126,I126)</f>
        <v>378.3</v>
      </c>
      <c r="K126" s="49"/>
      <c r="L126" s="49"/>
      <c r="M126" s="49"/>
      <c r="N126" s="49"/>
      <c r="O126" s="49"/>
      <c r="P126" s="49"/>
      <c r="Q126" s="49"/>
      <c r="R126" s="49"/>
      <c r="S126" s="49"/>
      <c r="T126" s="49"/>
      <c r="U126" s="49"/>
      <c r="V126" s="49"/>
      <c r="W126" s="49"/>
      <c r="X126" s="49"/>
      <c r="Y126" s="49"/>
      <c r="Z126" s="49"/>
      <c r="AA126" s="49"/>
    </row>
    <row r="127" spans="1:27" x14ac:dyDescent="0.25">
      <c r="A127" s="261"/>
      <c r="B127" s="690"/>
      <c r="C127" s="745" t="s">
        <v>98</v>
      </c>
      <c r="D127" s="745" t="s">
        <v>98</v>
      </c>
      <c r="E127" s="247" t="s">
        <v>1175</v>
      </c>
      <c r="F127" s="690" t="s">
        <v>138</v>
      </c>
      <c r="G127" s="133"/>
      <c r="H127" s="44"/>
      <c r="I127" s="233"/>
      <c r="J127" s="44">
        <v>0</v>
      </c>
      <c r="K127" s="49"/>
      <c r="L127" s="49"/>
      <c r="M127" s="49"/>
      <c r="N127" s="49"/>
      <c r="O127" s="49"/>
      <c r="P127" s="49"/>
      <c r="Q127" s="49"/>
      <c r="R127" s="49"/>
      <c r="S127" s="49"/>
      <c r="T127" s="49"/>
      <c r="U127" s="49"/>
      <c r="V127" s="49"/>
      <c r="W127" s="49"/>
      <c r="X127" s="49"/>
      <c r="Y127" s="49"/>
      <c r="Z127" s="49"/>
      <c r="AA127" s="49"/>
    </row>
    <row r="128" spans="1:27" x14ac:dyDescent="0.25">
      <c r="A128" s="207"/>
      <c r="B128" s="641"/>
      <c r="C128" s="711" t="s">
        <v>98</v>
      </c>
      <c r="D128" s="276" t="s">
        <v>98</v>
      </c>
      <c r="E128" s="191" t="s">
        <v>599</v>
      </c>
      <c r="F128" s="641" t="s">
        <v>356</v>
      </c>
      <c r="G128" s="106"/>
      <c r="H128" s="5"/>
      <c r="I128" s="198"/>
      <c r="J128" s="5">
        <f>J122+J125+J127</f>
        <v>5988.3</v>
      </c>
      <c r="K128" s="49"/>
      <c r="L128" s="49"/>
      <c r="M128" s="49"/>
      <c r="N128" s="49"/>
      <c r="O128" s="49"/>
      <c r="P128" s="49"/>
      <c r="Q128" s="49"/>
      <c r="R128" s="49"/>
      <c r="S128" s="49"/>
      <c r="T128" s="49"/>
      <c r="U128" s="49"/>
      <c r="V128" s="49"/>
      <c r="W128" s="49"/>
      <c r="X128" s="49"/>
      <c r="Y128" s="49"/>
      <c r="Z128" s="49"/>
      <c r="AA128" s="49"/>
    </row>
    <row r="129" spans="1:27" x14ac:dyDescent="0.25">
      <c r="A129" s="207"/>
      <c r="B129" s="641"/>
      <c r="C129" s="711" t="s">
        <v>98</v>
      </c>
      <c r="D129" s="276" t="s">
        <v>98</v>
      </c>
      <c r="E129" s="191" t="s">
        <v>265</v>
      </c>
      <c r="F129" s="641" t="s">
        <v>653</v>
      </c>
      <c r="G129" s="307">
        <f>'Thông tin'!E67</f>
        <v>7.2999999999999995E-2</v>
      </c>
      <c r="H129" s="5"/>
      <c r="I129" s="198"/>
      <c r="J129" s="5">
        <f>(J128)*G129</f>
        <v>437.14589999999998</v>
      </c>
      <c r="K129" s="49"/>
      <c r="L129" s="49"/>
      <c r="M129" s="49"/>
      <c r="N129" s="49"/>
      <c r="O129" s="49"/>
      <c r="P129" s="49"/>
      <c r="Q129" s="49"/>
      <c r="R129" s="49"/>
      <c r="S129" s="49"/>
      <c r="T129" s="49"/>
      <c r="U129" s="49"/>
      <c r="V129" s="49"/>
      <c r="W129" s="49"/>
      <c r="X129" s="49"/>
      <c r="Y129" s="49"/>
      <c r="Z129" s="49"/>
      <c r="AA129" s="49"/>
    </row>
    <row r="130" spans="1:27" x14ac:dyDescent="0.25">
      <c r="A130" s="207"/>
      <c r="B130" s="641"/>
      <c r="C130" s="711" t="s">
        <v>98</v>
      </c>
      <c r="D130" s="276" t="s">
        <v>98</v>
      </c>
      <c r="E130" s="191" t="s">
        <v>765</v>
      </c>
      <c r="F130" s="641" t="s">
        <v>602</v>
      </c>
      <c r="G130" s="307">
        <f>'Thông tin'!E60</f>
        <v>1.1000000000000001E-2</v>
      </c>
      <c r="H130" s="5"/>
      <c r="I130" s="198"/>
      <c r="J130" s="5">
        <f>(J128)*G130</f>
        <v>65.871300000000005</v>
      </c>
      <c r="K130" s="49"/>
      <c r="L130" s="49"/>
      <c r="M130" s="49"/>
      <c r="N130" s="49"/>
      <c r="O130" s="49"/>
      <c r="P130" s="49"/>
      <c r="Q130" s="49"/>
      <c r="R130" s="49"/>
      <c r="S130" s="49"/>
      <c r="T130" s="49"/>
      <c r="U130" s="49"/>
      <c r="V130" s="49"/>
      <c r="W130" s="49"/>
      <c r="X130" s="49"/>
      <c r="Y130" s="49"/>
      <c r="Z130" s="49"/>
      <c r="AA130" s="49"/>
    </row>
    <row r="131" spans="1:27" ht="30" x14ac:dyDescent="0.25">
      <c r="A131" s="207"/>
      <c r="B131" s="641"/>
      <c r="C131" s="711" t="s">
        <v>98</v>
      </c>
      <c r="D131" s="276" t="s">
        <v>98</v>
      </c>
      <c r="E131" s="191" t="s">
        <v>457</v>
      </c>
      <c r="F131" s="641" t="s">
        <v>881</v>
      </c>
      <c r="G131" s="307">
        <f>'Thông tin'!E65</f>
        <v>2.5000000000000001E-2</v>
      </c>
      <c r="H131" s="5"/>
      <c r="I131" s="198"/>
      <c r="J131" s="5">
        <f>(J128)*G131</f>
        <v>149.70750000000001</v>
      </c>
      <c r="K131" s="49"/>
      <c r="L131" s="49"/>
      <c r="M131" s="49"/>
      <c r="N131" s="49"/>
      <c r="O131" s="49"/>
      <c r="P131" s="49"/>
      <c r="Q131" s="49"/>
      <c r="R131" s="49"/>
      <c r="S131" s="49"/>
      <c r="T131" s="49"/>
      <c r="U131" s="49"/>
      <c r="V131" s="49"/>
      <c r="W131" s="49"/>
      <c r="X131" s="49"/>
      <c r="Y131" s="49"/>
      <c r="Z131" s="49"/>
      <c r="AA131" s="49"/>
    </row>
    <row r="132" spans="1:27" x14ac:dyDescent="0.25">
      <c r="A132" s="207"/>
      <c r="B132" s="641"/>
      <c r="C132" s="711" t="s">
        <v>98</v>
      </c>
      <c r="D132" s="276" t="s">
        <v>98</v>
      </c>
      <c r="E132" s="191" t="s">
        <v>1244</v>
      </c>
      <c r="F132" s="641" t="s">
        <v>1032</v>
      </c>
      <c r="G132" s="106"/>
      <c r="H132" s="5"/>
      <c r="I132" s="198"/>
      <c r="J132" s="5">
        <f>J129+J130+J131</f>
        <v>652.72469999999998</v>
      </c>
      <c r="K132" s="49"/>
      <c r="L132" s="49"/>
      <c r="M132" s="49"/>
      <c r="N132" s="49"/>
      <c r="O132" s="49"/>
      <c r="P132" s="49"/>
      <c r="Q132" s="49"/>
      <c r="R132" s="49"/>
      <c r="S132" s="49"/>
      <c r="T132" s="49"/>
      <c r="U132" s="49"/>
      <c r="V132" s="49"/>
      <c r="W132" s="49"/>
      <c r="X132" s="49"/>
      <c r="Y132" s="49"/>
      <c r="Z132" s="49"/>
      <c r="AA132" s="49"/>
    </row>
    <row r="133" spans="1:27" x14ac:dyDescent="0.25">
      <c r="A133" s="207"/>
      <c r="B133" s="641"/>
      <c r="C133" s="711" t="s">
        <v>98</v>
      </c>
      <c r="D133" s="276" t="s">
        <v>98</v>
      </c>
      <c r="E133" s="191" t="s">
        <v>990</v>
      </c>
      <c r="F133" s="641" t="s">
        <v>307</v>
      </c>
      <c r="G133" s="307">
        <f>'Thông tin'!E63</f>
        <v>5.5E-2</v>
      </c>
      <c r="H133" s="5"/>
      <c r="I133" s="198"/>
      <c r="J133" s="5">
        <f>(J128+J132)*G133</f>
        <v>365.25635849999998</v>
      </c>
      <c r="K133" s="49"/>
      <c r="L133" s="49"/>
      <c r="M133" s="49"/>
      <c r="N133" s="49"/>
      <c r="O133" s="49"/>
      <c r="P133" s="49"/>
      <c r="Q133" s="49"/>
      <c r="R133" s="49"/>
      <c r="S133" s="49"/>
      <c r="T133" s="49"/>
      <c r="U133" s="49"/>
      <c r="V133" s="49"/>
      <c r="W133" s="49"/>
      <c r="X133" s="49"/>
      <c r="Y133" s="49"/>
      <c r="Z133" s="49"/>
      <c r="AA133" s="49"/>
    </row>
    <row r="134" spans="1:27" x14ac:dyDescent="0.25">
      <c r="A134" s="207"/>
      <c r="B134" s="641"/>
      <c r="C134" s="711" t="s">
        <v>98</v>
      </c>
      <c r="D134" s="276" t="s">
        <v>98</v>
      </c>
      <c r="E134" s="7" t="s">
        <v>142</v>
      </c>
      <c r="F134" s="499" t="s">
        <v>286</v>
      </c>
      <c r="G134" s="106"/>
      <c r="H134" s="5"/>
      <c r="I134" s="198"/>
      <c r="J134" s="620">
        <f>J128+J132+J133</f>
        <v>7006.2810584999997</v>
      </c>
      <c r="K134" s="49"/>
      <c r="L134" s="49"/>
      <c r="M134" s="49"/>
      <c r="N134" s="49"/>
      <c r="O134" s="49"/>
      <c r="P134" s="49"/>
      <c r="Q134" s="49"/>
      <c r="R134" s="49"/>
      <c r="S134" s="49"/>
      <c r="T134" s="49"/>
      <c r="U134" s="49"/>
      <c r="V134" s="49"/>
      <c r="W134" s="49"/>
      <c r="X134" s="49"/>
      <c r="Y134" s="49"/>
      <c r="Z134" s="49"/>
      <c r="AA134" s="49"/>
    </row>
    <row r="135" spans="1:27" x14ac:dyDescent="0.25">
      <c r="A135" s="207"/>
      <c r="B135" s="641"/>
      <c r="C135" s="711" t="s">
        <v>98</v>
      </c>
      <c r="D135" s="276" t="s">
        <v>98</v>
      </c>
      <c r="E135" s="191" t="s">
        <v>762</v>
      </c>
      <c r="F135" s="641" t="s">
        <v>830</v>
      </c>
      <c r="G135" s="705">
        <f>'Thông tin'!E61</f>
        <v>0.08</v>
      </c>
      <c r="H135" s="5"/>
      <c r="I135" s="198"/>
      <c r="J135" s="5">
        <f>(J134)*G135</f>
        <v>560.50248467999995</v>
      </c>
      <c r="K135" s="49"/>
      <c r="L135" s="49"/>
      <c r="M135" s="49"/>
      <c r="N135" s="49"/>
      <c r="O135" s="49"/>
      <c r="P135" s="49"/>
      <c r="Q135" s="49"/>
      <c r="R135" s="49"/>
      <c r="S135" s="49"/>
      <c r="T135" s="49"/>
      <c r="U135" s="49"/>
      <c r="V135" s="49"/>
      <c r="W135" s="49"/>
      <c r="X135" s="49"/>
      <c r="Y135" s="49"/>
      <c r="Z135" s="49"/>
      <c r="AA135" s="49"/>
    </row>
    <row r="136" spans="1:27" x14ac:dyDescent="0.25">
      <c r="A136" s="122"/>
      <c r="B136" s="581"/>
      <c r="C136" s="636" t="s">
        <v>98</v>
      </c>
      <c r="D136" s="196" t="s">
        <v>98</v>
      </c>
      <c r="E136" s="728" t="s">
        <v>953</v>
      </c>
      <c r="F136" s="429" t="s">
        <v>1108</v>
      </c>
      <c r="G136" s="29"/>
      <c r="H136" s="704"/>
      <c r="I136" s="113"/>
      <c r="J136" s="657">
        <f>J134+J135</f>
        <v>7566.7835431799995</v>
      </c>
      <c r="K136" s="49"/>
      <c r="L136" s="49"/>
      <c r="M136" s="49"/>
      <c r="N136" s="49"/>
      <c r="O136" s="49"/>
      <c r="P136" s="49"/>
      <c r="Q136" s="49"/>
      <c r="R136" s="49"/>
      <c r="S136" s="49"/>
      <c r="T136" s="49"/>
      <c r="U136" s="49"/>
      <c r="V136" s="49"/>
      <c r="W136" s="49"/>
      <c r="X136" s="49"/>
      <c r="Y136" s="49"/>
      <c r="Z136" s="49"/>
      <c r="AA136" s="49"/>
    </row>
    <row r="137" spans="1:27" x14ac:dyDescent="0.25">
      <c r="A137" s="458"/>
      <c r="B137" s="130">
        <v>7</v>
      </c>
      <c r="C137" s="234" t="str">
        <f>'Du toan chi tiet'!C13</f>
        <v>AF.82411</v>
      </c>
      <c r="D137" s="234" t="str">
        <f>'Du toan chi tiet'!C13</f>
        <v>AF.82411</v>
      </c>
      <c r="E137" s="730" t="str">
        <f>'Du toan chi tiet'!D13</f>
        <v>Ván khuôn thép mặt đường bê tông</v>
      </c>
      <c r="F137" s="130" t="str">
        <f>'Du toan chi tiet'!E13</f>
        <v>m2</v>
      </c>
      <c r="G137" s="664"/>
      <c r="H137" s="282"/>
      <c r="I137" s="450"/>
      <c r="J137" s="282"/>
      <c r="K137" s="49"/>
      <c r="L137" s="49"/>
      <c r="M137" s="49"/>
      <c r="N137" s="49"/>
      <c r="O137" s="49"/>
      <c r="P137" s="49"/>
      <c r="Q137" s="49"/>
      <c r="R137" s="49"/>
      <c r="S137" s="49"/>
      <c r="T137" s="49"/>
      <c r="U137" s="49"/>
      <c r="V137" s="49"/>
      <c r="W137" s="49"/>
      <c r="X137" s="49"/>
      <c r="Y137" s="49"/>
      <c r="Z137" s="49"/>
      <c r="AA137" s="49"/>
    </row>
    <row r="138" spans="1:27" x14ac:dyDescent="0.25">
      <c r="A138" s="261"/>
      <c r="B138" s="690"/>
      <c r="C138" s="745" t="s">
        <v>98</v>
      </c>
      <c r="D138" s="745" t="s">
        <v>98</v>
      </c>
      <c r="E138" s="247" t="s">
        <v>547</v>
      </c>
      <c r="F138" s="690" t="s">
        <v>962</v>
      </c>
      <c r="G138" s="133"/>
      <c r="H138" s="44"/>
      <c r="I138" s="233"/>
      <c r="J138" s="44">
        <f>SUM(J139:J141)</f>
        <v>6608.9745113801073</v>
      </c>
      <c r="K138" s="49"/>
      <c r="L138" s="49"/>
      <c r="M138" s="49"/>
      <c r="N138" s="49"/>
      <c r="O138" s="49"/>
      <c r="P138" s="49"/>
      <c r="Q138" s="49"/>
      <c r="R138" s="49"/>
      <c r="S138" s="49"/>
      <c r="T138" s="49"/>
      <c r="U138" s="49"/>
      <c r="V138" s="49"/>
      <c r="W138" s="49"/>
      <c r="X138" s="49"/>
      <c r="Y138" s="49"/>
      <c r="Z138" s="49"/>
      <c r="AA138" s="49"/>
    </row>
    <row r="139" spans="1:27" x14ac:dyDescent="0.25">
      <c r="A139" s="207"/>
      <c r="B139" s="641"/>
      <c r="C139" s="711" t="s">
        <v>98</v>
      </c>
      <c r="D139" s="276" t="s">
        <v>649</v>
      </c>
      <c r="E139" s="191" t="str">
        <f>" - " &amp; 'Giá VL'!E30</f>
        <v xml:space="preserve"> - Thép hình, thép tấm</v>
      </c>
      <c r="F139" s="641" t="str">
        <f>'Giá VL'!F30</f>
        <v>kg</v>
      </c>
      <c r="G139" s="67">
        <f>'Phan tich don gia'!G56</f>
        <v>0.315</v>
      </c>
      <c r="H139" s="5">
        <f>'Giá VL'!V30</f>
        <v>19657.495796390001</v>
      </c>
      <c r="I139" s="198">
        <f>'Du toan chi tiet'!V13</f>
        <v>1</v>
      </c>
      <c r="J139" s="5">
        <f t="shared" ref="J139:J141" si="9">PRODUCT(G139,H139,I139)</f>
        <v>6192.1111758628504</v>
      </c>
      <c r="K139" s="49"/>
      <c r="L139" s="49"/>
      <c r="M139" s="49"/>
      <c r="N139" s="49"/>
      <c r="O139" s="49"/>
      <c r="P139" s="49"/>
      <c r="Q139" s="49"/>
      <c r="R139" s="49"/>
      <c r="S139" s="49"/>
      <c r="T139" s="49"/>
      <c r="U139" s="49"/>
      <c r="V139" s="49"/>
      <c r="W139" s="49"/>
      <c r="X139" s="49"/>
      <c r="Y139" s="49"/>
      <c r="Z139" s="49"/>
      <c r="AA139" s="49"/>
    </row>
    <row r="140" spans="1:27" x14ac:dyDescent="0.25">
      <c r="A140" s="207"/>
      <c r="B140" s="641"/>
      <c r="C140" s="711" t="s">
        <v>98</v>
      </c>
      <c r="D140" s="276" t="s">
        <v>919</v>
      </c>
      <c r="E140" s="191" t="str">
        <f>" - " &amp; 'Giá VL'!E25</f>
        <v xml:space="preserve"> - Que hàn</v>
      </c>
      <c r="F140" s="641" t="str">
        <f>'Giá VL'!F25</f>
        <v>kg</v>
      </c>
      <c r="G140" s="67">
        <f>'Phan tich don gia'!G57</f>
        <v>1.5800000000000002E-2</v>
      </c>
      <c r="H140" s="5">
        <f>'Giá VL'!V25</f>
        <v>18182</v>
      </c>
      <c r="I140" s="198">
        <f>'Du toan chi tiet'!V13</f>
        <v>1</v>
      </c>
      <c r="J140" s="5">
        <f t="shared" si="9"/>
        <v>287.27560000000005</v>
      </c>
      <c r="K140" s="49"/>
      <c r="L140" s="49"/>
      <c r="M140" s="49"/>
      <c r="N140" s="49"/>
      <c r="O140" s="49"/>
      <c r="P140" s="49"/>
      <c r="Q140" s="49"/>
      <c r="R140" s="49"/>
      <c r="S140" s="49"/>
      <c r="T140" s="49"/>
      <c r="U140" s="49"/>
      <c r="V140" s="49"/>
      <c r="W140" s="49"/>
      <c r="X140" s="49"/>
      <c r="Y140" s="49"/>
      <c r="Z140" s="49"/>
      <c r="AA140" s="49"/>
    </row>
    <row r="141" spans="1:27" x14ac:dyDescent="0.25">
      <c r="A141" s="207"/>
      <c r="B141" s="641"/>
      <c r="C141" s="711" t="s">
        <v>98</v>
      </c>
      <c r="D141" s="276" t="s">
        <v>667</v>
      </c>
      <c r="E141" s="191" t="s">
        <v>238</v>
      </c>
      <c r="F141" s="641" t="s">
        <v>1113</v>
      </c>
      <c r="G141" s="67">
        <f>'Phan tich don gia'!G58</f>
        <v>2</v>
      </c>
      <c r="H141" s="5">
        <f>IF('Du toan chi tiet'!V13&lt;&gt;0,SUM(J139:J140)/100/'Du toan chi tiet'!V13,0)</f>
        <v>64.793867758628508</v>
      </c>
      <c r="I141" s="198">
        <f>'Du toan chi tiet'!V13</f>
        <v>1</v>
      </c>
      <c r="J141" s="5">
        <f t="shared" si="9"/>
        <v>129.58773551725702</v>
      </c>
      <c r="K141" s="49"/>
      <c r="L141" s="49"/>
      <c r="M141" s="49"/>
      <c r="N141" s="49"/>
      <c r="O141" s="49"/>
      <c r="P141" s="49"/>
      <c r="Q141" s="49"/>
      <c r="R141" s="49"/>
      <c r="S141" s="49"/>
      <c r="T141" s="49"/>
      <c r="U141" s="49"/>
      <c r="V141" s="49"/>
      <c r="W141" s="49"/>
      <c r="X141" s="49"/>
      <c r="Y141" s="49"/>
      <c r="Z141" s="49"/>
      <c r="AA141" s="49"/>
    </row>
    <row r="142" spans="1:27" x14ac:dyDescent="0.25">
      <c r="A142" s="261"/>
      <c r="B142" s="690"/>
      <c r="C142" s="745" t="s">
        <v>98</v>
      </c>
      <c r="D142" s="745" t="s">
        <v>98</v>
      </c>
      <c r="E142" s="247" t="s">
        <v>301</v>
      </c>
      <c r="F142" s="690" t="s">
        <v>1018</v>
      </c>
      <c r="G142" s="133"/>
      <c r="H142" s="44"/>
      <c r="I142" s="233"/>
      <c r="J142" s="44">
        <f>SUM(J143:J143)</f>
        <v>31483.550000000003</v>
      </c>
      <c r="K142" s="49"/>
      <c r="L142" s="49"/>
      <c r="M142" s="49"/>
      <c r="N142" s="49"/>
      <c r="O142" s="49"/>
      <c r="P142" s="49"/>
      <c r="Q142" s="49"/>
      <c r="R142" s="49"/>
      <c r="S142" s="49"/>
      <c r="T142" s="49"/>
      <c r="U142" s="49"/>
      <c r="V142" s="49"/>
      <c r="W142" s="49"/>
      <c r="X142" s="49"/>
      <c r="Y142" s="49"/>
      <c r="Z142" s="49"/>
      <c r="AA142" s="49"/>
    </row>
    <row r="143" spans="1:27" x14ac:dyDescent="0.25">
      <c r="A143" s="207"/>
      <c r="B143" s="641"/>
      <c r="C143" s="711" t="s">
        <v>98</v>
      </c>
      <c r="D143" s="276" t="s">
        <v>169</v>
      </c>
      <c r="E143" s="191" t="str">
        <f>" - " &amp; 'Giá NC'!E9</f>
        <v xml:space="preserve"> - Nhân công bậc 4,0/7 - Nhóm 2</v>
      </c>
      <c r="F143" s="641" t="str">
        <f>'Giá NC'!F9</f>
        <v>công</v>
      </c>
      <c r="G143" s="67">
        <f>'Phan tich don gia'!G60</f>
        <v>0.115</v>
      </c>
      <c r="H143" s="5">
        <f>'Giá NC'!K9</f>
        <v>273770</v>
      </c>
      <c r="I143" s="198">
        <f>'Du toan chi tiet'!W13</f>
        <v>1</v>
      </c>
      <c r="J143" s="5">
        <f>PRODUCT(G143,H143,I143)</f>
        <v>31483.550000000003</v>
      </c>
      <c r="K143" s="49"/>
      <c r="L143" s="49"/>
      <c r="M143" s="49"/>
      <c r="N143" s="49"/>
      <c r="O143" s="49"/>
      <c r="P143" s="49"/>
      <c r="Q143" s="49"/>
      <c r="R143" s="49"/>
      <c r="S143" s="49"/>
      <c r="T143" s="49"/>
      <c r="U143" s="49"/>
      <c r="V143" s="49"/>
      <c r="W143" s="49"/>
      <c r="X143" s="49"/>
      <c r="Y143" s="49"/>
      <c r="Z143" s="49"/>
      <c r="AA143" s="49"/>
    </row>
    <row r="144" spans="1:27" x14ac:dyDescent="0.25">
      <c r="A144" s="261"/>
      <c r="B144" s="690"/>
      <c r="C144" s="745" t="s">
        <v>98</v>
      </c>
      <c r="D144" s="745" t="s">
        <v>98</v>
      </c>
      <c r="E144" s="247" t="s">
        <v>1175</v>
      </c>
      <c r="F144" s="690" t="s">
        <v>138</v>
      </c>
      <c r="G144" s="133"/>
      <c r="H144" s="44"/>
      <c r="I144" s="233"/>
      <c r="J144" s="44">
        <f>SUM(J145:J147)</f>
        <v>2047.4434679999999</v>
      </c>
      <c r="K144" s="49"/>
      <c r="L144" s="49"/>
      <c r="M144" s="49"/>
      <c r="N144" s="49"/>
      <c r="O144" s="49"/>
      <c r="P144" s="49"/>
      <c r="Q144" s="49"/>
      <c r="R144" s="49"/>
      <c r="S144" s="49"/>
      <c r="T144" s="49"/>
      <c r="U144" s="49"/>
      <c r="V144" s="49"/>
      <c r="W144" s="49"/>
      <c r="X144" s="49"/>
      <c r="Y144" s="49"/>
      <c r="Z144" s="49"/>
      <c r="AA144" s="49"/>
    </row>
    <row r="145" spans="1:27" x14ac:dyDescent="0.25">
      <c r="A145" s="207"/>
      <c r="B145" s="641"/>
      <c r="C145" s="711" t="s">
        <v>98</v>
      </c>
      <c r="D145" s="276" t="s">
        <v>82</v>
      </c>
      <c r="E145" s="191" t="str">
        <f>" - " &amp; 'Giá Máy'!E15</f>
        <v xml:space="preserve"> - Máy hàn điện 23kW</v>
      </c>
      <c r="F145" s="641" t="str">
        <f>'Giá Máy'!F15</f>
        <v>ca</v>
      </c>
      <c r="G145" s="67">
        <f>'Phan tich don gia'!G62</f>
        <v>4.1999999999999997E-3</v>
      </c>
      <c r="H145" s="5">
        <f>'Giá Máy'!J15</f>
        <v>477927</v>
      </c>
      <c r="I145" s="198">
        <f>'Du toan chi tiet'!X13</f>
        <v>1</v>
      </c>
      <c r="J145" s="5">
        <f t="shared" ref="J145:J146" si="10">PRODUCT(G145,H145,I145)</f>
        <v>2007.2933999999998</v>
      </c>
      <c r="K145" s="49"/>
      <c r="L145" s="49"/>
      <c r="M145" s="49"/>
      <c r="N145" s="49"/>
      <c r="O145" s="49"/>
      <c r="P145" s="49"/>
      <c r="Q145" s="49"/>
      <c r="R145" s="49"/>
      <c r="S145" s="49"/>
      <c r="T145" s="49"/>
      <c r="U145" s="49"/>
      <c r="V145" s="49"/>
      <c r="W145" s="49"/>
      <c r="X145" s="49"/>
      <c r="Y145" s="49"/>
      <c r="Z145" s="49"/>
      <c r="AA145" s="49"/>
    </row>
    <row r="146" spans="1:27" x14ac:dyDescent="0.25">
      <c r="A146" s="207"/>
      <c r="B146" s="641"/>
      <c r="C146" s="711" t="s">
        <v>98</v>
      </c>
      <c r="D146" s="276" t="s">
        <v>1162</v>
      </c>
      <c r="E146" s="191" t="s">
        <v>1080</v>
      </c>
      <c r="F146" s="641" t="s">
        <v>1113</v>
      </c>
      <c r="G146" s="67">
        <f>'Phan tich don gia'!G63</f>
        <v>2</v>
      </c>
      <c r="H146" s="5">
        <f>IF('Du toan chi tiet'!X13&lt;&gt;0,SUM(J145:J145)/100/'Du toan chi tiet'!X13,0)</f>
        <v>20.072933999999997</v>
      </c>
      <c r="I146" s="198">
        <f>'Du toan chi tiet'!X13</f>
        <v>1</v>
      </c>
      <c r="J146" s="5">
        <f t="shared" si="10"/>
        <v>40.145867999999993</v>
      </c>
      <c r="K146" s="49"/>
      <c r="L146" s="49"/>
      <c r="M146" s="49"/>
      <c r="N146" s="49"/>
      <c r="O146" s="49"/>
      <c r="P146" s="49"/>
      <c r="Q146" s="49"/>
      <c r="R146" s="49"/>
      <c r="S146" s="49"/>
      <c r="T146" s="49"/>
      <c r="U146" s="49"/>
      <c r="V146" s="49"/>
      <c r="W146" s="49"/>
      <c r="X146" s="49"/>
      <c r="Y146" s="49"/>
      <c r="Z146" s="49"/>
      <c r="AA146" s="49"/>
    </row>
    <row r="147" spans="1:27" x14ac:dyDescent="0.25">
      <c r="A147" s="207"/>
      <c r="B147" s="641"/>
      <c r="C147" s="711" t="s">
        <v>98</v>
      </c>
      <c r="D147" s="276" t="s">
        <v>98</v>
      </c>
      <c r="E147" s="191" t="s">
        <v>1230</v>
      </c>
      <c r="F147" s="641"/>
      <c r="G147" s="106"/>
      <c r="H147" s="5"/>
      <c r="I147" s="198"/>
      <c r="J147" s="5">
        <f>SUM(J148:J149)+PRODUCT(G146,I146,THM!X94-THM!R94)</f>
        <v>4.1999999999999997E-3</v>
      </c>
      <c r="K147" s="49"/>
      <c r="L147" s="49"/>
      <c r="M147" s="49"/>
      <c r="N147" s="49"/>
      <c r="O147" s="49"/>
      <c r="P147" s="49"/>
      <c r="Q147" s="49"/>
      <c r="R147" s="49"/>
      <c r="S147" s="49"/>
      <c r="T147" s="49"/>
      <c r="U147" s="49"/>
      <c r="V147" s="49"/>
      <c r="W147" s="49"/>
      <c r="X147" s="49"/>
      <c r="Y147" s="49"/>
      <c r="Z147" s="49"/>
      <c r="AA147" s="49"/>
    </row>
    <row r="148" spans="1:27" x14ac:dyDescent="0.25">
      <c r="A148" s="207"/>
      <c r="B148" s="641"/>
      <c r="C148" s="711" t="s">
        <v>98</v>
      </c>
      <c r="D148" s="276" t="s">
        <v>98</v>
      </c>
      <c r="E148" s="191" t="s">
        <v>52</v>
      </c>
      <c r="F148" s="641"/>
      <c r="G148" s="106"/>
      <c r="H148" s="5"/>
      <c r="I148" s="198"/>
      <c r="J148" s="5">
        <f>PRODUCT(G145,I145,'Giá Máy'!L15)</f>
        <v>0</v>
      </c>
      <c r="K148" s="49"/>
      <c r="L148" s="49"/>
      <c r="M148" s="49"/>
      <c r="N148" s="49"/>
      <c r="O148" s="49"/>
      <c r="P148" s="49"/>
      <c r="Q148" s="49"/>
      <c r="R148" s="49"/>
      <c r="S148" s="49"/>
      <c r="T148" s="49"/>
      <c r="U148" s="49"/>
      <c r="V148" s="49"/>
      <c r="W148" s="49"/>
      <c r="X148" s="49"/>
      <c r="Y148" s="49"/>
      <c r="Z148" s="49"/>
      <c r="AA148" s="49"/>
    </row>
    <row r="149" spans="1:27" x14ac:dyDescent="0.25">
      <c r="A149" s="207"/>
      <c r="B149" s="641"/>
      <c r="C149" s="711" t="s">
        <v>98</v>
      </c>
      <c r="D149" s="276" t="s">
        <v>98</v>
      </c>
      <c r="E149" s="191" t="s">
        <v>597</v>
      </c>
      <c r="F149" s="641"/>
      <c r="G149" s="106"/>
      <c r="H149" s="5"/>
      <c r="I149" s="198"/>
      <c r="J149" s="5">
        <f>PRODUCT(G145,I145,'Giá Máy'!M15)</f>
        <v>4.1999999999999997E-3</v>
      </c>
      <c r="K149" s="49"/>
      <c r="L149" s="49"/>
      <c r="M149" s="49"/>
      <c r="N149" s="49"/>
      <c r="O149" s="49"/>
      <c r="P149" s="49"/>
      <c r="Q149" s="49"/>
      <c r="R149" s="49"/>
      <c r="S149" s="49"/>
      <c r="T149" s="49"/>
      <c r="U149" s="49"/>
      <c r="V149" s="49"/>
      <c r="W149" s="49"/>
      <c r="X149" s="49"/>
      <c r="Y149" s="49"/>
      <c r="Z149" s="49"/>
      <c r="AA149" s="49"/>
    </row>
    <row r="150" spans="1:27" x14ac:dyDescent="0.25">
      <c r="A150" s="207"/>
      <c r="B150" s="641"/>
      <c r="C150" s="711" t="s">
        <v>98</v>
      </c>
      <c r="D150" s="276" t="s">
        <v>98</v>
      </c>
      <c r="E150" s="191" t="s">
        <v>599</v>
      </c>
      <c r="F150" s="641" t="s">
        <v>356</v>
      </c>
      <c r="G150" s="106"/>
      <c r="H150" s="5"/>
      <c r="I150" s="198"/>
      <c r="J150" s="5">
        <f>J138+J142+J144</f>
        <v>40139.967979380104</v>
      </c>
      <c r="K150" s="49"/>
      <c r="L150" s="49"/>
      <c r="M150" s="49"/>
      <c r="N150" s="49"/>
      <c r="O150" s="49"/>
      <c r="P150" s="49"/>
      <c r="Q150" s="49"/>
      <c r="R150" s="49"/>
      <c r="S150" s="49"/>
      <c r="T150" s="49"/>
      <c r="U150" s="49"/>
      <c r="V150" s="49"/>
      <c r="W150" s="49"/>
      <c r="X150" s="49"/>
      <c r="Y150" s="49"/>
      <c r="Z150" s="49"/>
      <c r="AA150" s="49"/>
    </row>
    <row r="151" spans="1:27" x14ac:dyDescent="0.25">
      <c r="A151" s="207"/>
      <c r="B151" s="641"/>
      <c r="C151" s="711" t="s">
        <v>98</v>
      </c>
      <c r="D151" s="276" t="s">
        <v>98</v>
      </c>
      <c r="E151" s="191" t="s">
        <v>265</v>
      </c>
      <c r="F151" s="641" t="s">
        <v>653</v>
      </c>
      <c r="G151" s="307">
        <f>'Thông tin'!E67</f>
        <v>7.2999999999999995E-2</v>
      </c>
      <c r="H151" s="5"/>
      <c r="I151" s="198"/>
      <c r="J151" s="5">
        <f>(J150)*G151</f>
        <v>2930.2176624947474</v>
      </c>
      <c r="K151" s="49"/>
      <c r="L151" s="49"/>
      <c r="M151" s="49"/>
      <c r="N151" s="49"/>
      <c r="O151" s="49"/>
      <c r="P151" s="49"/>
      <c r="Q151" s="49"/>
      <c r="R151" s="49"/>
      <c r="S151" s="49"/>
      <c r="T151" s="49"/>
      <c r="U151" s="49"/>
      <c r="V151" s="49"/>
      <c r="W151" s="49"/>
      <c r="X151" s="49"/>
      <c r="Y151" s="49"/>
      <c r="Z151" s="49"/>
      <c r="AA151" s="49"/>
    </row>
    <row r="152" spans="1:27" x14ac:dyDescent="0.25">
      <c r="A152" s="207"/>
      <c r="B152" s="641"/>
      <c r="C152" s="711" t="s">
        <v>98</v>
      </c>
      <c r="D152" s="276" t="s">
        <v>98</v>
      </c>
      <c r="E152" s="191" t="s">
        <v>765</v>
      </c>
      <c r="F152" s="641" t="s">
        <v>602</v>
      </c>
      <c r="G152" s="307">
        <f>'Thông tin'!E60</f>
        <v>1.1000000000000001E-2</v>
      </c>
      <c r="H152" s="5"/>
      <c r="I152" s="198"/>
      <c r="J152" s="5">
        <f>(J150)*G152</f>
        <v>441.53964777318117</v>
      </c>
      <c r="K152" s="49"/>
      <c r="L152" s="49"/>
      <c r="M152" s="49"/>
      <c r="N152" s="49"/>
      <c r="O152" s="49"/>
      <c r="P152" s="49"/>
      <c r="Q152" s="49"/>
      <c r="R152" s="49"/>
      <c r="S152" s="49"/>
      <c r="T152" s="49"/>
      <c r="U152" s="49"/>
      <c r="V152" s="49"/>
      <c r="W152" s="49"/>
      <c r="X152" s="49"/>
      <c r="Y152" s="49"/>
      <c r="Z152" s="49"/>
      <c r="AA152" s="49"/>
    </row>
    <row r="153" spans="1:27" ht="30" x14ac:dyDescent="0.25">
      <c r="A153" s="207"/>
      <c r="B153" s="641"/>
      <c r="C153" s="711" t="s">
        <v>98</v>
      </c>
      <c r="D153" s="276" t="s">
        <v>98</v>
      </c>
      <c r="E153" s="191" t="s">
        <v>457</v>
      </c>
      <c r="F153" s="641" t="s">
        <v>881</v>
      </c>
      <c r="G153" s="307">
        <f>'Thông tin'!E65</f>
        <v>2.5000000000000001E-2</v>
      </c>
      <c r="H153" s="5"/>
      <c r="I153" s="198"/>
      <c r="J153" s="5">
        <f>(J150)*G153</f>
        <v>1003.4991994845027</v>
      </c>
      <c r="K153" s="49"/>
      <c r="L153" s="49"/>
      <c r="M153" s="49"/>
      <c r="N153" s="49"/>
      <c r="O153" s="49"/>
      <c r="P153" s="49"/>
      <c r="Q153" s="49"/>
      <c r="R153" s="49"/>
      <c r="S153" s="49"/>
      <c r="T153" s="49"/>
      <c r="U153" s="49"/>
      <c r="V153" s="49"/>
      <c r="W153" s="49"/>
      <c r="X153" s="49"/>
      <c r="Y153" s="49"/>
      <c r="Z153" s="49"/>
      <c r="AA153" s="49"/>
    </row>
    <row r="154" spans="1:27" x14ac:dyDescent="0.25">
      <c r="A154" s="207"/>
      <c r="B154" s="641"/>
      <c r="C154" s="711" t="s">
        <v>98</v>
      </c>
      <c r="D154" s="276" t="s">
        <v>98</v>
      </c>
      <c r="E154" s="191" t="s">
        <v>1244</v>
      </c>
      <c r="F154" s="641" t="s">
        <v>1032</v>
      </c>
      <c r="G154" s="106"/>
      <c r="H154" s="5"/>
      <c r="I154" s="198"/>
      <c r="J154" s="5">
        <f>J151+J152+J153</f>
        <v>4375.2565097524312</v>
      </c>
      <c r="K154" s="49"/>
      <c r="L154" s="49"/>
      <c r="M154" s="49"/>
      <c r="N154" s="49"/>
      <c r="O154" s="49"/>
      <c r="P154" s="49"/>
      <c r="Q154" s="49"/>
      <c r="R154" s="49"/>
      <c r="S154" s="49"/>
      <c r="T154" s="49"/>
      <c r="U154" s="49"/>
      <c r="V154" s="49"/>
      <c r="W154" s="49"/>
      <c r="X154" s="49"/>
      <c r="Y154" s="49"/>
      <c r="Z154" s="49"/>
      <c r="AA154" s="49"/>
    </row>
    <row r="155" spans="1:27" x14ac:dyDescent="0.25">
      <c r="A155" s="207"/>
      <c r="B155" s="641"/>
      <c r="C155" s="711" t="s">
        <v>98</v>
      </c>
      <c r="D155" s="276" t="s">
        <v>98</v>
      </c>
      <c r="E155" s="191" t="s">
        <v>990</v>
      </c>
      <c r="F155" s="641" t="s">
        <v>307</v>
      </c>
      <c r="G155" s="307">
        <f>'Thông tin'!E63</f>
        <v>5.5E-2</v>
      </c>
      <c r="H155" s="5"/>
      <c r="I155" s="198"/>
      <c r="J155" s="5">
        <f>(J150+J154)*G155</f>
        <v>2448.3373469022895</v>
      </c>
      <c r="K155" s="49"/>
      <c r="L155" s="49"/>
      <c r="M155" s="49"/>
      <c r="N155" s="49"/>
      <c r="O155" s="49"/>
      <c r="P155" s="49"/>
      <c r="Q155" s="49"/>
      <c r="R155" s="49"/>
      <c r="S155" s="49"/>
      <c r="T155" s="49"/>
      <c r="U155" s="49"/>
      <c r="V155" s="49"/>
      <c r="W155" s="49"/>
      <c r="X155" s="49"/>
      <c r="Y155" s="49"/>
      <c r="Z155" s="49"/>
      <c r="AA155" s="49"/>
    </row>
    <row r="156" spans="1:27" x14ac:dyDescent="0.25">
      <c r="A156" s="207"/>
      <c r="B156" s="641"/>
      <c r="C156" s="711" t="s">
        <v>98</v>
      </c>
      <c r="D156" s="276" t="s">
        <v>98</v>
      </c>
      <c r="E156" s="7" t="s">
        <v>142</v>
      </c>
      <c r="F156" s="499" t="s">
        <v>286</v>
      </c>
      <c r="G156" s="106"/>
      <c r="H156" s="5"/>
      <c r="I156" s="198"/>
      <c r="J156" s="620">
        <f>J150+J154+J155</f>
        <v>46963.561836034831</v>
      </c>
      <c r="K156" s="49"/>
      <c r="L156" s="49"/>
      <c r="M156" s="49"/>
      <c r="N156" s="49"/>
      <c r="O156" s="49"/>
      <c r="P156" s="49"/>
      <c r="Q156" s="49"/>
      <c r="R156" s="49"/>
      <c r="S156" s="49"/>
      <c r="T156" s="49"/>
      <c r="U156" s="49"/>
      <c r="V156" s="49"/>
      <c r="W156" s="49"/>
      <c r="X156" s="49"/>
      <c r="Y156" s="49"/>
      <c r="Z156" s="49"/>
      <c r="AA156" s="49"/>
    </row>
    <row r="157" spans="1:27" x14ac:dyDescent="0.25">
      <c r="A157" s="207"/>
      <c r="B157" s="641"/>
      <c r="C157" s="711" t="s">
        <v>98</v>
      </c>
      <c r="D157" s="276" t="s">
        <v>98</v>
      </c>
      <c r="E157" s="191" t="s">
        <v>762</v>
      </c>
      <c r="F157" s="641" t="s">
        <v>830</v>
      </c>
      <c r="G157" s="705">
        <f>'Thông tin'!E61</f>
        <v>0.08</v>
      </c>
      <c r="H157" s="5"/>
      <c r="I157" s="198"/>
      <c r="J157" s="5">
        <f>(J156)*G157</f>
        <v>3757.0849468827864</v>
      </c>
      <c r="K157" s="49"/>
      <c r="L157" s="49"/>
      <c r="M157" s="49"/>
      <c r="N157" s="49"/>
      <c r="O157" s="49"/>
      <c r="P157" s="49"/>
      <c r="Q157" s="49"/>
      <c r="R157" s="49"/>
      <c r="S157" s="49"/>
      <c r="T157" s="49"/>
      <c r="U157" s="49"/>
      <c r="V157" s="49"/>
      <c r="W157" s="49"/>
      <c r="X157" s="49"/>
      <c r="Y157" s="49"/>
      <c r="Z157" s="49"/>
      <c r="AA157" s="49"/>
    </row>
    <row r="158" spans="1:27" x14ac:dyDescent="0.25">
      <c r="A158" s="122"/>
      <c r="B158" s="581"/>
      <c r="C158" s="636" t="s">
        <v>98</v>
      </c>
      <c r="D158" s="196" t="s">
        <v>98</v>
      </c>
      <c r="E158" s="728" t="s">
        <v>953</v>
      </c>
      <c r="F158" s="429" t="s">
        <v>1108</v>
      </c>
      <c r="G158" s="29"/>
      <c r="H158" s="704"/>
      <c r="I158" s="113"/>
      <c r="J158" s="657">
        <f>J156+J157</f>
        <v>50720.646782917618</v>
      </c>
      <c r="K158" s="49"/>
      <c r="L158" s="49"/>
      <c r="M158" s="49"/>
      <c r="N158" s="49"/>
      <c r="O158" s="49"/>
      <c r="P158" s="49"/>
      <c r="Q158" s="49"/>
      <c r="R158" s="49"/>
      <c r="S158" s="49"/>
      <c r="T158" s="49"/>
      <c r="U158" s="49"/>
      <c r="V158" s="49"/>
      <c r="W158" s="49"/>
      <c r="X158" s="49"/>
      <c r="Y158" s="49"/>
      <c r="Z158" s="49"/>
      <c r="AA158" s="49"/>
    </row>
    <row r="159" spans="1:27" ht="30" x14ac:dyDescent="0.25">
      <c r="A159" s="458"/>
      <c r="B159" s="130">
        <v>8</v>
      </c>
      <c r="C159" s="234" t="str">
        <f>'Du toan chi tiet'!C14</f>
        <v>SE.11211</v>
      </c>
      <c r="D159" s="234" t="str">
        <f>'Du toan chi tiet'!C14</f>
        <v>SE.11211</v>
      </c>
      <c r="E159" s="730" t="str">
        <f>'Du toan chi tiet'!D14</f>
        <v>Cắt mặt đường bê tông Asphalt chiều dày lớp cắt ≤ 5cm</v>
      </c>
      <c r="F159" s="130" t="str">
        <f>'Du toan chi tiet'!E14</f>
        <v>m</v>
      </c>
      <c r="G159" s="664"/>
      <c r="H159" s="282"/>
      <c r="I159" s="450"/>
      <c r="J159" s="282"/>
      <c r="K159" s="49"/>
      <c r="L159" s="49"/>
      <c r="M159" s="49"/>
      <c r="N159" s="49"/>
      <c r="O159" s="49"/>
      <c r="P159" s="49"/>
      <c r="Q159" s="49"/>
      <c r="R159" s="49"/>
      <c r="S159" s="49"/>
      <c r="T159" s="49"/>
      <c r="U159" s="49"/>
      <c r="V159" s="49"/>
      <c r="W159" s="49"/>
      <c r="X159" s="49"/>
      <c r="Y159" s="49"/>
      <c r="Z159" s="49"/>
      <c r="AA159" s="49"/>
    </row>
    <row r="160" spans="1:27" x14ac:dyDescent="0.25">
      <c r="A160" s="261"/>
      <c r="B160" s="690"/>
      <c r="C160" s="745" t="s">
        <v>98</v>
      </c>
      <c r="D160" s="745" t="s">
        <v>98</v>
      </c>
      <c r="E160" s="247" t="s">
        <v>547</v>
      </c>
      <c r="F160" s="690" t="s">
        <v>962</v>
      </c>
      <c r="G160" s="133"/>
      <c r="H160" s="44"/>
      <c r="I160" s="233"/>
      <c r="J160" s="44">
        <f>SUM(J161:J162)</f>
        <v>3371.1</v>
      </c>
      <c r="K160" s="49"/>
      <c r="L160" s="49"/>
      <c r="M160" s="49"/>
      <c r="N160" s="49"/>
      <c r="O160" s="49"/>
      <c r="P160" s="49"/>
      <c r="Q160" s="49"/>
      <c r="R160" s="49"/>
      <c r="S160" s="49"/>
      <c r="T160" s="49"/>
      <c r="U160" s="49"/>
      <c r="V160" s="49"/>
      <c r="W160" s="49"/>
      <c r="X160" s="49"/>
      <c r="Y160" s="49"/>
      <c r="Z160" s="49"/>
      <c r="AA160" s="49"/>
    </row>
    <row r="161" spans="1:27" x14ac:dyDescent="0.25">
      <c r="A161" s="207"/>
      <c r="B161" s="641"/>
      <c r="C161" s="711" t="s">
        <v>98</v>
      </c>
      <c r="D161" s="276" t="s">
        <v>855</v>
      </c>
      <c r="E161" s="191" t="str">
        <f>" - " &amp; 'Giá VL'!E18</f>
        <v xml:space="preserve"> - Lưỡi cắt bê tông loại 356mm</v>
      </c>
      <c r="F161" s="641" t="str">
        <f>'Giá VL'!F18</f>
        <v>cái</v>
      </c>
      <c r="G161" s="67">
        <f>'Phan tich don gia'!G66</f>
        <v>2.5000000000000001E-3</v>
      </c>
      <c r="H161" s="5">
        <f>'Giá VL'!V18</f>
        <v>1322000</v>
      </c>
      <c r="I161" s="198">
        <f>'Du toan chi tiet'!V14</f>
        <v>1</v>
      </c>
      <c r="J161" s="5">
        <f t="shared" ref="J161:J162" si="11">PRODUCT(G161,H161,I161)</f>
        <v>3305</v>
      </c>
      <c r="K161" s="49"/>
      <c r="L161" s="49"/>
      <c r="M161" s="49"/>
      <c r="N161" s="49"/>
      <c r="O161" s="49"/>
      <c r="P161" s="49"/>
      <c r="Q161" s="49"/>
      <c r="R161" s="49"/>
      <c r="S161" s="49"/>
      <c r="T161" s="49"/>
      <c r="U161" s="49"/>
      <c r="V161" s="49"/>
      <c r="W161" s="49"/>
      <c r="X161" s="49"/>
      <c r="Y161" s="49"/>
      <c r="Z161" s="49"/>
      <c r="AA161" s="49"/>
    </row>
    <row r="162" spans="1:27" x14ac:dyDescent="0.25">
      <c r="A162" s="207"/>
      <c r="B162" s="641"/>
      <c r="C162" s="711" t="s">
        <v>98</v>
      </c>
      <c r="D162" s="276" t="s">
        <v>667</v>
      </c>
      <c r="E162" s="191" t="s">
        <v>238</v>
      </c>
      <c r="F162" s="641" t="s">
        <v>1113</v>
      </c>
      <c r="G162" s="67">
        <f>'Phan tich don gia'!G67</f>
        <v>2</v>
      </c>
      <c r="H162" s="5">
        <f>IF('Du toan chi tiet'!V14&lt;&gt;0,SUM(J161:J161)/100/'Du toan chi tiet'!V14,0)</f>
        <v>33.049999999999997</v>
      </c>
      <c r="I162" s="198">
        <f>'Du toan chi tiet'!V14</f>
        <v>1</v>
      </c>
      <c r="J162" s="5">
        <f t="shared" si="11"/>
        <v>66.099999999999994</v>
      </c>
      <c r="K162" s="49"/>
      <c r="L162" s="49"/>
      <c r="M162" s="49"/>
      <c r="N162" s="49"/>
      <c r="O162" s="49"/>
      <c r="P162" s="49"/>
      <c r="Q162" s="49"/>
      <c r="R162" s="49"/>
      <c r="S162" s="49"/>
      <c r="T162" s="49"/>
      <c r="U162" s="49"/>
      <c r="V162" s="49"/>
      <c r="W162" s="49"/>
      <c r="X162" s="49"/>
      <c r="Y162" s="49"/>
      <c r="Z162" s="49"/>
      <c r="AA162" s="49"/>
    </row>
    <row r="163" spans="1:27" x14ac:dyDescent="0.25">
      <c r="A163" s="261"/>
      <c r="B163" s="690"/>
      <c r="C163" s="745" t="s">
        <v>98</v>
      </c>
      <c r="D163" s="745" t="s">
        <v>98</v>
      </c>
      <c r="E163" s="247" t="s">
        <v>301</v>
      </c>
      <c r="F163" s="690" t="s">
        <v>1018</v>
      </c>
      <c r="G163" s="133"/>
      <c r="H163" s="44"/>
      <c r="I163" s="233"/>
      <c r="J163" s="44">
        <f>SUM(J164:J164)</f>
        <v>4818.3519999999999</v>
      </c>
      <c r="K163" s="49"/>
      <c r="L163" s="49"/>
      <c r="M163" s="49"/>
      <c r="N163" s="49"/>
      <c r="O163" s="49"/>
      <c r="P163" s="49"/>
      <c r="Q163" s="49"/>
      <c r="R163" s="49"/>
      <c r="S163" s="49"/>
      <c r="T163" s="49"/>
      <c r="U163" s="49"/>
      <c r="V163" s="49"/>
      <c r="W163" s="49"/>
      <c r="X163" s="49"/>
      <c r="Y163" s="49"/>
      <c r="Z163" s="49"/>
      <c r="AA163" s="49"/>
    </row>
    <row r="164" spans="1:27" x14ac:dyDescent="0.25">
      <c r="A164" s="207"/>
      <c r="B164" s="641"/>
      <c r="C164" s="711" t="s">
        <v>98</v>
      </c>
      <c r="D164" s="276" t="s">
        <v>169</v>
      </c>
      <c r="E164" s="191" t="str">
        <f>" - " &amp; 'Giá NC'!E9</f>
        <v xml:space="preserve"> - Nhân công bậc 4,0/7 - Nhóm 2</v>
      </c>
      <c r="F164" s="641" t="str">
        <f>'Giá NC'!F9</f>
        <v>công</v>
      </c>
      <c r="G164" s="67">
        <f>'Phan tich don gia'!G69</f>
        <v>1.7600000000000001E-2</v>
      </c>
      <c r="H164" s="5">
        <f>'Giá NC'!K9</f>
        <v>273770</v>
      </c>
      <c r="I164" s="198">
        <f>'Du toan chi tiet'!W14</f>
        <v>1</v>
      </c>
      <c r="J164" s="5">
        <f>PRODUCT(G164,H164,I164)</f>
        <v>4818.3519999999999</v>
      </c>
      <c r="K164" s="49"/>
      <c r="L164" s="49"/>
      <c r="M164" s="49"/>
      <c r="N164" s="49"/>
      <c r="O164" s="49"/>
      <c r="P164" s="49"/>
      <c r="Q164" s="49"/>
      <c r="R164" s="49"/>
      <c r="S164" s="49"/>
      <c r="T164" s="49"/>
      <c r="U164" s="49"/>
      <c r="V164" s="49"/>
      <c r="W164" s="49"/>
      <c r="X164" s="49"/>
      <c r="Y164" s="49"/>
      <c r="Z164" s="49"/>
      <c r="AA164" s="49"/>
    </row>
    <row r="165" spans="1:27" x14ac:dyDescent="0.25">
      <c r="A165" s="261"/>
      <c r="B165" s="690"/>
      <c r="C165" s="745" t="s">
        <v>98</v>
      </c>
      <c r="D165" s="745" t="s">
        <v>98</v>
      </c>
      <c r="E165" s="247" t="s">
        <v>1175</v>
      </c>
      <c r="F165" s="690" t="s">
        <v>138</v>
      </c>
      <c r="G165" s="133"/>
      <c r="H165" s="44"/>
      <c r="I165" s="233"/>
      <c r="J165" s="44">
        <f>SUM(J166:J167)</f>
        <v>1115.68974</v>
      </c>
      <c r="K165" s="49"/>
      <c r="L165" s="49"/>
      <c r="M165" s="49"/>
      <c r="N165" s="49"/>
      <c r="O165" s="49"/>
      <c r="P165" s="49"/>
      <c r="Q165" s="49"/>
      <c r="R165" s="49"/>
      <c r="S165" s="49"/>
      <c r="T165" s="49"/>
      <c r="U165" s="49"/>
      <c r="V165" s="49"/>
      <c r="W165" s="49"/>
      <c r="X165" s="49"/>
      <c r="Y165" s="49"/>
      <c r="Z165" s="49"/>
      <c r="AA165" s="49"/>
    </row>
    <row r="166" spans="1:27" x14ac:dyDescent="0.25">
      <c r="A166" s="207"/>
      <c r="B166" s="641"/>
      <c r="C166" s="711" t="s">
        <v>98</v>
      </c>
      <c r="D166" s="276" t="s">
        <v>750</v>
      </c>
      <c r="E166" s="191" t="str">
        <f>" - " &amp; 'Giá Máy'!E8</f>
        <v xml:space="preserve"> - Máy cắt bê tông 12CV (MCD 218)</v>
      </c>
      <c r="F166" s="641" t="str">
        <f>'Giá Máy'!F8</f>
        <v>ca</v>
      </c>
      <c r="G166" s="67">
        <f>'Phan tich don gia'!G71</f>
        <v>2.2000000000000001E-3</v>
      </c>
      <c r="H166" s="5">
        <f>'Giá Máy'!J8</f>
        <v>507130.7</v>
      </c>
      <c r="I166" s="198">
        <f>'Du toan chi tiet'!X14</f>
        <v>1</v>
      </c>
      <c r="J166" s="5">
        <f>PRODUCT(G166,H166,I166)</f>
        <v>1115.6875400000001</v>
      </c>
      <c r="K166" s="49"/>
      <c r="L166" s="49"/>
      <c r="M166" s="49"/>
      <c r="N166" s="49"/>
      <c r="O166" s="49"/>
      <c r="P166" s="49"/>
      <c r="Q166" s="49"/>
      <c r="R166" s="49"/>
      <c r="S166" s="49"/>
      <c r="T166" s="49"/>
      <c r="U166" s="49"/>
      <c r="V166" s="49"/>
      <c r="W166" s="49"/>
      <c r="X166" s="49"/>
      <c r="Y166" s="49"/>
      <c r="Z166" s="49"/>
      <c r="AA166" s="49"/>
    </row>
    <row r="167" spans="1:27" x14ac:dyDescent="0.25">
      <c r="A167" s="207"/>
      <c r="B167" s="641"/>
      <c r="C167" s="711" t="s">
        <v>98</v>
      </c>
      <c r="D167" s="276" t="s">
        <v>98</v>
      </c>
      <c r="E167" s="191" t="s">
        <v>1230</v>
      </c>
      <c r="F167" s="641"/>
      <c r="G167" s="106"/>
      <c r="H167" s="5"/>
      <c r="I167" s="198"/>
      <c r="J167" s="5">
        <f>SUM(J168:J169)</f>
        <v>2.2000000000000001E-3</v>
      </c>
      <c r="K167" s="49"/>
      <c r="L167" s="49"/>
      <c r="M167" s="49"/>
      <c r="N167" s="49"/>
      <c r="O167" s="49"/>
      <c r="P167" s="49"/>
      <c r="Q167" s="49"/>
      <c r="R167" s="49"/>
      <c r="S167" s="49"/>
      <c r="T167" s="49"/>
      <c r="U167" s="49"/>
      <c r="V167" s="49"/>
      <c r="W167" s="49"/>
      <c r="X167" s="49"/>
      <c r="Y167" s="49"/>
      <c r="Z167" s="49"/>
      <c r="AA167" s="49"/>
    </row>
    <row r="168" spans="1:27" x14ac:dyDescent="0.25">
      <c r="A168" s="207"/>
      <c r="B168" s="641"/>
      <c r="C168" s="711" t="s">
        <v>98</v>
      </c>
      <c r="D168" s="276" t="s">
        <v>98</v>
      </c>
      <c r="E168" s="191" t="s">
        <v>52</v>
      </c>
      <c r="F168" s="641"/>
      <c r="G168" s="106"/>
      <c r="H168" s="5"/>
      <c r="I168" s="198"/>
      <c r="J168" s="5">
        <f>PRODUCT(G166,I166,'Giá Máy'!L8)</f>
        <v>0</v>
      </c>
      <c r="K168" s="49"/>
      <c r="L168" s="49"/>
      <c r="M168" s="49"/>
      <c r="N168" s="49"/>
      <c r="O168" s="49"/>
      <c r="P168" s="49"/>
      <c r="Q168" s="49"/>
      <c r="R168" s="49"/>
      <c r="S168" s="49"/>
      <c r="T168" s="49"/>
      <c r="U168" s="49"/>
      <c r="V168" s="49"/>
      <c r="W168" s="49"/>
      <c r="X168" s="49"/>
      <c r="Y168" s="49"/>
      <c r="Z168" s="49"/>
      <c r="AA168" s="49"/>
    </row>
    <row r="169" spans="1:27" x14ac:dyDescent="0.25">
      <c r="A169" s="207"/>
      <c r="B169" s="641"/>
      <c r="C169" s="711" t="s">
        <v>98</v>
      </c>
      <c r="D169" s="276" t="s">
        <v>98</v>
      </c>
      <c r="E169" s="191" t="s">
        <v>597</v>
      </c>
      <c r="F169" s="641"/>
      <c r="G169" s="106"/>
      <c r="H169" s="5"/>
      <c r="I169" s="198"/>
      <c r="J169" s="5">
        <f>PRODUCT(G166,I166,'Giá Máy'!M8)</f>
        <v>2.2000000000000001E-3</v>
      </c>
      <c r="K169" s="49"/>
      <c r="L169" s="49"/>
      <c r="M169" s="49"/>
      <c r="N169" s="49"/>
      <c r="O169" s="49"/>
      <c r="P169" s="49"/>
      <c r="Q169" s="49"/>
      <c r="R169" s="49"/>
      <c r="S169" s="49"/>
      <c r="T169" s="49"/>
      <c r="U169" s="49"/>
      <c r="V169" s="49"/>
      <c r="W169" s="49"/>
      <c r="X169" s="49"/>
      <c r="Y169" s="49"/>
      <c r="Z169" s="49"/>
      <c r="AA169" s="49"/>
    </row>
    <row r="170" spans="1:27" x14ac:dyDescent="0.25">
      <c r="A170" s="207"/>
      <c r="B170" s="641"/>
      <c r="C170" s="711" t="s">
        <v>98</v>
      </c>
      <c r="D170" s="276" t="s">
        <v>98</v>
      </c>
      <c r="E170" s="191" t="s">
        <v>599</v>
      </c>
      <c r="F170" s="641" t="s">
        <v>356</v>
      </c>
      <c r="G170" s="106"/>
      <c r="H170" s="5"/>
      <c r="I170" s="198"/>
      <c r="J170" s="5">
        <f>J160+J163+J165</f>
        <v>9305.1417399999991</v>
      </c>
      <c r="K170" s="49"/>
      <c r="L170" s="49"/>
      <c r="M170" s="49"/>
      <c r="N170" s="49"/>
      <c r="O170" s="49"/>
      <c r="P170" s="49"/>
      <c r="Q170" s="49"/>
      <c r="R170" s="49"/>
      <c r="S170" s="49"/>
      <c r="T170" s="49"/>
      <c r="U170" s="49"/>
      <c r="V170" s="49"/>
      <c r="W170" s="49"/>
      <c r="X170" s="49"/>
      <c r="Y170" s="49"/>
      <c r="Z170" s="49"/>
      <c r="AA170" s="49"/>
    </row>
    <row r="171" spans="1:27" x14ac:dyDescent="0.25">
      <c r="A171" s="207"/>
      <c r="B171" s="641"/>
      <c r="C171" s="711" t="s">
        <v>98</v>
      </c>
      <c r="D171" s="276" t="s">
        <v>98</v>
      </c>
      <c r="E171" s="191" t="s">
        <v>265</v>
      </c>
      <c r="F171" s="641" t="s">
        <v>653</v>
      </c>
      <c r="G171" s="307">
        <f>'Thông tin'!E67</f>
        <v>7.2999999999999995E-2</v>
      </c>
      <c r="H171" s="5"/>
      <c r="I171" s="198"/>
      <c r="J171" s="5">
        <f>(J170)*G171</f>
        <v>679.27534701999991</v>
      </c>
      <c r="K171" s="49"/>
      <c r="L171" s="49"/>
      <c r="M171" s="49"/>
      <c r="N171" s="49"/>
      <c r="O171" s="49"/>
      <c r="P171" s="49"/>
      <c r="Q171" s="49"/>
      <c r="R171" s="49"/>
      <c r="S171" s="49"/>
      <c r="T171" s="49"/>
      <c r="U171" s="49"/>
      <c r="V171" s="49"/>
      <c r="W171" s="49"/>
      <c r="X171" s="49"/>
      <c r="Y171" s="49"/>
      <c r="Z171" s="49"/>
      <c r="AA171" s="49"/>
    </row>
    <row r="172" spans="1:27" x14ac:dyDescent="0.25">
      <c r="A172" s="207"/>
      <c r="B172" s="641"/>
      <c r="C172" s="711" t="s">
        <v>98</v>
      </c>
      <c r="D172" s="276" t="s">
        <v>98</v>
      </c>
      <c r="E172" s="191" t="s">
        <v>765</v>
      </c>
      <c r="F172" s="641" t="s">
        <v>602</v>
      </c>
      <c r="G172" s="307">
        <f>'Thông tin'!E60</f>
        <v>1.1000000000000001E-2</v>
      </c>
      <c r="H172" s="5"/>
      <c r="I172" s="198"/>
      <c r="J172" s="5">
        <f>(J170)*G172</f>
        <v>102.35655914</v>
      </c>
      <c r="K172" s="49"/>
      <c r="L172" s="49"/>
      <c r="M172" s="49"/>
      <c r="N172" s="49"/>
      <c r="O172" s="49"/>
      <c r="P172" s="49"/>
      <c r="Q172" s="49"/>
      <c r="R172" s="49"/>
      <c r="S172" s="49"/>
      <c r="T172" s="49"/>
      <c r="U172" s="49"/>
      <c r="V172" s="49"/>
      <c r="W172" s="49"/>
      <c r="X172" s="49"/>
      <c r="Y172" s="49"/>
      <c r="Z172" s="49"/>
      <c r="AA172" s="49"/>
    </row>
    <row r="173" spans="1:27" ht="30" x14ac:dyDescent="0.25">
      <c r="A173" s="207"/>
      <c r="B173" s="641"/>
      <c r="C173" s="711" t="s">
        <v>98</v>
      </c>
      <c r="D173" s="276" t="s">
        <v>98</v>
      </c>
      <c r="E173" s="191" t="s">
        <v>457</v>
      </c>
      <c r="F173" s="641" t="s">
        <v>881</v>
      </c>
      <c r="G173" s="307">
        <f>'Thông tin'!E65</f>
        <v>2.5000000000000001E-2</v>
      </c>
      <c r="H173" s="5"/>
      <c r="I173" s="198"/>
      <c r="J173" s="5">
        <f>(J170)*G173</f>
        <v>232.62854349999998</v>
      </c>
      <c r="K173" s="49"/>
      <c r="L173" s="49"/>
      <c r="M173" s="49"/>
      <c r="N173" s="49"/>
      <c r="O173" s="49"/>
      <c r="P173" s="49"/>
      <c r="Q173" s="49"/>
      <c r="R173" s="49"/>
      <c r="S173" s="49"/>
      <c r="T173" s="49"/>
      <c r="U173" s="49"/>
      <c r="V173" s="49"/>
      <c r="W173" s="49"/>
      <c r="X173" s="49"/>
      <c r="Y173" s="49"/>
      <c r="Z173" s="49"/>
      <c r="AA173" s="49"/>
    </row>
    <row r="174" spans="1:27" x14ac:dyDescent="0.25">
      <c r="A174" s="207"/>
      <c r="B174" s="641"/>
      <c r="C174" s="711" t="s">
        <v>98</v>
      </c>
      <c r="D174" s="276" t="s">
        <v>98</v>
      </c>
      <c r="E174" s="191" t="s">
        <v>1244</v>
      </c>
      <c r="F174" s="641" t="s">
        <v>1032</v>
      </c>
      <c r="G174" s="106"/>
      <c r="H174" s="5"/>
      <c r="I174" s="198"/>
      <c r="J174" s="5">
        <f>J171+J172+J173</f>
        <v>1014.2604496599999</v>
      </c>
      <c r="K174" s="49"/>
      <c r="L174" s="49"/>
      <c r="M174" s="49"/>
      <c r="N174" s="49"/>
      <c r="O174" s="49"/>
      <c r="P174" s="49"/>
      <c r="Q174" s="49"/>
      <c r="R174" s="49"/>
      <c r="S174" s="49"/>
      <c r="T174" s="49"/>
      <c r="U174" s="49"/>
      <c r="V174" s="49"/>
      <c r="W174" s="49"/>
      <c r="X174" s="49"/>
      <c r="Y174" s="49"/>
      <c r="Z174" s="49"/>
      <c r="AA174" s="49"/>
    </row>
    <row r="175" spans="1:27" x14ac:dyDescent="0.25">
      <c r="A175" s="207"/>
      <c r="B175" s="641"/>
      <c r="C175" s="711" t="s">
        <v>98</v>
      </c>
      <c r="D175" s="276" t="s">
        <v>98</v>
      </c>
      <c r="E175" s="191" t="s">
        <v>990</v>
      </c>
      <c r="F175" s="641" t="s">
        <v>307</v>
      </c>
      <c r="G175" s="307">
        <f>'Thông tin'!E63</f>
        <v>5.5E-2</v>
      </c>
      <c r="H175" s="5"/>
      <c r="I175" s="198"/>
      <c r="J175" s="5">
        <f>(J170+J174)*G175</f>
        <v>567.56712043129994</v>
      </c>
      <c r="K175" s="49"/>
      <c r="L175" s="49"/>
      <c r="M175" s="49"/>
      <c r="N175" s="49"/>
      <c r="O175" s="49"/>
      <c r="P175" s="49"/>
      <c r="Q175" s="49"/>
      <c r="R175" s="49"/>
      <c r="S175" s="49"/>
      <c r="T175" s="49"/>
      <c r="U175" s="49"/>
      <c r="V175" s="49"/>
      <c r="W175" s="49"/>
      <c r="X175" s="49"/>
      <c r="Y175" s="49"/>
      <c r="Z175" s="49"/>
      <c r="AA175" s="49"/>
    </row>
    <row r="176" spans="1:27" x14ac:dyDescent="0.25">
      <c r="A176" s="207"/>
      <c r="B176" s="641"/>
      <c r="C176" s="711" t="s">
        <v>98</v>
      </c>
      <c r="D176" s="276" t="s">
        <v>98</v>
      </c>
      <c r="E176" s="7" t="s">
        <v>142</v>
      </c>
      <c r="F176" s="499" t="s">
        <v>286</v>
      </c>
      <c r="G176" s="106"/>
      <c r="H176" s="5"/>
      <c r="I176" s="198"/>
      <c r="J176" s="620">
        <f>J170+J174+J175</f>
        <v>10886.969310091299</v>
      </c>
      <c r="K176" s="49"/>
      <c r="L176" s="49"/>
      <c r="M176" s="49"/>
      <c r="N176" s="49"/>
      <c r="O176" s="49"/>
      <c r="P176" s="49"/>
      <c r="Q176" s="49"/>
      <c r="R176" s="49"/>
      <c r="S176" s="49"/>
      <c r="T176" s="49"/>
      <c r="U176" s="49"/>
      <c r="V176" s="49"/>
      <c r="W176" s="49"/>
      <c r="X176" s="49"/>
      <c r="Y176" s="49"/>
      <c r="Z176" s="49"/>
      <c r="AA176" s="49"/>
    </row>
    <row r="177" spans="1:27" x14ac:dyDescent="0.25">
      <c r="A177" s="207"/>
      <c r="B177" s="641"/>
      <c r="C177" s="711" t="s">
        <v>98</v>
      </c>
      <c r="D177" s="276" t="s">
        <v>98</v>
      </c>
      <c r="E177" s="191" t="s">
        <v>762</v>
      </c>
      <c r="F177" s="641" t="s">
        <v>830</v>
      </c>
      <c r="G177" s="705">
        <f>'Thông tin'!E61</f>
        <v>0.08</v>
      </c>
      <c r="H177" s="5"/>
      <c r="I177" s="198"/>
      <c r="J177" s="5">
        <f>(J176)*G177</f>
        <v>870.95754480730398</v>
      </c>
      <c r="K177" s="49"/>
      <c r="L177" s="49"/>
      <c r="M177" s="49"/>
      <c r="N177" s="49"/>
      <c r="O177" s="49"/>
      <c r="P177" s="49"/>
      <c r="Q177" s="49"/>
      <c r="R177" s="49"/>
      <c r="S177" s="49"/>
      <c r="T177" s="49"/>
      <c r="U177" s="49"/>
      <c r="V177" s="49"/>
      <c r="W177" s="49"/>
      <c r="X177" s="49"/>
      <c r="Y177" s="49"/>
      <c r="Z177" s="49"/>
      <c r="AA177" s="49"/>
    </row>
    <row r="178" spans="1:27" x14ac:dyDescent="0.25">
      <c r="A178" s="122"/>
      <c r="B178" s="581"/>
      <c r="C178" s="636" t="s">
        <v>98</v>
      </c>
      <c r="D178" s="196" t="s">
        <v>98</v>
      </c>
      <c r="E178" s="728" t="s">
        <v>953</v>
      </c>
      <c r="F178" s="429" t="s">
        <v>1108</v>
      </c>
      <c r="G178" s="29"/>
      <c r="H178" s="704"/>
      <c r="I178" s="113"/>
      <c r="J178" s="657">
        <f>J176+J177</f>
        <v>11757.926854898604</v>
      </c>
      <c r="K178" s="49"/>
      <c r="L178" s="49"/>
      <c r="M178" s="49"/>
      <c r="N178" s="49"/>
      <c r="O178" s="49"/>
      <c r="P178" s="49"/>
      <c r="Q178" s="49"/>
      <c r="R178" s="49"/>
      <c r="S178" s="49"/>
      <c r="T178" s="49"/>
      <c r="U178" s="49"/>
      <c r="V178" s="49"/>
      <c r="W178" s="49"/>
      <c r="X178" s="49"/>
      <c r="Y178" s="49"/>
      <c r="Z178" s="49"/>
      <c r="AA178" s="49"/>
    </row>
    <row r="179" spans="1:27" x14ac:dyDescent="0.25">
      <c r="A179" s="458"/>
      <c r="B179" s="130">
        <v>9</v>
      </c>
      <c r="C179" s="234" t="str">
        <f>'Du toan chi tiet'!C15</f>
        <v>AL.22112</v>
      </c>
      <c r="D179" s="234" t="str">
        <f>'Du toan chi tiet'!C15</f>
        <v>AL.22112</v>
      </c>
      <c r="E179" s="730" t="str">
        <f>'Du toan chi tiet'!D15</f>
        <v>Cắt mặt đường bê tông hiện có</v>
      </c>
      <c r="F179" s="130" t="str">
        <f>'Du toan chi tiet'!E15</f>
        <v>10m</v>
      </c>
      <c r="G179" s="664"/>
      <c r="H179" s="282"/>
      <c r="I179" s="450"/>
      <c r="J179" s="282"/>
      <c r="K179" s="49"/>
      <c r="L179" s="49"/>
      <c r="M179" s="49"/>
      <c r="N179" s="49"/>
      <c r="O179" s="49"/>
      <c r="P179" s="49"/>
      <c r="Q179" s="49"/>
      <c r="R179" s="49"/>
      <c r="S179" s="49"/>
      <c r="T179" s="49"/>
      <c r="U179" s="49"/>
      <c r="V179" s="49"/>
      <c r="W179" s="49"/>
      <c r="X179" s="49"/>
      <c r="Y179" s="49"/>
      <c r="Z179" s="49"/>
      <c r="AA179" s="49"/>
    </row>
    <row r="180" spans="1:27" x14ac:dyDescent="0.25">
      <c r="A180" s="261"/>
      <c r="B180" s="690"/>
      <c r="C180" s="745" t="s">
        <v>98</v>
      </c>
      <c r="D180" s="745" t="s">
        <v>98</v>
      </c>
      <c r="E180" s="247" t="s">
        <v>547</v>
      </c>
      <c r="F180" s="690" t="s">
        <v>962</v>
      </c>
      <c r="G180" s="133"/>
      <c r="H180" s="44"/>
      <c r="I180" s="233"/>
      <c r="J180" s="44">
        <f>SUM(J181:J182)</f>
        <v>239181.84</v>
      </c>
      <c r="K180" s="49"/>
      <c r="L180" s="49"/>
      <c r="M180" s="49"/>
      <c r="N180" s="49"/>
      <c r="O180" s="49"/>
      <c r="P180" s="49"/>
      <c r="Q180" s="49"/>
      <c r="R180" s="49"/>
      <c r="S180" s="49"/>
      <c r="T180" s="49"/>
      <c r="U180" s="49"/>
      <c r="V180" s="49"/>
      <c r="W180" s="49"/>
      <c r="X180" s="49"/>
      <c r="Y180" s="49"/>
      <c r="Z180" s="49"/>
      <c r="AA180" s="49"/>
    </row>
    <row r="181" spans="1:27" x14ac:dyDescent="0.25">
      <c r="A181" s="207"/>
      <c r="B181" s="641"/>
      <c r="C181" s="711" t="s">
        <v>98</v>
      </c>
      <c r="D181" s="276" t="s">
        <v>1077</v>
      </c>
      <c r="E181" s="191" t="str">
        <f>" - " &amp; 'Giá VL'!E19</f>
        <v xml:space="preserve"> - Lưỡi cắt D350mm</v>
      </c>
      <c r="F181" s="641" t="str">
        <f>'Giá VL'!F19</f>
        <v>cái</v>
      </c>
      <c r="G181" s="67">
        <f>'Phan tich don gia'!G74</f>
        <v>0.18</v>
      </c>
      <c r="H181" s="5">
        <f>'Giá VL'!V19</f>
        <v>1322000</v>
      </c>
      <c r="I181" s="198">
        <f>'Du toan chi tiet'!V15</f>
        <v>1</v>
      </c>
      <c r="J181" s="5">
        <f t="shared" ref="J181:J182" si="12">PRODUCT(G181,H181,I181)</f>
        <v>237960</v>
      </c>
      <c r="K181" s="49"/>
      <c r="L181" s="49"/>
      <c r="M181" s="49"/>
      <c r="N181" s="49"/>
      <c r="O181" s="49"/>
      <c r="P181" s="49"/>
      <c r="Q181" s="49"/>
      <c r="R181" s="49"/>
      <c r="S181" s="49"/>
      <c r="T181" s="49"/>
      <c r="U181" s="49"/>
      <c r="V181" s="49"/>
      <c r="W181" s="49"/>
      <c r="X181" s="49"/>
      <c r="Y181" s="49"/>
      <c r="Z181" s="49"/>
      <c r="AA181" s="49"/>
    </row>
    <row r="182" spans="1:27" x14ac:dyDescent="0.25">
      <c r="A182" s="207"/>
      <c r="B182" s="641"/>
      <c r="C182" s="711" t="s">
        <v>98</v>
      </c>
      <c r="D182" s="276" t="s">
        <v>615</v>
      </c>
      <c r="E182" s="191" t="str">
        <f>" - " &amp; 'Giá VL'!E24</f>
        <v xml:space="preserve"> - Nước</v>
      </c>
      <c r="F182" s="641" t="str">
        <f>'Giá VL'!F24</f>
        <v>m3</v>
      </c>
      <c r="G182" s="67">
        <f>'Phan tich don gia'!G75</f>
        <v>0.12</v>
      </c>
      <c r="H182" s="5">
        <f>'Giá VL'!V24</f>
        <v>10182</v>
      </c>
      <c r="I182" s="198">
        <f>'Du toan chi tiet'!V15</f>
        <v>1</v>
      </c>
      <c r="J182" s="5">
        <f t="shared" si="12"/>
        <v>1221.8399999999999</v>
      </c>
      <c r="K182" s="49"/>
      <c r="L182" s="49"/>
      <c r="M182" s="49"/>
      <c r="N182" s="49"/>
      <c r="O182" s="49"/>
      <c r="P182" s="49"/>
      <c r="Q182" s="49"/>
      <c r="R182" s="49"/>
      <c r="S182" s="49"/>
      <c r="T182" s="49"/>
      <c r="U182" s="49"/>
      <c r="V182" s="49"/>
      <c r="W182" s="49"/>
      <c r="X182" s="49"/>
      <c r="Y182" s="49"/>
      <c r="Z182" s="49"/>
      <c r="AA182" s="49"/>
    </row>
    <row r="183" spans="1:27" x14ac:dyDescent="0.25">
      <c r="A183" s="261"/>
      <c r="B183" s="690"/>
      <c r="C183" s="745" t="s">
        <v>98</v>
      </c>
      <c r="D183" s="745" t="s">
        <v>98</v>
      </c>
      <c r="E183" s="247" t="s">
        <v>301</v>
      </c>
      <c r="F183" s="690" t="s">
        <v>1018</v>
      </c>
      <c r="G183" s="133"/>
      <c r="H183" s="44"/>
      <c r="I183" s="233"/>
      <c r="J183" s="44">
        <f>SUM(J184:J184)</f>
        <v>138710</v>
      </c>
      <c r="K183" s="49"/>
      <c r="L183" s="49"/>
      <c r="M183" s="49"/>
      <c r="N183" s="49"/>
      <c r="O183" s="49"/>
      <c r="P183" s="49"/>
      <c r="Q183" s="49"/>
      <c r="R183" s="49"/>
      <c r="S183" s="49"/>
      <c r="T183" s="49"/>
      <c r="U183" s="49"/>
      <c r="V183" s="49"/>
      <c r="W183" s="49"/>
      <c r="X183" s="49"/>
      <c r="Y183" s="49"/>
      <c r="Z183" s="49"/>
      <c r="AA183" s="49"/>
    </row>
    <row r="184" spans="1:27" x14ac:dyDescent="0.25">
      <c r="A184" s="207"/>
      <c r="B184" s="641"/>
      <c r="C184" s="711" t="s">
        <v>98</v>
      </c>
      <c r="D184" s="276" t="s">
        <v>706</v>
      </c>
      <c r="E184" s="191" t="str">
        <f>" - " &amp; 'Giá NC'!E8</f>
        <v xml:space="preserve"> - Nhân công bậc 3,5/7 - Nhóm 2</v>
      </c>
      <c r="F184" s="641" t="str">
        <f>'Giá NC'!F8</f>
        <v>công</v>
      </c>
      <c r="G184" s="67">
        <f>'Phan tich don gia'!G77</f>
        <v>0.55000000000000004</v>
      </c>
      <c r="H184" s="5">
        <f>'Giá NC'!K8</f>
        <v>252200</v>
      </c>
      <c r="I184" s="198">
        <f>'Du toan chi tiet'!W15</f>
        <v>1</v>
      </c>
      <c r="J184" s="5">
        <f>PRODUCT(G184,H184,I184)</f>
        <v>138710</v>
      </c>
      <c r="K184" s="49"/>
      <c r="L184" s="49"/>
      <c r="M184" s="49"/>
      <c r="N184" s="49"/>
      <c r="O184" s="49"/>
      <c r="P184" s="49"/>
      <c r="Q184" s="49"/>
      <c r="R184" s="49"/>
      <c r="S184" s="49"/>
      <c r="T184" s="49"/>
      <c r="U184" s="49"/>
      <c r="V184" s="49"/>
      <c r="W184" s="49"/>
      <c r="X184" s="49"/>
      <c r="Y184" s="49"/>
      <c r="Z184" s="49"/>
      <c r="AA184" s="49"/>
    </row>
    <row r="185" spans="1:27" x14ac:dyDescent="0.25">
      <c r="A185" s="261"/>
      <c r="B185" s="690"/>
      <c r="C185" s="745" t="s">
        <v>98</v>
      </c>
      <c r="D185" s="745" t="s">
        <v>98</v>
      </c>
      <c r="E185" s="247" t="s">
        <v>1175</v>
      </c>
      <c r="F185" s="690" t="s">
        <v>138</v>
      </c>
      <c r="G185" s="133"/>
      <c r="H185" s="44"/>
      <c r="I185" s="233"/>
      <c r="J185" s="44">
        <f>SUM(J186:J187)</f>
        <v>67683.88</v>
      </c>
      <c r="K185" s="49"/>
      <c r="L185" s="49"/>
      <c r="M185" s="49"/>
      <c r="N185" s="49"/>
      <c r="O185" s="49"/>
      <c r="P185" s="49"/>
      <c r="Q185" s="49"/>
      <c r="R185" s="49"/>
      <c r="S185" s="49"/>
      <c r="T185" s="49"/>
      <c r="U185" s="49"/>
      <c r="V185" s="49"/>
      <c r="W185" s="49"/>
      <c r="X185" s="49"/>
      <c r="Y185" s="49"/>
      <c r="Z185" s="49"/>
      <c r="AA185" s="49"/>
    </row>
    <row r="186" spans="1:27" x14ac:dyDescent="0.25">
      <c r="A186" s="207"/>
      <c r="B186" s="641"/>
      <c r="C186" s="711" t="s">
        <v>98</v>
      </c>
      <c r="D186" s="276" t="s">
        <v>177</v>
      </c>
      <c r="E186" s="191" t="str">
        <f>" - " &amp; 'Giá Máy'!E7</f>
        <v xml:space="preserve"> - Máy cắt bê tông 7,5kW</v>
      </c>
      <c r="F186" s="641" t="str">
        <f>'Giá Máy'!F7</f>
        <v>ca</v>
      </c>
      <c r="G186" s="67">
        <f>'Phan tich don gia'!G79</f>
        <v>0.22</v>
      </c>
      <c r="H186" s="5">
        <f>'Giá Máy'!J7</f>
        <v>307653</v>
      </c>
      <c r="I186" s="198">
        <f>'Du toan chi tiet'!X15</f>
        <v>1</v>
      </c>
      <c r="J186" s="5">
        <f>PRODUCT(G186,H186,I186)</f>
        <v>67683.66</v>
      </c>
      <c r="K186" s="49"/>
      <c r="L186" s="49"/>
      <c r="M186" s="49"/>
      <c r="N186" s="49"/>
      <c r="O186" s="49"/>
      <c r="P186" s="49"/>
      <c r="Q186" s="49"/>
      <c r="R186" s="49"/>
      <c r="S186" s="49"/>
      <c r="T186" s="49"/>
      <c r="U186" s="49"/>
      <c r="V186" s="49"/>
      <c r="W186" s="49"/>
      <c r="X186" s="49"/>
      <c r="Y186" s="49"/>
      <c r="Z186" s="49"/>
      <c r="AA186" s="49"/>
    </row>
    <row r="187" spans="1:27" x14ac:dyDescent="0.25">
      <c r="A187" s="207"/>
      <c r="B187" s="641"/>
      <c r="C187" s="711" t="s">
        <v>98</v>
      </c>
      <c r="D187" s="276" t="s">
        <v>98</v>
      </c>
      <c r="E187" s="191" t="s">
        <v>1230</v>
      </c>
      <c r="F187" s="641"/>
      <c r="G187" s="106"/>
      <c r="H187" s="5"/>
      <c r="I187" s="198"/>
      <c r="J187" s="5">
        <f>SUM(J188:J189)</f>
        <v>0.22</v>
      </c>
      <c r="K187" s="49"/>
      <c r="L187" s="49"/>
      <c r="M187" s="49"/>
      <c r="N187" s="49"/>
      <c r="O187" s="49"/>
      <c r="P187" s="49"/>
      <c r="Q187" s="49"/>
      <c r="R187" s="49"/>
      <c r="S187" s="49"/>
      <c r="T187" s="49"/>
      <c r="U187" s="49"/>
      <c r="V187" s="49"/>
      <c r="W187" s="49"/>
      <c r="X187" s="49"/>
      <c r="Y187" s="49"/>
      <c r="Z187" s="49"/>
      <c r="AA187" s="49"/>
    </row>
    <row r="188" spans="1:27" x14ac:dyDescent="0.25">
      <c r="A188" s="207"/>
      <c r="B188" s="641"/>
      <c r="C188" s="711" t="s">
        <v>98</v>
      </c>
      <c r="D188" s="276" t="s">
        <v>98</v>
      </c>
      <c r="E188" s="191" t="s">
        <v>52</v>
      </c>
      <c r="F188" s="641"/>
      <c r="G188" s="106"/>
      <c r="H188" s="5"/>
      <c r="I188" s="198"/>
      <c r="J188" s="5">
        <f>PRODUCT(G186,I186,'Giá Máy'!L7)</f>
        <v>0</v>
      </c>
      <c r="K188" s="49"/>
      <c r="L188" s="49"/>
      <c r="M188" s="49"/>
      <c r="N188" s="49"/>
      <c r="O188" s="49"/>
      <c r="P188" s="49"/>
      <c r="Q188" s="49"/>
      <c r="R188" s="49"/>
      <c r="S188" s="49"/>
      <c r="T188" s="49"/>
      <c r="U188" s="49"/>
      <c r="V188" s="49"/>
      <c r="W188" s="49"/>
      <c r="X188" s="49"/>
      <c r="Y188" s="49"/>
      <c r="Z188" s="49"/>
      <c r="AA188" s="49"/>
    </row>
    <row r="189" spans="1:27" x14ac:dyDescent="0.25">
      <c r="A189" s="207"/>
      <c r="B189" s="641"/>
      <c r="C189" s="711" t="s">
        <v>98</v>
      </c>
      <c r="D189" s="276" t="s">
        <v>98</v>
      </c>
      <c r="E189" s="191" t="s">
        <v>597</v>
      </c>
      <c r="F189" s="641"/>
      <c r="G189" s="106"/>
      <c r="H189" s="5"/>
      <c r="I189" s="198"/>
      <c r="J189" s="5">
        <f>PRODUCT(G186,I186,'Giá Máy'!M7)</f>
        <v>0.22</v>
      </c>
      <c r="K189" s="49"/>
      <c r="L189" s="49"/>
      <c r="M189" s="49"/>
      <c r="N189" s="49"/>
      <c r="O189" s="49"/>
      <c r="P189" s="49"/>
      <c r="Q189" s="49"/>
      <c r="R189" s="49"/>
      <c r="S189" s="49"/>
      <c r="T189" s="49"/>
      <c r="U189" s="49"/>
      <c r="V189" s="49"/>
      <c r="W189" s="49"/>
      <c r="X189" s="49"/>
      <c r="Y189" s="49"/>
      <c r="Z189" s="49"/>
      <c r="AA189" s="49"/>
    </row>
    <row r="190" spans="1:27" x14ac:dyDescent="0.25">
      <c r="A190" s="207"/>
      <c r="B190" s="641"/>
      <c r="C190" s="711" t="s">
        <v>98</v>
      </c>
      <c r="D190" s="276" t="s">
        <v>98</v>
      </c>
      <c r="E190" s="191" t="s">
        <v>599</v>
      </c>
      <c r="F190" s="641" t="s">
        <v>356</v>
      </c>
      <c r="G190" s="106"/>
      <c r="H190" s="5"/>
      <c r="I190" s="198"/>
      <c r="J190" s="5">
        <f>J180+J183+J185</f>
        <v>445575.72</v>
      </c>
      <c r="K190" s="49"/>
      <c r="L190" s="49"/>
      <c r="M190" s="49"/>
      <c r="N190" s="49"/>
      <c r="O190" s="49"/>
      <c r="P190" s="49"/>
      <c r="Q190" s="49"/>
      <c r="R190" s="49"/>
      <c r="S190" s="49"/>
      <c r="T190" s="49"/>
      <c r="U190" s="49"/>
      <c r="V190" s="49"/>
      <c r="W190" s="49"/>
      <c r="X190" s="49"/>
      <c r="Y190" s="49"/>
      <c r="Z190" s="49"/>
      <c r="AA190" s="49"/>
    </row>
    <row r="191" spans="1:27" x14ac:dyDescent="0.25">
      <c r="A191" s="207"/>
      <c r="B191" s="641"/>
      <c r="C191" s="711" t="s">
        <v>98</v>
      </c>
      <c r="D191" s="276" t="s">
        <v>98</v>
      </c>
      <c r="E191" s="191" t="s">
        <v>265</v>
      </c>
      <c r="F191" s="641" t="s">
        <v>653</v>
      </c>
      <c r="G191" s="307">
        <f>'Thông tin'!E67</f>
        <v>7.2999999999999995E-2</v>
      </c>
      <c r="H191" s="5"/>
      <c r="I191" s="198"/>
      <c r="J191" s="5">
        <f>(J190)*G191</f>
        <v>32527.027559999995</v>
      </c>
      <c r="K191" s="49"/>
      <c r="L191" s="49"/>
      <c r="M191" s="49"/>
      <c r="N191" s="49"/>
      <c r="O191" s="49"/>
      <c r="P191" s="49"/>
      <c r="Q191" s="49"/>
      <c r="R191" s="49"/>
      <c r="S191" s="49"/>
      <c r="T191" s="49"/>
      <c r="U191" s="49"/>
      <c r="V191" s="49"/>
      <c r="W191" s="49"/>
      <c r="X191" s="49"/>
      <c r="Y191" s="49"/>
      <c r="Z191" s="49"/>
      <c r="AA191" s="49"/>
    </row>
    <row r="192" spans="1:27" x14ac:dyDescent="0.25">
      <c r="A192" s="207"/>
      <c r="B192" s="641"/>
      <c r="C192" s="711" t="s">
        <v>98</v>
      </c>
      <c r="D192" s="276" t="s">
        <v>98</v>
      </c>
      <c r="E192" s="191" t="s">
        <v>765</v>
      </c>
      <c r="F192" s="641" t="s">
        <v>602</v>
      </c>
      <c r="G192" s="307">
        <f>'Thông tin'!E60</f>
        <v>1.1000000000000001E-2</v>
      </c>
      <c r="H192" s="5"/>
      <c r="I192" s="198"/>
      <c r="J192" s="5">
        <f>(J190)*G192</f>
        <v>4901.3329199999998</v>
      </c>
      <c r="K192" s="49"/>
      <c r="L192" s="49"/>
      <c r="M192" s="49"/>
      <c r="N192" s="49"/>
      <c r="O192" s="49"/>
      <c r="P192" s="49"/>
      <c r="Q192" s="49"/>
      <c r="R192" s="49"/>
      <c r="S192" s="49"/>
      <c r="T192" s="49"/>
      <c r="U192" s="49"/>
      <c r="V192" s="49"/>
      <c r="W192" s="49"/>
      <c r="X192" s="49"/>
      <c r="Y192" s="49"/>
      <c r="Z192" s="49"/>
      <c r="AA192" s="49"/>
    </row>
    <row r="193" spans="1:27" ht="30" x14ac:dyDescent="0.25">
      <c r="A193" s="207"/>
      <c r="B193" s="641"/>
      <c r="C193" s="711" t="s">
        <v>98</v>
      </c>
      <c r="D193" s="276" t="s">
        <v>98</v>
      </c>
      <c r="E193" s="191" t="s">
        <v>457</v>
      </c>
      <c r="F193" s="641" t="s">
        <v>881</v>
      </c>
      <c r="G193" s="307">
        <f>'Thông tin'!E65</f>
        <v>2.5000000000000001E-2</v>
      </c>
      <c r="H193" s="5"/>
      <c r="I193" s="198"/>
      <c r="J193" s="5">
        <f>(J190)*G193</f>
        <v>11139.393</v>
      </c>
      <c r="K193" s="49"/>
      <c r="L193" s="49"/>
      <c r="M193" s="49"/>
      <c r="N193" s="49"/>
      <c r="O193" s="49"/>
      <c r="P193" s="49"/>
      <c r="Q193" s="49"/>
      <c r="R193" s="49"/>
      <c r="S193" s="49"/>
      <c r="T193" s="49"/>
      <c r="U193" s="49"/>
      <c r="V193" s="49"/>
      <c r="W193" s="49"/>
      <c r="X193" s="49"/>
      <c r="Y193" s="49"/>
      <c r="Z193" s="49"/>
      <c r="AA193" s="49"/>
    </row>
    <row r="194" spans="1:27" x14ac:dyDescent="0.25">
      <c r="A194" s="207"/>
      <c r="B194" s="641"/>
      <c r="C194" s="711" t="s">
        <v>98</v>
      </c>
      <c r="D194" s="276" t="s">
        <v>98</v>
      </c>
      <c r="E194" s="191" t="s">
        <v>1244</v>
      </c>
      <c r="F194" s="641" t="s">
        <v>1032</v>
      </c>
      <c r="G194" s="106"/>
      <c r="H194" s="5"/>
      <c r="I194" s="198"/>
      <c r="J194" s="5">
        <f>J191+J192+J193</f>
        <v>48567.753479999999</v>
      </c>
      <c r="K194" s="49"/>
      <c r="L194" s="49"/>
      <c r="M194" s="49"/>
      <c r="N194" s="49"/>
      <c r="O194" s="49"/>
      <c r="P194" s="49"/>
      <c r="Q194" s="49"/>
      <c r="R194" s="49"/>
      <c r="S194" s="49"/>
      <c r="T194" s="49"/>
      <c r="U194" s="49"/>
      <c r="V194" s="49"/>
      <c r="W194" s="49"/>
      <c r="X194" s="49"/>
      <c r="Y194" s="49"/>
      <c r="Z194" s="49"/>
      <c r="AA194" s="49"/>
    </row>
    <row r="195" spans="1:27" x14ac:dyDescent="0.25">
      <c r="A195" s="207"/>
      <c r="B195" s="641"/>
      <c r="C195" s="711" t="s">
        <v>98</v>
      </c>
      <c r="D195" s="276" t="s">
        <v>98</v>
      </c>
      <c r="E195" s="191" t="s">
        <v>990</v>
      </c>
      <c r="F195" s="641" t="s">
        <v>307</v>
      </c>
      <c r="G195" s="307">
        <f>'Thông tin'!E63</f>
        <v>5.5E-2</v>
      </c>
      <c r="H195" s="5"/>
      <c r="I195" s="198"/>
      <c r="J195" s="5">
        <f>(J190+J194)*G195</f>
        <v>27177.891041399998</v>
      </c>
      <c r="K195" s="49"/>
      <c r="L195" s="49"/>
      <c r="M195" s="49"/>
      <c r="N195" s="49"/>
      <c r="O195" s="49"/>
      <c r="P195" s="49"/>
      <c r="Q195" s="49"/>
      <c r="R195" s="49"/>
      <c r="S195" s="49"/>
      <c r="T195" s="49"/>
      <c r="U195" s="49"/>
      <c r="V195" s="49"/>
      <c r="W195" s="49"/>
      <c r="X195" s="49"/>
      <c r="Y195" s="49"/>
      <c r="Z195" s="49"/>
      <c r="AA195" s="49"/>
    </row>
    <row r="196" spans="1:27" x14ac:dyDescent="0.25">
      <c r="A196" s="207"/>
      <c r="B196" s="641"/>
      <c r="C196" s="711" t="s">
        <v>98</v>
      </c>
      <c r="D196" s="276" t="s">
        <v>98</v>
      </c>
      <c r="E196" s="7" t="s">
        <v>142</v>
      </c>
      <c r="F196" s="499" t="s">
        <v>286</v>
      </c>
      <c r="G196" s="106"/>
      <c r="H196" s="5"/>
      <c r="I196" s="198"/>
      <c r="J196" s="620">
        <f>J190+J194+J195</f>
        <v>521321.36452139996</v>
      </c>
      <c r="K196" s="49"/>
      <c r="L196" s="49"/>
      <c r="M196" s="49"/>
      <c r="N196" s="49"/>
      <c r="O196" s="49"/>
      <c r="P196" s="49"/>
      <c r="Q196" s="49"/>
      <c r="R196" s="49"/>
      <c r="S196" s="49"/>
      <c r="T196" s="49"/>
      <c r="U196" s="49"/>
      <c r="V196" s="49"/>
      <c r="W196" s="49"/>
      <c r="X196" s="49"/>
      <c r="Y196" s="49"/>
      <c r="Z196" s="49"/>
      <c r="AA196" s="49"/>
    </row>
    <row r="197" spans="1:27" x14ac:dyDescent="0.25">
      <c r="A197" s="207"/>
      <c r="B197" s="641"/>
      <c r="C197" s="711" t="s">
        <v>98</v>
      </c>
      <c r="D197" s="276" t="s">
        <v>98</v>
      </c>
      <c r="E197" s="191" t="s">
        <v>762</v>
      </c>
      <c r="F197" s="641" t="s">
        <v>830</v>
      </c>
      <c r="G197" s="705">
        <f>'Thông tin'!E61</f>
        <v>0.08</v>
      </c>
      <c r="H197" s="5"/>
      <c r="I197" s="198"/>
      <c r="J197" s="5">
        <f>(J196)*G197</f>
        <v>41705.709161711995</v>
      </c>
      <c r="K197" s="49"/>
      <c r="L197" s="49"/>
      <c r="M197" s="49"/>
      <c r="N197" s="49"/>
      <c r="O197" s="49"/>
      <c r="P197" s="49"/>
      <c r="Q197" s="49"/>
      <c r="R197" s="49"/>
      <c r="S197" s="49"/>
      <c r="T197" s="49"/>
      <c r="U197" s="49"/>
      <c r="V197" s="49"/>
      <c r="W197" s="49"/>
      <c r="X197" s="49"/>
      <c r="Y197" s="49"/>
      <c r="Z197" s="49"/>
      <c r="AA197" s="49"/>
    </row>
    <row r="198" spans="1:27" x14ac:dyDescent="0.25">
      <c r="A198" s="122"/>
      <c r="B198" s="581"/>
      <c r="C198" s="636" t="s">
        <v>98</v>
      </c>
      <c r="D198" s="196" t="s">
        <v>98</v>
      </c>
      <c r="E198" s="728" t="s">
        <v>953</v>
      </c>
      <c r="F198" s="429" t="s">
        <v>1108</v>
      </c>
      <c r="G198" s="29"/>
      <c r="H198" s="704"/>
      <c r="I198" s="113"/>
      <c r="J198" s="657">
        <f>J196+J197</f>
        <v>563027.07368311193</v>
      </c>
      <c r="K198" s="49"/>
      <c r="L198" s="49"/>
      <c r="M198" s="49"/>
      <c r="N198" s="49"/>
      <c r="O198" s="49"/>
      <c r="P198" s="49"/>
      <c r="Q198" s="49"/>
      <c r="R198" s="49"/>
      <c r="S198" s="49"/>
      <c r="T198" s="49"/>
      <c r="U198" s="49"/>
      <c r="V198" s="49"/>
      <c r="W198" s="49"/>
      <c r="X198" s="49"/>
      <c r="Y198" s="49"/>
      <c r="Z198" s="49"/>
      <c r="AA198" s="49"/>
    </row>
    <row r="199" spans="1:27" ht="30" x14ac:dyDescent="0.25">
      <c r="A199" s="458"/>
      <c r="B199" s="130">
        <v>10</v>
      </c>
      <c r="C199" s="234" t="str">
        <f>'Du toan chi tiet'!C16</f>
        <v>SF.12112</v>
      </c>
      <c r="D199" s="234" t="str">
        <f>'Du toan chi tiet'!C16</f>
        <v>SF.12112</v>
      </c>
      <c r="E199" s="730" t="str">
        <f>'Du toan chi tiet'!D16</f>
        <v>Bảo dưỡng khe co dãn mặt đường bê tông xi măng - Chiều dày mặt đường 25cm</v>
      </c>
      <c r="F199" s="130" t="str">
        <f>'Du toan chi tiet'!E16</f>
        <v>1m</v>
      </c>
      <c r="G199" s="664"/>
      <c r="H199" s="282"/>
      <c r="I199" s="450"/>
      <c r="J199" s="282"/>
      <c r="K199" s="49"/>
      <c r="L199" s="49"/>
      <c r="M199" s="49"/>
      <c r="N199" s="49"/>
      <c r="O199" s="49"/>
      <c r="P199" s="49"/>
      <c r="Q199" s="49"/>
      <c r="R199" s="49"/>
      <c r="S199" s="49"/>
      <c r="T199" s="49"/>
      <c r="U199" s="49"/>
      <c r="V199" s="49"/>
      <c r="W199" s="49"/>
      <c r="X199" s="49"/>
      <c r="Y199" s="49"/>
      <c r="Z199" s="49"/>
      <c r="AA199" s="49"/>
    </row>
    <row r="200" spans="1:27" x14ac:dyDescent="0.25">
      <c r="A200" s="261"/>
      <c r="B200" s="690"/>
      <c r="C200" s="745" t="s">
        <v>98</v>
      </c>
      <c r="D200" s="745" t="s">
        <v>98</v>
      </c>
      <c r="E200" s="247" t="s">
        <v>547</v>
      </c>
      <c r="F200" s="690" t="s">
        <v>962</v>
      </c>
      <c r="G200" s="133"/>
      <c r="H200" s="44"/>
      <c r="I200" s="233"/>
      <c r="J200" s="44">
        <f>SUM(J201:J201)</f>
        <v>71896.950000000012</v>
      </c>
      <c r="K200" s="49"/>
      <c r="L200" s="49"/>
      <c r="M200" s="49"/>
      <c r="N200" s="49"/>
      <c r="O200" s="49"/>
      <c r="P200" s="49"/>
      <c r="Q200" s="49"/>
      <c r="R200" s="49"/>
      <c r="S200" s="49"/>
      <c r="T200" s="49"/>
      <c r="U200" s="49"/>
      <c r="V200" s="49"/>
      <c r="W200" s="49"/>
      <c r="X200" s="49"/>
      <c r="Y200" s="49"/>
      <c r="Z200" s="49"/>
      <c r="AA200" s="49"/>
    </row>
    <row r="201" spans="1:27" x14ac:dyDescent="0.25">
      <c r="A201" s="207"/>
      <c r="B201" s="641"/>
      <c r="C201" s="711" t="s">
        <v>98</v>
      </c>
      <c r="D201" s="276" t="s">
        <v>461</v>
      </c>
      <c r="E201" s="191" t="str">
        <f>" - " &amp; 'Giá VL'!E20</f>
        <v xml:space="preserve"> - Matit</v>
      </c>
      <c r="F201" s="641" t="str">
        <f>'Giá VL'!F20</f>
        <v>kg</v>
      </c>
      <c r="G201" s="67">
        <f>'Phan tich don gia'!G82</f>
        <v>4.2750000000000004</v>
      </c>
      <c r="H201" s="5">
        <f>'Giá VL'!V20</f>
        <v>16818</v>
      </c>
      <c r="I201" s="198">
        <f>'Du toan chi tiet'!V16</f>
        <v>1</v>
      </c>
      <c r="J201" s="5">
        <f>PRODUCT(G201,H201,I201)</f>
        <v>71896.950000000012</v>
      </c>
      <c r="K201" s="49"/>
      <c r="L201" s="49"/>
      <c r="M201" s="49"/>
      <c r="N201" s="49"/>
      <c r="O201" s="49"/>
      <c r="P201" s="49"/>
      <c r="Q201" s="49"/>
      <c r="R201" s="49"/>
      <c r="S201" s="49"/>
      <c r="T201" s="49"/>
      <c r="U201" s="49"/>
      <c r="V201" s="49"/>
      <c r="W201" s="49"/>
      <c r="X201" s="49"/>
      <c r="Y201" s="49"/>
      <c r="Z201" s="49"/>
      <c r="AA201" s="49"/>
    </row>
    <row r="202" spans="1:27" x14ac:dyDescent="0.25">
      <c r="A202" s="261"/>
      <c r="B202" s="690"/>
      <c r="C202" s="745" t="s">
        <v>98</v>
      </c>
      <c r="D202" s="745" t="s">
        <v>98</v>
      </c>
      <c r="E202" s="247" t="s">
        <v>301</v>
      </c>
      <c r="F202" s="690" t="s">
        <v>1018</v>
      </c>
      <c r="G202" s="133"/>
      <c r="H202" s="44"/>
      <c r="I202" s="233"/>
      <c r="J202" s="44">
        <f>SUM(J203:J203)</f>
        <v>38240</v>
      </c>
      <c r="K202" s="49"/>
      <c r="L202" s="49"/>
      <c r="M202" s="49"/>
      <c r="N202" s="49"/>
      <c r="O202" s="49"/>
      <c r="P202" s="49"/>
      <c r="Q202" s="49"/>
      <c r="R202" s="49"/>
      <c r="S202" s="49"/>
      <c r="T202" s="49"/>
      <c r="U202" s="49"/>
      <c r="V202" s="49"/>
      <c r="W202" s="49"/>
      <c r="X202" s="49"/>
      <c r="Y202" s="49"/>
      <c r="Z202" s="49"/>
      <c r="AA202" s="49"/>
    </row>
    <row r="203" spans="1:27" x14ac:dyDescent="0.25">
      <c r="A203" s="207"/>
      <c r="B203" s="641"/>
      <c r="C203" s="711" t="s">
        <v>98</v>
      </c>
      <c r="D203" s="276" t="s">
        <v>49</v>
      </c>
      <c r="E203" s="191" t="str">
        <f>" - " &amp; 'Giá NC'!E6</f>
        <v xml:space="preserve"> - Nhân công bậc 3,5/7 - Nhóm 1</v>
      </c>
      <c r="F203" s="641" t="str">
        <f>'Giá NC'!F6</f>
        <v>công</v>
      </c>
      <c r="G203" s="67">
        <f>'Phan tich don gia'!G84</f>
        <v>0.16</v>
      </c>
      <c r="H203" s="5">
        <f>'Giá NC'!K6</f>
        <v>239000</v>
      </c>
      <c r="I203" s="198">
        <f>'Du toan chi tiet'!W16</f>
        <v>1</v>
      </c>
      <c r="J203" s="5">
        <f>PRODUCT(G203,H203,I203)</f>
        <v>38240</v>
      </c>
      <c r="K203" s="49"/>
      <c r="L203" s="49"/>
      <c r="M203" s="49"/>
      <c r="N203" s="49"/>
      <c r="O203" s="49"/>
      <c r="P203" s="49"/>
      <c r="Q203" s="49"/>
      <c r="R203" s="49"/>
      <c r="S203" s="49"/>
      <c r="T203" s="49"/>
      <c r="U203" s="49"/>
      <c r="V203" s="49"/>
      <c r="W203" s="49"/>
      <c r="X203" s="49"/>
      <c r="Y203" s="49"/>
      <c r="Z203" s="49"/>
      <c r="AA203" s="49"/>
    </row>
    <row r="204" spans="1:27" x14ac:dyDescent="0.25">
      <c r="A204" s="261"/>
      <c r="B204" s="690"/>
      <c r="C204" s="745" t="s">
        <v>98</v>
      </c>
      <c r="D204" s="745" t="s">
        <v>98</v>
      </c>
      <c r="E204" s="247" t="s">
        <v>1175</v>
      </c>
      <c r="F204" s="690" t="s">
        <v>138</v>
      </c>
      <c r="G204" s="133"/>
      <c r="H204" s="44"/>
      <c r="I204" s="233"/>
      <c r="J204" s="44">
        <f>SUM(J205:J206)</f>
        <v>22761.1908</v>
      </c>
      <c r="K204" s="49"/>
      <c r="L204" s="49"/>
      <c r="M204" s="49"/>
      <c r="N204" s="49"/>
      <c r="O204" s="49"/>
      <c r="P204" s="49"/>
      <c r="Q204" s="49"/>
      <c r="R204" s="49"/>
      <c r="S204" s="49"/>
      <c r="T204" s="49"/>
      <c r="U204" s="49"/>
      <c r="V204" s="49"/>
      <c r="W204" s="49"/>
      <c r="X204" s="49"/>
      <c r="Y204" s="49"/>
      <c r="Z204" s="49"/>
      <c r="AA204" s="49"/>
    </row>
    <row r="205" spans="1:27" x14ac:dyDescent="0.25">
      <c r="A205" s="207"/>
      <c r="B205" s="641"/>
      <c r="C205" s="711" t="s">
        <v>98</v>
      </c>
      <c r="D205" s="276" t="s">
        <v>1024</v>
      </c>
      <c r="E205" s="191" t="str">
        <f>" - " &amp; 'Giá Máy'!E17</f>
        <v xml:space="preserve"> - Máy nén khí diezel 360m3/h</v>
      </c>
      <c r="F205" s="641" t="str">
        <f>'Giá Máy'!F17</f>
        <v>ca</v>
      </c>
      <c r="G205" s="67">
        <f>'Phan tich don gia'!G86</f>
        <v>1.7999999999999999E-2</v>
      </c>
      <c r="H205" s="5">
        <f>'Giá Máy'!J17</f>
        <v>1264509.6000000001</v>
      </c>
      <c r="I205" s="198">
        <f>'Du toan chi tiet'!X16</f>
        <v>1</v>
      </c>
      <c r="J205" s="5">
        <f>PRODUCT(G205,H205,I205)</f>
        <v>22761.1728</v>
      </c>
      <c r="K205" s="49"/>
      <c r="L205" s="49"/>
      <c r="M205" s="49"/>
      <c r="N205" s="49"/>
      <c r="O205" s="49"/>
      <c r="P205" s="49"/>
      <c r="Q205" s="49"/>
      <c r="R205" s="49"/>
      <c r="S205" s="49"/>
      <c r="T205" s="49"/>
      <c r="U205" s="49"/>
      <c r="V205" s="49"/>
      <c r="W205" s="49"/>
      <c r="X205" s="49"/>
      <c r="Y205" s="49"/>
      <c r="Z205" s="49"/>
      <c r="AA205" s="49"/>
    </row>
    <row r="206" spans="1:27" x14ac:dyDescent="0.25">
      <c r="A206" s="207"/>
      <c r="B206" s="641"/>
      <c r="C206" s="711" t="s">
        <v>98</v>
      </c>
      <c r="D206" s="276" t="s">
        <v>98</v>
      </c>
      <c r="E206" s="191" t="s">
        <v>1230</v>
      </c>
      <c r="F206" s="641"/>
      <c r="G206" s="106"/>
      <c r="H206" s="5"/>
      <c r="I206" s="198"/>
      <c r="J206" s="5">
        <f>SUM(J207:J208)</f>
        <v>1.7999999999999999E-2</v>
      </c>
      <c r="K206" s="49"/>
      <c r="L206" s="49"/>
      <c r="M206" s="49"/>
      <c r="N206" s="49"/>
      <c r="O206" s="49"/>
      <c r="P206" s="49"/>
      <c r="Q206" s="49"/>
      <c r="R206" s="49"/>
      <c r="S206" s="49"/>
      <c r="T206" s="49"/>
      <c r="U206" s="49"/>
      <c r="V206" s="49"/>
      <c r="W206" s="49"/>
      <c r="X206" s="49"/>
      <c r="Y206" s="49"/>
      <c r="Z206" s="49"/>
      <c r="AA206" s="49"/>
    </row>
    <row r="207" spans="1:27" x14ac:dyDescent="0.25">
      <c r="A207" s="207"/>
      <c r="B207" s="641"/>
      <c r="C207" s="711" t="s">
        <v>98</v>
      </c>
      <c r="D207" s="276" t="s">
        <v>98</v>
      </c>
      <c r="E207" s="191" t="s">
        <v>52</v>
      </c>
      <c r="F207" s="641"/>
      <c r="G207" s="106"/>
      <c r="H207" s="5"/>
      <c r="I207" s="198"/>
      <c r="J207" s="5">
        <f>PRODUCT(G205,I205,'Giá Máy'!L17)</f>
        <v>0</v>
      </c>
      <c r="K207" s="49"/>
      <c r="L207" s="49"/>
      <c r="M207" s="49"/>
      <c r="N207" s="49"/>
      <c r="O207" s="49"/>
      <c r="P207" s="49"/>
      <c r="Q207" s="49"/>
      <c r="R207" s="49"/>
      <c r="S207" s="49"/>
      <c r="T207" s="49"/>
      <c r="U207" s="49"/>
      <c r="V207" s="49"/>
      <c r="W207" s="49"/>
      <c r="X207" s="49"/>
      <c r="Y207" s="49"/>
      <c r="Z207" s="49"/>
      <c r="AA207" s="49"/>
    </row>
    <row r="208" spans="1:27" x14ac:dyDescent="0.25">
      <c r="A208" s="207"/>
      <c r="B208" s="641"/>
      <c r="C208" s="711" t="s">
        <v>98</v>
      </c>
      <c r="D208" s="276" t="s">
        <v>98</v>
      </c>
      <c r="E208" s="191" t="s">
        <v>597</v>
      </c>
      <c r="F208" s="641"/>
      <c r="G208" s="106"/>
      <c r="H208" s="5"/>
      <c r="I208" s="198"/>
      <c r="J208" s="5">
        <f>PRODUCT(G205,I205,'Giá Máy'!M17)</f>
        <v>1.7999999999999999E-2</v>
      </c>
      <c r="K208" s="49"/>
      <c r="L208" s="49"/>
      <c r="M208" s="49"/>
      <c r="N208" s="49"/>
      <c r="O208" s="49"/>
      <c r="P208" s="49"/>
      <c r="Q208" s="49"/>
      <c r="R208" s="49"/>
      <c r="S208" s="49"/>
      <c r="T208" s="49"/>
      <c r="U208" s="49"/>
      <c r="V208" s="49"/>
      <c r="W208" s="49"/>
      <c r="X208" s="49"/>
      <c r="Y208" s="49"/>
      <c r="Z208" s="49"/>
      <c r="AA208" s="49"/>
    </row>
    <row r="209" spans="1:27" x14ac:dyDescent="0.25">
      <c r="A209" s="207"/>
      <c r="B209" s="641"/>
      <c r="C209" s="711" t="s">
        <v>98</v>
      </c>
      <c r="D209" s="276" t="s">
        <v>98</v>
      </c>
      <c r="E209" s="191" t="s">
        <v>599</v>
      </c>
      <c r="F209" s="641" t="s">
        <v>356</v>
      </c>
      <c r="G209" s="106"/>
      <c r="H209" s="5"/>
      <c r="I209" s="198"/>
      <c r="J209" s="5">
        <f>J200+J202+J204</f>
        <v>132898.14080000002</v>
      </c>
      <c r="K209" s="49"/>
      <c r="L209" s="49"/>
      <c r="M209" s="49"/>
      <c r="N209" s="49"/>
      <c r="O209" s="49"/>
      <c r="P209" s="49"/>
      <c r="Q209" s="49"/>
      <c r="R209" s="49"/>
      <c r="S209" s="49"/>
      <c r="T209" s="49"/>
      <c r="U209" s="49"/>
      <c r="V209" s="49"/>
      <c r="W209" s="49"/>
      <c r="X209" s="49"/>
      <c r="Y209" s="49"/>
      <c r="Z209" s="49"/>
      <c r="AA209" s="49"/>
    </row>
    <row r="210" spans="1:27" x14ac:dyDescent="0.25">
      <c r="A210" s="207"/>
      <c r="B210" s="641"/>
      <c r="C210" s="711" t="s">
        <v>98</v>
      </c>
      <c r="D210" s="276" t="s">
        <v>98</v>
      </c>
      <c r="E210" s="191" t="s">
        <v>265</v>
      </c>
      <c r="F210" s="641" t="s">
        <v>653</v>
      </c>
      <c r="G210" s="307">
        <f>'Thông tin'!E67</f>
        <v>7.2999999999999995E-2</v>
      </c>
      <c r="H210" s="5"/>
      <c r="I210" s="198"/>
      <c r="J210" s="5">
        <f>(J209)*G210</f>
        <v>9701.5642784000011</v>
      </c>
      <c r="K210" s="49"/>
      <c r="L210" s="49"/>
      <c r="M210" s="49"/>
      <c r="N210" s="49"/>
      <c r="O210" s="49"/>
      <c r="P210" s="49"/>
      <c r="Q210" s="49"/>
      <c r="R210" s="49"/>
      <c r="S210" s="49"/>
      <c r="T210" s="49"/>
      <c r="U210" s="49"/>
      <c r="V210" s="49"/>
      <c r="W210" s="49"/>
      <c r="X210" s="49"/>
      <c r="Y210" s="49"/>
      <c r="Z210" s="49"/>
      <c r="AA210" s="49"/>
    </row>
    <row r="211" spans="1:27" x14ac:dyDescent="0.25">
      <c r="A211" s="207"/>
      <c r="B211" s="641"/>
      <c r="C211" s="711" t="s">
        <v>98</v>
      </c>
      <c r="D211" s="276" t="s">
        <v>98</v>
      </c>
      <c r="E211" s="191" t="s">
        <v>765</v>
      </c>
      <c r="F211" s="641" t="s">
        <v>602</v>
      </c>
      <c r="G211" s="307">
        <f>'Thông tin'!E60</f>
        <v>1.1000000000000001E-2</v>
      </c>
      <c r="H211" s="5"/>
      <c r="I211" s="198"/>
      <c r="J211" s="5">
        <f>(J209)*G211</f>
        <v>1461.8795488000003</v>
      </c>
      <c r="K211" s="49"/>
      <c r="L211" s="49"/>
      <c r="M211" s="49"/>
      <c r="N211" s="49"/>
      <c r="O211" s="49"/>
      <c r="P211" s="49"/>
      <c r="Q211" s="49"/>
      <c r="R211" s="49"/>
      <c r="S211" s="49"/>
      <c r="T211" s="49"/>
      <c r="U211" s="49"/>
      <c r="V211" s="49"/>
      <c r="W211" s="49"/>
      <c r="X211" s="49"/>
      <c r="Y211" s="49"/>
      <c r="Z211" s="49"/>
      <c r="AA211" s="49"/>
    </row>
    <row r="212" spans="1:27" ht="30" x14ac:dyDescent="0.25">
      <c r="A212" s="207"/>
      <c r="B212" s="641"/>
      <c r="C212" s="711" t="s">
        <v>98</v>
      </c>
      <c r="D212" s="276" t="s">
        <v>98</v>
      </c>
      <c r="E212" s="191" t="s">
        <v>457</v>
      </c>
      <c r="F212" s="641" t="s">
        <v>881</v>
      </c>
      <c r="G212" s="307">
        <f>'Thông tin'!E65</f>
        <v>2.5000000000000001E-2</v>
      </c>
      <c r="H212" s="5"/>
      <c r="I212" s="198"/>
      <c r="J212" s="5">
        <f>(J209)*G212</f>
        <v>3322.4535200000009</v>
      </c>
      <c r="K212" s="49"/>
      <c r="L212" s="49"/>
      <c r="M212" s="49"/>
      <c r="N212" s="49"/>
      <c r="O212" s="49"/>
      <c r="P212" s="49"/>
      <c r="Q212" s="49"/>
      <c r="R212" s="49"/>
      <c r="S212" s="49"/>
      <c r="T212" s="49"/>
      <c r="U212" s="49"/>
      <c r="V212" s="49"/>
      <c r="W212" s="49"/>
      <c r="X212" s="49"/>
      <c r="Y212" s="49"/>
      <c r="Z212" s="49"/>
      <c r="AA212" s="49"/>
    </row>
    <row r="213" spans="1:27" x14ac:dyDescent="0.25">
      <c r="A213" s="207"/>
      <c r="B213" s="641"/>
      <c r="C213" s="711" t="s">
        <v>98</v>
      </c>
      <c r="D213" s="276" t="s">
        <v>98</v>
      </c>
      <c r="E213" s="191" t="s">
        <v>1244</v>
      </c>
      <c r="F213" s="641" t="s">
        <v>1032</v>
      </c>
      <c r="G213" s="106"/>
      <c r="H213" s="5"/>
      <c r="I213" s="198"/>
      <c r="J213" s="5">
        <f>J210+J211+J212</f>
        <v>14485.897347200002</v>
      </c>
      <c r="K213" s="49"/>
      <c r="L213" s="49"/>
      <c r="M213" s="49"/>
      <c r="N213" s="49"/>
      <c r="O213" s="49"/>
      <c r="P213" s="49"/>
      <c r="Q213" s="49"/>
      <c r="R213" s="49"/>
      <c r="S213" s="49"/>
      <c r="T213" s="49"/>
      <c r="U213" s="49"/>
      <c r="V213" s="49"/>
      <c r="W213" s="49"/>
      <c r="X213" s="49"/>
      <c r="Y213" s="49"/>
      <c r="Z213" s="49"/>
      <c r="AA213" s="49"/>
    </row>
    <row r="214" spans="1:27" x14ac:dyDescent="0.25">
      <c r="A214" s="207"/>
      <c r="B214" s="641"/>
      <c r="C214" s="711" t="s">
        <v>98</v>
      </c>
      <c r="D214" s="276" t="s">
        <v>98</v>
      </c>
      <c r="E214" s="191" t="s">
        <v>990</v>
      </c>
      <c r="F214" s="641" t="s">
        <v>307</v>
      </c>
      <c r="G214" s="307">
        <f>'Thông tin'!E63</f>
        <v>5.5E-2</v>
      </c>
      <c r="H214" s="5"/>
      <c r="I214" s="198"/>
      <c r="J214" s="5">
        <f>(J209+J213)*G214</f>
        <v>8106.1220980960006</v>
      </c>
      <c r="K214" s="49"/>
      <c r="L214" s="49"/>
      <c r="M214" s="49"/>
      <c r="N214" s="49"/>
      <c r="O214" s="49"/>
      <c r="P214" s="49"/>
      <c r="Q214" s="49"/>
      <c r="R214" s="49"/>
      <c r="S214" s="49"/>
      <c r="T214" s="49"/>
      <c r="U214" s="49"/>
      <c r="V214" s="49"/>
      <c r="W214" s="49"/>
      <c r="X214" s="49"/>
      <c r="Y214" s="49"/>
      <c r="Z214" s="49"/>
      <c r="AA214" s="49"/>
    </row>
    <row r="215" spans="1:27" x14ac:dyDescent="0.25">
      <c r="A215" s="207"/>
      <c r="B215" s="641"/>
      <c r="C215" s="711" t="s">
        <v>98</v>
      </c>
      <c r="D215" s="276" t="s">
        <v>98</v>
      </c>
      <c r="E215" s="7" t="s">
        <v>142</v>
      </c>
      <c r="F215" s="499" t="s">
        <v>286</v>
      </c>
      <c r="G215" s="106"/>
      <c r="H215" s="5"/>
      <c r="I215" s="198"/>
      <c r="J215" s="620">
        <f>J209+J213+J214</f>
        <v>155490.16024529602</v>
      </c>
      <c r="K215" s="49"/>
      <c r="L215" s="49"/>
      <c r="M215" s="49"/>
      <c r="N215" s="49"/>
      <c r="O215" s="49"/>
      <c r="P215" s="49"/>
      <c r="Q215" s="49"/>
      <c r="R215" s="49"/>
      <c r="S215" s="49"/>
      <c r="T215" s="49"/>
      <c r="U215" s="49"/>
      <c r="V215" s="49"/>
      <c r="W215" s="49"/>
      <c r="X215" s="49"/>
      <c r="Y215" s="49"/>
      <c r="Z215" s="49"/>
      <c r="AA215" s="49"/>
    </row>
    <row r="216" spans="1:27" x14ac:dyDescent="0.25">
      <c r="A216" s="207"/>
      <c r="B216" s="641"/>
      <c r="C216" s="711" t="s">
        <v>98</v>
      </c>
      <c r="D216" s="276" t="s">
        <v>98</v>
      </c>
      <c r="E216" s="191" t="s">
        <v>762</v>
      </c>
      <c r="F216" s="641" t="s">
        <v>830</v>
      </c>
      <c r="G216" s="705">
        <f>'Thông tin'!E61</f>
        <v>0.08</v>
      </c>
      <c r="H216" s="5"/>
      <c r="I216" s="198"/>
      <c r="J216" s="5">
        <f>(J215)*G216</f>
        <v>12439.212819623683</v>
      </c>
      <c r="K216" s="49"/>
      <c r="L216" s="49"/>
      <c r="M216" s="49"/>
      <c r="N216" s="49"/>
      <c r="O216" s="49"/>
      <c r="P216" s="49"/>
      <c r="Q216" s="49"/>
      <c r="R216" s="49"/>
      <c r="S216" s="49"/>
      <c r="T216" s="49"/>
      <c r="U216" s="49"/>
      <c r="V216" s="49"/>
      <c r="W216" s="49"/>
      <c r="X216" s="49"/>
      <c r="Y216" s="49"/>
      <c r="Z216" s="49"/>
      <c r="AA216" s="49"/>
    </row>
    <row r="217" spans="1:27" x14ac:dyDescent="0.25">
      <c r="A217" s="122"/>
      <c r="B217" s="581"/>
      <c r="C217" s="636" t="s">
        <v>98</v>
      </c>
      <c r="D217" s="196" t="s">
        <v>98</v>
      </c>
      <c r="E217" s="728" t="s">
        <v>953</v>
      </c>
      <c r="F217" s="429" t="s">
        <v>1108</v>
      </c>
      <c r="G217" s="29"/>
      <c r="H217" s="704"/>
      <c r="I217" s="113"/>
      <c r="J217" s="657">
        <f>J215+J216</f>
        <v>167929.3730649197</v>
      </c>
      <c r="K217" s="49"/>
      <c r="L217" s="49"/>
      <c r="M217" s="49"/>
      <c r="N217" s="49"/>
      <c r="O217" s="49"/>
      <c r="P217" s="49"/>
      <c r="Q217" s="49"/>
      <c r="R217" s="49"/>
      <c r="S217" s="49"/>
      <c r="T217" s="49"/>
      <c r="U217" s="49"/>
      <c r="V217" s="49"/>
      <c r="W217" s="49"/>
      <c r="X217" s="49"/>
      <c r="Y217" s="49"/>
      <c r="Z217" s="49"/>
      <c r="AA217" s="49"/>
    </row>
    <row r="218" spans="1:27" x14ac:dyDescent="0.25">
      <c r="A218" s="458"/>
      <c r="B218" s="130">
        <v>11</v>
      </c>
      <c r="C218" s="234" t="str">
        <f>'Du toan chi tiet'!C17</f>
        <v>AB.31134</v>
      </c>
      <c r="D218" s="234" t="str">
        <f>'Du toan chi tiet'!C17</f>
        <v>AB.31134</v>
      </c>
      <c r="E218" s="730" t="str">
        <f>'Du toan chi tiet'!D17</f>
        <v>Đào kết cấu mặt đường hiện có</v>
      </c>
      <c r="F218" s="130" t="str">
        <f>'Du toan chi tiet'!E17</f>
        <v>m3</v>
      </c>
      <c r="G218" s="664"/>
      <c r="H218" s="282"/>
      <c r="I218" s="450"/>
      <c r="J218" s="282"/>
      <c r="K218" s="49"/>
      <c r="L218" s="49"/>
      <c r="M218" s="49"/>
      <c r="N218" s="49"/>
      <c r="O218" s="49"/>
      <c r="P218" s="49"/>
      <c r="Q218" s="49"/>
      <c r="R218" s="49"/>
      <c r="S218" s="49"/>
      <c r="T218" s="49"/>
      <c r="U218" s="49"/>
      <c r="V218" s="49"/>
      <c r="W218" s="49"/>
      <c r="X218" s="49"/>
      <c r="Y218" s="49"/>
      <c r="Z218" s="49"/>
      <c r="AA218" s="49"/>
    </row>
    <row r="219" spans="1:27" x14ac:dyDescent="0.25">
      <c r="A219" s="261"/>
      <c r="B219" s="690"/>
      <c r="C219" s="745" t="s">
        <v>98</v>
      </c>
      <c r="D219" s="745" t="s">
        <v>98</v>
      </c>
      <c r="E219" s="247" t="s">
        <v>547</v>
      </c>
      <c r="F219" s="690" t="s">
        <v>962</v>
      </c>
      <c r="G219" s="133"/>
      <c r="H219" s="44"/>
      <c r="I219" s="233"/>
      <c r="J219" s="44">
        <v>0</v>
      </c>
      <c r="K219" s="49"/>
      <c r="L219" s="49"/>
      <c r="M219" s="49"/>
      <c r="N219" s="49"/>
      <c r="O219" s="49"/>
      <c r="P219" s="49"/>
      <c r="Q219" s="49"/>
      <c r="R219" s="49"/>
      <c r="S219" s="49"/>
      <c r="T219" s="49"/>
      <c r="U219" s="49"/>
      <c r="V219" s="49"/>
      <c r="W219" s="49"/>
      <c r="X219" s="49"/>
      <c r="Y219" s="49"/>
      <c r="Z219" s="49"/>
      <c r="AA219" s="49"/>
    </row>
    <row r="220" spans="1:27" x14ac:dyDescent="0.25">
      <c r="A220" s="261"/>
      <c r="B220" s="690"/>
      <c r="C220" s="745" t="s">
        <v>98</v>
      </c>
      <c r="D220" s="745" t="s">
        <v>98</v>
      </c>
      <c r="E220" s="247" t="s">
        <v>301</v>
      </c>
      <c r="F220" s="690" t="s">
        <v>1018</v>
      </c>
      <c r="G220" s="133"/>
      <c r="H220" s="44"/>
      <c r="I220" s="233"/>
      <c r="J220" s="44">
        <f>SUM(J221:J221)</f>
        <v>10512.687899999999</v>
      </c>
      <c r="K220" s="49"/>
      <c r="L220" s="49"/>
      <c r="M220" s="49"/>
      <c r="N220" s="49"/>
      <c r="O220" s="49"/>
      <c r="P220" s="49"/>
      <c r="Q220" s="49"/>
      <c r="R220" s="49"/>
      <c r="S220" s="49"/>
      <c r="T220" s="49"/>
      <c r="U220" s="49"/>
      <c r="V220" s="49"/>
      <c r="W220" s="49"/>
      <c r="X220" s="49"/>
      <c r="Y220" s="49"/>
      <c r="Z220" s="49"/>
      <c r="AA220" s="49"/>
    </row>
    <row r="221" spans="1:27" x14ac:dyDescent="0.25">
      <c r="A221" s="207"/>
      <c r="B221" s="641"/>
      <c r="C221" s="711" t="s">
        <v>98</v>
      </c>
      <c r="D221" s="276" t="s">
        <v>475</v>
      </c>
      <c r="E221" s="191" t="str">
        <f>" - " &amp; 'Giá NC'!E5</f>
        <v xml:space="preserve"> - Nhân công bậc 3,0/7 - Nhóm 1</v>
      </c>
      <c r="F221" s="641" t="str">
        <f>'Giá NC'!F5</f>
        <v>công</v>
      </c>
      <c r="G221" s="67">
        <f>'Phan tich don gia'!G89</f>
        <v>4.8099999999999997E-2</v>
      </c>
      <c r="H221" s="5">
        <f>'Giá NC'!K5</f>
        <v>218559</v>
      </c>
      <c r="I221" s="198">
        <f>'Du toan chi tiet'!W17</f>
        <v>1</v>
      </c>
      <c r="J221" s="5">
        <f>PRODUCT(G221,H221,I221)</f>
        <v>10512.687899999999</v>
      </c>
      <c r="K221" s="49"/>
      <c r="L221" s="49"/>
      <c r="M221" s="49"/>
      <c r="N221" s="49"/>
      <c r="O221" s="49"/>
      <c r="P221" s="49"/>
      <c r="Q221" s="49"/>
      <c r="R221" s="49"/>
      <c r="S221" s="49"/>
      <c r="T221" s="49"/>
      <c r="U221" s="49"/>
      <c r="V221" s="49"/>
      <c r="W221" s="49"/>
      <c r="X221" s="49"/>
      <c r="Y221" s="49"/>
      <c r="Z221" s="49"/>
      <c r="AA221" s="49"/>
    </row>
    <row r="222" spans="1:27" x14ac:dyDescent="0.25">
      <c r="A222" s="261"/>
      <c r="B222" s="690"/>
      <c r="C222" s="745" t="s">
        <v>98</v>
      </c>
      <c r="D222" s="745" t="s">
        <v>98</v>
      </c>
      <c r="E222" s="247" t="s">
        <v>1175</v>
      </c>
      <c r="F222" s="690" t="s">
        <v>138</v>
      </c>
      <c r="G222" s="133"/>
      <c r="H222" s="44"/>
      <c r="I222" s="233"/>
      <c r="J222" s="44">
        <f>SUM(J223:J225)</f>
        <v>17065.200121999998</v>
      </c>
      <c r="K222" s="49"/>
      <c r="L222" s="49"/>
      <c r="M222" s="49"/>
      <c r="N222" s="49"/>
      <c r="O222" s="49"/>
      <c r="P222" s="49"/>
      <c r="Q222" s="49"/>
      <c r="R222" s="49"/>
      <c r="S222" s="49"/>
      <c r="T222" s="49"/>
      <c r="U222" s="49"/>
      <c r="V222" s="49"/>
      <c r="W222" s="49"/>
      <c r="X222" s="49"/>
      <c r="Y222" s="49"/>
      <c r="Z222" s="49"/>
      <c r="AA222" s="49"/>
    </row>
    <row r="223" spans="1:27" x14ac:dyDescent="0.25">
      <c r="A223" s="207"/>
      <c r="B223" s="641"/>
      <c r="C223" s="711" t="s">
        <v>98</v>
      </c>
      <c r="D223" s="276" t="s">
        <v>759</v>
      </c>
      <c r="E223" s="191" t="str">
        <f>" - " &amp; 'Giá Máy'!E14</f>
        <v xml:space="preserve"> - Máy đào 1,25m3</v>
      </c>
      <c r="F223" s="641" t="str">
        <f>'Giá Máy'!F14</f>
        <v>ca</v>
      </c>
      <c r="G223" s="67">
        <f>'Phan tich don gia'!G91</f>
        <v>4.2399999999999998E-3</v>
      </c>
      <c r="H223" s="5">
        <f>'Giá Máy'!J14</f>
        <v>3756595.3</v>
      </c>
      <c r="I223" s="198">
        <f>'Du toan chi tiet'!X17</f>
        <v>1</v>
      </c>
      <c r="J223" s="5">
        <f t="shared" ref="J223:J224" si="13">PRODUCT(G223,H223,I223)</f>
        <v>15927.964071999999</v>
      </c>
      <c r="K223" s="49"/>
      <c r="L223" s="49"/>
      <c r="M223" s="49"/>
      <c r="N223" s="49"/>
      <c r="O223" s="49"/>
      <c r="P223" s="49"/>
      <c r="Q223" s="49"/>
      <c r="R223" s="49"/>
      <c r="S223" s="49"/>
      <c r="T223" s="49"/>
      <c r="U223" s="49"/>
      <c r="V223" s="49"/>
      <c r="W223" s="49"/>
      <c r="X223" s="49"/>
      <c r="Y223" s="49"/>
      <c r="Z223" s="49"/>
      <c r="AA223" s="49"/>
    </row>
    <row r="224" spans="1:27" x14ac:dyDescent="0.25">
      <c r="A224" s="207"/>
      <c r="B224" s="641"/>
      <c r="C224" s="711" t="s">
        <v>98</v>
      </c>
      <c r="D224" s="276" t="s">
        <v>1055</v>
      </c>
      <c r="E224" s="191" t="str">
        <f>" - " &amp; 'Giá Máy'!E21</f>
        <v xml:space="preserve"> - Máy ủi 110CV</v>
      </c>
      <c r="F224" s="641" t="str">
        <f>'Giá Máy'!F21</f>
        <v>ca</v>
      </c>
      <c r="G224" s="67">
        <f>'Phan tich don gia'!G92</f>
        <v>5.8E-4</v>
      </c>
      <c r="H224" s="5">
        <f>'Giá Máy'!J21</f>
        <v>1960743.5</v>
      </c>
      <c r="I224" s="198">
        <f>'Du toan chi tiet'!X17</f>
        <v>1</v>
      </c>
      <c r="J224" s="5">
        <f t="shared" si="13"/>
        <v>1137.2312300000001</v>
      </c>
      <c r="K224" s="49"/>
      <c r="L224" s="49"/>
      <c r="M224" s="49"/>
      <c r="N224" s="49"/>
      <c r="O224" s="49"/>
      <c r="P224" s="49"/>
      <c r="Q224" s="49"/>
      <c r="R224" s="49"/>
      <c r="S224" s="49"/>
      <c r="T224" s="49"/>
      <c r="U224" s="49"/>
      <c r="V224" s="49"/>
      <c r="W224" s="49"/>
      <c r="X224" s="49"/>
      <c r="Y224" s="49"/>
      <c r="Z224" s="49"/>
      <c r="AA224" s="49"/>
    </row>
    <row r="225" spans="1:27" x14ac:dyDescent="0.25">
      <c r="A225" s="207"/>
      <c r="B225" s="641"/>
      <c r="C225" s="711" t="s">
        <v>98</v>
      </c>
      <c r="D225" s="276" t="s">
        <v>98</v>
      </c>
      <c r="E225" s="191" t="s">
        <v>1230</v>
      </c>
      <c r="F225" s="641"/>
      <c r="G225" s="106"/>
      <c r="H225" s="5"/>
      <c r="I225" s="198"/>
      <c r="J225" s="5">
        <f>SUM(J226:J227)</f>
        <v>4.8199999999999996E-3</v>
      </c>
      <c r="K225" s="49"/>
      <c r="L225" s="49"/>
      <c r="M225" s="49"/>
      <c r="N225" s="49"/>
      <c r="O225" s="49"/>
      <c r="P225" s="49"/>
      <c r="Q225" s="49"/>
      <c r="R225" s="49"/>
      <c r="S225" s="49"/>
      <c r="T225" s="49"/>
      <c r="U225" s="49"/>
      <c r="V225" s="49"/>
      <c r="W225" s="49"/>
      <c r="X225" s="49"/>
      <c r="Y225" s="49"/>
      <c r="Z225" s="49"/>
      <c r="AA225" s="49"/>
    </row>
    <row r="226" spans="1:27" x14ac:dyDescent="0.25">
      <c r="A226" s="207"/>
      <c r="B226" s="641"/>
      <c r="C226" s="711" t="s">
        <v>98</v>
      </c>
      <c r="D226" s="276" t="s">
        <v>98</v>
      </c>
      <c r="E226" s="191" t="s">
        <v>52</v>
      </c>
      <c r="F226" s="641"/>
      <c r="G226" s="106"/>
      <c r="H226" s="5"/>
      <c r="I226" s="198"/>
      <c r="J226" s="5">
        <f>PRODUCT(G223,I223,'Giá Máy'!L14)+PRODUCT(G224,I224,'Giá Máy'!L21)</f>
        <v>0</v>
      </c>
      <c r="K226" s="49"/>
      <c r="L226" s="49"/>
      <c r="M226" s="49"/>
      <c r="N226" s="49"/>
      <c r="O226" s="49"/>
      <c r="P226" s="49"/>
      <c r="Q226" s="49"/>
      <c r="R226" s="49"/>
      <c r="S226" s="49"/>
      <c r="T226" s="49"/>
      <c r="U226" s="49"/>
      <c r="V226" s="49"/>
      <c r="W226" s="49"/>
      <c r="X226" s="49"/>
      <c r="Y226" s="49"/>
      <c r="Z226" s="49"/>
      <c r="AA226" s="49"/>
    </row>
    <row r="227" spans="1:27" x14ac:dyDescent="0.25">
      <c r="A227" s="207"/>
      <c r="B227" s="641"/>
      <c r="C227" s="711" t="s">
        <v>98</v>
      </c>
      <c r="D227" s="276" t="s">
        <v>98</v>
      </c>
      <c r="E227" s="191" t="s">
        <v>597</v>
      </c>
      <c r="F227" s="641"/>
      <c r="G227" s="106"/>
      <c r="H227" s="5"/>
      <c r="I227" s="198"/>
      <c r="J227" s="5">
        <f>PRODUCT(G223,I223,'Giá Máy'!M14)+PRODUCT(G224,I224,'Giá Máy'!M21)</f>
        <v>4.8199999999999996E-3</v>
      </c>
      <c r="K227" s="49"/>
      <c r="L227" s="49"/>
      <c r="M227" s="49"/>
      <c r="N227" s="49"/>
      <c r="O227" s="49"/>
      <c r="P227" s="49"/>
      <c r="Q227" s="49"/>
      <c r="R227" s="49"/>
      <c r="S227" s="49"/>
      <c r="T227" s="49"/>
      <c r="U227" s="49"/>
      <c r="V227" s="49"/>
      <c r="W227" s="49"/>
      <c r="X227" s="49"/>
      <c r="Y227" s="49"/>
      <c r="Z227" s="49"/>
      <c r="AA227" s="49"/>
    </row>
    <row r="228" spans="1:27" x14ac:dyDescent="0.25">
      <c r="A228" s="207"/>
      <c r="B228" s="641"/>
      <c r="C228" s="711" t="s">
        <v>98</v>
      </c>
      <c r="D228" s="276" t="s">
        <v>98</v>
      </c>
      <c r="E228" s="191" t="s">
        <v>599</v>
      </c>
      <c r="F228" s="641" t="s">
        <v>356</v>
      </c>
      <c r="G228" s="106"/>
      <c r="H228" s="5"/>
      <c r="I228" s="198"/>
      <c r="J228" s="5">
        <f>J219+J220+J222</f>
        <v>27577.888021999999</v>
      </c>
      <c r="K228" s="49"/>
      <c r="L228" s="49"/>
      <c r="M228" s="49"/>
      <c r="N228" s="49"/>
      <c r="O228" s="49"/>
      <c r="P228" s="49"/>
      <c r="Q228" s="49"/>
      <c r="R228" s="49"/>
      <c r="S228" s="49"/>
      <c r="T228" s="49"/>
      <c r="U228" s="49"/>
      <c r="V228" s="49"/>
      <c r="W228" s="49"/>
      <c r="X228" s="49"/>
      <c r="Y228" s="49"/>
      <c r="Z228" s="49"/>
      <c r="AA228" s="49"/>
    </row>
    <row r="229" spans="1:27" x14ac:dyDescent="0.25">
      <c r="A229" s="207"/>
      <c r="B229" s="641"/>
      <c r="C229" s="711" t="s">
        <v>98</v>
      </c>
      <c r="D229" s="276" t="s">
        <v>98</v>
      </c>
      <c r="E229" s="191" t="s">
        <v>265</v>
      </c>
      <c r="F229" s="641" t="s">
        <v>653</v>
      </c>
      <c r="G229" s="307">
        <f>'Thông tin'!E67</f>
        <v>7.2999999999999995E-2</v>
      </c>
      <c r="H229" s="5"/>
      <c r="I229" s="198"/>
      <c r="J229" s="5">
        <f>(J228)*G229</f>
        <v>2013.1858256059998</v>
      </c>
      <c r="K229" s="49"/>
      <c r="L229" s="49"/>
      <c r="M229" s="49"/>
      <c r="N229" s="49"/>
      <c r="O229" s="49"/>
      <c r="P229" s="49"/>
      <c r="Q229" s="49"/>
      <c r="R229" s="49"/>
      <c r="S229" s="49"/>
      <c r="T229" s="49"/>
      <c r="U229" s="49"/>
      <c r="V229" s="49"/>
      <c r="W229" s="49"/>
      <c r="X229" s="49"/>
      <c r="Y229" s="49"/>
      <c r="Z229" s="49"/>
      <c r="AA229" s="49"/>
    </row>
    <row r="230" spans="1:27" x14ac:dyDescent="0.25">
      <c r="A230" s="207"/>
      <c r="B230" s="641"/>
      <c r="C230" s="711" t="s">
        <v>98</v>
      </c>
      <c r="D230" s="276" t="s">
        <v>98</v>
      </c>
      <c r="E230" s="191" t="s">
        <v>765</v>
      </c>
      <c r="F230" s="641" t="s">
        <v>602</v>
      </c>
      <c r="G230" s="307">
        <f>'Thông tin'!E60</f>
        <v>1.1000000000000001E-2</v>
      </c>
      <c r="H230" s="5"/>
      <c r="I230" s="198"/>
      <c r="J230" s="5">
        <f>(J228)*G230</f>
        <v>303.35676824200004</v>
      </c>
      <c r="K230" s="49"/>
      <c r="L230" s="49"/>
      <c r="M230" s="49"/>
      <c r="N230" s="49"/>
      <c r="O230" s="49"/>
      <c r="P230" s="49"/>
      <c r="Q230" s="49"/>
      <c r="R230" s="49"/>
      <c r="S230" s="49"/>
      <c r="T230" s="49"/>
      <c r="U230" s="49"/>
      <c r="V230" s="49"/>
      <c r="W230" s="49"/>
      <c r="X230" s="49"/>
      <c r="Y230" s="49"/>
      <c r="Z230" s="49"/>
      <c r="AA230" s="49"/>
    </row>
    <row r="231" spans="1:27" ht="30" x14ac:dyDescent="0.25">
      <c r="A231" s="207"/>
      <c r="B231" s="641"/>
      <c r="C231" s="711" t="s">
        <v>98</v>
      </c>
      <c r="D231" s="276" t="s">
        <v>98</v>
      </c>
      <c r="E231" s="191" t="s">
        <v>457</v>
      </c>
      <c r="F231" s="641" t="s">
        <v>881</v>
      </c>
      <c r="G231" s="307">
        <f>'Thông tin'!E65</f>
        <v>2.5000000000000001E-2</v>
      </c>
      <c r="H231" s="5"/>
      <c r="I231" s="198"/>
      <c r="J231" s="5">
        <f>(J228)*G231</f>
        <v>689.44720055000005</v>
      </c>
      <c r="K231" s="49"/>
      <c r="L231" s="49"/>
      <c r="M231" s="49"/>
      <c r="N231" s="49"/>
      <c r="O231" s="49"/>
      <c r="P231" s="49"/>
      <c r="Q231" s="49"/>
      <c r="R231" s="49"/>
      <c r="S231" s="49"/>
      <c r="T231" s="49"/>
      <c r="U231" s="49"/>
      <c r="V231" s="49"/>
      <c r="W231" s="49"/>
      <c r="X231" s="49"/>
      <c r="Y231" s="49"/>
      <c r="Z231" s="49"/>
      <c r="AA231" s="49"/>
    </row>
    <row r="232" spans="1:27" x14ac:dyDescent="0.25">
      <c r="A232" s="207"/>
      <c r="B232" s="641"/>
      <c r="C232" s="711" t="s">
        <v>98</v>
      </c>
      <c r="D232" s="276" t="s">
        <v>98</v>
      </c>
      <c r="E232" s="191" t="s">
        <v>1244</v>
      </c>
      <c r="F232" s="641" t="s">
        <v>1032</v>
      </c>
      <c r="G232" s="106"/>
      <c r="H232" s="5"/>
      <c r="I232" s="198"/>
      <c r="J232" s="5">
        <f>J229+J230+J231</f>
        <v>3005.989794398</v>
      </c>
      <c r="K232" s="49"/>
      <c r="L232" s="49"/>
      <c r="M232" s="49"/>
      <c r="N232" s="49"/>
      <c r="O232" s="49"/>
      <c r="P232" s="49"/>
      <c r="Q232" s="49"/>
      <c r="R232" s="49"/>
      <c r="S232" s="49"/>
      <c r="T232" s="49"/>
      <c r="U232" s="49"/>
      <c r="V232" s="49"/>
      <c r="W232" s="49"/>
      <c r="X232" s="49"/>
      <c r="Y232" s="49"/>
      <c r="Z232" s="49"/>
      <c r="AA232" s="49"/>
    </row>
    <row r="233" spans="1:27" x14ac:dyDescent="0.25">
      <c r="A233" s="207"/>
      <c r="B233" s="641"/>
      <c r="C233" s="711" t="s">
        <v>98</v>
      </c>
      <c r="D233" s="276" t="s">
        <v>98</v>
      </c>
      <c r="E233" s="191" t="s">
        <v>990</v>
      </c>
      <c r="F233" s="641" t="s">
        <v>307</v>
      </c>
      <c r="G233" s="307">
        <f>'Thông tin'!E63</f>
        <v>5.5E-2</v>
      </c>
      <c r="H233" s="5"/>
      <c r="I233" s="198"/>
      <c r="J233" s="5">
        <f>(J228+J232)*G233</f>
        <v>1682.1132799018899</v>
      </c>
      <c r="K233" s="49"/>
      <c r="L233" s="49"/>
      <c r="M233" s="49"/>
      <c r="N233" s="49"/>
      <c r="O233" s="49"/>
      <c r="P233" s="49"/>
      <c r="Q233" s="49"/>
      <c r="R233" s="49"/>
      <c r="S233" s="49"/>
      <c r="T233" s="49"/>
      <c r="U233" s="49"/>
      <c r="V233" s="49"/>
      <c r="W233" s="49"/>
      <c r="X233" s="49"/>
      <c r="Y233" s="49"/>
      <c r="Z233" s="49"/>
      <c r="AA233" s="49"/>
    </row>
    <row r="234" spans="1:27" x14ac:dyDescent="0.25">
      <c r="A234" s="207"/>
      <c r="B234" s="641"/>
      <c r="C234" s="711" t="s">
        <v>98</v>
      </c>
      <c r="D234" s="276" t="s">
        <v>98</v>
      </c>
      <c r="E234" s="7" t="s">
        <v>142</v>
      </c>
      <c r="F234" s="499" t="s">
        <v>286</v>
      </c>
      <c r="G234" s="106"/>
      <c r="H234" s="5"/>
      <c r="I234" s="198"/>
      <c r="J234" s="620">
        <f>J228+J232+J233</f>
        <v>32265.991096299887</v>
      </c>
      <c r="K234" s="49"/>
      <c r="L234" s="49"/>
      <c r="M234" s="49"/>
      <c r="N234" s="49"/>
      <c r="O234" s="49"/>
      <c r="P234" s="49"/>
      <c r="Q234" s="49"/>
      <c r="R234" s="49"/>
      <c r="S234" s="49"/>
      <c r="T234" s="49"/>
      <c r="U234" s="49"/>
      <c r="V234" s="49"/>
      <c r="W234" s="49"/>
      <c r="X234" s="49"/>
      <c r="Y234" s="49"/>
      <c r="Z234" s="49"/>
      <c r="AA234" s="49"/>
    </row>
    <row r="235" spans="1:27" x14ac:dyDescent="0.25">
      <c r="A235" s="207"/>
      <c r="B235" s="641"/>
      <c r="C235" s="711" t="s">
        <v>98</v>
      </c>
      <c r="D235" s="276" t="s">
        <v>98</v>
      </c>
      <c r="E235" s="191" t="s">
        <v>762</v>
      </c>
      <c r="F235" s="641" t="s">
        <v>830</v>
      </c>
      <c r="G235" s="705">
        <f>'Thông tin'!E61</f>
        <v>0.08</v>
      </c>
      <c r="H235" s="5"/>
      <c r="I235" s="198"/>
      <c r="J235" s="5">
        <f>(J234)*G235</f>
        <v>2581.279287703991</v>
      </c>
      <c r="K235" s="49"/>
      <c r="L235" s="49"/>
      <c r="M235" s="49"/>
      <c r="N235" s="49"/>
      <c r="O235" s="49"/>
      <c r="P235" s="49"/>
      <c r="Q235" s="49"/>
      <c r="R235" s="49"/>
      <c r="S235" s="49"/>
      <c r="T235" s="49"/>
      <c r="U235" s="49"/>
      <c r="V235" s="49"/>
      <c r="W235" s="49"/>
      <c r="X235" s="49"/>
      <c r="Y235" s="49"/>
      <c r="Z235" s="49"/>
      <c r="AA235" s="49"/>
    </row>
    <row r="236" spans="1:27" x14ac:dyDescent="0.25">
      <c r="A236" s="122"/>
      <c r="B236" s="581"/>
      <c r="C236" s="636" t="s">
        <v>98</v>
      </c>
      <c r="D236" s="196" t="s">
        <v>98</v>
      </c>
      <c r="E236" s="728" t="s">
        <v>953</v>
      </c>
      <c r="F236" s="429" t="s">
        <v>1108</v>
      </c>
      <c r="G236" s="29"/>
      <c r="H236" s="704"/>
      <c r="I236" s="113"/>
      <c r="J236" s="657">
        <f>J234+J235</f>
        <v>34847.270384003881</v>
      </c>
      <c r="K236" s="49"/>
      <c r="L236" s="49"/>
      <c r="M236" s="49"/>
      <c r="N236" s="49"/>
      <c r="O236" s="49"/>
      <c r="P236" s="49"/>
      <c r="Q236" s="49"/>
      <c r="R236" s="49"/>
      <c r="S236" s="49"/>
      <c r="T236" s="49"/>
      <c r="U236" s="49"/>
      <c r="V236" s="49"/>
      <c r="W236" s="49"/>
      <c r="X236" s="49"/>
      <c r="Y236" s="49"/>
      <c r="Z236" s="49"/>
      <c r="AA236" s="49"/>
    </row>
    <row r="237" spans="1:27" ht="30" x14ac:dyDescent="0.25">
      <c r="A237" s="458"/>
      <c r="B237" s="130">
        <v>12</v>
      </c>
      <c r="C237" s="234" t="str">
        <f>'Du toan chi tiet'!C18</f>
        <v>AB.21132</v>
      </c>
      <c r="D237" s="234" t="str">
        <f>'Du toan chi tiet'!C18</f>
        <v>AB.21132</v>
      </c>
      <c r="E237" s="730" t="str">
        <f>'Du toan chi tiet'!D18</f>
        <v>Đào đất hữu cơ bằng máy đào 1,25m3 - Cấp đất II</v>
      </c>
      <c r="F237" s="130" t="str">
        <f>'Du toan chi tiet'!E18</f>
        <v>m3</v>
      </c>
      <c r="G237" s="664"/>
      <c r="H237" s="282"/>
      <c r="I237" s="450"/>
      <c r="J237" s="282"/>
      <c r="K237" s="49"/>
      <c r="L237" s="49"/>
      <c r="M237" s="49"/>
      <c r="N237" s="49"/>
      <c r="O237" s="49"/>
      <c r="P237" s="49"/>
      <c r="Q237" s="49"/>
      <c r="R237" s="49"/>
      <c r="S237" s="49"/>
      <c r="T237" s="49"/>
      <c r="U237" s="49"/>
      <c r="V237" s="49"/>
      <c r="W237" s="49"/>
      <c r="X237" s="49"/>
      <c r="Y237" s="49"/>
      <c r="Z237" s="49"/>
      <c r="AA237" s="49"/>
    </row>
    <row r="238" spans="1:27" x14ac:dyDescent="0.25">
      <c r="A238" s="261"/>
      <c r="B238" s="690"/>
      <c r="C238" s="745" t="s">
        <v>98</v>
      </c>
      <c r="D238" s="745" t="s">
        <v>98</v>
      </c>
      <c r="E238" s="247" t="s">
        <v>547</v>
      </c>
      <c r="F238" s="690" t="s">
        <v>962</v>
      </c>
      <c r="G238" s="133"/>
      <c r="H238" s="44"/>
      <c r="I238" s="233"/>
      <c r="J238" s="44">
        <v>0</v>
      </c>
      <c r="K238" s="49"/>
      <c r="L238" s="49"/>
      <c r="M238" s="49"/>
      <c r="N238" s="49"/>
      <c r="O238" s="49"/>
      <c r="P238" s="49"/>
      <c r="Q238" s="49"/>
      <c r="R238" s="49"/>
      <c r="S238" s="49"/>
      <c r="T238" s="49"/>
      <c r="U238" s="49"/>
      <c r="V238" s="49"/>
      <c r="W238" s="49"/>
      <c r="X238" s="49"/>
      <c r="Y238" s="49"/>
      <c r="Z238" s="49"/>
      <c r="AA238" s="49"/>
    </row>
    <row r="239" spans="1:27" x14ac:dyDescent="0.25">
      <c r="A239" s="261"/>
      <c r="B239" s="690"/>
      <c r="C239" s="745" t="s">
        <v>98</v>
      </c>
      <c r="D239" s="745" t="s">
        <v>98</v>
      </c>
      <c r="E239" s="247" t="s">
        <v>301</v>
      </c>
      <c r="F239" s="690" t="s">
        <v>1018</v>
      </c>
      <c r="G239" s="133"/>
      <c r="H239" s="44"/>
      <c r="I239" s="233"/>
      <c r="J239" s="44">
        <f>SUM(J240:J240)</f>
        <v>1114.6509000000001</v>
      </c>
      <c r="K239" s="49"/>
      <c r="L239" s="49"/>
      <c r="M239" s="49"/>
      <c r="N239" s="49"/>
      <c r="O239" s="49"/>
      <c r="P239" s="49"/>
      <c r="Q239" s="49"/>
      <c r="R239" s="49"/>
      <c r="S239" s="49"/>
      <c r="T239" s="49"/>
      <c r="U239" s="49"/>
      <c r="V239" s="49"/>
      <c r="W239" s="49"/>
      <c r="X239" s="49"/>
      <c r="Y239" s="49"/>
      <c r="Z239" s="49"/>
      <c r="AA239" s="49"/>
    </row>
    <row r="240" spans="1:27" x14ac:dyDescent="0.25">
      <c r="A240" s="207"/>
      <c r="B240" s="641"/>
      <c r="C240" s="711" t="s">
        <v>98</v>
      </c>
      <c r="D240" s="276" t="s">
        <v>475</v>
      </c>
      <c r="E240" s="191" t="str">
        <f>" - " &amp; 'Giá NC'!E5</f>
        <v xml:space="preserve"> - Nhân công bậc 3,0/7 - Nhóm 1</v>
      </c>
      <c r="F240" s="641" t="str">
        <f>'Giá NC'!F5</f>
        <v>công</v>
      </c>
      <c r="G240" s="67">
        <f>'Phan tich don gia'!G95</f>
        <v>5.1000000000000004E-3</v>
      </c>
      <c r="H240" s="5">
        <f>'Giá NC'!K5</f>
        <v>218559</v>
      </c>
      <c r="I240" s="198">
        <f>'Du toan chi tiet'!W18</f>
        <v>1</v>
      </c>
      <c r="J240" s="5">
        <f>PRODUCT(G240,H240,I240)</f>
        <v>1114.6509000000001</v>
      </c>
      <c r="K240" s="49"/>
      <c r="L240" s="49"/>
      <c r="M240" s="49"/>
      <c r="N240" s="49"/>
      <c r="O240" s="49"/>
      <c r="P240" s="49"/>
      <c r="Q240" s="49"/>
      <c r="R240" s="49"/>
      <c r="S240" s="49"/>
      <c r="T240" s="49"/>
      <c r="U240" s="49"/>
      <c r="V240" s="49"/>
      <c r="W240" s="49"/>
      <c r="X240" s="49"/>
      <c r="Y240" s="49"/>
      <c r="Z240" s="49"/>
      <c r="AA240" s="49"/>
    </row>
    <row r="241" spans="1:27" x14ac:dyDescent="0.25">
      <c r="A241" s="261"/>
      <c r="B241" s="690"/>
      <c r="C241" s="745" t="s">
        <v>98</v>
      </c>
      <c r="D241" s="745" t="s">
        <v>98</v>
      </c>
      <c r="E241" s="247" t="s">
        <v>1175</v>
      </c>
      <c r="F241" s="690" t="s">
        <v>138</v>
      </c>
      <c r="G241" s="133"/>
      <c r="H241" s="44"/>
      <c r="I241" s="233"/>
      <c r="J241" s="44">
        <f>SUM(J242:J244)</f>
        <v>8757.9958389999993</v>
      </c>
      <c r="K241" s="49"/>
      <c r="L241" s="49"/>
      <c r="M241" s="49"/>
      <c r="N241" s="49"/>
      <c r="O241" s="49"/>
      <c r="P241" s="49"/>
      <c r="Q241" s="49"/>
      <c r="R241" s="49"/>
      <c r="S241" s="49"/>
      <c r="T241" s="49"/>
      <c r="U241" s="49"/>
      <c r="V241" s="49"/>
      <c r="W241" s="49"/>
      <c r="X241" s="49"/>
      <c r="Y241" s="49"/>
      <c r="Z241" s="49"/>
      <c r="AA241" s="49"/>
    </row>
    <row r="242" spans="1:27" x14ac:dyDescent="0.25">
      <c r="A242" s="207"/>
      <c r="B242" s="641"/>
      <c r="C242" s="711" t="s">
        <v>98</v>
      </c>
      <c r="D242" s="276" t="s">
        <v>759</v>
      </c>
      <c r="E242" s="191" t="str">
        <f>" - " &amp; 'Giá Máy'!E14</f>
        <v xml:space="preserve"> - Máy đào 1,25m3</v>
      </c>
      <c r="F242" s="641" t="str">
        <f>'Giá Máy'!F14</f>
        <v>ca</v>
      </c>
      <c r="G242" s="67">
        <f>'Phan tich don gia'!G97</f>
        <v>2.1800000000000001E-3</v>
      </c>
      <c r="H242" s="5">
        <f>'Giá Máy'!J14</f>
        <v>3756595.3</v>
      </c>
      <c r="I242" s="198">
        <f>'Du toan chi tiet'!X18</f>
        <v>1</v>
      </c>
      <c r="J242" s="5">
        <f t="shared" ref="J242:J243" si="14">PRODUCT(G242,H242,I242)</f>
        <v>8189.3777540000001</v>
      </c>
      <c r="K242" s="49"/>
      <c r="L242" s="49"/>
      <c r="M242" s="49"/>
      <c r="N242" s="49"/>
      <c r="O242" s="49"/>
      <c r="P242" s="49"/>
      <c r="Q242" s="49"/>
      <c r="R242" s="49"/>
      <c r="S242" s="49"/>
      <c r="T242" s="49"/>
      <c r="U242" s="49"/>
      <c r="V242" s="49"/>
      <c r="W242" s="49"/>
      <c r="X242" s="49"/>
      <c r="Y242" s="49"/>
      <c r="Z242" s="49"/>
      <c r="AA242" s="49"/>
    </row>
    <row r="243" spans="1:27" x14ac:dyDescent="0.25">
      <c r="A243" s="207"/>
      <c r="B243" s="641"/>
      <c r="C243" s="711" t="s">
        <v>98</v>
      </c>
      <c r="D243" s="276" t="s">
        <v>1055</v>
      </c>
      <c r="E243" s="191" t="str">
        <f>" - " &amp; 'Giá Máy'!E21</f>
        <v xml:space="preserve"> - Máy ủi 110CV</v>
      </c>
      <c r="F243" s="641" t="str">
        <f>'Giá Máy'!F21</f>
        <v>ca</v>
      </c>
      <c r="G243" s="67">
        <f>'Phan tich don gia'!G98</f>
        <v>2.9E-4</v>
      </c>
      <c r="H243" s="5">
        <f>'Giá Máy'!J21</f>
        <v>1960743.5</v>
      </c>
      <c r="I243" s="198">
        <f>'Du toan chi tiet'!X18</f>
        <v>1</v>
      </c>
      <c r="J243" s="5">
        <f t="shared" si="14"/>
        <v>568.61561500000005</v>
      </c>
      <c r="K243" s="49"/>
      <c r="L243" s="49"/>
      <c r="M243" s="49"/>
      <c r="N243" s="49"/>
      <c r="O243" s="49"/>
      <c r="P243" s="49"/>
      <c r="Q243" s="49"/>
      <c r="R243" s="49"/>
      <c r="S243" s="49"/>
      <c r="T243" s="49"/>
      <c r="U243" s="49"/>
      <c r="V243" s="49"/>
      <c r="W243" s="49"/>
      <c r="X243" s="49"/>
      <c r="Y243" s="49"/>
      <c r="Z243" s="49"/>
      <c r="AA243" s="49"/>
    </row>
    <row r="244" spans="1:27" x14ac:dyDescent="0.25">
      <c r="A244" s="207"/>
      <c r="B244" s="641"/>
      <c r="C244" s="711" t="s">
        <v>98</v>
      </c>
      <c r="D244" s="276" t="s">
        <v>98</v>
      </c>
      <c r="E244" s="191" t="s">
        <v>1230</v>
      </c>
      <c r="F244" s="641"/>
      <c r="G244" s="106"/>
      <c r="H244" s="5"/>
      <c r="I244" s="198"/>
      <c r="J244" s="5">
        <f>SUM(J245:J246)</f>
        <v>2.47E-3</v>
      </c>
      <c r="K244" s="49"/>
      <c r="L244" s="49"/>
      <c r="M244" s="49"/>
      <c r="N244" s="49"/>
      <c r="O244" s="49"/>
      <c r="P244" s="49"/>
      <c r="Q244" s="49"/>
      <c r="R244" s="49"/>
      <c r="S244" s="49"/>
      <c r="T244" s="49"/>
      <c r="U244" s="49"/>
      <c r="V244" s="49"/>
      <c r="W244" s="49"/>
      <c r="X244" s="49"/>
      <c r="Y244" s="49"/>
      <c r="Z244" s="49"/>
      <c r="AA244" s="49"/>
    </row>
    <row r="245" spans="1:27" x14ac:dyDescent="0.25">
      <c r="A245" s="207"/>
      <c r="B245" s="641"/>
      <c r="C245" s="711" t="s">
        <v>98</v>
      </c>
      <c r="D245" s="276" t="s">
        <v>98</v>
      </c>
      <c r="E245" s="191" t="s">
        <v>52</v>
      </c>
      <c r="F245" s="641"/>
      <c r="G245" s="106"/>
      <c r="H245" s="5"/>
      <c r="I245" s="198"/>
      <c r="J245" s="5">
        <f>PRODUCT(G242,I242,'Giá Máy'!L14)+PRODUCT(G243,I243,'Giá Máy'!L21)</f>
        <v>0</v>
      </c>
      <c r="K245" s="49"/>
      <c r="L245" s="49"/>
      <c r="M245" s="49"/>
      <c r="N245" s="49"/>
      <c r="O245" s="49"/>
      <c r="P245" s="49"/>
      <c r="Q245" s="49"/>
      <c r="R245" s="49"/>
      <c r="S245" s="49"/>
      <c r="T245" s="49"/>
      <c r="U245" s="49"/>
      <c r="V245" s="49"/>
      <c r="W245" s="49"/>
      <c r="X245" s="49"/>
      <c r="Y245" s="49"/>
      <c r="Z245" s="49"/>
      <c r="AA245" s="49"/>
    </row>
    <row r="246" spans="1:27" x14ac:dyDescent="0.25">
      <c r="A246" s="207"/>
      <c r="B246" s="641"/>
      <c r="C246" s="711" t="s">
        <v>98</v>
      </c>
      <c r="D246" s="276" t="s">
        <v>98</v>
      </c>
      <c r="E246" s="191" t="s">
        <v>597</v>
      </c>
      <c r="F246" s="641"/>
      <c r="G246" s="106"/>
      <c r="H246" s="5"/>
      <c r="I246" s="198"/>
      <c r="J246" s="5">
        <f>PRODUCT(G242,I242,'Giá Máy'!M14)+PRODUCT(G243,I243,'Giá Máy'!M21)</f>
        <v>2.47E-3</v>
      </c>
      <c r="K246" s="49"/>
      <c r="L246" s="49"/>
      <c r="M246" s="49"/>
      <c r="N246" s="49"/>
      <c r="O246" s="49"/>
      <c r="P246" s="49"/>
      <c r="Q246" s="49"/>
      <c r="R246" s="49"/>
      <c r="S246" s="49"/>
      <c r="T246" s="49"/>
      <c r="U246" s="49"/>
      <c r="V246" s="49"/>
      <c r="W246" s="49"/>
      <c r="X246" s="49"/>
      <c r="Y246" s="49"/>
      <c r="Z246" s="49"/>
      <c r="AA246" s="49"/>
    </row>
    <row r="247" spans="1:27" x14ac:dyDescent="0.25">
      <c r="A247" s="207"/>
      <c r="B247" s="641"/>
      <c r="C247" s="711" t="s">
        <v>98</v>
      </c>
      <c r="D247" s="276" t="s">
        <v>98</v>
      </c>
      <c r="E247" s="191" t="s">
        <v>599</v>
      </c>
      <c r="F247" s="641" t="s">
        <v>356</v>
      </c>
      <c r="G247" s="106"/>
      <c r="H247" s="5"/>
      <c r="I247" s="198"/>
      <c r="J247" s="5">
        <f>J238+J239+J241</f>
        <v>9872.6467389999998</v>
      </c>
      <c r="K247" s="49"/>
      <c r="L247" s="49"/>
      <c r="M247" s="49"/>
      <c r="N247" s="49"/>
      <c r="O247" s="49"/>
      <c r="P247" s="49"/>
      <c r="Q247" s="49"/>
      <c r="R247" s="49"/>
      <c r="S247" s="49"/>
      <c r="T247" s="49"/>
      <c r="U247" s="49"/>
      <c r="V247" s="49"/>
      <c r="W247" s="49"/>
      <c r="X247" s="49"/>
      <c r="Y247" s="49"/>
      <c r="Z247" s="49"/>
      <c r="AA247" s="49"/>
    </row>
    <row r="248" spans="1:27" x14ac:dyDescent="0.25">
      <c r="A248" s="207"/>
      <c r="B248" s="641"/>
      <c r="C248" s="711" t="s">
        <v>98</v>
      </c>
      <c r="D248" s="276" t="s">
        <v>98</v>
      </c>
      <c r="E248" s="191" t="s">
        <v>265</v>
      </c>
      <c r="F248" s="641" t="s">
        <v>653</v>
      </c>
      <c r="G248" s="307">
        <f>'Thông tin'!E67</f>
        <v>7.2999999999999995E-2</v>
      </c>
      <c r="H248" s="5"/>
      <c r="I248" s="198"/>
      <c r="J248" s="5">
        <f>(J247)*G248</f>
        <v>720.70321194699989</v>
      </c>
      <c r="K248" s="49"/>
      <c r="L248" s="49"/>
      <c r="M248" s="49"/>
      <c r="N248" s="49"/>
      <c r="O248" s="49"/>
      <c r="P248" s="49"/>
      <c r="Q248" s="49"/>
      <c r="R248" s="49"/>
      <c r="S248" s="49"/>
      <c r="T248" s="49"/>
      <c r="U248" s="49"/>
      <c r="V248" s="49"/>
      <c r="W248" s="49"/>
      <c r="X248" s="49"/>
      <c r="Y248" s="49"/>
      <c r="Z248" s="49"/>
      <c r="AA248" s="49"/>
    </row>
    <row r="249" spans="1:27" x14ac:dyDescent="0.25">
      <c r="A249" s="207"/>
      <c r="B249" s="641"/>
      <c r="C249" s="711" t="s">
        <v>98</v>
      </c>
      <c r="D249" s="276" t="s">
        <v>98</v>
      </c>
      <c r="E249" s="191" t="s">
        <v>765</v>
      </c>
      <c r="F249" s="641" t="s">
        <v>602</v>
      </c>
      <c r="G249" s="307">
        <f>'Thông tin'!E60</f>
        <v>1.1000000000000001E-2</v>
      </c>
      <c r="H249" s="5"/>
      <c r="I249" s="198"/>
      <c r="J249" s="5">
        <f>(J247)*G249</f>
        <v>108.59911412900001</v>
      </c>
      <c r="K249" s="49"/>
      <c r="L249" s="49"/>
      <c r="M249" s="49"/>
      <c r="N249" s="49"/>
      <c r="O249" s="49"/>
      <c r="P249" s="49"/>
      <c r="Q249" s="49"/>
      <c r="R249" s="49"/>
      <c r="S249" s="49"/>
      <c r="T249" s="49"/>
      <c r="U249" s="49"/>
      <c r="V249" s="49"/>
      <c r="W249" s="49"/>
      <c r="X249" s="49"/>
      <c r="Y249" s="49"/>
      <c r="Z249" s="49"/>
      <c r="AA249" s="49"/>
    </row>
    <row r="250" spans="1:27" ht="30" x14ac:dyDescent="0.25">
      <c r="A250" s="207"/>
      <c r="B250" s="641"/>
      <c r="C250" s="711" t="s">
        <v>98</v>
      </c>
      <c r="D250" s="276" t="s">
        <v>98</v>
      </c>
      <c r="E250" s="191" t="s">
        <v>457</v>
      </c>
      <c r="F250" s="641" t="s">
        <v>881</v>
      </c>
      <c r="G250" s="307">
        <f>'Thông tin'!E65</f>
        <v>2.5000000000000001E-2</v>
      </c>
      <c r="H250" s="5"/>
      <c r="I250" s="198"/>
      <c r="J250" s="5">
        <f>(J247)*G250</f>
        <v>246.81616847500001</v>
      </c>
      <c r="K250" s="49"/>
      <c r="L250" s="49"/>
      <c r="M250" s="49"/>
      <c r="N250" s="49"/>
      <c r="O250" s="49"/>
      <c r="P250" s="49"/>
      <c r="Q250" s="49"/>
      <c r="R250" s="49"/>
      <c r="S250" s="49"/>
      <c r="T250" s="49"/>
      <c r="U250" s="49"/>
      <c r="V250" s="49"/>
      <c r="W250" s="49"/>
      <c r="X250" s="49"/>
      <c r="Y250" s="49"/>
      <c r="Z250" s="49"/>
      <c r="AA250" s="49"/>
    </row>
    <row r="251" spans="1:27" x14ac:dyDescent="0.25">
      <c r="A251" s="207"/>
      <c r="B251" s="641"/>
      <c r="C251" s="711" t="s">
        <v>98</v>
      </c>
      <c r="D251" s="276" t="s">
        <v>98</v>
      </c>
      <c r="E251" s="191" t="s">
        <v>1244</v>
      </c>
      <c r="F251" s="641" t="s">
        <v>1032</v>
      </c>
      <c r="G251" s="106"/>
      <c r="H251" s="5"/>
      <c r="I251" s="198"/>
      <c r="J251" s="5">
        <f>J248+J249+J250</f>
        <v>1076.1184945509999</v>
      </c>
      <c r="K251" s="49"/>
      <c r="L251" s="49"/>
      <c r="M251" s="49"/>
      <c r="N251" s="49"/>
      <c r="O251" s="49"/>
      <c r="P251" s="49"/>
      <c r="Q251" s="49"/>
      <c r="R251" s="49"/>
      <c r="S251" s="49"/>
      <c r="T251" s="49"/>
      <c r="U251" s="49"/>
      <c r="V251" s="49"/>
      <c r="W251" s="49"/>
      <c r="X251" s="49"/>
      <c r="Y251" s="49"/>
      <c r="Z251" s="49"/>
      <c r="AA251" s="49"/>
    </row>
    <row r="252" spans="1:27" x14ac:dyDescent="0.25">
      <c r="A252" s="207"/>
      <c r="B252" s="641"/>
      <c r="C252" s="711" t="s">
        <v>98</v>
      </c>
      <c r="D252" s="276" t="s">
        <v>98</v>
      </c>
      <c r="E252" s="191" t="s">
        <v>990</v>
      </c>
      <c r="F252" s="641" t="s">
        <v>307</v>
      </c>
      <c r="G252" s="307">
        <f>'Thông tin'!E63</f>
        <v>5.5E-2</v>
      </c>
      <c r="H252" s="5"/>
      <c r="I252" s="198"/>
      <c r="J252" s="5">
        <f>(J247+J251)*G252</f>
        <v>602.18208784530498</v>
      </c>
      <c r="K252" s="49"/>
      <c r="L252" s="49"/>
      <c r="M252" s="49"/>
      <c r="N252" s="49"/>
      <c r="O252" s="49"/>
      <c r="P252" s="49"/>
      <c r="Q252" s="49"/>
      <c r="R252" s="49"/>
      <c r="S252" s="49"/>
      <c r="T252" s="49"/>
      <c r="U252" s="49"/>
      <c r="V252" s="49"/>
      <c r="W252" s="49"/>
      <c r="X252" s="49"/>
      <c r="Y252" s="49"/>
      <c r="Z252" s="49"/>
      <c r="AA252" s="49"/>
    </row>
    <row r="253" spans="1:27" x14ac:dyDescent="0.25">
      <c r="A253" s="207"/>
      <c r="B253" s="641"/>
      <c r="C253" s="711" t="s">
        <v>98</v>
      </c>
      <c r="D253" s="276" t="s">
        <v>98</v>
      </c>
      <c r="E253" s="7" t="s">
        <v>142</v>
      </c>
      <c r="F253" s="499" t="s">
        <v>286</v>
      </c>
      <c r="G253" s="106"/>
      <c r="H253" s="5"/>
      <c r="I253" s="198"/>
      <c r="J253" s="620">
        <f>J247+J251+J252</f>
        <v>11550.947321396305</v>
      </c>
      <c r="K253" s="49"/>
      <c r="L253" s="49"/>
      <c r="M253" s="49"/>
      <c r="N253" s="49"/>
      <c r="O253" s="49"/>
      <c r="P253" s="49"/>
      <c r="Q253" s="49"/>
      <c r="R253" s="49"/>
      <c r="S253" s="49"/>
      <c r="T253" s="49"/>
      <c r="U253" s="49"/>
      <c r="V253" s="49"/>
      <c r="W253" s="49"/>
      <c r="X253" s="49"/>
      <c r="Y253" s="49"/>
      <c r="Z253" s="49"/>
      <c r="AA253" s="49"/>
    </row>
    <row r="254" spans="1:27" x14ac:dyDescent="0.25">
      <c r="A254" s="207"/>
      <c r="B254" s="641"/>
      <c r="C254" s="711" t="s">
        <v>98</v>
      </c>
      <c r="D254" s="276" t="s">
        <v>98</v>
      </c>
      <c r="E254" s="191" t="s">
        <v>762</v>
      </c>
      <c r="F254" s="641" t="s">
        <v>830</v>
      </c>
      <c r="G254" s="705">
        <f>'Thông tin'!E61</f>
        <v>0.08</v>
      </c>
      <c r="H254" s="5"/>
      <c r="I254" s="198"/>
      <c r="J254" s="5">
        <f>(J253)*G254</f>
        <v>924.07578571170438</v>
      </c>
      <c r="K254" s="49"/>
      <c r="L254" s="49"/>
      <c r="M254" s="49"/>
      <c r="N254" s="49"/>
      <c r="O254" s="49"/>
      <c r="P254" s="49"/>
      <c r="Q254" s="49"/>
      <c r="R254" s="49"/>
      <c r="S254" s="49"/>
      <c r="T254" s="49"/>
      <c r="U254" s="49"/>
      <c r="V254" s="49"/>
      <c r="W254" s="49"/>
      <c r="X254" s="49"/>
      <c r="Y254" s="49"/>
      <c r="Z254" s="49"/>
      <c r="AA254" s="49"/>
    </row>
    <row r="255" spans="1:27" x14ac:dyDescent="0.25">
      <c r="A255" s="122"/>
      <c r="B255" s="581"/>
      <c r="C255" s="636" t="s">
        <v>98</v>
      </c>
      <c r="D255" s="196" t="s">
        <v>98</v>
      </c>
      <c r="E255" s="728" t="s">
        <v>953</v>
      </c>
      <c r="F255" s="429" t="s">
        <v>1108</v>
      </c>
      <c r="G255" s="29"/>
      <c r="H255" s="704"/>
      <c r="I255" s="113"/>
      <c r="J255" s="657">
        <f>J253+J254</f>
        <v>12475.023107108009</v>
      </c>
      <c r="K255" s="49"/>
      <c r="L255" s="49"/>
      <c r="M255" s="49"/>
      <c r="N255" s="49"/>
      <c r="O255" s="49"/>
      <c r="P255" s="49"/>
      <c r="Q255" s="49"/>
      <c r="R255" s="49"/>
      <c r="S255" s="49"/>
      <c r="T255" s="49"/>
      <c r="U255" s="49"/>
      <c r="V255" s="49"/>
      <c r="W255" s="49"/>
      <c r="X255" s="49"/>
      <c r="Y255" s="49"/>
      <c r="Z255" s="49"/>
      <c r="AA255" s="49"/>
    </row>
    <row r="256" spans="1:27" ht="30" x14ac:dyDescent="0.25">
      <c r="A256" s="458"/>
      <c r="B256" s="130">
        <v>13</v>
      </c>
      <c r="C256" s="234" t="str">
        <f>'Du toan chi tiet'!C19</f>
        <v>AB.31132</v>
      </c>
      <c r="D256" s="234" t="str">
        <f>'Du toan chi tiet'!C19</f>
        <v>AB.31132</v>
      </c>
      <c r="E256" s="730" t="str">
        <f>'Du toan chi tiet'!D19</f>
        <v>Đào đánh cấp bằng máy đào 1,25m3 - Cấp đất II</v>
      </c>
      <c r="F256" s="130" t="str">
        <f>'Du toan chi tiet'!E19</f>
        <v>m3</v>
      </c>
      <c r="G256" s="664"/>
      <c r="H256" s="282"/>
      <c r="I256" s="450"/>
      <c r="J256" s="282"/>
      <c r="K256" s="49"/>
      <c r="L256" s="49"/>
      <c r="M256" s="49"/>
      <c r="N256" s="49"/>
      <c r="O256" s="49"/>
      <c r="P256" s="49"/>
      <c r="Q256" s="49"/>
      <c r="R256" s="49"/>
      <c r="S256" s="49"/>
      <c r="T256" s="49"/>
      <c r="U256" s="49"/>
      <c r="V256" s="49"/>
      <c r="W256" s="49"/>
      <c r="X256" s="49"/>
      <c r="Y256" s="49"/>
      <c r="Z256" s="49"/>
      <c r="AA256" s="49"/>
    </row>
    <row r="257" spans="1:27" x14ac:dyDescent="0.25">
      <c r="A257" s="261"/>
      <c r="B257" s="690"/>
      <c r="C257" s="745" t="s">
        <v>98</v>
      </c>
      <c r="D257" s="745" t="s">
        <v>98</v>
      </c>
      <c r="E257" s="247" t="s">
        <v>547</v>
      </c>
      <c r="F257" s="690" t="s">
        <v>962</v>
      </c>
      <c r="G257" s="133"/>
      <c r="H257" s="44"/>
      <c r="I257" s="233"/>
      <c r="J257" s="44">
        <v>0</v>
      </c>
      <c r="K257" s="49"/>
      <c r="L257" s="49"/>
      <c r="M257" s="49"/>
      <c r="N257" s="49"/>
      <c r="O257" s="49"/>
      <c r="P257" s="49"/>
      <c r="Q257" s="49"/>
      <c r="R257" s="49"/>
      <c r="S257" s="49"/>
      <c r="T257" s="49"/>
      <c r="U257" s="49"/>
      <c r="V257" s="49"/>
      <c r="W257" s="49"/>
      <c r="X257" s="49"/>
      <c r="Y257" s="49"/>
      <c r="Z257" s="49"/>
      <c r="AA257" s="49"/>
    </row>
    <row r="258" spans="1:27" x14ac:dyDescent="0.25">
      <c r="A258" s="261"/>
      <c r="B258" s="690"/>
      <c r="C258" s="745" t="s">
        <v>98</v>
      </c>
      <c r="D258" s="745" t="s">
        <v>98</v>
      </c>
      <c r="E258" s="247" t="s">
        <v>301</v>
      </c>
      <c r="F258" s="690" t="s">
        <v>1018</v>
      </c>
      <c r="G258" s="133"/>
      <c r="H258" s="44"/>
      <c r="I258" s="233"/>
      <c r="J258" s="44">
        <f>SUM(J259:J259)</f>
        <v>7409.1500999999998</v>
      </c>
      <c r="K258" s="49"/>
      <c r="L258" s="49"/>
      <c r="M258" s="49"/>
      <c r="N258" s="49"/>
      <c r="O258" s="49"/>
      <c r="P258" s="49"/>
      <c r="Q258" s="49"/>
      <c r="R258" s="49"/>
      <c r="S258" s="49"/>
      <c r="T258" s="49"/>
      <c r="U258" s="49"/>
      <c r="V258" s="49"/>
      <c r="W258" s="49"/>
      <c r="X258" s="49"/>
      <c r="Y258" s="49"/>
      <c r="Z258" s="49"/>
      <c r="AA258" s="49"/>
    </row>
    <row r="259" spans="1:27" x14ac:dyDescent="0.25">
      <c r="A259" s="207"/>
      <c r="B259" s="641"/>
      <c r="C259" s="711" t="s">
        <v>98</v>
      </c>
      <c r="D259" s="276" t="s">
        <v>475</v>
      </c>
      <c r="E259" s="191" t="str">
        <f>" - " &amp; 'Giá NC'!E5</f>
        <v xml:space="preserve"> - Nhân công bậc 3,0/7 - Nhóm 1</v>
      </c>
      <c r="F259" s="641" t="str">
        <f>'Giá NC'!F5</f>
        <v>công</v>
      </c>
      <c r="G259" s="67">
        <f>'Phan tich don gia'!G101</f>
        <v>3.39E-2</v>
      </c>
      <c r="H259" s="5">
        <f>'Giá NC'!K5</f>
        <v>218559</v>
      </c>
      <c r="I259" s="198">
        <f>'Du toan chi tiet'!W19</f>
        <v>1</v>
      </c>
      <c r="J259" s="5">
        <f>PRODUCT(G259,H259,I259)</f>
        <v>7409.1500999999998</v>
      </c>
      <c r="K259" s="49"/>
      <c r="L259" s="49"/>
      <c r="M259" s="49"/>
      <c r="N259" s="49"/>
      <c r="O259" s="49"/>
      <c r="P259" s="49"/>
      <c r="Q259" s="49"/>
      <c r="R259" s="49"/>
      <c r="S259" s="49"/>
      <c r="T259" s="49"/>
      <c r="U259" s="49"/>
      <c r="V259" s="49"/>
      <c r="W259" s="49"/>
      <c r="X259" s="49"/>
      <c r="Y259" s="49"/>
      <c r="Z259" s="49"/>
      <c r="AA259" s="49"/>
    </row>
    <row r="260" spans="1:27" x14ac:dyDescent="0.25">
      <c r="A260" s="261"/>
      <c r="B260" s="690"/>
      <c r="C260" s="745" t="s">
        <v>98</v>
      </c>
      <c r="D260" s="745" t="s">
        <v>98</v>
      </c>
      <c r="E260" s="247" t="s">
        <v>1175</v>
      </c>
      <c r="F260" s="690" t="s">
        <v>138</v>
      </c>
      <c r="G260" s="133"/>
      <c r="H260" s="44"/>
      <c r="I260" s="233"/>
      <c r="J260" s="44">
        <f>SUM(J261:J263)</f>
        <v>10603.674806999999</v>
      </c>
      <c r="K260" s="49"/>
      <c r="L260" s="49"/>
      <c r="M260" s="49"/>
      <c r="N260" s="49"/>
      <c r="O260" s="49"/>
      <c r="P260" s="49"/>
      <c r="Q260" s="49"/>
      <c r="R260" s="49"/>
      <c r="S260" s="49"/>
      <c r="T260" s="49"/>
      <c r="U260" s="49"/>
      <c r="V260" s="49"/>
      <c r="W260" s="49"/>
      <c r="X260" s="49"/>
      <c r="Y260" s="49"/>
      <c r="Z260" s="49"/>
      <c r="AA260" s="49"/>
    </row>
    <row r="261" spans="1:27" x14ac:dyDescent="0.25">
      <c r="A261" s="207"/>
      <c r="B261" s="641"/>
      <c r="C261" s="711" t="s">
        <v>98</v>
      </c>
      <c r="D261" s="276" t="s">
        <v>759</v>
      </c>
      <c r="E261" s="191" t="str">
        <f>" - " &amp; 'Giá Máy'!E14</f>
        <v xml:space="preserve"> - Máy đào 1,25m3</v>
      </c>
      <c r="F261" s="641" t="str">
        <f>'Giá Máy'!F14</f>
        <v>ca</v>
      </c>
      <c r="G261" s="67">
        <f>'Phan tich don gia'!G103</f>
        <v>2.64E-3</v>
      </c>
      <c r="H261" s="5">
        <f>'Giá Máy'!J14</f>
        <v>3756595.3</v>
      </c>
      <c r="I261" s="198">
        <f>'Du toan chi tiet'!X19</f>
        <v>1</v>
      </c>
      <c r="J261" s="5">
        <f t="shared" ref="J261:J262" si="15">PRODUCT(G261,H261,I261)</f>
        <v>9917.4115919999986</v>
      </c>
      <c r="K261" s="49"/>
      <c r="L261" s="49"/>
      <c r="M261" s="49"/>
      <c r="N261" s="49"/>
      <c r="O261" s="49"/>
      <c r="P261" s="49"/>
      <c r="Q261" s="49"/>
      <c r="R261" s="49"/>
      <c r="S261" s="49"/>
      <c r="T261" s="49"/>
      <c r="U261" s="49"/>
      <c r="V261" s="49"/>
      <c r="W261" s="49"/>
      <c r="X261" s="49"/>
      <c r="Y261" s="49"/>
      <c r="Z261" s="49"/>
      <c r="AA261" s="49"/>
    </row>
    <row r="262" spans="1:27" x14ac:dyDescent="0.25">
      <c r="A262" s="207"/>
      <c r="B262" s="641"/>
      <c r="C262" s="711" t="s">
        <v>98</v>
      </c>
      <c r="D262" s="276" t="s">
        <v>1055</v>
      </c>
      <c r="E262" s="191" t="str">
        <f>" - " &amp; 'Giá Máy'!E21</f>
        <v xml:space="preserve"> - Máy ủi 110CV</v>
      </c>
      <c r="F262" s="641" t="str">
        <f>'Giá Máy'!F21</f>
        <v>ca</v>
      </c>
      <c r="G262" s="67">
        <f>'Phan tich don gia'!G104</f>
        <v>3.5E-4</v>
      </c>
      <c r="H262" s="5">
        <f>'Giá Máy'!J21</f>
        <v>1960743.5</v>
      </c>
      <c r="I262" s="198">
        <f>'Du toan chi tiet'!X19</f>
        <v>1</v>
      </c>
      <c r="J262" s="5">
        <f t="shared" si="15"/>
        <v>686.26022499999999</v>
      </c>
      <c r="K262" s="49"/>
      <c r="L262" s="49"/>
      <c r="M262" s="49"/>
      <c r="N262" s="49"/>
      <c r="O262" s="49"/>
      <c r="P262" s="49"/>
      <c r="Q262" s="49"/>
      <c r="R262" s="49"/>
      <c r="S262" s="49"/>
      <c r="T262" s="49"/>
      <c r="U262" s="49"/>
      <c r="V262" s="49"/>
      <c r="W262" s="49"/>
      <c r="X262" s="49"/>
      <c r="Y262" s="49"/>
      <c r="Z262" s="49"/>
      <c r="AA262" s="49"/>
    </row>
    <row r="263" spans="1:27" x14ac:dyDescent="0.25">
      <c r="A263" s="207"/>
      <c r="B263" s="641"/>
      <c r="C263" s="711" t="s">
        <v>98</v>
      </c>
      <c r="D263" s="276" t="s">
        <v>98</v>
      </c>
      <c r="E263" s="191" t="s">
        <v>1230</v>
      </c>
      <c r="F263" s="641"/>
      <c r="G263" s="106"/>
      <c r="H263" s="5"/>
      <c r="I263" s="198"/>
      <c r="J263" s="5">
        <f>SUM(J264:J265)</f>
        <v>2.99E-3</v>
      </c>
      <c r="K263" s="49"/>
      <c r="L263" s="49"/>
      <c r="M263" s="49"/>
      <c r="N263" s="49"/>
      <c r="O263" s="49"/>
      <c r="P263" s="49"/>
      <c r="Q263" s="49"/>
      <c r="R263" s="49"/>
      <c r="S263" s="49"/>
      <c r="T263" s="49"/>
      <c r="U263" s="49"/>
      <c r="V263" s="49"/>
      <c r="W263" s="49"/>
      <c r="X263" s="49"/>
      <c r="Y263" s="49"/>
      <c r="Z263" s="49"/>
      <c r="AA263" s="49"/>
    </row>
    <row r="264" spans="1:27" x14ac:dyDescent="0.25">
      <c r="A264" s="207"/>
      <c r="B264" s="641"/>
      <c r="C264" s="711" t="s">
        <v>98</v>
      </c>
      <c r="D264" s="276" t="s">
        <v>98</v>
      </c>
      <c r="E264" s="191" t="s">
        <v>52</v>
      </c>
      <c r="F264" s="641"/>
      <c r="G264" s="106"/>
      <c r="H264" s="5"/>
      <c r="I264" s="198"/>
      <c r="J264" s="5">
        <f>PRODUCT(G261,I261,'Giá Máy'!L14)+PRODUCT(G262,I262,'Giá Máy'!L21)</f>
        <v>0</v>
      </c>
      <c r="K264" s="49"/>
      <c r="L264" s="49"/>
      <c r="M264" s="49"/>
      <c r="N264" s="49"/>
      <c r="O264" s="49"/>
      <c r="P264" s="49"/>
      <c r="Q264" s="49"/>
      <c r="R264" s="49"/>
      <c r="S264" s="49"/>
      <c r="T264" s="49"/>
      <c r="U264" s="49"/>
      <c r="V264" s="49"/>
      <c r="W264" s="49"/>
      <c r="X264" s="49"/>
      <c r="Y264" s="49"/>
      <c r="Z264" s="49"/>
      <c r="AA264" s="49"/>
    </row>
    <row r="265" spans="1:27" x14ac:dyDescent="0.25">
      <c r="A265" s="207"/>
      <c r="B265" s="641"/>
      <c r="C265" s="711" t="s">
        <v>98</v>
      </c>
      <c r="D265" s="276" t="s">
        <v>98</v>
      </c>
      <c r="E265" s="191" t="s">
        <v>597</v>
      </c>
      <c r="F265" s="641"/>
      <c r="G265" s="106"/>
      <c r="H265" s="5"/>
      <c r="I265" s="198"/>
      <c r="J265" s="5">
        <f>PRODUCT(G261,I261,'Giá Máy'!M14)+PRODUCT(G262,I262,'Giá Máy'!M21)</f>
        <v>2.99E-3</v>
      </c>
      <c r="K265" s="49"/>
      <c r="L265" s="49"/>
      <c r="M265" s="49"/>
      <c r="N265" s="49"/>
      <c r="O265" s="49"/>
      <c r="P265" s="49"/>
      <c r="Q265" s="49"/>
      <c r="R265" s="49"/>
      <c r="S265" s="49"/>
      <c r="T265" s="49"/>
      <c r="U265" s="49"/>
      <c r="V265" s="49"/>
      <c r="W265" s="49"/>
      <c r="X265" s="49"/>
      <c r="Y265" s="49"/>
      <c r="Z265" s="49"/>
      <c r="AA265" s="49"/>
    </row>
    <row r="266" spans="1:27" x14ac:dyDescent="0.25">
      <c r="A266" s="207"/>
      <c r="B266" s="641"/>
      <c r="C266" s="711" t="s">
        <v>98</v>
      </c>
      <c r="D266" s="276" t="s">
        <v>98</v>
      </c>
      <c r="E266" s="191" t="s">
        <v>599</v>
      </c>
      <c r="F266" s="641" t="s">
        <v>356</v>
      </c>
      <c r="G266" s="106"/>
      <c r="H266" s="5"/>
      <c r="I266" s="198"/>
      <c r="J266" s="5">
        <f>J257+J258+J260</f>
        <v>18012.824906999998</v>
      </c>
      <c r="K266" s="49"/>
      <c r="L266" s="49"/>
      <c r="M266" s="49"/>
      <c r="N266" s="49"/>
      <c r="O266" s="49"/>
      <c r="P266" s="49"/>
      <c r="Q266" s="49"/>
      <c r="R266" s="49"/>
      <c r="S266" s="49"/>
      <c r="T266" s="49"/>
      <c r="U266" s="49"/>
      <c r="V266" s="49"/>
      <c r="W266" s="49"/>
      <c r="X266" s="49"/>
      <c r="Y266" s="49"/>
      <c r="Z266" s="49"/>
      <c r="AA266" s="49"/>
    </row>
    <row r="267" spans="1:27" x14ac:dyDescent="0.25">
      <c r="A267" s="207"/>
      <c r="B267" s="641"/>
      <c r="C267" s="711" t="s">
        <v>98</v>
      </c>
      <c r="D267" s="276" t="s">
        <v>98</v>
      </c>
      <c r="E267" s="191" t="s">
        <v>265</v>
      </c>
      <c r="F267" s="641" t="s">
        <v>653</v>
      </c>
      <c r="G267" s="307">
        <f>'Thông tin'!E67</f>
        <v>7.2999999999999995E-2</v>
      </c>
      <c r="H267" s="5"/>
      <c r="I267" s="198"/>
      <c r="J267" s="5">
        <f>(J266)*G267</f>
        <v>1314.9362182109999</v>
      </c>
      <c r="K267" s="49"/>
      <c r="L267" s="49"/>
      <c r="M267" s="49"/>
      <c r="N267" s="49"/>
      <c r="O267" s="49"/>
      <c r="P267" s="49"/>
      <c r="Q267" s="49"/>
      <c r="R267" s="49"/>
      <c r="S267" s="49"/>
      <c r="T267" s="49"/>
      <c r="U267" s="49"/>
      <c r="V267" s="49"/>
      <c r="W267" s="49"/>
      <c r="X267" s="49"/>
      <c r="Y267" s="49"/>
      <c r="Z267" s="49"/>
      <c r="AA267" s="49"/>
    </row>
    <row r="268" spans="1:27" x14ac:dyDescent="0.25">
      <c r="A268" s="207"/>
      <c r="B268" s="641"/>
      <c r="C268" s="711" t="s">
        <v>98</v>
      </c>
      <c r="D268" s="276" t="s">
        <v>98</v>
      </c>
      <c r="E268" s="191" t="s">
        <v>765</v>
      </c>
      <c r="F268" s="641" t="s">
        <v>602</v>
      </c>
      <c r="G268" s="307">
        <f>'Thông tin'!E60</f>
        <v>1.1000000000000001E-2</v>
      </c>
      <c r="H268" s="5"/>
      <c r="I268" s="198"/>
      <c r="J268" s="5">
        <f>(J266)*G268</f>
        <v>198.14107397699999</v>
      </c>
      <c r="K268" s="49"/>
      <c r="L268" s="49"/>
      <c r="M268" s="49"/>
      <c r="N268" s="49"/>
      <c r="O268" s="49"/>
      <c r="P268" s="49"/>
      <c r="Q268" s="49"/>
      <c r="R268" s="49"/>
      <c r="S268" s="49"/>
      <c r="T268" s="49"/>
      <c r="U268" s="49"/>
      <c r="V268" s="49"/>
      <c r="W268" s="49"/>
      <c r="X268" s="49"/>
      <c r="Y268" s="49"/>
      <c r="Z268" s="49"/>
      <c r="AA268" s="49"/>
    </row>
    <row r="269" spans="1:27" ht="30" x14ac:dyDescent="0.25">
      <c r="A269" s="207"/>
      <c r="B269" s="641"/>
      <c r="C269" s="711" t="s">
        <v>98</v>
      </c>
      <c r="D269" s="276" t="s">
        <v>98</v>
      </c>
      <c r="E269" s="191" t="s">
        <v>457</v>
      </c>
      <c r="F269" s="641" t="s">
        <v>881</v>
      </c>
      <c r="G269" s="307">
        <f>'Thông tin'!E65</f>
        <v>2.5000000000000001E-2</v>
      </c>
      <c r="H269" s="5"/>
      <c r="I269" s="198"/>
      <c r="J269" s="5">
        <f>(J266)*G269</f>
        <v>450.32062267499998</v>
      </c>
      <c r="K269" s="49"/>
      <c r="L269" s="49"/>
      <c r="M269" s="49"/>
      <c r="N269" s="49"/>
      <c r="O269" s="49"/>
      <c r="P269" s="49"/>
      <c r="Q269" s="49"/>
      <c r="R269" s="49"/>
      <c r="S269" s="49"/>
      <c r="T269" s="49"/>
      <c r="U269" s="49"/>
      <c r="V269" s="49"/>
      <c r="W269" s="49"/>
      <c r="X269" s="49"/>
      <c r="Y269" s="49"/>
      <c r="Z269" s="49"/>
      <c r="AA269" s="49"/>
    </row>
    <row r="270" spans="1:27" x14ac:dyDescent="0.25">
      <c r="A270" s="207"/>
      <c r="B270" s="641"/>
      <c r="C270" s="711" t="s">
        <v>98</v>
      </c>
      <c r="D270" s="276" t="s">
        <v>98</v>
      </c>
      <c r="E270" s="191" t="s">
        <v>1244</v>
      </c>
      <c r="F270" s="641" t="s">
        <v>1032</v>
      </c>
      <c r="G270" s="106"/>
      <c r="H270" s="5"/>
      <c r="I270" s="198"/>
      <c r="J270" s="5">
        <f>J267+J268+J269</f>
        <v>1963.3979148629996</v>
      </c>
      <c r="K270" s="49"/>
      <c r="L270" s="49"/>
      <c r="M270" s="49"/>
      <c r="N270" s="49"/>
      <c r="O270" s="49"/>
      <c r="P270" s="49"/>
      <c r="Q270" s="49"/>
      <c r="R270" s="49"/>
      <c r="S270" s="49"/>
      <c r="T270" s="49"/>
      <c r="U270" s="49"/>
      <c r="V270" s="49"/>
      <c r="W270" s="49"/>
      <c r="X270" s="49"/>
      <c r="Y270" s="49"/>
      <c r="Z270" s="49"/>
      <c r="AA270" s="49"/>
    </row>
    <row r="271" spans="1:27" x14ac:dyDescent="0.25">
      <c r="A271" s="207"/>
      <c r="B271" s="641"/>
      <c r="C271" s="711" t="s">
        <v>98</v>
      </c>
      <c r="D271" s="276" t="s">
        <v>98</v>
      </c>
      <c r="E271" s="191" t="s">
        <v>990</v>
      </c>
      <c r="F271" s="641" t="s">
        <v>307</v>
      </c>
      <c r="G271" s="307">
        <f>'Thông tin'!E63</f>
        <v>5.5E-2</v>
      </c>
      <c r="H271" s="5"/>
      <c r="I271" s="198"/>
      <c r="J271" s="5">
        <f>(J266+J270)*G271</f>
        <v>1098.6922552024648</v>
      </c>
      <c r="K271" s="49"/>
      <c r="L271" s="49"/>
      <c r="M271" s="49"/>
      <c r="N271" s="49"/>
      <c r="O271" s="49"/>
      <c r="P271" s="49"/>
      <c r="Q271" s="49"/>
      <c r="R271" s="49"/>
      <c r="S271" s="49"/>
      <c r="T271" s="49"/>
      <c r="U271" s="49"/>
      <c r="V271" s="49"/>
      <c r="W271" s="49"/>
      <c r="X271" s="49"/>
      <c r="Y271" s="49"/>
      <c r="Z271" s="49"/>
      <c r="AA271" s="49"/>
    </row>
    <row r="272" spans="1:27" x14ac:dyDescent="0.25">
      <c r="A272" s="207"/>
      <c r="B272" s="641"/>
      <c r="C272" s="711" t="s">
        <v>98</v>
      </c>
      <c r="D272" s="276" t="s">
        <v>98</v>
      </c>
      <c r="E272" s="7" t="s">
        <v>142</v>
      </c>
      <c r="F272" s="499" t="s">
        <v>286</v>
      </c>
      <c r="G272" s="106"/>
      <c r="H272" s="5"/>
      <c r="I272" s="198"/>
      <c r="J272" s="620">
        <f>J266+J270+J271</f>
        <v>21074.915077065463</v>
      </c>
      <c r="K272" s="49"/>
      <c r="L272" s="49"/>
      <c r="M272" s="49"/>
      <c r="N272" s="49"/>
      <c r="O272" s="49"/>
      <c r="P272" s="49"/>
      <c r="Q272" s="49"/>
      <c r="R272" s="49"/>
      <c r="S272" s="49"/>
      <c r="T272" s="49"/>
      <c r="U272" s="49"/>
      <c r="V272" s="49"/>
      <c r="W272" s="49"/>
      <c r="X272" s="49"/>
      <c r="Y272" s="49"/>
      <c r="Z272" s="49"/>
      <c r="AA272" s="49"/>
    </row>
    <row r="273" spans="1:27" x14ac:dyDescent="0.25">
      <c r="A273" s="207"/>
      <c r="B273" s="641"/>
      <c r="C273" s="711" t="s">
        <v>98</v>
      </c>
      <c r="D273" s="276" t="s">
        <v>98</v>
      </c>
      <c r="E273" s="191" t="s">
        <v>762</v>
      </c>
      <c r="F273" s="641" t="s">
        <v>830</v>
      </c>
      <c r="G273" s="705">
        <f>'Thông tin'!E61</f>
        <v>0.08</v>
      </c>
      <c r="H273" s="5"/>
      <c r="I273" s="198"/>
      <c r="J273" s="5">
        <f>(J272)*G273</f>
        <v>1685.9932061652371</v>
      </c>
      <c r="K273" s="49"/>
      <c r="L273" s="49"/>
      <c r="M273" s="49"/>
      <c r="N273" s="49"/>
      <c r="O273" s="49"/>
      <c r="P273" s="49"/>
      <c r="Q273" s="49"/>
      <c r="R273" s="49"/>
      <c r="S273" s="49"/>
      <c r="T273" s="49"/>
      <c r="U273" s="49"/>
      <c r="V273" s="49"/>
      <c r="W273" s="49"/>
      <c r="X273" s="49"/>
      <c r="Y273" s="49"/>
      <c r="Z273" s="49"/>
      <c r="AA273" s="49"/>
    </row>
    <row r="274" spans="1:27" x14ac:dyDescent="0.25">
      <c r="A274" s="122"/>
      <c r="B274" s="581"/>
      <c r="C274" s="636" t="s">
        <v>98</v>
      </c>
      <c r="D274" s="196" t="s">
        <v>98</v>
      </c>
      <c r="E274" s="728" t="s">
        <v>953</v>
      </c>
      <c r="F274" s="429" t="s">
        <v>1108</v>
      </c>
      <c r="G274" s="29"/>
      <c r="H274" s="704"/>
      <c r="I274" s="113"/>
      <c r="J274" s="657">
        <f>J272+J273</f>
        <v>22760.908283230699</v>
      </c>
      <c r="K274" s="49"/>
      <c r="L274" s="49"/>
      <c r="M274" s="49"/>
      <c r="N274" s="49"/>
      <c r="O274" s="49"/>
      <c r="P274" s="49"/>
      <c r="Q274" s="49"/>
      <c r="R274" s="49"/>
      <c r="S274" s="49"/>
      <c r="T274" s="49"/>
      <c r="U274" s="49"/>
      <c r="V274" s="49"/>
      <c r="W274" s="49"/>
      <c r="X274" s="49"/>
      <c r="Y274" s="49"/>
      <c r="Z274" s="49"/>
      <c r="AA274" s="49"/>
    </row>
    <row r="275" spans="1:27" ht="30" x14ac:dyDescent="0.25">
      <c r="A275" s="458"/>
      <c r="B275" s="130">
        <v>14</v>
      </c>
      <c r="C275" s="234" t="str">
        <f>'Du toan chi tiet'!C20</f>
        <v>AA.22112</v>
      </c>
      <c r="D275" s="234" t="str">
        <f>'Du toan chi tiet'!C20</f>
        <v>AA.22112</v>
      </c>
      <c r="E275" s="730" t="str">
        <f>'Du toan chi tiet'!D20</f>
        <v>Phá dỡ kết cấu bê tông không cốt thép bằng búa căn khí nén 3m3/ph</v>
      </c>
      <c r="F275" s="130" t="str">
        <f>'Du toan chi tiet'!E20</f>
        <v>m3</v>
      </c>
      <c r="G275" s="664"/>
      <c r="H275" s="282"/>
      <c r="I275" s="450"/>
      <c r="J275" s="282"/>
      <c r="K275" s="49"/>
      <c r="L275" s="49"/>
      <c r="M275" s="49"/>
      <c r="N275" s="49"/>
      <c r="O275" s="49"/>
      <c r="P275" s="49"/>
      <c r="Q275" s="49"/>
      <c r="R275" s="49"/>
      <c r="S275" s="49"/>
      <c r="T275" s="49"/>
      <c r="U275" s="49"/>
      <c r="V275" s="49"/>
      <c r="W275" s="49"/>
      <c r="X275" s="49"/>
      <c r="Y275" s="49"/>
      <c r="Z275" s="49"/>
      <c r="AA275" s="49"/>
    </row>
    <row r="276" spans="1:27" x14ac:dyDescent="0.25">
      <c r="A276" s="261"/>
      <c r="B276" s="690"/>
      <c r="C276" s="745" t="s">
        <v>98</v>
      </c>
      <c r="D276" s="745" t="s">
        <v>98</v>
      </c>
      <c r="E276" s="247" t="s">
        <v>547</v>
      </c>
      <c r="F276" s="690" t="s">
        <v>962</v>
      </c>
      <c r="G276" s="133"/>
      <c r="H276" s="44"/>
      <c r="I276" s="233"/>
      <c r="J276" s="44">
        <v>0</v>
      </c>
      <c r="K276" s="49"/>
      <c r="L276" s="49"/>
      <c r="M276" s="49"/>
      <c r="N276" s="49"/>
      <c r="O276" s="49"/>
      <c r="P276" s="49"/>
      <c r="Q276" s="49"/>
      <c r="R276" s="49"/>
      <c r="S276" s="49"/>
      <c r="T276" s="49"/>
      <c r="U276" s="49"/>
      <c r="V276" s="49"/>
      <c r="W276" s="49"/>
      <c r="X276" s="49"/>
      <c r="Y276" s="49"/>
      <c r="Z276" s="49"/>
      <c r="AA276" s="49"/>
    </row>
    <row r="277" spans="1:27" x14ac:dyDescent="0.25">
      <c r="A277" s="261"/>
      <c r="B277" s="690"/>
      <c r="C277" s="745" t="s">
        <v>98</v>
      </c>
      <c r="D277" s="745" t="s">
        <v>98</v>
      </c>
      <c r="E277" s="247" t="s">
        <v>301</v>
      </c>
      <c r="F277" s="690" t="s">
        <v>1018</v>
      </c>
      <c r="G277" s="133"/>
      <c r="H277" s="44"/>
      <c r="I277" s="233"/>
      <c r="J277" s="44">
        <f>SUM(J278:J278)</f>
        <v>109279.5</v>
      </c>
      <c r="K277" s="49"/>
      <c r="L277" s="49"/>
      <c r="M277" s="49"/>
      <c r="N277" s="49"/>
      <c r="O277" s="49"/>
      <c r="P277" s="49"/>
      <c r="Q277" s="49"/>
      <c r="R277" s="49"/>
      <c r="S277" s="49"/>
      <c r="T277" s="49"/>
      <c r="U277" s="49"/>
      <c r="V277" s="49"/>
      <c r="W277" s="49"/>
      <c r="X277" s="49"/>
      <c r="Y277" s="49"/>
      <c r="Z277" s="49"/>
      <c r="AA277" s="49"/>
    </row>
    <row r="278" spans="1:27" x14ac:dyDescent="0.25">
      <c r="A278" s="207"/>
      <c r="B278" s="641"/>
      <c r="C278" s="711" t="s">
        <v>98</v>
      </c>
      <c r="D278" s="276" t="s">
        <v>475</v>
      </c>
      <c r="E278" s="191" t="str">
        <f>" - " &amp; 'Giá NC'!E5</f>
        <v xml:space="preserve"> - Nhân công bậc 3,0/7 - Nhóm 1</v>
      </c>
      <c r="F278" s="641" t="str">
        <f>'Giá NC'!F5</f>
        <v>công</v>
      </c>
      <c r="G278" s="67">
        <f>'Phan tich don gia'!G107</f>
        <v>0.5</v>
      </c>
      <c r="H278" s="5">
        <f>'Giá NC'!K5</f>
        <v>218559</v>
      </c>
      <c r="I278" s="198">
        <f>'Du toan chi tiet'!W20</f>
        <v>1</v>
      </c>
      <c r="J278" s="5">
        <f>PRODUCT(G278,H278,I278)</f>
        <v>109279.5</v>
      </c>
      <c r="K278" s="49"/>
      <c r="L278" s="49"/>
      <c r="M278" s="49"/>
      <c r="N278" s="49"/>
      <c r="O278" s="49"/>
      <c r="P278" s="49"/>
      <c r="Q278" s="49"/>
      <c r="R278" s="49"/>
      <c r="S278" s="49"/>
      <c r="T278" s="49"/>
      <c r="U278" s="49"/>
      <c r="V278" s="49"/>
      <c r="W278" s="49"/>
      <c r="X278" s="49"/>
      <c r="Y278" s="49"/>
      <c r="Z278" s="49"/>
      <c r="AA278" s="49"/>
    </row>
    <row r="279" spans="1:27" x14ac:dyDescent="0.25">
      <c r="A279" s="261"/>
      <c r="B279" s="690"/>
      <c r="C279" s="745" t="s">
        <v>98</v>
      </c>
      <c r="D279" s="745" t="s">
        <v>98</v>
      </c>
      <c r="E279" s="247" t="s">
        <v>1175</v>
      </c>
      <c r="F279" s="690" t="s">
        <v>138</v>
      </c>
      <c r="G279" s="133"/>
      <c r="H279" s="44"/>
      <c r="I279" s="233"/>
      <c r="J279" s="44">
        <f>SUM(J280:J282)</f>
        <v>163350.57500000001</v>
      </c>
      <c r="K279" s="49"/>
      <c r="L279" s="49"/>
      <c r="M279" s="49"/>
      <c r="N279" s="49"/>
      <c r="O279" s="49"/>
      <c r="P279" s="49"/>
      <c r="Q279" s="49"/>
      <c r="R279" s="49"/>
      <c r="S279" s="49"/>
      <c r="T279" s="49"/>
      <c r="U279" s="49"/>
      <c r="V279" s="49"/>
      <c r="W279" s="49"/>
      <c r="X279" s="49"/>
      <c r="Y279" s="49"/>
      <c r="Z279" s="49"/>
      <c r="AA279" s="49"/>
    </row>
    <row r="280" spans="1:27" x14ac:dyDescent="0.25">
      <c r="A280" s="207"/>
      <c r="B280" s="641"/>
      <c r="C280" s="711" t="s">
        <v>98</v>
      </c>
      <c r="D280" s="276" t="s">
        <v>1045</v>
      </c>
      <c r="E280" s="191" t="str">
        <f>" - " &amp; 'Giá Máy'!E5</f>
        <v xml:space="preserve"> - Búa căn khí nén 3m3/ph</v>
      </c>
      <c r="F280" s="641" t="str">
        <f>'Giá Máy'!F5</f>
        <v>ca</v>
      </c>
      <c r="G280" s="67">
        <f>'Phan tich don gia'!G109</f>
        <v>0.25</v>
      </c>
      <c r="H280" s="5">
        <f>'Giá Máy'!J5</f>
        <v>21147</v>
      </c>
      <c r="I280" s="198">
        <f>'Du toan chi tiet'!X20</f>
        <v>1</v>
      </c>
      <c r="J280" s="5">
        <f t="shared" ref="J280:J281" si="16">PRODUCT(G280,H280,I280)</f>
        <v>5286.75</v>
      </c>
      <c r="K280" s="49"/>
      <c r="L280" s="49"/>
      <c r="M280" s="49"/>
      <c r="N280" s="49"/>
      <c r="O280" s="49"/>
      <c r="P280" s="49"/>
      <c r="Q280" s="49"/>
      <c r="R280" s="49"/>
      <c r="S280" s="49"/>
      <c r="T280" s="49"/>
      <c r="U280" s="49"/>
      <c r="V280" s="49"/>
      <c r="W280" s="49"/>
      <c r="X280" s="49"/>
      <c r="Y280" s="49"/>
      <c r="Z280" s="49"/>
      <c r="AA280" s="49"/>
    </row>
    <row r="281" spans="1:27" x14ac:dyDescent="0.25">
      <c r="A281" s="207"/>
      <c r="B281" s="641"/>
      <c r="C281" s="711" t="s">
        <v>98</v>
      </c>
      <c r="D281" s="276" t="s">
        <v>1024</v>
      </c>
      <c r="E281" s="191" t="str">
        <f>" - " &amp; 'Giá Máy'!E17</f>
        <v xml:space="preserve"> - Máy nén khí diezel 360m3/h</v>
      </c>
      <c r="F281" s="641" t="str">
        <f>'Giá Máy'!F17</f>
        <v>ca</v>
      </c>
      <c r="G281" s="67">
        <f>'Phan tich don gia'!G110</f>
        <v>0.125</v>
      </c>
      <c r="H281" s="5">
        <f>'Giá Máy'!J17</f>
        <v>1264509.6000000001</v>
      </c>
      <c r="I281" s="198">
        <f>'Du toan chi tiet'!X20</f>
        <v>1</v>
      </c>
      <c r="J281" s="5">
        <f t="shared" si="16"/>
        <v>158063.70000000001</v>
      </c>
      <c r="K281" s="49"/>
      <c r="L281" s="49"/>
      <c r="M281" s="49"/>
      <c r="N281" s="49"/>
      <c r="O281" s="49"/>
      <c r="P281" s="49"/>
      <c r="Q281" s="49"/>
      <c r="R281" s="49"/>
      <c r="S281" s="49"/>
      <c r="T281" s="49"/>
      <c r="U281" s="49"/>
      <c r="V281" s="49"/>
      <c r="W281" s="49"/>
      <c r="X281" s="49"/>
      <c r="Y281" s="49"/>
      <c r="Z281" s="49"/>
      <c r="AA281" s="49"/>
    </row>
    <row r="282" spans="1:27" x14ac:dyDescent="0.25">
      <c r="A282" s="207"/>
      <c r="B282" s="641"/>
      <c r="C282" s="711" t="s">
        <v>98</v>
      </c>
      <c r="D282" s="276" t="s">
        <v>98</v>
      </c>
      <c r="E282" s="191" t="s">
        <v>1230</v>
      </c>
      <c r="F282" s="641"/>
      <c r="G282" s="106"/>
      <c r="H282" s="5"/>
      <c r="I282" s="198"/>
      <c r="J282" s="5">
        <f>SUM(J283:J284)</f>
        <v>0.125</v>
      </c>
      <c r="K282" s="49"/>
      <c r="L282" s="49"/>
      <c r="M282" s="49"/>
      <c r="N282" s="49"/>
      <c r="O282" s="49"/>
      <c r="P282" s="49"/>
      <c r="Q282" s="49"/>
      <c r="R282" s="49"/>
      <c r="S282" s="49"/>
      <c r="T282" s="49"/>
      <c r="U282" s="49"/>
      <c r="V282" s="49"/>
      <c r="W282" s="49"/>
      <c r="X282" s="49"/>
      <c r="Y282" s="49"/>
      <c r="Z282" s="49"/>
      <c r="AA282" s="49"/>
    </row>
    <row r="283" spans="1:27" x14ac:dyDescent="0.25">
      <c r="A283" s="207"/>
      <c r="B283" s="641"/>
      <c r="C283" s="711" t="s">
        <v>98</v>
      </c>
      <c r="D283" s="276" t="s">
        <v>98</v>
      </c>
      <c r="E283" s="191" t="s">
        <v>52</v>
      </c>
      <c r="F283" s="641"/>
      <c r="G283" s="106"/>
      <c r="H283" s="5"/>
      <c r="I283" s="198"/>
      <c r="J283" s="5">
        <f>PRODUCT(G280,I280,'Giá Máy'!L5)+PRODUCT(G281,I281,'Giá Máy'!L17)</f>
        <v>0</v>
      </c>
      <c r="K283" s="49"/>
      <c r="L283" s="49"/>
      <c r="M283" s="49"/>
      <c r="N283" s="49"/>
      <c r="O283" s="49"/>
      <c r="P283" s="49"/>
      <c r="Q283" s="49"/>
      <c r="R283" s="49"/>
      <c r="S283" s="49"/>
      <c r="T283" s="49"/>
      <c r="U283" s="49"/>
      <c r="V283" s="49"/>
      <c r="W283" s="49"/>
      <c r="X283" s="49"/>
      <c r="Y283" s="49"/>
      <c r="Z283" s="49"/>
      <c r="AA283" s="49"/>
    </row>
    <row r="284" spans="1:27" x14ac:dyDescent="0.25">
      <c r="A284" s="207"/>
      <c r="B284" s="641"/>
      <c r="C284" s="711" t="s">
        <v>98</v>
      </c>
      <c r="D284" s="276" t="s">
        <v>98</v>
      </c>
      <c r="E284" s="191" t="s">
        <v>597</v>
      </c>
      <c r="F284" s="641"/>
      <c r="G284" s="106"/>
      <c r="H284" s="5"/>
      <c r="I284" s="198"/>
      <c r="J284" s="5">
        <f>PRODUCT(G280,I280,'Giá Máy'!M5)+PRODUCT(G281,I281,'Giá Máy'!M17)</f>
        <v>0.125</v>
      </c>
      <c r="K284" s="49"/>
      <c r="L284" s="49"/>
      <c r="M284" s="49"/>
      <c r="N284" s="49"/>
      <c r="O284" s="49"/>
      <c r="P284" s="49"/>
      <c r="Q284" s="49"/>
      <c r="R284" s="49"/>
      <c r="S284" s="49"/>
      <c r="T284" s="49"/>
      <c r="U284" s="49"/>
      <c r="V284" s="49"/>
      <c r="W284" s="49"/>
      <c r="X284" s="49"/>
      <c r="Y284" s="49"/>
      <c r="Z284" s="49"/>
      <c r="AA284" s="49"/>
    </row>
    <row r="285" spans="1:27" x14ac:dyDescent="0.25">
      <c r="A285" s="207"/>
      <c r="B285" s="641"/>
      <c r="C285" s="711" t="s">
        <v>98</v>
      </c>
      <c r="D285" s="276" t="s">
        <v>98</v>
      </c>
      <c r="E285" s="191" t="s">
        <v>599</v>
      </c>
      <c r="F285" s="641" t="s">
        <v>356</v>
      </c>
      <c r="G285" s="106"/>
      <c r="H285" s="5"/>
      <c r="I285" s="198"/>
      <c r="J285" s="5">
        <f>J276+J277+J279</f>
        <v>272630.07500000001</v>
      </c>
      <c r="K285" s="49"/>
      <c r="L285" s="49"/>
      <c r="M285" s="49"/>
      <c r="N285" s="49"/>
      <c r="O285" s="49"/>
      <c r="P285" s="49"/>
      <c r="Q285" s="49"/>
      <c r="R285" s="49"/>
      <c r="S285" s="49"/>
      <c r="T285" s="49"/>
      <c r="U285" s="49"/>
      <c r="V285" s="49"/>
      <c r="W285" s="49"/>
      <c r="X285" s="49"/>
      <c r="Y285" s="49"/>
      <c r="Z285" s="49"/>
      <c r="AA285" s="49"/>
    </row>
    <row r="286" spans="1:27" x14ac:dyDescent="0.25">
      <c r="A286" s="207"/>
      <c r="B286" s="641"/>
      <c r="C286" s="711" t="s">
        <v>98</v>
      </c>
      <c r="D286" s="276" t="s">
        <v>98</v>
      </c>
      <c r="E286" s="191" t="s">
        <v>265</v>
      </c>
      <c r="F286" s="641" t="s">
        <v>653</v>
      </c>
      <c r="G286" s="307">
        <f>'Thông tin'!E67</f>
        <v>7.2999999999999995E-2</v>
      </c>
      <c r="H286" s="5"/>
      <c r="I286" s="198"/>
      <c r="J286" s="5">
        <f>(J285)*G286</f>
        <v>19901.995475</v>
      </c>
      <c r="K286" s="49"/>
      <c r="L286" s="49"/>
      <c r="M286" s="49"/>
      <c r="N286" s="49"/>
      <c r="O286" s="49"/>
      <c r="P286" s="49"/>
      <c r="Q286" s="49"/>
      <c r="R286" s="49"/>
      <c r="S286" s="49"/>
      <c r="T286" s="49"/>
      <c r="U286" s="49"/>
      <c r="V286" s="49"/>
      <c r="W286" s="49"/>
      <c r="X286" s="49"/>
      <c r="Y286" s="49"/>
      <c r="Z286" s="49"/>
      <c r="AA286" s="49"/>
    </row>
    <row r="287" spans="1:27" x14ac:dyDescent="0.25">
      <c r="A287" s="207"/>
      <c r="B287" s="641"/>
      <c r="C287" s="711" t="s">
        <v>98</v>
      </c>
      <c r="D287" s="276" t="s">
        <v>98</v>
      </c>
      <c r="E287" s="191" t="s">
        <v>765</v>
      </c>
      <c r="F287" s="641" t="s">
        <v>602</v>
      </c>
      <c r="G287" s="307">
        <f>'Thông tin'!E60</f>
        <v>1.1000000000000001E-2</v>
      </c>
      <c r="H287" s="5"/>
      <c r="I287" s="198"/>
      <c r="J287" s="5">
        <f>(J285)*G287</f>
        <v>2998.9308250000004</v>
      </c>
      <c r="K287" s="49"/>
      <c r="L287" s="49"/>
      <c r="M287" s="49"/>
      <c r="N287" s="49"/>
      <c r="O287" s="49"/>
      <c r="P287" s="49"/>
      <c r="Q287" s="49"/>
      <c r="R287" s="49"/>
      <c r="S287" s="49"/>
      <c r="T287" s="49"/>
      <c r="U287" s="49"/>
      <c r="V287" s="49"/>
      <c r="W287" s="49"/>
      <c r="X287" s="49"/>
      <c r="Y287" s="49"/>
      <c r="Z287" s="49"/>
      <c r="AA287" s="49"/>
    </row>
    <row r="288" spans="1:27" ht="30" x14ac:dyDescent="0.25">
      <c r="A288" s="207"/>
      <c r="B288" s="641"/>
      <c r="C288" s="711" t="s">
        <v>98</v>
      </c>
      <c r="D288" s="276" t="s">
        <v>98</v>
      </c>
      <c r="E288" s="191" t="s">
        <v>457</v>
      </c>
      <c r="F288" s="641" t="s">
        <v>881</v>
      </c>
      <c r="G288" s="307">
        <f>'Thông tin'!E65</f>
        <v>2.5000000000000001E-2</v>
      </c>
      <c r="H288" s="5"/>
      <c r="I288" s="198"/>
      <c r="J288" s="5">
        <f>(J285)*G288</f>
        <v>6815.7518750000008</v>
      </c>
      <c r="K288" s="49"/>
      <c r="L288" s="49"/>
      <c r="M288" s="49"/>
      <c r="N288" s="49"/>
      <c r="O288" s="49"/>
      <c r="P288" s="49"/>
      <c r="Q288" s="49"/>
      <c r="R288" s="49"/>
      <c r="S288" s="49"/>
      <c r="T288" s="49"/>
      <c r="U288" s="49"/>
      <c r="V288" s="49"/>
      <c r="W288" s="49"/>
      <c r="X288" s="49"/>
      <c r="Y288" s="49"/>
      <c r="Z288" s="49"/>
      <c r="AA288" s="49"/>
    </row>
    <row r="289" spans="1:27" x14ac:dyDescent="0.25">
      <c r="A289" s="207"/>
      <c r="B289" s="641"/>
      <c r="C289" s="711" t="s">
        <v>98</v>
      </c>
      <c r="D289" s="276" t="s">
        <v>98</v>
      </c>
      <c r="E289" s="191" t="s">
        <v>1244</v>
      </c>
      <c r="F289" s="641" t="s">
        <v>1032</v>
      </c>
      <c r="G289" s="106"/>
      <c r="H289" s="5"/>
      <c r="I289" s="198"/>
      <c r="J289" s="5">
        <f>J286+J287+J288</f>
        <v>29716.678175000001</v>
      </c>
      <c r="K289" s="49"/>
      <c r="L289" s="49"/>
      <c r="M289" s="49"/>
      <c r="N289" s="49"/>
      <c r="O289" s="49"/>
      <c r="P289" s="49"/>
      <c r="Q289" s="49"/>
      <c r="R289" s="49"/>
      <c r="S289" s="49"/>
      <c r="T289" s="49"/>
      <c r="U289" s="49"/>
      <c r="V289" s="49"/>
      <c r="W289" s="49"/>
      <c r="X289" s="49"/>
      <c r="Y289" s="49"/>
      <c r="Z289" s="49"/>
      <c r="AA289" s="49"/>
    </row>
    <row r="290" spans="1:27" x14ac:dyDescent="0.25">
      <c r="A290" s="207"/>
      <c r="B290" s="641"/>
      <c r="C290" s="711" t="s">
        <v>98</v>
      </c>
      <c r="D290" s="276" t="s">
        <v>98</v>
      </c>
      <c r="E290" s="191" t="s">
        <v>990</v>
      </c>
      <c r="F290" s="641" t="s">
        <v>307</v>
      </c>
      <c r="G290" s="307">
        <f>'Thông tin'!E63</f>
        <v>5.5E-2</v>
      </c>
      <c r="H290" s="5"/>
      <c r="I290" s="198"/>
      <c r="J290" s="5">
        <f>(J285+J289)*G290</f>
        <v>16629.071424625003</v>
      </c>
      <c r="K290" s="49"/>
      <c r="L290" s="49"/>
      <c r="M290" s="49"/>
      <c r="N290" s="49"/>
      <c r="O290" s="49"/>
      <c r="P290" s="49"/>
      <c r="Q290" s="49"/>
      <c r="R290" s="49"/>
      <c r="S290" s="49"/>
      <c r="T290" s="49"/>
      <c r="U290" s="49"/>
      <c r="V290" s="49"/>
      <c r="W290" s="49"/>
      <c r="X290" s="49"/>
      <c r="Y290" s="49"/>
      <c r="Z290" s="49"/>
      <c r="AA290" s="49"/>
    </row>
    <row r="291" spans="1:27" x14ac:dyDescent="0.25">
      <c r="A291" s="207"/>
      <c r="B291" s="641"/>
      <c r="C291" s="711" t="s">
        <v>98</v>
      </c>
      <c r="D291" s="276" t="s">
        <v>98</v>
      </c>
      <c r="E291" s="7" t="s">
        <v>142</v>
      </c>
      <c r="F291" s="499" t="s">
        <v>286</v>
      </c>
      <c r="G291" s="106"/>
      <c r="H291" s="5"/>
      <c r="I291" s="198"/>
      <c r="J291" s="620">
        <f>J285+J289+J290</f>
        <v>318975.82459962502</v>
      </c>
      <c r="K291" s="49"/>
      <c r="L291" s="49"/>
      <c r="M291" s="49"/>
      <c r="N291" s="49"/>
      <c r="O291" s="49"/>
      <c r="P291" s="49"/>
      <c r="Q291" s="49"/>
      <c r="R291" s="49"/>
      <c r="S291" s="49"/>
      <c r="T291" s="49"/>
      <c r="U291" s="49"/>
      <c r="V291" s="49"/>
      <c r="W291" s="49"/>
      <c r="X291" s="49"/>
      <c r="Y291" s="49"/>
      <c r="Z291" s="49"/>
      <c r="AA291" s="49"/>
    </row>
    <row r="292" spans="1:27" x14ac:dyDescent="0.25">
      <c r="A292" s="207"/>
      <c r="B292" s="641"/>
      <c r="C292" s="711" t="s">
        <v>98</v>
      </c>
      <c r="D292" s="276" t="s">
        <v>98</v>
      </c>
      <c r="E292" s="191" t="s">
        <v>762</v>
      </c>
      <c r="F292" s="641" t="s">
        <v>830</v>
      </c>
      <c r="G292" s="705">
        <f>'Thông tin'!E61</f>
        <v>0.08</v>
      </c>
      <c r="H292" s="5"/>
      <c r="I292" s="198"/>
      <c r="J292" s="5">
        <f>(J291)*G292</f>
        <v>25518.065967970004</v>
      </c>
      <c r="K292" s="49"/>
      <c r="L292" s="49"/>
      <c r="M292" s="49"/>
      <c r="N292" s="49"/>
      <c r="O292" s="49"/>
      <c r="P292" s="49"/>
      <c r="Q292" s="49"/>
      <c r="R292" s="49"/>
      <c r="S292" s="49"/>
      <c r="T292" s="49"/>
      <c r="U292" s="49"/>
      <c r="V292" s="49"/>
      <c r="W292" s="49"/>
      <c r="X292" s="49"/>
      <c r="Y292" s="49"/>
      <c r="Z292" s="49"/>
      <c r="AA292" s="49"/>
    </row>
    <row r="293" spans="1:27" x14ac:dyDescent="0.25">
      <c r="A293" s="122"/>
      <c r="B293" s="581"/>
      <c r="C293" s="636" t="s">
        <v>98</v>
      </c>
      <c r="D293" s="196" t="s">
        <v>98</v>
      </c>
      <c r="E293" s="728" t="s">
        <v>953</v>
      </c>
      <c r="F293" s="429" t="s">
        <v>1108</v>
      </c>
      <c r="G293" s="29"/>
      <c r="H293" s="704"/>
      <c r="I293" s="113"/>
      <c r="J293" s="657">
        <f>J291+J292</f>
        <v>344493.89056759502</v>
      </c>
      <c r="K293" s="49"/>
      <c r="L293" s="49"/>
      <c r="M293" s="49"/>
      <c r="N293" s="49"/>
      <c r="O293" s="49"/>
      <c r="P293" s="49"/>
      <c r="Q293" s="49"/>
      <c r="R293" s="49"/>
      <c r="S293" s="49"/>
      <c r="T293" s="49"/>
      <c r="U293" s="49"/>
      <c r="V293" s="49"/>
      <c r="W293" s="49"/>
      <c r="X293" s="49"/>
      <c r="Y293" s="49"/>
      <c r="Z293" s="49"/>
      <c r="AA293" s="49"/>
    </row>
    <row r="294" spans="1:27" ht="30" x14ac:dyDescent="0.25">
      <c r="A294" s="458"/>
      <c r="B294" s="130">
        <v>15</v>
      </c>
      <c r="C294" s="234" t="str">
        <f>'Du toan chi tiet'!C21</f>
        <v>AA.13221</v>
      </c>
      <c r="D294" s="234" t="str">
        <f>'Du toan chi tiet'!C21</f>
        <v>AA.13221</v>
      </c>
      <c r="E294" s="730" t="str">
        <f>'Du toan chi tiet'!D21</f>
        <v>Đào bụi tre, đường kính bụi tre ≤50cm bằng thủ công</v>
      </c>
      <c r="F294" s="130" t="str">
        <f>'Du toan chi tiet'!E21</f>
        <v>bụi</v>
      </c>
      <c r="G294" s="664"/>
      <c r="H294" s="282"/>
      <c r="I294" s="450"/>
      <c r="J294" s="282"/>
      <c r="K294" s="49"/>
      <c r="L294" s="49"/>
      <c r="M294" s="49"/>
      <c r="N294" s="49"/>
      <c r="O294" s="49"/>
      <c r="P294" s="49"/>
      <c r="Q294" s="49"/>
      <c r="R294" s="49"/>
      <c r="S294" s="49"/>
      <c r="T294" s="49"/>
      <c r="U294" s="49"/>
      <c r="V294" s="49"/>
      <c r="W294" s="49"/>
      <c r="X294" s="49"/>
      <c r="Y294" s="49"/>
      <c r="Z294" s="49"/>
      <c r="AA294" s="49"/>
    </row>
    <row r="295" spans="1:27" x14ac:dyDescent="0.25">
      <c r="A295" s="261"/>
      <c r="B295" s="690"/>
      <c r="C295" s="745" t="s">
        <v>98</v>
      </c>
      <c r="D295" s="745" t="s">
        <v>98</v>
      </c>
      <c r="E295" s="247" t="s">
        <v>547</v>
      </c>
      <c r="F295" s="690" t="s">
        <v>962</v>
      </c>
      <c r="G295" s="133"/>
      <c r="H295" s="44"/>
      <c r="I295" s="233"/>
      <c r="J295" s="44">
        <v>0</v>
      </c>
      <c r="K295" s="49"/>
      <c r="L295" s="49"/>
      <c r="M295" s="49"/>
      <c r="N295" s="49"/>
      <c r="O295" s="49"/>
      <c r="P295" s="49"/>
      <c r="Q295" s="49"/>
      <c r="R295" s="49"/>
      <c r="S295" s="49"/>
      <c r="T295" s="49"/>
      <c r="U295" s="49"/>
      <c r="V295" s="49"/>
      <c r="W295" s="49"/>
      <c r="X295" s="49"/>
      <c r="Y295" s="49"/>
      <c r="Z295" s="49"/>
      <c r="AA295" s="49"/>
    </row>
    <row r="296" spans="1:27" x14ac:dyDescent="0.25">
      <c r="A296" s="261"/>
      <c r="B296" s="690"/>
      <c r="C296" s="745" t="s">
        <v>98</v>
      </c>
      <c r="D296" s="745" t="s">
        <v>98</v>
      </c>
      <c r="E296" s="247" t="s">
        <v>301</v>
      </c>
      <c r="F296" s="690" t="s">
        <v>1018</v>
      </c>
      <c r="G296" s="133"/>
      <c r="H296" s="44"/>
      <c r="I296" s="233"/>
      <c r="J296" s="44">
        <f>SUM(J297:J297)</f>
        <v>172661.61000000002</v>
      </c>
      <c r="K296" s="49"/>
      <c r="L296" s="49"/>
      <c r="M296" s="49"/>
      <c r="N296" s="49"/>
      <c r="O296" s="49"/>
      <c r="P296" s="49"/>
      <c r="Q296" s="49"/>
      <c r="R296" s="49"/>
      <c r="S296" s="49"/>
      <c r="T296" s="49"/>
      <c r="U296" s="49"/>
      <c r="V296" s="49"/>
      <c r="W296" s="49"/>
      <c r="X296" s="49"/>
      <c r="Y296" s="49"/>
      <c r="Z296" s="49"/>
      <c r="AA296" s="49"/>
    </row>
    <row r="297" spans="1:27" x14ac:dyDescent="0.25">
      <c r="A297" s="207"/>
      <c r="B297" s="641"/>
      <c r="C297" s="711" t="s">
        <v>98</v>
      </c>
      <c r="D297" s="276" t="s">
        <v>475</v>
      </c>
      <c r="E297" s="191" t="str">
        <f>" - " &amp; 'Giá NC'!E5</f>
        <v xml:space="preserve"> - Nhân công bậc 3,0/7 - Nhóm 1</v>
      </c>
      <c r="F297" s="641" t="str">
        <f>'Giá NC'!F5</f>
        <v>công</v>
      </c>
      <c r="G297" s="67">
        <f>'Phan tich don gia'!G113</f>
        <v>0.79</v>
      </c>
      <c r="H297" s="5">
        <f>'Giá NC'!K5</f>
        <v>218559</v>
      </c>
      <c r="I297" s="198">
        <f>'Du toan chi tiet'!W21</f>
        <v>1</v>
      </c>
      <c r="J297" s="5">
        <f>PRODUCT(G297,H297,I297)</f>
        <v>172661.61000000002</v>
      </c>
      <c r="K297" s="49"/>
      <c r="L297" s="49"/>
      <c r="M297" s="49"/>
      <c r="N297" s="49"/>
      <c r="O297" s="49"/>
      <c r="P297" s="49"/>
      <c r="Q297" s="49"/>
      <c r="R297" s="49"/>
      <c r="S297" s="49"/>
      <c r="T297" s="49"/>
      <c r="U297" s="49"/>
      <c r="V297" s="49"/>
      <c r="W297" s="49"/>
      <c r="X297" s="49"/>
      <c r="Y297" s="49"/>
      <c r="Z297" s="49"/>
      <c r="AA297" s="49"/>
    </row>
    <row r="298" spans="1:27" x14ac:dyDescent="0.25">
      <c r="A298" s="261"/>
      <c r="B298" s="690"/>
      <c r="C298" s="745" t="s">
        <v>98</v>
      </c>
      <c r="D298" s="745" t="s">
        <v>98</v>
      </c>
      <c r="E298" s="247" t="s">
        <v>1175</v>
      </c>
      <c r="F298" s="690" t="s">
        <v>138</v>
      </c>
      <c r="G298" s="133"/>
      <c r="H298" s="44"/>
      <c r="I298" s="233"/>
      <c r="J298" s="44">
        <v>0</v>
      </c>
      <c r="K298" s="49"/>
      <c r="L298" s="49"/>
      <c r="M298" s="49"/>
      <c r="N298" s="49"/>
      <c r="O298" s="49"/>
      <c r="P298" s="49"/>
      <c r="Q298" s="49"/>
      <c r="R298" s="49"/>
      <c r="S298" s="49"/>
      <c r="T298" s="49"/>
      <c r="U298" s="49"/>
      <c r="V298" s="49"/>
      <c r="W298" s="49"/>
      <c r="X298" s="49"/>
      <c r="Y298" s="49"/>
      <c r="Z298" s="49"/>
      <c r="AA298" s="49"/>
    </row>
    <row r="299" spans="1:27" x14ac:dyDescent="0.25">
      <c r="A299" s="207"/>
      <c r="B299" s="641"/>
      <c r="C299" s="711" t="s">
        <v>98</v>
      </c>
      <c r="D299" s="276" t="s">
        <v>98</v>
      </c>
      <c r="E299" s="191" t="s">
        <v>599</v>
      </c>
      <c r="F299" s="641" t="s">
        <v>356</v>
      </c>
      <c r="G299" s="106"/>
      <c r="H299" s="5"/>
      <c r="I299" s="198"/>
      <c r="J299" s="5">
        <f>J295+J296+J298</f>
        <v>172661.61000000002</v>
      </c>
      <c r="K299" s="49"/>
      <c r="L299" s="49"/>
      <c r="M299" s="49"/>
      <c r="N299" s="49"/>
      <c r="O299" s="49"/>
      <c r="P299" s="49"/>
      <c r="Q299" s="49"/>
      <c r="R299" s="49"/>
      <c r="S299" s="49"/>
      <c r="T299" s="49"/>
      <c r="U299" s="49"/>
      <c r="V299" s="49"/>
      <c r="W299" s="49"/>
      <c r="X299" s="49"/>
      <c r="Y299" s="49"/>
      <c r="Z299" s="49"/>
      <c r="AA299" s="49"/>
    </row>
    <row r="300" spans="1:27" x14ac:dyDescent="0.25">
      <c r="A300" s="207"/>
      <c r="B300" s="641"/>
      <c r="C300" s="711" t="s">
        <v>98</v>
      </c>
      <c r="D300" s="276" t="s">
        <v>98</v>
      </c>
      <c r="E300" s="191" t="s">
        <v>265</v>
      </c>
      <c r="F300" s="641" t="s">
        <v>653</v>
      </c>
      <c r="G300" s="307">
        <f>'Thông tin'!E67</f>
        <v>7.2999999999999995E-2</v>
      </c>
      <c r="H300" s="5"/>
      <c r="I300" s="198"/>
      <c r="J300" s="5">
        <f>(J299)*G300</f>
        <v>12604.29753</v>
      </c>
      <c r="K300" s="49"/>
      <c r="L300" s="49"/>
      <c r="M300" s="49"/>
      <c r="N300" s="49"/>
      <c r="O300" s="49"/>
      <c r="P300" s="49"/>
      <c r="Q300" s="49"/>
      <c r="R300" s="49"/>
      <c r="S300" s="49"/>
      <c r="T300" s="49"/>
      <c r="U300" s="49"/>
      <c r="V300" s="49"/>
      <c r="W300" s="49"/>
      <c r="X300" s="49"/>
      <c r="Y300" s="49"/>
      <c r="Z300" s="49"/>
      <c r="AA300" s="49"/>
    </row>
    <row r="301" spans="1:27" x14ac:dyDescent="0.25">
      <c r="A301" s="207"/>
      <c r="B301" s="641"/>
      <c r="C301" s="711" t="s">
        <v>98</v>
      </c>
      <c r="D301" s="276" t="s">
        <v>98</v>
      </c>
      <c r="E301" s="191" t="s">
        <v>765</v>
      </c>
      <c r="F301" s="641" t="s">
        <v>602</v>
      </c>
      <c r="G301" s="307">
        <f>'Thông tin'!E60</f>
        <v>1.1000000000000001E-2</v>
      </c>
      <c r="H301" s="5"/>
      <c r="I301" s="198"/>
      <c r="J301" s="5">
        <f>(J299)*G301</f>
        <v>1899.2777100000003</v>
      </c>
      <c r="K301" s="49"/>
      <c r="L301" s="49"/>
      <c r="M301" s="49"/>
      <c r="N301" s="49"/>
      <c r="O301" s="49"/>
      <c r="P301" s="49"/>
      <c r="Q301" s="49"/>
      <c r="R301" s="49"/>
      <c r="S301" s="49"/>
      <c r="T301" s="49"/>
      <c r="U301" s="49"/>
      <c r="V301" s="49"/>
      <c r="W301" s="49"/>
      <c r="X301" s="49"/>
      <c r="Y301" s="49"/>
      <c r="Z301" s="49"/>
      <c r="AA301" s="49"/>
    </row>
    <row r="302" spans="1:27" ht="30" x14ac:dyDescent="0.25">
      <c r="A302" s="207"/>
      <c r="B302" s="641"/>
      <c r="C302" s="711" t="s">
        <v>98</v>
      </c>
      <c r="D302" s="276" t="s">
        <v>98</v>
      </c>
      <c r="E302" s="191" t="s">
        <v>457</v>
      </c>
      <c r="F302" s="641" t="s">
        <v>881</v>
      </c>
      <c r="G302" s="307">
        <f>'Thông tin'!E65</f>
        <v>2.5000000000000001E-2</v>
      </c>
      <c r="H302" s="5"/>
      <c r="I302" s="198"/>
      <c r="J302" s="5">
        <f>(J299)*G302</f>
        <v>4316.5402500000009</v>
      </c>
      <c r="K302" s="49"/>
      <c r="L302" s="49"/>
      <c r="M302" s="49"/>
      <c r="N302" s="49"/>
      <c r="O302" s="49"/>
      <c r="P302" s="49"/>
      <c r="Q302" s="49"/>
      <c r="R302" s="49"/>
      <c r="S302" s="49"/>
      <c r="T302" s="49"/>
      <c r="U302" s="49"/>
      <c r="V302" s="49"/>
      <c r="W302" s="49"/>
      <c r="X302" s="49"/>
      <c r="Y302" s="49"/>
      <c r="Z302" s="49"/>
      <c r="AA302" s="49"/>
    </row>
    <row r="303" spans="1:27" x14ac:dyDescent="0.25">
      <c r="A303" s="207"/>
      <c r="B303" s="641"/>
      <c r="C303" s="711" t="s">
        <v>98</v>
      </c>
      <c r="D303" s="276" t="s">
        <v>98</v>
      </c>
      <c r="E303" s="191" t="s">
        <v>1244</v>
      </c>
      <c r="F303" s="641" t="s">
        <v>1032</v>
      </c>
      <c r="G303" s="106"/>
      <c r="H303" s="5"/>
      <c r="I303" s="198"/>
      <c r="J303" s="5">
        <f>J300+J301+J302</f>
        <v>18820.11549</v>
      </c>
      <c r="K303" s="49"/>
      <c r="L303" s="49"/>
      <c r="M303" s="49"/>
      <c r="N303" s="49"/>
      <c r="O303" s="49"/>
      <c r="P303" s="49"/>
      <c r="Q303" s="49"/>
      <c r="R303" s="49"/>
      <c r="S303" s="49"/>
      <c r="T303" s="49"/>
      <c r="U303" s="49"/>
      <c r="V303" s="49"/>
      <c r="W303" s="49"/>
      <c r="X303" s="49"/>
      <c r="Y303" s="49"/>
      <c r="Z303" s="49"/>
      <c r="AA303" s="49"/>
    </row>
    <row r="304" spans="1:27" x14ac:dyDescent="0.25">
      <c r="A304" s="207"/>
      <c r="B304" s="641"/>
      <c r="C304" s="711" t="s">
        <v>98</v>
      </c>
      <c r="D304" s="276" t="s">
        <v>98</v>
      </c>
      <c r="E304" s="191" t="s">
        <v>990</v>
      </c>
      <c r="F304" s="641" t="s">
        <v>307</v>
      </c>
      <c r="G304" s="307">
        <f>'Thông tin'!E63</f>
        <v>5.5E-2</v>
      </c>
      <c r="H304" s="5"/>
      <c r="I304" s="198"/>
      <c r="J304" s="5">
        <f>(J299+J303)*G304</f>
        <v>10531.49490195</v>
      </c>
      <c r="K304" s="49"/>
      <c r="L304" s="49"/>
      <c r="M304" s="49"/>
      <c r="N304" s="49"/>
      <c r="O304" s="49"/>
      <c r="P304" s="49"/>
      <c r="Q304" s="49"/>
      <c r="R304" s="49"/>
      <c r="S304" s="49"/>
      <c r="T304" s="49"/>
      <c r="U304" s="49"/>
      <c r="V304" s="49"/>
      <c r="W304" s="49"/>
      <c r="X304" s="49"/>
      <c r="Y304" s="49"/>
      <c r="Z304" s="49"/>
      <c r="AA304" s="49"/>
    </row>
    <row r="305" spans="1:27" x14ac:dyDescent="0.25">
      <c r="A305" s="207"/>
      <c r="B305" s="641"/>
      <c r="C305" s="711" t="s">
        <v>98</v>
      </c>
      <c r="D305" s="276" t="s">
        <v>98</v>
      </c>
      <c r="E305" s="7" t="s">
        <v>142</v>
      </c>
      <c r="F305" s="499" t="s">
        <v>286</v>
      </c>
      <c r="G305" s="106"/>
      <c r="H305" s="5"/>
      <c r="I305" s="198"/>
      <c r="J305" s="620">
        <f>J299+J303+J304</f>
        <v>202013.22039195002</v>
      </c>
      <c r="K305" s="49"/>
      <c r="L305" s="49"/>
      <c r="M305" s="49"/>
      <c r="N305" s="49"/>
      <c r="O305" s="49"/>
      <c r="P305" s="49"/>
      <c r="Q305" s="49"/>
      <c r="R305" s="49"/>
      <c r="S305" s="49"/>
      <c r="T305" s="49"/>
      <c r="U305" s="49"/>
      <c r="V305" s="49"/>
      <c r="W305" s="49"/>
      <c r="X305" s="49"/>
      <c r="Y305" s="49"/>
      <c r="Z305" s="49"/>
      <c r="AA305" s="49"/>
    </row>
    <row r="306" spans="1:27" x14ac:dyDescent="0.25">
      <c r="A306" s="207"/>
      <c r="B306" s="641"/>
      <c r="C306" s="711" t="s">
        <v>98</v>
      </c>
      <c r="D306" s="276" t="s">
        <v>98</v>
      </c>
      <c r="E306" s="191" t="s">
        <v>762</v>
      </c>
      <c r="F306" s="641" t="s">
        <v>830</v>
      </c>
      <c r="G306" s="705">
        <f>'Thông tin'!E61</f>
        <v>0.08</v>
      </c>
      <c r="H306" s="5"/>
      <c r="I306" s="198"/>
      <c r="J306" s="5">
        <f>(J305)*G306</f>
        <v>16161.057631356001</v>
      </c>
      <c r="K306" s="49"/>
      <c r="L306" s="49"/>
      <c r="M306" s="49"/>
      <c r="N306" s="49"/>
      <c r="O306" s="49"/>
      <c r="P306" s="49"/>
      <c r="Q306" s="49"/>
      <c r="R306" s="49"/>
      <c r="S306" s="49"/>
      <c r="T306" s="49"/>
      <c r="U306" s="49"/>
      <c r="V306" s="49"/>
      <c r="W306" s="49"/>
      <c r="X306" s="49"/>
      <c r="Y306" s="49"/>
      <c r="Z306" s="49"/>
      <c r="AA306" s="49"/>
    </row>
    <row r="307" spans="1:27" x14ac:dyDescent="0.25">
      <c r="A307" s="122"/>
      <c r="B307" s="581"/>
      <c r="C307" s="636" t="s">
        <v>98</v>
      </c>
      <c r="D307" s="196" t="s">
        <v>98</v>
      </c>
      <c r="E307" s="728" t="s">
        <v>953</v>
      </c>
      <c r="F307" s="429" t="s">
        <v>1108</v>
      </c>
      <c r="G307" s="29"/>
      <c r="H307" s="704"/>
      <c r="I307" s="113"/>
      <c r="J307" s="657">
        <f>J305+J306</f>
        <v>218174.27802330602</v>
      </c>
      <c r="K307" s="49"/>
      <c r="L307" s="49"/>
      <c r="M307" s="49"/>
      <c r="N307" s="49"/>
      <c r="O307" s="49"/>
      <c r="P307" s="49"/>
      <c r="Q307" s="49"/>
      <c r="R307" s="49"/>
      <c r="S307" s="49"/>
      <c r="T307" s="49"/>
      <c r="U307" s="49"/>
      <c r="V307" s="49"/>
      <c r="W307" s="49"/>
      <c r="X307" s="49"/>
      <c r="Y307" s="49"/>
      <c r="Z307" s="49"/>
      <c r="AA307" s="49"/>
    </row>
    <row r="308" spans="1:27" ht="30" x14ac:dyDescent="0.25">
      <c r="A308" s="458"/>
      <c r="B308" s="130">
        <v>16</v>
      </c>
      <c r="C308" s="234" t="str">
        <f>'Du toan chi tiet'!C24</f>
        <v>AK.91141vd</v>
      </c>
      <c r="D308" s="234" t="str">
        <f>'Du toan chi tiet'!C24</f>
        <v>AK.91141vd</v>
      </c>
      <c r="E308" s="730" t="str">
        <f>'Du toan chi tiet'!D24</f>
        <v>Sơn kẻ đường bằng sơn dẻo nhiệt phản quang, dày sơn 6mm</v>
      </c>
      <c r="F308" s="130" t="str">
        <f>'Du toan chi tiet'!E24</f>
        <v>m2</v>
      </c>
      <c r="G308" s="664"/>
      <c r="H308" s="282"/>
      <c r="I308" s="450"/>
      <c r="J308" s="282"/>
      <c r="K308" s="49"/>
      <c r="L308" s="49"/>
      <c r="M308" s="49"/>
      <c r="N308" s="49"/>
      <c r="O308" s="49"/>
      <c r="P308" s="49"/>
      <c r="Q308" s="49"/>
      <c r="R308" s="49"/>
      <c r="S308" s="49"/>
      <c r="T308" s="49"/>
      <c r="U308" s="49"/>
      <c r="V308" s="49"/>
      <c r="W308" s="49"/>
      <c r="X308" s="49"/>
      <c r="Y308" s="49"/>
      <c r="Z308" s="49"/>
      <c r="AA308" s="49"/>
    </row>
    <row r="309" spans="1:27" x14ac:dyDescent="0.25">
      <c r="A309" s="261"/>
      <c r="B309" s="690"/>
      <c r="C309" s="745" t="s">
        <v>98</v>
      </c>
      <c r="D309" s="745" t="s">
        <v>98</v>
      </c>
      <c r="E309" s="247" t="s">
        <v>547</v>
      </c>
      <c r="F309" s="690" t="s">
        <v>962</v>
      </c>
      <c r="G309" s="133"/>
      <c r="H309" s="44"/>
      <c r="I309" s="233"/>
      <c r="J309" s="44">
        <f>SUM(J310:J313)</f>
        <v>482371.54560000001</v>
      </c>
      <c r="K309" s="49"/>
      <c r="L309" s="49"/>
      <c r="M309" s="49"/>
      <c r="N309" s="49"/>
      <c r="O309" s="49"/>
      <c r="P309" s="49"/>
      <c r="Q309" s="49"/>
      <c r="R309" s="49"/>
      <c r="S309" s="49"/>
      <c r="T309" s="49"/>
      <c r="U309" s="49"/>
      <c r="V309" s="49"/>
      <c r="W309" s="49"/>
      <c r="X309" s="49"/>
      <c r="Y309" s="49"/>
      <c r="Z309" s="49"/>
      <c r="AA309" s="49"/>
    </row>
    <row r="310" spans="1:27" x14ac:dyDescent="0.25">
      <c r="A310" s="207"/>
      <c r="B310" s="641"/>
      <c r="C310" s="711" t="s">
        <v>98</v>
      </c>
      <c r="D310" s="276" t="s">
        <v>1210</v>
      </c>
      <c r="E310" s="191" t="str">
        <f>" - " &amp; 'Giá VL'!E26</f>
        <v xml:space="preserve"> - Sơn dẻo nhiệt màu vàng</v>
      </c>
      <c r="F310" s="641" t="str">
        <f>'Giá VL'!F26</f>
        <v>kg</v>
      </c>
      <c r="G310" s="67">
        <f>'Phan tich don gia'!G128</f>
        <v>15.74</v>
      </c>
      <c r="H310" s="5">
        <f>'Giá VL'!V26</f>
        <v>28000</v>
      </c>
      <c r="I310" s="198">
        <f>'Du toan chi tiet'!V24</f>
        <v>1</v>
      </c>
      <c r="J310" s="5">
        <f t="shared" ref="J310:J313" si="17">PRODUCT(G310,H310,I310)</f>
        <v>440720</v>
      </c>
      <c r="K310" s="49"/>
      <c r="L310" s="49"/>
      <c r="M310" s="49"/>
      <c r="N310" s="49"/>
      <c r="O310" s="49"/>
      <c r="P310" s="49"/>
      <c r="Q310" s="49"/>
      <c r="R310" s="49"/>
      <c r="S310" s="49"/>
      <c r="T310" s="49"/>
      <c r="U310" s="49"/>
      <c r="V310" s="49"/>
      <c r="W310" s="49"/>
      <c r="X310" s="49"/>
      <c r="Y310" s="49"/>
      <c r="Z310" s="49"/>
      <c r="AA310" s="49"/>
    </row>
    <row r="311" spans="1:27" x14ac:dyDescent="0.25">
      <c r="A311" s="207"/>
      <c r="B311" s="641"/>
      <c r="C311" s="711" t="s">
        <v>98</v>
      </c>
      <c r="D311" s="276" t="s">
        <v>340</v>
      </c>
      <c r="E311" s="191" t="str">
        <f>" - " &amp; 'Giá VL'!E27</f>
        <v xml:space="preserve"> - Sơn lót</v>
      </c>
      <c r="F311" s="641" t="str">
        <f>'Giá VL'!F27</f>
        <v>kg</v>
      </c>
      <c r="G311" s="67">
        <f>'Phan tich don gia'!G129</f>
        <v>0.25</v>
      </c>
      <c r="H311" s="5">
        <f>'Giá VL'!V27</f>
        <v>89500</v>
      </c>
      <c r="I311" s="198">
        <f>'Du toan chi tiet'!V24</f>
        <v>1</v>
      </c>
      <c r="J311" s="5">
        <f t="shared" si="17"/>
        <v>22375</v>
      </c>
      <c r="K311" s="49"/>
      <c r="L311" s="49"/>
      <c r="M311" s="49"/>
      <c r="N311" s="49"/>
      <c r="O311" s="49"/>
      <c r="P311" s="49"/>
      <c r="Q311" s="49"/>
      <c r="R311" s="49"/>
      <c r="S311" s="49"/>
      <c r="T311" s="49"/>
      <c r="U311" s="49"/>
      <c r="V311" s="49"/>
      <c r="W311" s="49"/>
      <c r="X311" s="49"/>
      <c r="Y311" s="49"/>
      <c r="Z311" s="49"/>
      <c r="AA311" s="49"/>
    </row>
    <row r="312" spans="1:27" x14ac:dyDescent="0.25">
      <c r="A312" s="207"/>
      <c r="B312" s="641"/>
      <c r="C312" s="711" t="s">
        <v>98</v>
      </c>
      <c r="D312" s="276" t="s">
        <v>894</v>
      </c>
      <c r="E312" s="191" t="str">
        <f>" - " &amp; 'Giá VL'!E15</f>
        <v xml:space="preserve"> - Khí gas</v>
      </c>
      <c r="F312" s="641" t="str">
        <f>'Giá VL'!F15</f>
        <v>kg</v>
      </c>
      <c r="G312" s="67">
        <f>'Phan tich don gia'!G130</f>
        <v>0.36</v>
      </c>
      <c r="H312" s="5">
        <f>'Giá VL'!V15</f>
        <v>27273</v>
      </c>
      <c r="I312" s="198">
        <f>'Du toan chi tiet'!V24</f>
        <v>1</v>
      </c>
      <c r="J312" s="5">
        <f t="shared" si="17"/>
        <v>9818.2799999999988</v>
      </c>
      <c r="K312" s="49"/>
      <c r="L312" s="49"/>
      <c r="M312" s="49"/>
      <c r="N312" s="49"/>
      <c r="O312" s="49"/>
      <c r="P312" s="49"/>
      <c r="Q312" s="49"/>
      <c r="R312" s="49"/>
      <c r="S312" s="49"/>
      <c r="T312" s="49"/>
      <c r="U312" s="49"/>
      <c r="V312" s="49"/>
      <c r="W312" s="49"/>
      <c r="X312" s="49"/>
      <c r="Y312" s="49"/>
      <c r="Z312" s="49"/>
      <c r="AA312" s="49"/>
    </row>
    <row r="313" spans="1:27" x14ac:dyDescent="0.25">
      <c r="A313" s="207"/>
      <c r="B313" s="641"/>
      <c r="C313" s="711" t="s">
        <v>98</v>
      </c>
      <c r="D313" s="276" t="s">
        <v>667</v>
      </c>
      <c r="E313" s="191" t="s">
        <v>238</v>
      </c>
      <c r="F313" s="641" t="s">
        <v>1113</v>
      </c>
      <c r="G313" s="67">
        <f>'Phan tich don gia'!G131</f>
        <v>2</v>
      </c>
      <c r="H313" s="5">
        <f>IF('Du toan chi tiet'!V24&lt;&gt;0,SUM(J310:J312)/100/'Du toan chi tiet'!V24,0)</f>
        <v>4729.1328000000003</v>
      </c>
      <c r="I313" s="198">
        <f>'Du toan chi tiet'!V24</f>
        <v>1</v>
      </c>
      <c r="J313" s="5">
        <f t="shared" si="17"/>
        <v>9458.2656000000006</v>
      </c>
      <c r="K313" s="49"/>
      <c r="L313" s="49"/>
      <c r="M313" s="49"/>
      <c r="N313" s="49"/>
      <c r="O313" s="49"/>
      <c r="P313" s="49"/>
      <c r="Q313" s="49"/>
      <c r="R313" s="49"/>
      <c r="S313" s="49"/>
      <c r="T313" s="49"/>
      <c r="U313" s="49"/>
      <c r="V313" s="49"/>
      <c r="W313" s="49"/>
      <c r="X313" s="49"/>
      <c r="Y313" s="49"/>
      <c r="Z313" s="49"/>
      <c r="AA313" s="49"/>
    </row>
    <row r="314" spans="1:27" x14ac:dyDescent="0.25">
      <c r="A314" s="261"/>
      <c r="B314" s="690"/>
      <c r="C314" s="745" t="s">
        <v>98</v>
      </c>
      <c r="D314" s="745" t="s">
        <v>98</v>
      </c>
      <c r="E314" s="247" t="s">
        <v>301</v>
      </c>
      <c r="F314" s="690" t="s">
        <v>1018</v>
      </c>
      <c r="G314" s="133"/>
      <c r="H314" s="44"/>
      <c r="I314" s="233"/>
      <c r="J314" s="44">
        <f>SUM(J315:J315)</f>
        <v>65572</v>
      </c>
      <c r="K314" s="49"/>
      <c r="L314" s="49"/>
      <c r="M314" s="49"/>
      <c r="N314" s="49"/>
      <c r="O314" s="49"/>
      <c r="P314" s="49"/>
      <c r="Q314" s="49"/>
      <c r="R314" s="49"/>
      <c r="S314" s="49"/>
      <c r="T314" s="49"/>
      <c r="U314" s="49"/>
      <c r="V314" s="49"/>
      <c r="W314" s="49"/>
      <c r="X314" s="49"/>
      <c r="Y314" s="49"/>
      <c r="Z314" s="49"/>
      <c r="AA314" s="49"/>
    </row>
    <row r="315" spans="1:27" x14ac:dyDescent="0.25">
      <c r="A315" s="207"/>
      <c r="B315" s="641"/>
      <c r="C315" s="711" t="s">
        <v>98</v>
      </c>
      <c r="D315" s="276" t="s">
        <v>706</v>
      </c>
      <c r="E315" s="191" t="str">
        <f>" - " &amp; 'Giá NC'!E8</f>
        <v xml:space="preserve"> - Nhân công bậc 3,5/7 - Nhóm 2</v>
      </c>
      <c r="F315" s="641" t="str">
        <f>'Giá NC'!F8</f>
        <v>công</v>
      </c>
      <c r="G315" s="67">
        <f>'Phan tich don gia'!G133</f>
        <v>0.26</v>
      </c>
      <c r="H315" s="5">
        <f>'Giá NC'!K8</f>
        <v>252200</v>
      </c>
      <c r="I315" s="198">
        <f>'Du toan chi tiet'!W24</f>
        <v>1</v>
      </c>
      <c r="J315" s="5">
        <f>PRODUCT(G315,H315,I315)</f>
        <v>65572</v>
      </c>
      <c r="K315" s="49"/>
      <c r="L315" s="49"/>
      <c r="M315" s="49"/>
      <c r="N315" s="49"/>
      <c r="O315" s="49"/>
      <c r="P315" s="49"/>
      <c r="Q315" s="49"/>
      <c r="R315" s="49"/>
      <c r="S315" s="49"/>
      <c r="T315" s="49"/>
      <c r="U315" s="49"/>
      <c r="V315" s="49"/>
      <c r="W315" s="49"/>
      <c r="X315" s="49"/>
      <c r="Y315" s="49"/>
      <c r="Z315" s="49"/>
      <c r="AA315" s="49"/>
    </row>
    <row r="316" spans="1:27" x14ac:dyDescent="0.25">
      <c r="A316" s="261"/>
      <c r="B316" s="690"/>
      <c r="C316" s="745" t="s">
        <v>98</v>
      </c>
      <c r="D316" s="745" t="s">
        <v>98</v>
      </c>
      <c r="E316" s="247" t="s">
        <v>1175</v>
      </c>
      <c r="F316" s="690" t="s">
        <v>138</v>
      </c>
      <c r="G316" s="133"/>
      <c r="H316" s="44"/>
      <c r="I316" s="233"/>
      <c r="J316" s="44">
        <f>SUM(J317:J321)</f>
        <v>153139.65391999998</v>
      </c>
      <c r="K316" s="49"/>
      <c r="L316" s="49"/>
      <c r="M316" s="49"/>
      <c r="N316" s="49"/>
      <c r="O316" s="49"/>
      <c r="P316" s="49"/>
      <c r="Q316" s="49"/>
      <c r="R316" s="49"/>
      <c r="S316" s="49"/>
      <c r="T316" s="49"/>
      <c r="U316" s="49"/>
      <c r="V316" s="49"/>
      <c r="W316" s="49"/>
      <c r="X316" s="49"/>
      <c r="Y316" s="49"/>
      <c r="Z316" s="49"/>
      <c r="AA316" s="49"/>
    </row>
    <row r="317" spans="1:27" x14ac:dyDescent="0.25">
      <c r="A317" s="207"/>
      <c r="B317" s="641"/>
      <c r="C317" s="711" t="s">
        <v>98</v>
      </c>
      <c r="D317" s="276" t="s">
        <v>995</v>
      </c>
      <c r="E317" s="191" t="str">
        <f>" - " &amp; 'Giá Máy'!E24</f>
        <v xml:space="preserve"> - Thiết bị sơn kẻ vạch YHK 10A</v>
      </c>
      <c r="F317" s="641" t="str">
        <f>'Giá Máy'!F24</f>
        <v>ca</v>
      </c>
      <c r="G317" s="67">
        <f>'Phan tich don gia'!G135</f>
        <v>0.08</v>
      </c>
      <c r="H317" s="5">
        <f>'Giá Máy'!J24</f>
        <v>366617</v>
      </c>
      <c r="I317" s="198">
        <f>'Du toan chi tiet'!X24</f>
        <v>1</v>
      </c>
      <c r="J317" s="5">
        <f t="shared" ref="J317:J320" si="18">PRODUCT(G317,H317,I317)</f>
        <v>29329.360000000001</v>
      </c>
      <c r="K317" s="49"/>
      <c r="L317" s="49"/>
      <c r="M317" s="49"/>
      <c r="N317" s="49"/>
      <c r="O317" s="49"/>
      <c r="P317" s="49"/>
      <c r="Q317" s="49"/>
      <c r="R317" s="49"/>
      <c r="S317" s="49"/>
      <c r="T317" s="49"/>
      <c r="U317" s="49"/>
      <c r="V317" s="49"/>
      <c r="W317" s="49"/>
      <c r="X317" s="49"/>
      <c r="Y317" s="49"/>
      <c r="Z317" s="49"/>
      <c r="AA317" s="49"/>
    </row>
    <row r="318" spans="1:27" x14ac:dyDescent="0.25">
      <c r="A318" s="207"/>
      <c r="B318" s="641"/>
      <c r="C318" s="711" t="s">
        <v>98</v>
      </c>
      <c r="D318" s="276" t="s">
        <v>1101</v>
      </c>
      <c r="E318" s="191" t="str">
        <f>" - " &amp; 'Giá Máy'!E6</f>
        <v xml:space="preserve"> - Lò nấu sơn YHK 3A</v>
      </c>
      <c r="F318" s="641" t="str">
        <f>'Giá Máy'!F6</f>
        <v>ca</v>
      </c>
      <c r="G318" s="67">
        <f>'Phan tich don gia'!G136</f>
        <v>0.08</v>
      </c>
      <c r="H318" s="5">
        <f>'Giá Máy'!J6</f>
        <v>908184.5</v>
      </c>
      <c r="I318" s="198">
        <f>'Du toan chi tiet'!X24</f>
        <v>1</v>
      </c>
      <c r="J318" s="5">
        <f t="shared" si="18"/>
        <v>72654.759999999995</v>
      </c>
      <c r="K318" s="49"/>
      <c r="L318" s="49"/>
      <c r="M318" s="49"/>
      <c r="N318" s="49"/>
      <c r="O318" s="49"/>
      <c r="P318" s="49"/>
      <c r="Q318" s="49"/>
      <c r="R318" s="49"/>
      <c r="S318" s="49"/>
      <c r="T318" s="49"/>
      <c r="U318" s="49"/>
      <c r="V318" s="49"/>
      <c r="W318" s="49"/>
      <c r="X318" s="49"/>
      <c r="Y318" s="49"/>
      <c r="Z318" s="49"/>
      <c r="AA318" s="49"/>
    </row>
    <row r="319" spans="1:27" x14ac:dyDescent="0.25">
      <c r="A319" s="207"/>
      <c r="B319" s="641"/>
      <c r="C319" s="711" t="s">
        <v>98</v>
      </c>
      <c r="D319" s="276" t="s">
        <v>1060</v>
      </c>
      <c r="E319" s="191" t="str">
        <f>" - " &amp; 'Giá Máy'!E22</f>
        <v xml:space="preserve"> - Ô tô vận tải thùng 2,5T</v>
      </c>
      <c r="F319" s="641" t="str">
        <f>'Giá Máy'!F22</f>
        <v>ca</v>
      </c>
      <c r="G319" s="67">
        <f>'Phan tich don gia'!G137</f>
        <v>6.4000000000000001E-2</v>
      </c>
      <c r="H319" s="5">
        <f>'Giá Máy'!J22</f>
        <v>752384</v>
      </c>
      <c r="I319" s="198">
        <f>'Du toan chi tiet'!X24</f>
        <v>1</v>
      </c>
      <c r="J319" s="5">
        <f t="shared" si="18"/>
        <v>48152.576000000001</v>
      </c>
      <c r="K319" s="49"/>
      <c r="L319" s="49"/>
      <c r="M319" s="49"/>
      <c r="N319" s="49"/>
      <c r="O319" s="49"/>
      <c r="P319" s="49"/>
      <c r="Q319" s="49"/>
      <c r="R319" s="49"/>
      <c r="S319" s="49"/>
      <c r="T319" s="49"/>
      <c r="U319" s="49"/>
      <c r="V319" s="49"/>
      <c r="W319" s="49"/>
      <c r="X319" s="49"/>
      <c r="Y319" s="49"/>
      <c r="Z319" s="49"/>
      <c r="AA319" s="49"/>
    </row>
    <row r="320" spans="1:27" x14ac:dyDescent="0.25">
      <c r="A320" s="207"/>
      <c r="B320" s="641"/>
      <c r="C320" s="711" t="s">
        <v>98</v>
      </c>
      <c r="D320" s="276" t="s">
        <v>1162</v>
      </c>
      <c r="E320" s="191" t="s">
        <v>1080</v>
      </c>
      <c r="F320" s="641" t="s">
        <v>1113</v>
      </c>
      <c r="G320" s="67">
        <f>'Phan tich don gia'!G138</f>
        <v>2</v>
      </c>
      <c r="H320" s="5">
        <f>IF('Du toan chi tiet'!X24&lt;&gt;0,SUM(J317:J319)/100/'Du toan chi tiet'!X24,0)</f>
        <v>1501.3669600000001</v>
      </c>
      <c r="I320" s="198">
        <f>'Du toan chi tiet'!X24</f>
        <v>1</v>
      </c>
      <c r="J320" s="5">
        <f t="shared" si="18"/>
        <v>3002.7339200000001</v>
      </c>
      <c r="K320" s="49"/>
      <c r="L320" s="49"/>
      <c r="M320" s="49"/>
      <c r="N320" s="49"/>
      <c r="O320" s="49"/>
      <c r="P320" s="49"/>
      <c r="Q320" s="49"/>
      <c r="R320" s="49"/>
      <c r="S320" s="49"/>
      <c r="T320" s="49"/>
      <c r="U320" s="49"/>
      <c r="V320" s="49"/>
      <c r="W320" s="49"/>
      <c r="X320" s="49"/>
      <c r="Y320" s="49"/>
      <c r="Z320" s="49"/>
      <c r="AA320" s="49"/>
    </row>
    <row r="321" spans="1:27" x14ac:dyDescent="0.25">
      <c r="A321" s="207"/>
      <c r="B321" s="641"/>
      <c r="C321" s="711" t="s">
        <v>98</v>
      </c>
      <c r="D321" s="276" t="s">
        <v>98</v>
      </c>
      <c r="E321" s="191" t="s">
        <v>1230</v>
      </c>
      <c r="F321" s="641"/>
      <c r="G321" s="106"/>
      <c r="H321" s="5"/>
      <c r="I321" s="198"/>
      <c r="J321" s="5">
        <f>SUM(J322:J323)+PRODUCT(G320,I320,THM!X103-THM!R103)</f>
        <v>0.224</v>
      </c>
      <c r="K321" s="49"/>
      <c r="L321" s="49"/>
      <c r="M321" s="49"/>
      <c r="N321" s="49"/>
      <c r="O321" s="49"/>
      <c r="P321" s="49"/>
      <c r="Q321" s="49"/>
      <c r="R321" s="49"/>
      <c r="S321" s="49"/>
      <c r="T321" s="49"/>
      <c r="U321" s="49"/>
      <c r="V321" s="49"/>
      <c r="W321" s="49"/>
      <c r="X321" s="49"/>
      <c r="Y321" s="49"/>
      <c r="Z321" s="49"/>
      <c r="AA321" s="49"/>
    </row>
    <row r="322" spans="1:27" x14ac:dyDescent="0.25">
      <c r="A322" s="207"/>
      <c r="B322" s="641"/>
      <c r="C322" s="711" t="s">
        <v>98</v>
      </c>
      <c r="D322" s="276" t="s">
        <v>98</v>
      </c>
      <c r="E322" s="191" t="s">
        <v>52</v>
      </c>
      <c r="F322" s="641"/>
      <c r="G322" s="106"/>
      <c r="H322" s="5"/>
      <c r="I322" s="198"/>
      <c r="J322" s="5">
        <f>PRODUCT(G317,I317,'Giá Máy'!L24)+PRODUCT(G318,I318,'Giá Máy'!L6)+PRODUCT(G319,I319,'Giá Máy'!L22)</f>
        <v>0</v>
      </c>
      <c r="K322" s="49"/>
      <c r="L322" s="49"/>
      <c r="M322" s="49"/>
      <c r="N322" s="49"/>
      <c r="O322" s="49"/>
      <c r="P322" s="49"/>
      <c r="Q322" s="49"/>
      <c r="R322" s="49"/>
      <c r="S322" s="49"/>
      <c r="T322" s="49"/>
      <c r="U322" s="49"/>
      <c r="V322" s="49"/>
      <c r="W322" s="49"/>
      <c r="X322" s="49"/>
      <c r="Y322" s="49"/>
      <c r="Z322" s="49"/>
      <c r="AA322" s="49"/>
    </row>
    <row r="323" spans="1:27" x14ac:dyDescent="0.25">
      <c r="A323" s="207"/>
      <c r="B323" s="641"/>
      <c r="C323" s="711" t="s">
        <v>98</v>
      </c>
      <c r="D323" s="276" t="s">
        <v>98</v>
      </c>
      <c r="E323" s="191" t="s">
        <v>597</v>
      </c>
      <c r="F323" s="641"/>
      <c r="G323" s="106"/>
      <c r="H323" s="5"/>
      <c r="I323" s="198"/>
      <c r="J323" s="5">
        <f>PRODUCT(G317,I317,'Giá Máy'!M24)+PRODUCT(G318,I318,'Giá Máy'!M6)+PRODUCT(G319,I319,'Giá Máy'!M22)</f>
        <v>0.224</v>
      </c>
      <c r="K323" s="49"/>
      <c r="L323" s="49"/>
      <c r="M323" s="49"/>
      <c r="N323" s="49"/>
      <c r="O323" s="49"/>
      <c r="P323" s="49"/>
      <c r="Q323" s="49"/>
      <c r="R323" s="49"/>
      <c r="S323" s="49"/>
      <c r="T323" s="49"/>
      <c r="U323" s="49"/>
      <c r="V323" s="49"/>
      <c r="W323" s="49"/>
      <c r="X323" s="49"/>
      <c r="Y323" s="49"/>
      <c r="Z323" s="49"/>
      <c r="AA323" s="49"/>
    </row>
    <row r="324" spans="1:27" x14ac:dyDescent="0.25">
      <c r="A324" s="207"/>
      <c r="B324" s="641"/>
      <c r="C324" s="711" t="s">
        <v>98</v>
      </c>
      <c r="D324" s="276" t="s">
        <v>98</v>
      </c>
      <c r="E324" s="191" t="s">
        <v>599</v>
      </c>
      <c r="F324" s="641" t="s">
        <v>356</v>
      </c>
      <c r="G324" s="106"/>
      <c r="H324" s="5"/>
      <c r="I324" s="198"/>
      <c r="J324" s="5">
        <f>J309+J314+J316</f>
        <v>701083.19952000002</v>
      </c>
      <c r="K324" s="49"/>
      <c r="L324" s="49"/>
      <c r="M324" s="49"/>
      <c r="N324" s="49"/>
      <c r="O324" s="49"/>
      <c r="P324" s="49"/>
      <c r="Q324" s="49"/>
      <c r="R324" s="49"/>
      <c r="S324" s="49"/>
      <c r="T324" s="49"/>
      <c r="U324" s="49"/>
      <c r="V324" s="49"/>
      <c r="W324" s="49"/>
      <c r="X324" s="49"/>
      <c r="Y324" s="49"/>
      <c r="Z324" s="49"/>
      <c r="AA324" s="49"/>
    </row>
    <row r="325" spans="1:27" x14ac:dyDescent="0.25">
      <c r="A325" s="207"/>
      <c r="B325" s="641"/>
      <c r="C325" s="711" t="s">
        <v>98</v>
      </c>
      <c r="D325" s="276" t="s">
        <v>98</v>
      </c>
      <c r="E325" s="191" t="s">
        <v>265</v>
      </c>
      <c r="F325" s="641" t="s">
        <v>653</v>
      </c>
      <c r="G325" s="307">
        <f>'Thông tin'!E67</f>
        <v>7.2999999999999995E-2</v>
      </c>
      <c r="H325" s="5"/>
      <c r="I325" s="198"/>
      <c r="J325" s="5">
        <f>(J324)*G325</f>
        <v>51179.073564959996</v>
      </c>
      <c r="K325" s="49"/>
      <c r="L325" s="49"/>
      <c r="M325" s="49"/>
      <c r="N325" s="49"/>
      <c r="O325" s="49"/>
      <c r="P325" s="49"/>
      <c r="Q325" s="49"/>
      <c r="R325" s="49"/>
      <c r="S325" s="49"/>
      <c r="T325" s="49"/>
      <c r="U325" s="49"/>
      <c r="V325" s="49"/>
      <c r="W325" s="49"/>
      <c r="X325" s="49"/>
      <c r="Y325" s="49"/>
      <c r="Z325" s="49"/>
      <c r="AA325" s="49"/>
    </row>
    <row r="326" spans="1:27" x14ac:dyDescent="0.25">
      <c r="A326" s="207"/>
      <c r="B326" s="641"/>
      <c r="C326" s="711" t="s">
        <v>98</v>
      </c>
      <c r="D326" s="276" t="s">
        <v>98</v>
      </c>
      <c r="E326" s="191" t="s">
        <v>765</v>
      </c>
      <c r="F326" s="641" t="s">
        <v>602</v>
      </c>
      <c r="G326" s="307">
        <f>'Thông tin'!E60</f>
        <v>1.1000000000000001E-2</v>
      </c>
      <c r="H326" s="5"/>
      <c r="I326" s="198"/>
      <c r="J326" s="5">
        <f>(J324)*G326</f>
        <v>7711.9151947200007</v>
      </c>
      <c r="K326" s="49"/>
      <c r="L326" s="49"/>
      <c r="M326" s="49"/>
      <c r="N326" s="49"/>
      <c r="O326" s="49"/>
      <c r="P326" s="49"/>
      <c r="Q326" s="49"/>
      <c r="R326" s="49"/>
      <c r="S326" s="49"/>
      <c r="T326" s="49"/>
      <c r="U326" s="49"/>
      <c r="V326" s="49"/>
      <c r="W326" s="49"/>
      <c r="X326" s="49"/>
      <c r="Y326" s="49"/>
      <c r="Z326" s="49"/>
      <c r="AA326" s="49"/>
    </row>
    <row r="327" spans="1:27" ht="30" x14ac:dyDescent="0.25">
      <c r="A327" s="207"/>
      <c r="B327" s="641"/>
      <c r="C327" s="711" t="s">
        <v>98</v>
      </c>
      <c r="D327" s="276" t="s">
        <v>98</v>
      </c>
      <c r="E327" s="191" t="s">
        <v>457</v>
      </c>
      <c r="F327" s="641" t="s">
        <v>881</v>
      </c>
      <c r="G327" s="307">
        <f>'Thông tin'!E65</f>
        <v>2.5000000000000001E-2</v>
      </c>
      <c r="H327" s="5"/>
      <c r="I327" s="198"/>
      <c r="J327" s="5">
        <f>(J324)*G327</f>
        <v>17527.079988000001</v>
      </c>
      <c r="K327" s="49"/>
      <c r="L327" s="49"/>
      <c r="M327" s="49"/>
      <c r="N327" s="49"/>
      <c r="O327" s="49"/>
      <c r="P327" s="49"/>
      <c r="Q327" s="49"/>
      <c r="R327" s="49"/>
      <c r="S327" s="49"/>
      <c r="T327" s="49"/>
      <c r="U327" s="49"/>
      <c r="V327" s="49"/>
      <c r="W327" s="49"/>
      <c r="X327" s="49"/>
      <c r="Y327" s="49"/>
      <c r="Z327" s="49"/>
      <c r="AA327" s="49"/>
    </row>
    <row r="328" spans="1:27" x14ac:dyDescent="0.25">
      <c r="A328" s="207"/>
      <c r="B328" s="641"/>
      <c r="C328" s="711" t="s">
        <v>98</v>
      </c>
      <c r="D328" s="276" t="s">
        <v>98</v>
      </c>
      <c r="E328" s="191" t="s">
        <v>1244</v>
      </c>
      <c r="F328" s="641" t="s">
        <v>1032</v>
      </c>
      <c r="G328" s="106"/>
      <c r="H328" s="5"/>
      <c r="I328" s="198"/>
      <c r="J328" s="5">
        <f>J325+J326+J327</f>
        <v>76418.068747679994</v>
      </c>
      <c r="K328" s="49"/>
      <c r="L328" s="49"/>
      <c r="M328" s="49"/>
      <c r="N328" s="49"/>
      <c r="O328" s="49"/>
      <c r="P328" s="49"/>
      <c r="Q328" s="49"/>
      <c r="R328" s="49"/>
      <c r="S328" s="49"/>
      <c r="T328" s="49"/>
      <c r="U328" s="49"/>
      <c r="V328" s="49"/>
      <c r="W328" s="49"/>
      <c r="X328" s="49"/>
      <c r="Y328" s="49"/>
      <c r="Z328" s="49"/>
      <c r="AA328" s="49"/>
    </row>
    <row r="329" spans="1:27" x14ac:dyDescent="0.25">
      <c r="A329" s="207"/>
      <c r="B329" s="641"/>
      <c r="C329" s="711" t="s">
        <v>98</v>
      </c>
      <c r="D329" s="276" t="s">
        <v>98</v>
      </c>
      <c r="E329" s="191" t="s">
        <v>990</v>
      </c>
      <c r="F329" s="641" t="s">
        <v>307</v>
      </c>
      <c r="G329" s="307">
        <f>'Thông tin'!E63</f>
        <v>5.5E-2</v>
      </c>
      <c r="H329" s="5"/>
      <c r="I329" s="198"/>
      <c r="J329" s="5">
        <f>(J324+J328)*G329</f>
        <v>42762.569754722397</v>
      </c>
      <c r="K329" s="49"/>
      <c r="L329" s="49"/>
      <c r="M329" s="49"/>
      <c r="N329" s="49"/>
      <c r="O329" s="49"/>
      <c r="P329" s="49"/>
      <c r="Q329" s="49"/>
      <c r="R329" s="49"/>
      <c r="S329" s="49"/>
      <c r="T329" s="49"/>
      <c r="U329" s="49"/>
      <c r="V329" s="49"/>
      <c r="W329" s="49"/>
      <c r="X329" s="49"/>
      <c r="Y329" s="49"/>
      <c r="Z329" s="49"/>
      <c r="AA329" s="49"/>
    </row>
    <row r="330" spans="1:27" x14ac:dyDescent="0.25">
      <c r="A330" s="207"/>
      <c r="B330" s="641"/>
      <c r="C330" s="711" t="s">
        <v>98</v>
      </c>
      <c r="D330" s="276" t="s">
        <v>98</v>
      </c>
      <c r="E330" s="7" t="s">
        <v>142</v>
      </c>
      <c r="F330" s="499" t="s">
        <v>286</v>
      </c>
      <c r="G330" s="106"/>
      <c r="H330" s="5"/>
      <c r="I330" s="198"/>
      <c r="J330" s="620">
        <f>J324+J328+J329</f>
        <v>820263.83802240237</v>
      </c>
      <c r="K330" s="49"/>
      <c r="L330" s="49"/>
      <c r="M330" s="49"/>
      <c r="N330" s="49"/>
      <c r="O330" s="49"/>
      <c r="P330" s="49"/>
      <c r="Q330" s="49"/>
      <c r="R330" s="49"/>
      <c r="S330" s="49"/>
      <c r="T330" s="49"/>
      <c r="U330" s="49"/>
      <c r="V330" s="49"/>
      <c r="W330" s="49"/>
      <c r="X330" s="49"/>
      <c r="Y330" s="49"/>
      <c r="Z330" s="49"/>
      <c r="AA330" s="49"/>
    </row>
    <row r="331" spans="1:27" x14ac:dyDescent="0.25">
      <c r="A331" s="207"/>
      <c r="B331" s="641"/>
      <c r="C331" s="711" t="s">
        <v>98</v>
      </c>
      <c r="D331" s="276" t="s">
        <v>98</v>
      </c>
      <c r="E331" s="191" t="s">
        <v>762</v>
      </c>
      <c r="F331" s="641" t="s">
        <v>830</v>
      </c>
      <c r="G331" s="705">
        <f>'Thông tin'!E61</f>
        <v>0.08</v>
      </c>
      <c r="H331" s="5"/>
      <c r="I331" s="198"/>
      <c r="J331" s="5">
        <f>(J330)*G331</f>
        <v>65621.107041792187</v>
      </c>
      <c r="K331" s="49"/>
      <c r="L331" s="49"/>
      <c r="M331" s="49"/>
      <c r="N331" s="49"/>
      <c r="O331" s="49"/>
      <c r="P331" s="49"/>
      <c r="Q331" s="49"/>
      <c r="R331" s="49"/>
      <c r="S331" s="49"/>
      <c r="T331" s="49"/>
      <c r="U331" s="49"/>
      <c r="V331" s="49"/>
      <c r="W331" s="49"/>
      <c r="X331" s="49"/>
      <c r="Y331" s="49"/>
      <c r="Z331" s="49"/>
      <c r="AA331" s="49"/>
    </row>
    <row r="332" spans="1:27" x14ac:dyDescent="0.25">
      <c r="A332" s="122"/>
      <c r="B332" s="581"/>
      <c r="C332" s="636" t="s">
        <v>98</v>
      </c>
      <c r="D332" s="196" t="s">
        <v>98</v>
      </c>
      <c r="E332" s="728" t="s">
        <v>953</v>
      </c>
      <c r="F332" s="429" t="s">
        <v>1108</v>
      </c>
      <c r="G332" s="29"/>
      <c r="H332" s="704"/>
      <c r="I332" s="113"/>
      <c r="J332" s="657">
        <f>J330+J331</f>
        <v>885884.9450641945</v>
      </c>
      <c r="K332" s="49"/>
      <c r="L332" s="49"/>
      <c r="M332" s="49"/>
      <c r="N332" s="49"/>
      <c r="O332" s="49"/>
      <c r="P332" s="49"/>
      <c r="Q332" s="49"/>
      <c r="R332" s="49"/>
      <c r="S332" s="49"/>
      <c r="T332" s="49"/>
      <c r="U332" s="49"/>
      <c r="V332" s="49"/>
      <c r="W332" s="49"/>
      <c r="X332" s="49"/>
      <c r="Y332" s="49"/>
      <c r="Z332" s="49"/>
      <c r="AA332" s="49"/>
    </row>
    <row r="333" spans="1:27" ht="30" x14ac:dyDescent="0.25">
      <c r="A333" s="458"/>
      <c r="B333" s="130">
        <v>17</v>
      </c>
      <c r="C333" s="234" t="str">
        <f>'Du toan chi tiet'!C25</f>
        <v>AA.22212</v>
      </c>
      <c r="D333" s="234" t="str">
        <f>'Du toan chi tiet'!C25</f>
        <v>AA.22212</v>
      </c>
      <c r="E333" s="730" t="str">
        <f>'Du toan chi tiet'!D25</f>
        <v>Phá dỡ kết cấu bê tông không cốt thép bằng máy khoan bê tông 1,5kw cột biển báo</v>
      </c>
      <c r="F333" s="130" t="str">
        <f>'Du toan chi tiet'!E25</f>
        <v>m3</v>
      </c>
      <c r="G333" s="664"/>
      <c r="H333" s="282"/>
      <c r="I333" s="450"/>
      <c r="J333" s="282"/>
      <c r="K333" s="49"/>
      <c r="L333" s="49"/>
      <c r="M333" s="49"/>
      <c r="N333" s="49"/>
      <c r="O333" s="49"/>
      <c r="P333" s="49"/>
      <c r="Q333" s="49"/>
      <c r="R333" s="49"/>
      <c r="S333" s="49"/>
      <c r="T333" s="49"/>
      <c r="U333" s="49"/>
      <c r="V333" s="49"/>
      <c r="W333" s="49"/>
      <c r="X333" s="49"/>
      <c r="Y333" s="49"/>
      <c r="Z333" s="49"/>
      <c r="AA333" s="49"/>
    </row>
    <row r="334" spans="1:27" x14ac:dyDescent="0.25">
      <c r="A334" s="261"/>
      <c r="B334" s="690"/>
      <c r="C334" s="745" t="s">
        <v>98</v>
      </c>
      <c r="D334" s="745" t="s">
        <v>98</v>
      </c>
      <c r="E334" s="247" t="s">
        <v>547</v>
      </c>
      <c r="F334" s="690" t="s">
        <v>962</v>
      </c>
      <c r="G334" s="133"/>
      <c r="H334" s="44"/>
      <c r="I334" s="233"/>
      <c r="J334" s="44">
        <v>0</v>
      </c>
      <c r="K334" s="49"/>
      <c r="L334" s="49"/>
      <c r="M334" s="49"/>
      <c r="N334" s="49"/>
      <c r="O334" s="49"/>
      <c r="P334" s="49"/>
      <c r="Q334" s="49"/>
      <c r="R334" s="49"/>
      <c r="S334" s="49"/>
      <c r="T334" s="49"/>
      <c r="U334" s="49"/>
      <c r="V334" s="49"/>
      <c r="W334" s="49"/>
      <c r="X334" s="49"/>
      <c r="Y334" s="49"/>
      <c r="Z334" s="49"/>
      <c r="AA334" s="49"/>
    </row>
    <row r="335" spans="1:27" x14ac:dyDescent="0.25">
      <c r="A335" s="261"/>
      <c r="B335" s="690"/>
      <c r="C335" s="745" t="s">
        <v>98</v>
      </c>
      <c r="D335" s="745" t="s">
        <v>98</v>
      </c>
      <c r="E335" s="247" t="s">
        <v>301</v>
      </c>
      <c r="F335" s="690" t="s">
        <v>1018</v>
      </c>
      <c r="G335" s="133"/>
      <c r="H335" s="44"/>
      <c r="I335" s="233"/>
      <c r="J335" s="44">
        <f>SUM(J336:J336)</f>
        <v>410890.92</v>
      </c>
      <c r="K335" s="49"/>
      <c r="L335" s="49"/>
      <c r="M335" s="49"/>
      <c r="N335" s="49"/>
      <c r="O335" s="49"/>
      <c r="P335" s="49"/>
      <c r="Q335" s="49"/>
      <c r="R335" s="49"/>
      <c r="S335" s="49"/>
      <c r="T335" s="49"/>
      <c r="U335" s="49"/>
      <c r="V335" s="49"/>
      <c r="W335" s="49"/>
      <c r="X335" s="49"/>
      <c r="Y335" s="49"/>
      <c r="Z335" s="49"/>
      <c r="AA335" s="49"/>
    </row>
    <row r="336" spans="1:27" x14ac:dyDescent="0.25">
      <c r="A336" s="207"/>
      <c r="B336" s="641"/>
      <c r="C336" s="711" t="s">
        <v>98</v>
      </c>
      <c r="D336" s="276" t="s">
        <v>475</v>
      </c>
      <c r="E336" s="191" t="str">
        <f>" - " &amp; 'Giá NC'!E5</f>
        <v xml:space="preserve"> - Nhân công bậc 3,0/7 - Nhóm 1</v>
      </c>
      <c r="F336" s="641" t="str">
        <f>'Giá NC'!F5</f>
        <v>công</v>
      </c>
      <c r="G336" s="67">
        <f>'Phan tich don gia'!G141</f>
        <v>1.88</v>
      </c>
      <c r="H336" s="5">
        <f>'Giá NC'!K5</f>
        <v>218559</v>
      </c>
      <c r="I336" s="198">
        <f>'Du toan chi tiet'!W25</f>
        <v>1</v>
      </c>
      <c r="J336" s="5">
        <f>PRODUCT(G336,H336,I336)</f>
        <v>410890.92</v>
      </c>
      <c r="K336" s="49"/>
      <c r="L336" s="49"/>
      <c r="M336" s="49"/>
      <c r="N336" s="49"/>
      <c r="O336" s="49"/>
      <c r="P336" s="49"/>
      <c r="Q336" s="49"/>
      <c r="R336" s="49"/>
      <c r="S336" s="49"/>
      <c r="T336" s="49"/>
      <c r="U336" s="49"/>
      <c r="V336" s="49"/>
      <c r="W336" s="49"/>
      <c r="X336" s="49"/>
      <c r="Y336" s="49"/>
      <c r="Z336" s="49"/>
      <c r="AA336" s="49"/>
    </row>
    <row r="337" spans="1:27" x14ac:dyDescent="0.25">
      <c r="A337" s="261"/>
      <c r="B337" s="690"/>
      <c r="C337" s="745" t="s">
        <v>98</v>
      </c>
      <c r="D337" s="745" t="s">
        <v>98</v>
      </c>
      <c r="E337" s="247" t="s">
        <v>1175</v>
      </c>
      <c r="F337" s="690" t="s">
        <v>138</v>
      </c>
      <c r="G337" s="133"/>
      <c r="H337" s="44"/>
      <c r="I337" s="233"/>
      <c r="J337" s="44">
        <f>SUM(J338:J339)</f>
        <v>24685.920000000002</v>
      </c>
      <c r="K337" s="49"/>
      <c r="L337" s="49"/>
      <c r="M337" s="49"/>
      <c r="N337" s="49"/>
      <c r="O337" s="49"/>
      <c r="P337" s="49"/>
      <c r="Q337" s="49"/>
      <c r="R337" s="49"/>
      <c r="S337" s="49"/>
      <c r="T337" s="49"/>
      <c r="U337" s="49"/>
      <c r="V337" s="49"/>
      <c r="W337" s="49"/>
      <c r="X337" s="49"/>
      <c r="Y337" s="49"/>
      <c r="Z337" s="49"/>
      <c r="AA337" s="49"/>
    </row>
    <row r="338" spans="1:27" x14ac:dyDescent="0.25">
      <c r="A338" s="207"/>
      <c r="B338" s="641"/>
      <c r="C338" s="711" t="s">
        <v>98</v>
      </c>
      <c r="D338" s="276" t="s">
        <v>5</v>
      </c>
      <c r="E338" s="191" t="str">
        <f>" - " &amp; 'Giá Máy'!E16</f>
        <v xml:space="preserve"> - Máy khoan bê tông 1,5kW</v>
      </c>
      <c r="F338" s="641" t="str">
        <f>'Giá Máy'!F16</f>
        <v>ca</v>
      </c>
      <c r="G338" s="67">
        <f>'Phan tich don gia'!G143</f>
        <v>0.72</v>
      </c>
      <c r="H338" s="5">
        <f>'Giá Máy'!J16</f>
        <v>34285</v>
      </c>
      <c r="I338" s="198">
        <f>'Du toan chi tiet'!X25</f>
        <v>1</v>
      </c>
      <c r="J338" s="5">
        <f>PRODUCT(G338,H338,I338)</f>
        <v>24685.200000000001</v>
      </c>
      <c r="K338" s="49"/>
      <c r="L338" s="49"/>
      <c r="M338" s="49"/>
      <c r="N338" s="49"/>
      <c r="O338" s="49"/>
      <c r="P338" s="49"/>
      <c r="Q338" s="49"/>
      <c r="R338" s="49"/>
      <c r="S338" s="49"/>
      <c r="T338" s="49"/>
      <c r="U338" s="49"/>
      <c r="V338" s="49"/>
      <c r="W338" s="49"/>
      <c r="X338" s="49"/>
      <c r="Y338" s="49"/>
      <c r="Z338" s="49"/>
      <c r="AA338" s="49"/>
    </row>
    <row r="339" spans="1:27" x14ac:dyDescent="0.25">
      <c r="A339" s="207"/>
      <c r="B339" s="641"/>
      <c r="C339" s="711" t="s">
        <v>98</v>
      </c>
      <c r="D339" s="276" t="s">
        <v>98</v>
      </c>
      <c r="E339" s="191" t="s">
        <v>1230</v>
      </c>
      <c r="F339" s="641"/>
      <c r="G339" s="106"/>
      <c r="H339" s="5"/>
      <c r="I339" s="198"/>
      <c r="J339" s="5">
        <f>SUM(J340:J341)</f>
        <v>0.72</v>
      </c>
      <c r="K339" s="49"/>
      <c r="L339" s="49"/>
      <c r="M339" s="49"/>
      <c r="N339" s="49"/>
      <c r="O339" s="49"/>
      <c r="P339" s="49"/>
      <c r="Q339" s="49"/>
      <c r="R339" s="49"/>
      <c r="S339" s="49"/>
      <c r="T339" s="49"/>
      <c r="U339" s="49"/>
      <c r="V339" s="49"/>
      <c r="W339" s="49"/>
      <c r="X339" s="49"/>
      <c r="Y339" s="49"/>
      <c r="Z339" s="49"/>
      <c r="AA339" s="49"/>
    </row>
    <row r="340" spans="1:27" x14ac:dyDescent="0.25">
      <c r="A340" s="207"/>
      <c r="B340" s="641"/>
      <c r="C340" s="711" t="s">
        <v>98</v>
      </c>
      <c r="D340" s="276" t="s">
        <v>98</v>
      </c>
      <c r="E340" s="191" t="s">
        <v>52</v>
      </c>
      <c r="F340" s="641"/>
      <c r="G340" s="106"/>
      <c r="H340" s="5"/>
      <c r="I340" s="198"/>
      <c r="J340" s="5">
        <f>PRODUCT(G338,I338,'Giá Máy'!L16)</f>
        <v>0</v>
      </c>
      <c r="K340" s="49"/>
      <c r="L340" s="49"/>
      <c r="M340" s="49"/>
      <c r="N340" s="49"/>
      <c r="O340" s="49"/>
      <c r="P340" s="49"/>
      <c r="Q340" s="49"/>
      <c r="R340" s="49"/>
      <c r="S340" s="49"/>
      <c r="T340" s="49"/>
      <c r="U340" s="49"/>
      <c r="V340" s="49"/>
      <c r="W340" s="49"/>
      <c r="X340" s="49"/>
      <c r="Y340" s="49"/>
      <c r="Z340" s="49"/>
      <c r="AA340" s="49"/>
    </row>
    <row r="341" spans="1:27" x14ac:dyDescent="0.25">
      <c r="A341" s="207"/>
      <c r="B341" s="641"/>
      <c r="C341" s="711" t="s">
        <v>98</v>
      </c>
      <c r="D341" s="276" t="s">
        <v>98</v>
      </c>
      <c r="E341" s="191" t="s">
        <v>597</v>
      </c>
      <c r="F341" s="641"/>
      <c r="G341" s="106"/>
      <c r="H341" s="5"/>
      <c r="I341" s="198"/>
      <c r="J341" s="5">
        <f>PRODUCT(G338,I338,'Giá Máy'!M16)</f>
        <v>0.72</v>
      </c>
      <c r="K341" s="49"/>
      <c r="L341" s="49"/>
      <c r="M341" s="49"/>
      <c r="N341" s="49"/>
      <c r="O341" s="49"/>
      <c r="P341" s="49"/>
      <c r="Q341" s="49"/>
      <c r="R341" s="49"/>
      <c r="S341" s="49"/>
      <c r="T341" s="49"/>
      <c r="U341" s="49"/>
      <c r="V341" s="49"/>
      <c r="W341" s="49"/>
      <c r="X341" s="49"/>
      <c r="Y341" s="49"/>
      <c r="Z341" s="49"/>
      <c r="AA341" s="49"/>
    </row>
    <row r="342" spans="1:27" x14ac:dyDescent="0.25">
      <c r="A342" s="207"/>
      <c r="B342" s="641"/>
      <c r="C342" s="711" t="s">
        <v>98</v>
      </c>
      <c r="D342" s="276" t="s">
        <v>98</v>
      </c>
      <c r="E342" s="191" t="s">
        <v>599</v>
      </c>
      <c r="F342" s="641" t="s">
        <v>356</v>
      </c>
      <c r="G342" s="106"/>
      <c r="H342" s="5"/>
      <c r="I342" s="198"/>
      <c r="J342" s="5">
        <f>J334+J335+J337</f>
        <v>435576.83999999997</v>
      </c>
      <c r="K342" s="49"/>
      <c r="L342" s="49"/>
      <c r="M342" s="49"/>
      <c r="N342" s="49"/>
      <c r="O342" s="49"/>
      <c r="P342" s="49"/>
      <c r="Q342" s="49"/>
      <c r="R342" s="49"/>
      <c r="S342" s="49"/>
      <c r="T342" s="49"/>
      <c r="U342" s="49"/>
      <c r="V342" s="49"/>
      <c r="W342" s="49"/>
      <c r="X342" s="49"/>
      <c r="Y342" s="49"/>
      <c r="Z342" s="49"/>
      <c r="AA342" s="49"/>
    </row>
    <row r="343" spans="1:27" x14ac:dyDescent="0.25">
      <c r="A343" s="207"/>
      <c r="B343" s="641"/>
      <c r="C343" s="711" t="s">
        <v>98</v>
      </c>
      <c r="D343" s="276" t="s">
        <v>98</v>
      </c>
      <c r="E343" s="191" t="s">
        <v>265</v>
      </c>
      <c r="F343" s="641" t="s">
        <v>653</v>
      </c>
      <c r="G343" s="307">
        <f>'Thông tin'!E67</f>
        <v>7.2999999999999995E-2</v>
      </c>
      <c r="H343" s="5"/>
      <c r="I343" s="198"/>
      <c r="J343" s="5">
        <f>(J342)*G343</f>
        <v>31797.109319999996</v>
      </c>
      <c r="K343" s="49"/>
      <c r="L343" s="49"/>
      <c r="M343" s="49"/>
      <c r="N343" s="49"/>
      <c r="O343" s="49"/>
      <c r="P343" s="49"/>
      <c r="Q343" s="49"/>
      <c r="R343" s="49"/>
      <c r="S343" s="49"/>
      <c r="T343" s="49"/>
      <c r="U343" s="49"/>
      <c r="V343" s="49"/>
      <c r="W343" s="49"/>
      <c r="X343" s="49"/>
      <c r="Y343" s="49"/>
      <c r="Z343" s="49"/>
      <c r="AA343" s="49"/>
    </row>
    <row r="344" spans="1:27" x14ac:dyDescent="0.25">
      <c r="A344" s="207"/>
      <c r="B344" s="641"/>
      <c r="C344" s="711" t="s">
        <v>98</v>
      </c>
      <c r="D344" s="276" t="s">
        <v>98</v>
      </c>
      <c r="E344" s="191" t="s">
        <v>765</v>
      </c>
      <c r="F344" s="641" t="s">
        <v>602</v>
      </c>
      <c r="G344" s="307">
        <f>'Thông tin'!E60</f>
        <v>1.1000000000000001E-2</v>
      </c>
      <c r="H344" s="5"/>
      <c r="I344" s="198"/>
      <c r="J344" s="5">
        <f>(J342)*G344</f>
        <v>4791.3452400000006</v>
      </c>
      <c r="K344" s="49"/>
      <c r="L344" s="49"/>
      <c r="M344" s="49"/>
      <c r="N344" s="49"/>
      <c r="O344" s="49"/>
      <c r="P344" s="49"/>
      <c r="Q344" s="49"/>
      <c r="R344" s="49"/>
      <c r="S344" s="49"/>
      <c r="T344" s="49"/>
      <c r="U344" s="49"/>
      <c r="V344" s="49"/>
      <c r="W344" s="49"/>
      <c r="X344" s="49"/>
      <c r="Y344" s="49"/>
      <c r="Z344" s="49"/>
      <c r="AA344" s="49"/>
    </row>
    <row r="345" spans="1:27" ht="30" x14ac:dyDescent="0.25">
      <c r="A345" s="207"/>
      <c r="B345" s="641"/>
      <c r="C345" s="711" t="s">
        <v>98</v>
      </c>
      <c r="D345" s="276" t="s">
        <v>98</v>
      </c>
      <c r="E345" s="191" t="s">
        <v>457</v>
      </c>
      <c r="F345" s="641" t="s">
        <v>881</v>
      </c>
      <c r="G345" s="307">
        <f>'Thông tin'!E65</f>
        <v>2.5000000000000001E-2</v>
      </c>
      <c r="H345" s="5"/>
      <c r="I345" s="198"/>
      <c r="J345" s="5">
        <f>(J342)*G345</f>
        <v>10889.421</v>
      </c>
      <c r="K345" s="49"/>
      <c r="L345" s="49"/>
      <c r="M345" s="49"/>
      <c r="N345" s="49"/>
      <c r="O345" s="49"/>
      <c r="P345" s="49"/>
      <c r="Q345" s="49"/>
      <c r="R345" s="49"/>
      <c r="S345" s="49"/>
      <c r="T345" s="49"/>
      <c r="U345" s="49"/>
      <c r="V345" s="49"/>
      <c r="W345" s="49"/>
      <c r="X345" s="49"/>
      <c r="Y345" s="49"/>
      <c r="Z345" s="49"/>
      <c r="AA345" s="49"/>
    </row>
    <row r="346" spans="1:27" x14ac:dyDescent="0.25">
      <c r="A346" s="207"/>
      <c r="B346" s="641"/>
      <c r="C346" s="711" t="s">
        <v>98</v>
      </c>
      <c r="D346" s="276" t="s">
        <v>98</v>
      </c>
      <c r="E346" s="191" t="s">
        <v>1244</v>
      </c>
      <c r="F346" s="641" t="s">
        <v>1032</v>
      </c>
      <c r="G346" s="106"/>
      <c r="H346" s="5"/>
      <c r="I346" s="198"/>
      <c r="J346" s="5">
        <f>J343+J344+J345</f>
        <v>47477.87556</v>
      </c>
      <c r="K346" s="49"/>
      <c r="L346" s="49"/>
      <c r="M346" s="49"/>
      <c r="N346" s="49"/>
      <c r="O346" s="49"/>
      <c r="P346" s="49"/>
      <c r="Q346" s="49"/>
      <c r="R346" s="49"/>
      <c r="S346" s="49"/>
      <c r="T346" s="49"/>
      <c r="U346" s="49"/>
      <c r="V346" s="49"/>
      <c r="W346" s="49"/>
      <c r="X346" s="49"/>
      <c r="Y346" s="49"/>
      <c r="Z346" s="49"/>
      <c r="AA346" s="49"/>
    </row>
    <row r="347" spans="1:27" x14ac:dyDescent="0.25">
      <c r="A347" s="207"/>
      <c r="B347" s="641"/>
      <c r="C347" s="711" t="s">
        <v>98</v>
      </c>
      <c r="D347" s="276" t="s">
        <v>98</v>
      </c>
      <c r="E347" s="191" t="s">
        <v>990</v>
      </c>
      <c r="F347" s="641" t="s">
        <v>307</v>
      </c>
      <c r="G347" s="307">
        <f>'Thông tin'!E63</f>
        <v>5.5E-2</v>
      </c>
      <c r="H347" s="5"/>
      <c r="I347" s="198"/>
      <c r="J347" s="5">
        <f>(J342+J346)*G347</f>
        <v>26568.009355800001</v>
      </c>
      <c r="K347" s="49"/>
      <c r="L347" s="49"/>
      <c r="M347" s="49"/>
      <c r="N347" s="49"/>
      <c r="O347" s="49"/>
      <c r="P347" s="49"/>
      <c r="Q347" s="49"/>
      <c r="R347" s="49"/>
      <c r="S347" s="49"/>
      <c r="T347" s="49"/>
      <c r="U347" s="49"/>
      <c r="V347" s="49"/>
      <c r="W347" s="49"/>
      <c r="X347" s="49"/>
      <c r="Y347" s="49"/>
      <c r="Z347" s="49"/>
      <c r="AA347" s="49"/>
    </row>
    <row r="348" spans="1:27" x14ac:dyDescent="0.25">
      <c r="A348" s="207"/>
      <c r="B348" s="641"/>
      <c r="C348" s="711" t="s">
        <v>98</v>
      </c>
      <c r="D348" s="276" t="s">
        <v>98</v>
      </c>
      <c r="E348" s="7" t="s">
        <v>142</v>
      </c>
      <c r="F348" s="499" t="s">
        <v>286</v>
      </c>
      <c r="G348" s="106"/>
      <c r="H348" s="5"/>
      <c r="I348" s="198"/>
      <c r="J348" s="620">
        <f>J342+J346+J347</f>
        <v>509622.72491579998</v>
      </c>
      <c r="K348" s="49"/>
      <c r="L348" s="49"/>
      <c r="M348" s="49"/>
      <c r="N348" s="49"/>
      <c r="O348" s="49"/>
      <c r="P348" s="49"/>
      <c r="Q348" s="49"/>
      <c r="R348" s="49"/>
      <c r="S348" s="49"/>
      <c r="T348" s="49"/>
      <c r="U348" s="49"/>
      <c r="V348" s="49"/>
      <c r="W348" s="49"/>
      <c r="X348" s="49"/>
      <c r="Y348" s="49"/>
      <c r="Z348" s="49"/>
      <c r="AA348" s="49"/>
    </row>
    <row r="349" spans="1:27" x14ac:dyDescent="0.25">
      <c r="A349" s="207"/>
      <c r="B349" s="641"/>
      <c r="C349" s="711" t="s">
        <v>98</v>
      </c>
      <c r="D349" s="276" t="s">
        <v>98</v>
      </c>
      <c r="E349" s="191" t="s">
        <v>762</v>
      </c>
      <c r="F349" s="641" t="s">
        <v>830</v>
      </c>
      <c r="G349" s="705">
        <f>'Thông tin'!E61</f>
        <v>0.08</v>
      </c>
      <c r="H349" s="5"/>
      <c r="I349" s="198"/>
      <c r="J349" s="5">
        <f>(J348)*G349</f>
        <v>40769.817993263998</v>
      </c>
      <c r="K349" s="49"/>
      <c r="L349" s="49"/>
      <c r="M349" s="49"/>
      <c r="N349" s="49"/>
      <c r="O349" s="49"/>
      <c r="P349" s="49"/>
      <c r="Q349" s="49"/>
      <c r="R349" s="49"/>
      <c r="S349" s="49"/>
      <c r="T349" s="49"/>
      <c r="U349" s="49"/>
      <c r="V349" s="49"/>
      <c r="W349" s="49"/>
      <c r="X349" s="49"/>
      <c r="Y349" s="49"/>
      <c r="Z349" s="49"/>
      <c r="AA349" s="49"/>
    </row>
    <row r="350" spans="1:27" x14ac:dyDescent="0.25">
      <c r="A350" s="122"/>
      <c r="B350" s="581"/>
      <c r="C350" s="636" t="s">
        <v>98</v>
      </c>
      <c r="D350" s="196" t="s">
        <v>98</v>
      </c>
      <c r="E350" s="728" t="s">
        <v>953</v>
      </c>
      <c r="F350" s="429" t="s">
        <v>1108</v>
      </c>
      <c r="G350" s="29"/>
      <c r="H350" s="704"/>
      <c r="I350" s="113"/>
      <c r="J350" s="657">
        <f>J348+J349</f>
        <v>550392.54290906398</v>
      </c>
      <c r="K350" s="49"/>
      <c r="L350" s="49"/>
      <c r="M350" s="49"/>
      <c r="N350" s="49"/>
      <c r="O350" s="49"/>
      <c r="P350" s="49"/>
      <c r="Q350" s="49"/>
      <c r="R350" s="49"/>
      <c r="S350" s="49"/>
      <c r="T350" s="49"/>
      <c r="U350" s="49"/>
      <c r="V350" s="49"/>
      <c r="W350" s="49"/>
      <c r="X350" s="49"/>
      <c r="Y350" s="49"/>
      <c r="Z350" s="49"/>
      <c r="AA350" s="49"/>
    </row>
    <row r="351" spans="1:27" ht="30" x14ac:dyDescent="0.25">
      <c r="A351" s="458"/>
      <c r="B351" s="130">
        <v>18</v>
      </c>
      <c r="C351" s="234" t="str">
        <f>'Du toan chi tiet'!C26</f>
        <v>SE.31420</v>
      </c>
      <c r="D351" s="234" t="str">
        <f>'Du toan chi tiet'!C26</f>
        <v>SE.31420</v>
      </c>
      <c r="E351" s="730" t="str">
        <f>'Du toan chi tiet'!D26</f>
        <v>Sơn biển báo, cột biển báo bằng thép - 3 nước</v>
      </c>
      <c r="F351" s="130" t="str">
        <f>'Du toan chi tiet'!E26</f>
        <v>m2</v>
      </c>
      <c r="G351" s="664"/>
      <c r="H351" s="282"/>
      <c r="I351" s="450"/>
      <c r="J351" s="282"/>
      <c r="K351" s="49"/>
      <c r="L351" s="49"/>
      <c r="M351" s="49"/>
      <c r="N351" s="49"/>
      <c r="O351" s="49"/>
      <c r="P351" s="49"/>
      <c r="Q351" s="49"/>
      <c r="R351" s="49"/>
      <c r="S351" s="49"/>
      <c r="T351" s="49"/>
      <c r="U351" s="49"/>
      <c r="V351" s="49"/>
      <c r="W351" s="49"/>
      <c r="X351" s="49"/>
      <c r="Y351" s="49"/>
      <c r="Z351" s="49"/>
      <c r="AA351" s="49"/>
    </row>
    <row r="352" spans="1:27" x14ac:dyDescent="0.25">
      <c r="A352" s="261"/>
      <c r="B352" s="690"/>
      <c r="C352" s="745" t="s">
        <v>98</v>
      </c>
      <c r="D352" s="745" t="s">
        <v>98</v>
      </c>
      <c r="E352" s="247" t="s">
        <v>547</v>
      </c>
      <c r="F352" s="690" t="s">
        <v>962</v>
      </c>
      <c r="G352" s="133"/>
      <c r="H352" s="44"/>
      <c r="I352" s="233"/>
      <c r="J352" s="44">
        <f>SUM(J353:J354)</f>
        <v>29192.397959999998</v>
      </c>
      <c r="K352" s="49"/>
      <c r="L352" s="49"/>
      <c r="M352" s="49"/>
      <c r="N352" s="49"/>
      <c r="O352" s="49"/>
      <c r="P352" s="49"/>
      <c r="Q352" s="49"/>
      <c r="R352" s="49"/>
      <c r="S352" s="49"/>
      <c r="T352" s="49"/>
      <c r="U352" s="49"/>
      <c r="V352" s="49"/>
      <c r="W352" s="49"/>
      <c r="X352" s="49"/>
      <c r="Y352" s="49"/>
      <c r="Z352" s="49"/>
      <c r="AA352" s="49"/>
    </row>
    <row r="353" spans="1:27" x14ac:dyDescent="0.25">
      <c r="A353" s="207"/>
      <c r="B353" s="641"/>
      <c r="C353" s="711" t="s">
        <v>98</v>
      </c>
      <c r="D353" s="276" t="s">
        <v>849</v>
      </c>
      <c r="E353" s="191" t="str">
        <f>" - " &amp; 'Giá VL'!E28</f>
        <v xml:space="preserve"> - Sơn sắt thép</v>
      </c>
      <c r="F353" s="641" t="str">
        <f>'Giá VL'!F28</f>
        <v>kg</v>
      </c>
      <c r="G353" s="67">
        <f>'Phan tich don gia'!G146</f>
        <v>0.22</v>
      </c>
      <c r="H353" s="5">
        <f>'Giá VL'!V28</f>
        <v>130090.9</v>
      </c>
      <c r="I353" s="198">
        <f>'Du toan chi tiet'!V26</f>
        <v>1</v>
      </c>
      <c r="J353" s="5">
        <f t="shared" ref="J353:J354" si="19">PRODUCT(G353,H353,I353)</f>
        <v>28619.998</v>
      </c>
      <c r="K353" s="49"/>
      <c r="L353" s="49"/>
      <c r="M353" s="49"/>
      <c r="N353" s="49"/>
      <c r="O353" s="49"/>
      <c r="P353" s="49"/>
      <c r="Q353" s="49"/>
      <c r="R353" s="49"/>
      <c r="S353" s="49"/>
      <c r="T353" s="49"/>
      <c r="U353" s="49"/>
      <c r="V353" s="49"/>
      <c r="W353" s="49"/>
      <c r="X353" s="49"/>
      <c r="Y353" s="49"/>
      <c r="Z353" s="49"/>
      <c r="AA353" s="49"/>
    </row>
    <row r="354" spans="1:27" x14ac:dyDescent="0.25">
      <c r="A354" s="207"/>
      <c r="B354" s="641"/>
      <c r="C354" s="711" t="s">
        <v>98</v>
      </c>
      <c r="D354" s="276" t="s">
        <v>667</v>
      </c>
      <c r="E354" s="191" t="s">
        <v>238</v>
      </c>
      <c r="F354" s="641" t="s">
        <v>1113</v>
      </c>
      <c r="G354" s="67">
        <f>'Phan tich don gia'!G147</f>
        <v>2</v>
      </c>
      <c r="H354" s="5">
        <f>IF('Du toan chi tiet'!V26&lt;&gt;0,SUM(J353:J353)/100/'Du toan chi tiet'!V26,0)</f>
        <v>286.19997999999998</v>
      </c>
      <c r="I354" s="198">
        <f>'Du toan chi tiet'!V26</f>
        <v>1</v>
      </c>
      <c r="J354" s="5">
        <f t="shared" si="19"/>
        <v>572.39995999999996</v>
      </c>
      <c r="K354" s="49"/>
      <c r="L354" s="49"/>
      <c r="M354" s="49"/>
      <c r="N354" s="49"/>
      <c r="O354" s="49"/>
      <c r="P354" s="49"/>
      <c r="Q354" s="49"/>
      <c r="R354" s="49"/>
      <c r="S354" s="49"/>
      <c r="T354" s="49"/>
      <c r="U354" s="49"/>
      <c r="V354" s="49"/>
      <c r="W354" s="49"/>
      <c r="X354" s="49"/>
      <c r="Y354" s="49"/>
      <c r="Z354" s="49"/>
      <c r="AA354" s="49"/>
    </row>
    <row r="355" spans="1:27" x14ac:dyDescent="0.25">
      <c r="A355" s="261"/>
      <c r="B355" s="690"/>
      <c r="C355" s="745" t="s">
        <v>98</v>
      </c>
      <c r="D355" s="745" t="s">
        <v>98</v>
      </c>
      <c r="E355" s="247" t="s">
        <v>301</v>
      </c>
      <c r="F355" s="690" t="s">
        <v>1018</v>
      </c>
      <c r="G355" s="133"/>
      <c r="H355" s="44"/>
      <c r="I355" s="233"/>
      <c r="J355" s="44">
        <f>SUM(J356:J356)</f>
        <v>40352</v>
      </c>
      <c r="K355" s="49"/>
      <c r="L355" s="49"/>
      <c r="M355" s="49"/>
      <c r="N355" s="49"/>
      <c r="O355" s="49"/>
      <c r="P355" s="49"/>
      <c r="Q355" s="49"/>
      <c r="R355" s="49"/>
      <c r="S355" s="49"/>
      <c r="T355" s="49"/>
      <c r="U355" s="49"/>
      <c r="V355" s="49"/>
      <c r="W355" s="49"/>
      <c r="X355" s="49"/>
      <c r="Y355" s="49"/>
      <c r="Z355" s="49"/>
      <c r="AA355" s="49"/>
    </row>
    <row r="356" spans="1:27" x14ac:dyDescent="0.25">
      <c r="A356" s="207"/>
      <c r="B356" s="641"/>
      <c r="C356" s="711" t="s">
        <v>98</v>
      </c>
      <c r="D356" s="276" t="s">
        <v>706</v>
      </c>
      <c r="E356" s="191" t="str">
        <f>" - " &amp; 'Giá NC'!E8</f>
        <v xml:space="preserve"> - Nhân công bậc 3,5/7 - Nhóm 2</v>
      </c>
      <c r="F356" s="641" t="str">
        <f>'Giá NC'!F8</f>
        <v>công</v>
      </c>
      <c r="G356" s="67">
        <f>'Phan tich don gia'!G149</f>
        <v>0.16</v>
      </c>
      <c r="H356" s="5">
        <f>'Giá NC'!K8</f>
        <v>252200</v>
      </c>
      <c r="I356" s="198">
        <f>'Du toan chi tiet'!W26</f>
        <v>1</v>
      </c>
      <c r="J356" s="5">
        <f>PRODUCT(G356,H356,I356)</f>
        <v>40352</v>
      </c>
      <c r="K356" s="49"/>
      <c r="L356" s="49"/>
      <c r="M356" s="49"/>
      <c r="N356" s="49"/>
      <c r="O356" s="49"/>
      <c r="P356" s="49"/>
      <c r="Q356" s="49"/>
      <c r="R356" s="49"/>
      <c r="S356" s="49"/>
      <c r="T356" s="49"/>
      <c r="U356" s="49"/>
      <c r="V356" s="49"/>
      <c r="W356" s="49"/>
      <c r="X356" s="49"/>
      <c r="Y356" s="49"/>
      <c r="Z356" s="49"/>
      <c r="AA356" s="49"/>
    </row>
    <row r="357" spans="1:27" x14ac:dyDescent="0.25">
      <c r="A357" s="261"/>
      <c r="B357" s="690"/>
      <c r="C357" s="745" t="s">
        <v>98</v>
      </c>
      <c r="D357" s="745" t="s">
        <v>98</v>
      </c>
      <c r="E357" s="247" t="s">
        <v>1175</v>
      </c>
      <c r="F357" s="690" t="s">
        <v>138</v>
      </c>
      <c r="G357" s="133"/>
      <c r="H357" s="44"/>
      <c r="I357" s="233"/>
      <c r="J357" s="44">
        <v>0</v>
      </c>
      <c r="K357" s="49"/>
      <c r="L357" s="49"/>
      <c r="M357" s="49"/>
      <c r="N357" s="49"/>
      <c r="O357" s="49"/>
      <c r="P357" s="49"/>
      <c r="Q357" s="49"/>
      <c r="R357" s="49"/>
      <c r="S357" s="49"/>
      <c r="T357" s="49"/>
      <c r="U357" s="49"/>
      <c r="V357" s="49"/>
      <c r="W357" s="49"/>
      <c r="X357" s="49"/>
      <c r="Y357" s="49"/>
      <c r="Z357" s="49"/>
      <c r="AA357" s="49"/>
    </row>
    <row r="358" spans="1:27" x14ac:dyDescent="0.25">
      <c r="A358" s="207"/>
      <c r="B358" s="641"/>
      <c r="C358" s="711" t="s">
        <v>98</v>
      </c>
      <c r="D358" s="276" t="s">
        <v>98</v>
      </c>
      <c r="E358" s="191" t="s">
        <v>599</v>
      </c>
      <c r="F358" s="641" t="s">
        <v>356</v>
      </c>
      <c r="G358" s="106"/>
      <c r="H358" s="5"/>
      <c r="I358" s="198"/>
      <c r="J358" s="5">
        <f>J352+J355+J357</f>
        <v>69544.397960000002</v>
      </c>
      <c r="K358" s="49"/>
      <c r="L358" s="49"/>
      <c r="M358" s="49"/>
      <c r="N358" s="49"/>
      <c r="O358" s="49"/>
      <c r="P358" s="49"/>
      <c r="Q358" s="49"/>
      <c r="R358" s="49"/>
      <c r="S358" s="49"/>
      <c r="T358" s="49"/>
      <c r="U358" s="49"/>
      <c r="V358" s="49"/>
      <c r="W358" s="49"/>
      <c r="X358" s="49"/>
      <c r="Y358" s="49"/>
      <c r="Z358" s="49"/>
      <c r="AA358" s="49"/>
    </row>
    <row r="359" spans="1:27" x14ac:dyDescent="0.25">
      <c r="A359" s="207"/>
      <c r="B359" s="641"/>
      <c r="C359" s="711" t="s">
        <v>98</v>
      </c>
      <c r="D359" s="276" t="s">
        <v>98</v>
      </c>
      <c r="E359" s="191" t="s">
        <v>265</v>
      </c>
      <c r="F359" s="641" t="s">
        <v>653</v>
      </c>
      <c r="G359" s="307">
        <f>'Thông tin'!E67</f>
        <v>7.2999999999999995E-2</v>
      </c>
      <c r="H359" s="5"/>
      <c r="I359" s="198"/>
      <c r="J359" s="5">
        <f>(J358)*G359</f>
        <v>5076.74105108</v>
      </c>
      <c r="K359" s="49"/>
      <c r="L359" s="49"/>
      <c r="M359" s="49"/>
      <c r="N359" s="49"/>
      <c r="O359" s="49"/>
      <c r="P359" s="49"/>
      <c r="Q359" s="49"/>
      <c r="R359" s="49"/>
      <c r="S359" s="49"/>
      <c r="T359" s="49"/>
      <c r="U359" s="49"/>
      <c r="V359" s="49"/>
      <c r="W359" s="49"/>
      <c r="X359" s="49"/>
      <c r="Y359" s="49"/>
      <c r="Z359" s="49"/>
      <c r="AA359" s="49"/>
    </row>
    <row r="360" spans="1:27" x14ac:dyDescent="0.25">
      <c r="A360" s="207"/>
      <c r="B360" s="641"/>
      <c r="C360" s="711" t="s">
        <v>98</v>
      </c>
      <c r="D360" s="276" t="s">
        <v>98</v>
      </c>
      <c r="E360" s="191" t="s">
        <v>765</v>
      </c>
      <c r="F360" s="641" t="s">
        <v>602</v>
      </c>
      <c r="G360" s="307">
        <f>'Thông tin'!E60</f>
        <v>1.1000000000000001E-2</v>
      </c>
      <c r="H360" s="5"/>
      <c r="I360" s="198"/>
      <c r="J360" s="5">
        <f>(J358)*G360</f>
        <v>764.98837756000012</v>
      </c>
      <c r="K360" s="49"/>
      <c r="L360" s="49"/>
      <c r="M360" s="49"/>
      <c r="N360" s="49"/>
      <c r="O360" s="49"/>
      <c r="P360" s="49"/>
      <c r="Q360" s="49"/>
      <c r="R360" s="49"/>
      <c r="S360" s="49"/>
      <c r="T360" s="49"/>
      <c r="U360" s="49"/>
      <c r="V360" s="49"/>
      <c r="W360" s="49"/>
      <c r="X360" s="49"/>
      <c r="Y360" s="49"/>
      <c r="Z360" s="49"/>
      <c r="AA360" s="49"/>
    </row>
    <row r="361" spans="1:27" ht="30" x14ac:dyDescent="0.25">
      <c r="A361" s="207"/>
      <c r="B361" s="641"/>
      <c r="C361" s="711" t="s">
        <v>98</v>
      </c>
      <c r="D361" s="276" t="s">
        <v>98</v>
      </c>
      <c r="E361" s="191" t="s">
        <v>457</v>
      </c>
      <c r="F361" s="641" t="s">
        <v>881</v>
      </c>
      <c r="G361" s="307">
        <f>'Thông tin'!E65</f>
        <v>2.5000000000000001E-2</v>
      </c>
      <c r="H361" s="5"/>
      <c r="I361" s="198"/>
      <c r="J361" s="5">
        <f>(J358)*G361</f>
        <v>1738.6099490000001</v>
      </c>
      <c r="K361" s="49"/>
      <c r="L361" s="49"/>
      <c r="M361" s="49"/>
      <c r="N361" s="49"/>
      <c r="O361" s="49"/>
      <c r="P361" s="49"/>
      <c r="Q361" s="49"/>
      <c r="R361" s="49"/>
      <c r="S361" s="49"/>
      <c r="T361" s="49"/>
      <c r="U361" s="49"/>
      <c r="V361" s="49"/>
      <c r="W361" s="49"/>
      <c r="X361" s="49"/>
      <c r="Y361" s="49"/>
      <c r="Z361" s="49"/>
      <c r="AA361" s="49"/>
    </row>
    <row r="362" spans="1:27" x14ac:dyDescent="0.25">
      <c r="A362" s="207"/>
      <c r="B362" s="641"/>
      <c r="C362" s="711" t="s">
        <v>98</v>
      </c>
      <c r="D362" s="276" t="s">
        <v>98</v>
      </c>
      <c r="E362" s="191" t="s">
        <v>1244</v>
      </c>
      <c r="F362" s="641" t="s">
        <v>1032</v>
      </c>
      <c r="G362" s="106"/>
      <c r="H362" s="5"/>
      <c r="I362" s="198"/>
      <c r="J362" s="5">
        <f>J359+J360+J361</f>
        <v>7580.3393776400007</v>
      </c>
      <c r="K362" s="49"/>
      <c r="L362" s="49"/>
      <c r="M362" s="49"/>
      <c r="N362" s="49"/>
      <c r="O362" s="49"/>
      <c r="P362" s="49"/>
      <c r="Q362" s="49"/>
      <c r="R362" s="49"/>
      <c r="S362" s="49"/>
      <c r="T362" s="49"/>
      <c r="U362" s="49"/>
      <c r="V362" s="49"/>
      <c r="W362" s="49"/>
      <c r="X362" s="49"/>
      <c r="Y362" s="49"/>
      <c r="Z362" s="49"/>
      <c r="AA362" s="49"/>
    </row>
    <row r="363" spans="1:27" x14ac:dyDescent="0.25">
      <c r="A363" s="207"/>
      <c r="B363" s="641"/>
      <c r="C363" s="711" t="s">
        <v>98</v>
      </c>
      <c r="D363" s="276" t="s">
        <v>98</v>
      </c>
      <c r="E363" s="191" t="s">
        <v>990</v>
      </c>
      <c r="F363" s="641" t="s">
        <v>307</v>
      </c>
      <c r="G363" s="307">
        <f>'Thông tin'!E63</f>
        <v>5.5E-2</v>
      </c>
      <c r="H363" s="5"/>
      <c r="I363" s="198"/>
      <c r="J363" s="5">
        <f>(J358+J362)*G363</f>
        <v>4241.8605535702</v>
      </c>
      <c r="K363" s="49"/>
      <c r="L363" s="49"/>
      <c r="M363" s="49"/>
      <c r="N363" s="49"/>
      <c r="O363" s="49"/>
      <c r="P363" s="49"/>
      <c r="Q363" s="49"/>
      <c r="R363" s="49"/>
      <c r="S363" s="49"/>
      <c r="T363" s="49"/>
      <c r="U363" s="49"/>
      <c r="V363" s="49"/>
      <c r="W363" s="49"/>
      <c r="X363" s="49"/>
      <c r="Y363" s="49"/>
      <c r="Z363" s="49"/>
      <c r="AA363" s="49"/>
    </row>
    <row r="364" spans="1:27" x14ac:dyDescent="0.25">
      <c r="A364" s="207"/>
      <c r="B364" s="641"/>
      <c r="C364" s="711" t="s">
        <v>98</v>
      </c>
      <c r="D364" s="276" t="s">
        <v>98</v>
      </c>
      <c r="E364" s="7" t="s">
        <v>142</v>
      </c>
      <c r="F364" s="499" t="s">
        <v>286</v>
      </c>
      <c r="G364" s="106"/>
      <c r="H364" s="5"/>
      <c r="I364" s="198"/>
      <c r="J364" s="620">
        <f>J358+J362+J363</f>
        <v>81366.5978912102</v>
      </c>
      <c r="K364" s="49"/>
      <c r="L364" s="49"/>
      <c r="M364" s="49"/>
      <c r="N364" s="49"/>
      <c r="O364" s="49"/>
      <c r="P364" s="49"/>
      <c r="Q364" s="49"/>
      <c r="R364" s="49"/>
      <c r="S364" s="49"/>
      <c r="T364" s="49"/>
      <c r="U364" s="49"/>
      <c r="V364" s="49"/>
      <c r="W364" s="49"/>
      <c r="X364" s="49"/>
      <c r="Y364" s="49"/>
      <c r="Z364" s="49"/>
      <c r="AA364" s="49"/>
    </row>
    <row r="365" spans="1:27" x14ac:dyDescent="0.25">
      <c r="A365" s="207"/>
      <c r="B365" s="641"/>
      <c r="C365" s="711" t="s">
        <v>98</v>
      </c>
      <c r="D365" s="276" t="s">
        <v>98</v>
      </c>
      <c r="E365" s="191" t="s">
        <v>762</v>
      </c>
      <c r="F365" s="641" t="s">
        <v>830</v>
      </c>
      <c r="G365" s="705">
        <f>'Thông tin'!E61</f>
        <v>0.08</v>
      </c>
      <c r="H365" s="5"/>
      <c r="I365" s="198"/>
      <c r="J365" s="5">
        <f>(J364)*G365</f>
        <v>6509.3278312968159</v>
      </c>
      <c r="K365" s="49"/>
      <c r="L365" s="49"/>
      <c r="M365" s="49"/>
      <c r="N365" s="49"/>
      <c r="O365" s="49"/>
      <c r="P365" s="49"/>
      <c r="Q365" s="49"/>
      <c r="R365" s="49"/>
      <c r="S365" s="49"/>
      <c r="T365" s="49"/>
      <c r="U365" s="49"/>
      <c r="V365" s="49"/>
      <c r="W365" s="49"/>
      <c r="X365" s="49"/>
      <c r="Y365" s="49"/>
      <c r="Z365" s="49"/>
      <c r="AA365" s="49"/>
    </row>
    <row r="366" spans="1:27" x14ac:dyDescent="0.25">
      <c r="A366" s="122"/>
      <c r="B366" s="581"/>
      <c r="C366" s="636" t="s">
        <v>98</v>
      </c>
      <c r="D366" s="196" t="s">
        <v>98</v>
      </c>
      <c r="E366" s="728" t="s">
        <v>953</v>
      </c>
      <c r="F366" s="429" t="s">
        <v>1108</v>
      </c>
      <c r="G366" s="29"/>
      <c r="H366" s="704"/>
      <c r="I366" s="113"/>
      <c r="J366" s="657">
        <f>J364+J365</f>
        <v>87875.925722507018</v>
      </c>
      <c r="K366" s="49"/>
      <c r="L366" s="49"/>
      <c r="M366" s="49"/>
      <c r="N366" s="49"/>
      <c r="O366" s="49"/>
      <c r="P366" s="49"/>
      <c r="Q366" s="49"/>
      <c r="R366" s="49"/>
      <c r="S366" s="49"/>
      <c r="T366" s="49"/>
      <c r="U366" s="49"/>
      <c r="V366" s="49"/>
      <c r="W366" s="49"/>
      <c r="X366" s="49"/>
      <c r="Y366" s="49"/>
      <c r="Z366" s="49"/>
      <c r="AA366" s="49"/>
    </row>
    <row r="367" spans="1:27" x14ac:dyDescent="0.25">
      <c r="A367" s="458"/>
      <c r="B367" s="130">
        <v>19</v>
      </c>
      <c r="C367" s="234" t="str">
        <f>'Du toan chi tiet'!C27</f>
        <v>SE.31330</v>
      </c>
      <c r="D367" s="234" t="str">
        <f>'Du toan chi tiet'!C27</f>
        <v>SE.31330</v>
      </c>
      <c r="E367" s="730" t="str">
        <f>'Du toan chi tiet'!D27</f>
        <v>Dán màng phản quang đầu dải phân cách</v>
      </c>
      <c r="F367" s="130" t="str">
        <f>'Du toan chi tiet'!E27</f>
        <v>m2</v>
      </c>
      <c r="G367" s="664"/>
      <c r="H367" s="282"/>
      <c r="I367" s="450"/>
      <c r="J367" s="282"/>
      <c r="K367" s="49"/>
      <c r="L367" s="49"/>
      <c r="M367" s="49"/>
      <c r="N367" s="49"/>
      <c r="O367" s="49"/>
      <c r="P367" s="49"/>
      <c r="Q367" s="49"/>
      <c r="R367" s="49"/>
      <c r="S367" s="49"/>
      <c r="T367" s="49"/>
      <c r="U367" s="49"/>
      <c r="V367" s="49"/>
      <c r="W367" s="49"/>
      <c r="X367" s="49"/>
      <c r="Y367" s="49"/>
      <c r="Z367" s="49"/>
      <c r="AA367" s="49"/>
    </row>
    <row r="368" spans="1:27" x14ac:dyDescent="0.25">
      <c r="A368" s="261"/>
      <c r="B368" s="690"/>
      <c r="C368" s="745" t="s">
        <v>98</v>
      </c>
      <c r="D368" s="745" t="s">
        <v>98</v>
      </c>
      <c r="E368" s="247" t="s">
        <v>547</v>
      </c>
      <c r="F368" s="690" t="s">
        <v>962</v>
      </c>
      <c r="G368" s="133"/>
      <c r="H368" s="44"/>
      <c r="I368" s="233"/>
      <c r="J368" s="44">
        <f>SUM(J369:J369)</f>
        <v>451000.00000000006</v>
      </c>
      <c r="K368" s="49"/>
      <c r="L368" s="49"/>
      <c r="M368" s="49"/>
      <c r="N368" s="49"/>
      <c r="O368" s="49"/>
      <c r="P368" s="49"/>
      <c r="Q368" s="49"/>
      <c r="R368" s="49"/>
      <c r="S368" s="49"/>
      <c r="T368" s="49"/>
      <c r="U368" s="49"/>
      <c r="V368" s="49"/>
      <c r="W368" s="49"/>
      <c r="X368" s="49"/>
      <c r="Y368" s="49"/>
      <c r="Z368" s="49"/>
      <c r="AA368" s="49"/>
    </row>
    <row r="369" spans="1:27" x14ac:dyDescent="0.25">
      <c r="A369" s="207"/>
      <c r="B369" s="641"/>
      <c r="C369" s="711" t="s">
        <v>98</v>
      </c>
      <c r="D369" s="276" t="s">
        <v>35</v>
      </c>
      <c r="E369" s="191" t="str">
        <f>" - " &amp; 'Giá VL'!E21</f>
        <v xml:space="preserve"> - Màng phản quang</v>
      </c>
      <c r="F369" s="641" t="str">
        <f>'Giá VL'!F21</f>
        <v>m2</v>
      </c>
      <c r="G369" s="67">
        <f>'Phan tich don gia'!G152</f>
        <v>1.1000000000000001</v>
      </c>
      <c r="H369" s="5">
        <f>'Giá VL'!V21</f>
        <v>410000</v>
      </c>
      <c r="I369" s="198">
        <f>'Du toan chi tiet'!V27</f>
        <v>1</v>
      </c>
      <c r="J369" s="5">
        <f>PRODUCT(G369,H369,I369)</f>
        <v>451000.00000000006</v>
      </c>
      <c r="K369" s="49"/>
      <c r="L369" s="49"/>
      <c r="M369" s="49"/>
      <c r="N369" s="49"/>
      <c r="O369" s="49"/>
      <c r="P369" s="49"/>
      <c r="Q369" s="49"/>
      <c r="R369" s="49"/>
      <c r="S369" s="49"/>
      <c r="T369" s="49"/>
      <c r="U369" s="49"/>
      <c r="V369" s="49"/>
      <c r="W369" s="49"/>
      <c r="X369" s="49"/>
      <c r="Y369" s="49"/>
      <c r="Z369" s="49"/>
      <c r="AA369" s="49"/>
    </row>
    <row r="370" spans="1:27" x14ac:dyDescent="0.25">
      <c r="A370" s="261"/>
      <c r="B370" s="690"/>
      <c r="C370" s="745" t="s">
        <v>98</v>
      </c>
      <c r="D370" s="745" t="s">
        <v>98</v>
      </c>
      <c r="E370" s="247" t="s">
        <v>301</v>
      </c>
      <c r="F370" s="690" t="s">
        <v>1018</v>
      </c>
      <c r="G370" s="133"/>
      <c r="H370" s="44"/>
      <c r="I370" s="233"/>
      <c r="J370" s="44">
        <f>SUM(J371:J371)</f>
        <v>109508</v>
      </c>
      <c r="K370" s="49"/>
      <c r="L370" s="49"/>
      <c r="M370" s="49"/>
      <c r="N370" s="49"/>
      <c r="O370" s="49"/>
      <c r="P370" s="49"/>
      <c r="Q370" s="49"/>
      <c r="R370" s="49"/>
      <c r="S370" s="49"/>
      <c r="T370" s="49"/>
      <c r="U370" s="49"/>
      <c r="V370" s="49"/>
      <c r="W370" s="49"/>
      <c r="X370" s="49"/>
      <c r="Y370" s="49"/>
      <c r="Z370" s="49"/>
      <c r="AA370" s="49"/>
    </row>
    <row r="371" spans="1:27" x14ac:dyDescent="0.25">
      <c r="A371" s="207"/>
      <c r="B371" s="641"/>
      <c r="C371" s="711" t="s">
        <v>98</v>
      </c>
      <c r="D371" s="276" t="s">
        <v>169</v>
      </c>
      <c r="E371" s="191" t="str">
        <f>" - " &amp; 'Giá NC'!E9</f>
        <v xml:space="preserve"> - Nhân công bậc 4,0/7 - Nhóm 2</v>
      </c>
      <c r="F371" s="641" t="str">
        <f>'Giá NC'!F9</f>
        <v>công</v>
      </c>
      <c r="G371" s="67">
        <f>'Phan tich don gia'!G154</f>
        <v>0.4</v>
      </c>
      <c r="H371" s="5">
        <f>'Giá NC'!K9</f>
        <v>273770</v>
      </c>
      <c r="I371" s="198">
        <f>'Du toan chi tiet'!W27</f>
        <v>1</v>
      </c>
      <c r="J371" s="5">
        <f>PRODUCT(G371,H371,I371)</f>
        <v>109508</v>
      </c>
      <c r="K371" s="49"/>
      <c r="L371" s="49"/>
      <c r="M371" s="49"/>
      <c r="N371" s="49"/>
      <c r="O371" s="49"/>
      <c r="P371" s="49"/>
      <c r="Q371" s="49"/>
      <c r="R371" s="49"/>
      <c r="S371" s="49"/>
      <c r="T371" s="49"/>
      <c r="U371" s="49"/>
      <c r="V371" s="49"/>
      <c r="W371" s="49"/>
      <c r="X371" s="49"/>
      <c r="Y371" s="49"/>
      <c r="Z371" s="49"/>
      <c r="AA371" s="49"/>
    </row>
    <row r="372" spans="1:27" x14ac:dyDescent="0.25">
      <c r="A372" s="261"/>
      <c r="B372" s="690"/>
      <c r="C372" s="745" t="s">
        <v>98</v>
      </c>
      <c r="D372" s="745" t="s">
        <v>98</v>
      </c>
      <c r="E372" s="247" t="s">
        <v>1175</v>
      </c>
      <c r="F372" s="690" t="s">
        <v>138</v>
      </c>
      <c r="G372" s="133"/>
      <c r="H372" s="44"/>
      <c r="I372" s="233"/>
      <c r="J372" s="44">
        <v>0</v>
      </c>
      <c r="K372" s="49"/>
      <c r="L372" s="49"/>
      <c r="M372" s="49"/>
      <c r="N372" s="49"/>
      <c r="O372" s="49"/>
      <c r="P372" s="49"/>
      <c r="Q372" s="49"/>
      <c r="R372" s="49"/>
      <c r="S372" s="49"/>
      <c r="T372" s="49"/>
      <c r="U372" s="49"/>
      <c r="V372" s="49"/>
      <c r="W372" s="49"/>
      <c r="X372" s="49"/>
      <c r="Y372" s="49"/>
      <c r="Z372" s="49"/>
      <c r="AA372" s="49"/>
    </row>
    <row r="373" spans="1:27" x14ac:dyDescent="0.25">
      <c r="A373" s="207"/>
      <c r="B373" s="641"/>
      <c r="C373" s="711" t="s">
        <v>98</v>
      </c>
      <c r="D373" s="276" t="s">
        <v>98</v>
      </c>
      <c r="E373" s="191" t="s">
        <v>599</v>
      </c>
      <c r="F373" s="641" t="s">
        <v>356</v>
      </c>
      <c r="G373" s="106"/>
      <c r="H373" s="5"/>
      <c r="I373" s="198"/>
      <c r="J373" s="5">
        <f>J368+J370+J372</f>
        <v>560508</v>
      </c>
      <c r="K373" s="49"/>
      <c r="L373" s="49"/>
      <c r="M373" s="49"/>
      <c r="N373" s="49"/>
      <c r="O373" s="49"/>
      <c r="P373" s="49"/>
      <c r="Q373" s="49"/>
      <c r="R373" s="49"/>
      <c r="S373" s="49"/>
      <c r="T373" s="49"/>
      <c r="U373" s="49"/>
      <c r="V373" s="49"/>
      <c r="W373" s="49"/>
      <c r="X373" s="49"/>
      <c r="Y373" s="49"/>
      <c r="Z373" s="49"/>
      <c r="AA373" s="49"/>
    </row>
    <row r="374" spans="1:27" x14ac:dyDescent="0.25">
      <c r="A374" s="207"/>
      <c r="B374" s="641"/>
      <c r="C374" s="711" t="s">
        <v>98</v>
      </c>
      <c r="D374" s="276" t="s">
        <v>98</v>
      </c>
      <c r="E374" s="191" t="s">
        <v>265</v>
      </c>
      <c r="F374" s="641" t="s">
        <v>653</v>
      </c>
      <c r="G374" s="307">
        <f>'Thông tin'!E67</f>
        <v>7.2999999999999995E-2</v>
      </c>
      <c r="H374" s="5"/>
      <c r="I374" s="198"/>
      <c r="J374" s="5">
        <f>(J373)*G374</f>
        <v>40917.083999999995</v>
      </c>
      <c r="K374" s="49"/>
      <c r="L374" s="49"/>
      <c r="M374" s="49"/>
      <c r="N374" s="49"/>
      <c r="O374" s="49"/>
      <c r="P374" s="49"/>
      <c r="Q374" s="49"/>
      <c r="R374" s="49"/>
      <c r="S374" s="49"/>
      <c r="T374" s="49"/>
      <c r="U374" s="49"/>
      <c r="V374" s="49"/>
      <c r="W374" s="49"/>
      <c r="X374" s="49"/>
      <c r="Y374" s="49"/>
      <c r="Z374" s="49"/>
      <c r="AA374" s="49"/>
    </row>
    <row r="375" spans="1:27" x14ac:dyDescent="0.25">
      <c r="A375" s="207"/>
      <c r="B375" s="641"/>
      <c r="C375" s="711" t="s">
        <v>98</v>
      </c>
      <c r="D375" s="276" t="s">
        <v>98</v>
      </c>
      <c r="E375" s="191" t="s">
        <v>765</v>
      </c>
      <c r="F375" s="641" t="s">
        <v>602</v>
      </c>
      <c r="G375" s="307">
        <f>'Thông tin'!E60</f>
        <v>1.1000000000000001E-2</v>
      </c>
      <c r="H375" s="5"/>
      <c r="I375" s="198"/>
      <c r="J375" s="5">
        <f>(J373)*G375</f>
        <v>6165.5880000000006</v>
      </c>
      <c r="K375" s="49"/>
      <c r="L375" s="49"/>
      <c r="M375" s="49"/>
      <c r="N375" s="49"/>
      <c r="O375" s="49"/>
      <c r="P375" s="49"/>
      <c r="Q375" s="49"/>
      <c r="R375" s="49"/>
      <c r="S375" s="49"/>
      <c r="T375" s="49"/>
      <c r="U375" s="49"/>
      <c r="V375" s="49"/>
      <c r="W375" s="49"/>
      <c r="X375" s="49"/>
      <c r="Y375" s="49"/>
      <c r="Z375" s="49"/>
      <c r="AA375" s="49"/>
    </row>
    <row r="376" spans="1:27" ht="30" x14ac:dyDescent="0.25">
      <c r="A376" s="207"/>
      <c r="B376" s="641"/>
      <c r="C376" s="711" t="s">
        <v>98</v>
      </c>
      <c r="D376" s="276" t="s">
        <v>98</v>
      </c>
      <c r="E376" s="191" t="s">
        <v>457</v>
      </c>
      <c r="F376" s="641" t="s">
        <v>881</v>
      </c>
      <c r="G376" s="307">
        <f>'Thông tin'!E65</f>
        <v>2.5000000000000001E-2</v>
      </c>
      <c r="H376" s="5"/>
      <c r="I376" s="198"/>
      <c r="J376" s="5">
        <f>(J373)*G376</f>
        <v>14012.7</v>
      </c>
      <c r="K376" s="49"/>
      <c r="L376" s="49"/>
      <c r="M376" s="49"/>
      <c r="N376" s="49"/>
      <c r="O376" s="49"/>
      <c r="P376" s="49"/>
      <c r="Q376" s="49"/>
      <c r="R376" s="49"/>
      <c r="S376" s="49"/>
      <c r="T376" s="49"/>
      <c r="U376" s="49"/>
      <c r="V376" s="49"/>
      <c r="W376" s="49"/>
      <c r="X376" s="49"/>
      <c r="Y376" s="49"/>
      <c r="Z376" s="49"/>
      <c r="AA376" s="49"/>
    </row>
    <row r="377" spans="1:27" x14ac:dyDescent="0.25">
      <c r="A377" s="207"/>
      <c r="B377" s="641"/>
      <c r="C377" s="711" t="s">
        <v>98</v>
      </c>
      <c r="D377" s="276" t="s">
        <v>98</v>
      </c>
      <c r="E377" s="191" t="s">
        <v>1244</v>
      </c>
      <c r="F377" s="641" t="s">
        <v>1032</v>
      </c>
      <c r="G377" s="106"/>
      <c r="H377" s="5"/>
      <c r="I377" s="198"/>
      <c r="J377" s="5">
        <f>J374+J375+J376</f>
        <v>61095.372000000003</v>
      </c>
      <c r="K377" s="49"/>
      <c r="L377" s="49"/>
      <c r="M377" s="49"/>
      <c r="N377" s="49"/>
      <c r="O377" s="49"/>
      <c r="P377" s="49"/>
      <c r="Q377" s="49"/>
      <c r="R377" s="49"/>
      <c r="S377" s="49"/>
      <c r="T377" s="49"/>
      <c r="U377" s="49"/>
      <c r="V377" s="49"/>
      <c r="W377" s="49"/>
      <c r="X377" s="49"/>
      <c r="Y377" s="49"/>
      <c r="Z377" s="49"/>
      <c r="AA377" s="49"/>
    </row>
    <row r="378" spans="1:27" x14ac:dyDescent="0.25">
      <c r="A378" s="207"/>
      <c r="B378" s="641"/>
      <c r="C378" s="711" t="s">
        <v>98</v>
      </c>
      <c r="D378" s="276" t="s">
        <v>98</v>
      </c>
      <c r="E378" s="191" t="s">
        <v>990</v>
      </c>
      <c r="F378" s="641" t="s">
        <v>307</v>
      </c>
      <c r="G378" s="307">
        <f>'Thông tin'!E63</f>
        <v>5.5E-2</v>
      </c>
      <c r="H378" s="5"/>
      <c r="I378" s="198"/>
      <c r="J378" s="5">
        <f>(J373+J377)*G378</f>
        <v>34188.185460000001</v>
      </c>
      <c r="K378" s="49"/>
      <c r="L378" s="49"/>
      <c r="M378" s="49"/>
      <c r="N378" s="49"/>
      <c r="O378" s="49"/>
      <c r="P378" s="49"/>
      <c r="Q378" s="49"/>
      <c r="R378" s="49"/>
      <c r="S378" s="49"/>
      <c r="T378" s="49"/>
      <c r="U378" s="49"/>
      <c r="V378" s="49"/>
      <c r="W378" s="49"/>
      <c r="X378" s="49"/>
      <c r="Y378" s="49"/>
      <c r="Z378" s="49"/>
      <c r="AA378" s="49"/>
    </row>
    <row r="379" spans="1:27" x14ac:dyDescent="0.25">
      <c r="A379" s="207"/>
      <c r="B379" s="641"/>
      <c r="C379" s="711" t="s">
        <v>98</v>
      </c>
      <c r="D379" s="276" t="s">
        <v>98</v>
      </c>
      <c r="E379" s="7" t="s">
        <v>142</v>
      </c>
      <c r="F379" s="499" t="s">
        <v>286</v>
      </c>
      <c r="G379" s="106"/>
      <c r="H379" s="5"/>
      <c r="I379" s="198"/>
      <c r="J379" s="620">
        <f>J373+J377+J378</f>
        <v>655791.55745999992</v>
      </c>
      <c r="K379" s="49"/>
      <c r="L379" s="49"/>
      <c r="M379" s="49"/>
      <c r="N379" s="49"/>
      <c r="O379" s="49"/>
      <c r="P379" s="49"/>
      <c r="Q379" s="49"/>
      <c r="R379" s="49"/>
      <c r="S379" s="49"/>
      <c r="T379" s="49"/>
      <c r="U379" s="49"/>
      <c r="V379" s="49"/>
      <c r="W379" s="49"/>
      <c r="X379" s="49"/>
      <c r="Y379" s="49"/>
      <c r="Z379" s="49"/>
      <c r="AA379" s="49"/>
    </row>
    <row r="380" spans="1:27" x14ac:dyDescent="0.25">
      <c r="A380" s="207"/>
      <c r="B380" s="641"/>
      <c r="C380" s="711" t="s">
        <v>98</v>
      </c>
      <c r="D380" s="276" t="s">
        <v>98</v>
      </c>
      <c r="E380" s="191" t="s">
        <v>762</v>
      </c>
      <c r="F380" s="641" t="s">
        <v>830</v>
      </c>
      <c r="G380" s="705">
        <f>'Thông tin'!E61</f>
        <v>0.08</v>
      </c>
      <c r="H380" s="5"/>
      <c r="I380" s="198"/>
      <c r="J380" s="5">
        <f>(J379)*G380</f>
        <v>52463.324596799997</v>
      </c>
      <c r="K380" s="49"/>
      <c r="L380" s="49"/>
      <c r="M380" s="49"/>
      <c r="N380" s="49"/>
      <c r="O380" s="49"/>
      <c r="P380" s="49"/>
      <c r="Q380" s="49"/>
      <c r="R380" s="49"/>
      <c r="S380" s="49"/>
      <c r="T380" s="49"/>
      <c r="U380" s="49"/>
      <c r="V380" s="49"/>
      <c r="W380" s="49"/>
      <c r="X380" s="49"/>
      <c r="Y380" s="49"/>
      <c r="Z380" s="49"/>
      <c r="AA380" s="49"/>
    </row>
    <row r="381" spans="1:27" x14ac:dyDescent="0.25">
      <c r="A381" s="122"/>
      <c r="B381" s="581"/>
      <c r="C381" s="636" t="s">
        <v>98</v>
      </c>
      <c r="D381" s="196" t="s">
        <v>98</v>
      </c>
      <c r="E381" s="728" t="s">
        <v>953</v>
      </c>
      <c r="F381" s="429" t="s">
        <v>1108</v>
      </c>
      <c r="G381" s="29"/>
      <c r="H381" s="704"/>
      <c r="I381" s="113"/>
      <c r="J381" s="657">
        <f>J379+J380</f>
        <v>708254.88205679995</v>
      </c>
      <c r="K381" s="49"/>
      <c r="L381" s="49"/>
      <c r="M381" s="49"/>
      <c r="N381" s="49"/>
      <c r="O381" s="49"/>
      <c r="P381" s="49"/>
      <c r="Q381" s="49"/>
      <c r="R381" s="49"/>
      <c r="S381" s="49"/>
      <c r="T381" s="49"/>
      <c r="U381" s="49"/>
      <c r="V381" s="49"/>
      <c r="W381" s="49"/>
      <c r="X381" s="49"/>
      <c r="Y381" s="49"/>
      <c r="Z381" s="49"/>
      <c r="AA381" s="49"/>
    </row>
    <row r="382" spans="1:27" ht="45" x14ac:dyDescent="0.25">
      <c r="A382" s="458"/>
      <c r="B382" s="130">
        <v>20</v>
      </c>
      <c r="C382" s="234" t="str">
        <f>'Du toan chi tiet'!C28</f>
        <v>AD.32531</v>
      </c>
      <c r="D382" s="234" t="str">
        <f>'Du toan chi tiet'!C28</f>
        <v>AD.32531</v>
      </c>
      <c r="E382" s="730" t="str">
        <f>'Du toan chi tiet'!D28</f>
        <v>Lắp đặt cột và biển báo phản quang - Loại biển báo phản quang: Biển tam giác cạnh 70cm</v>
      </c>
      <c r="F382" s="130" t="str">
        <f>'Du toan chi tiet'!E28</f>
        <v>cái</v>
      </c>
      <c r="G382" s="664"/>
      <c r="H382" s="282"/>
      <c r="I382" s="450"/>
      <c r="J382" s="282"/>
      <c r="K382" s="49"/>
      <c r="L382" s="49"/>
      <c r="M382" s="49"/>
      <c r="N382" s="49"/>
      <c r="O382" s="49"/>
      <c r="P382" s="49"/>
      <c r="Q382" s="49"/>
      <c r="R382" s="49"/>
      <c r="S382" s="49"/>
      <c r="T382" s="49"/>
      <c r="U382" s="49"/>
      <c r="V382" s="49"/>
      <c r="W382" s="49"/>
      <c r="X382" s="49"/>
      <c r="Y382" s="49"/>
      <c r="Z382" s="49"/>
      <c r="AA382" s="49"/>
    </row>
    <row r="383" spans="1:27" x14ac:dyDescent="0.25">
      <c r="A383" s="261"/>
      <c r="B383" s="690"/>
      <c r="C383" s="745" t="s">
        <v>98</v>
      </c>
      <c r="D383" s="745" t="s">
        <v>98</v>
      </c>
      <c r="E383" s="247" t="s">
        <v>547</v>
      </c>
      <c r="F383" s="690" t="s">
        <v>962</v>
      </c>
      <c r="G383" s="133"/>
      <c r="H383" s="44"/>
      <c r="I383" s="233"/>
      <c r="J383" s="44">
        <f>SUM(J384:J387)</f>
        <v>78213.649980450224</v>
      </c>
      <c r="K383" s="49"/>
      <c r="L383" s="49"/>
      <c r="M383" s="49"/>
      <c r="N383" s="49"/>
      <c r="O383" s="49"/>
      <c r="P383" s="49"/>
      <c r="Q383" s="49"/>
      <c r="R383" s="49"/>
      <c r="S383" s="49"/>
      <c r="T383" s="49"/>
      <c r="U383" s="49"/>
      <c r="V383" s="49"/>
      <c r="W383" s="49"/>
      <c r="X383" s="49"/>
      <c r="Y383" s="49"/>
      <c r="Z383" s="49"/>
      <c r="AA383" s="49"/>
    </row>
    <row r="384" spans="1:27" x14ac:dyDescent="0.25">
      <c r="A384" s="207"/>
      <c r="B384" s="641"/>
      <c r="C384" s="711" t="s">
        <v>98</v>
      </c>
      <c r="D384" s="276" t="s">
        <v>235</v>
      </c>
      <c r="E384" s="191" t="str">
        <f>" - " &amp; 'Giá VL'!E37</f>
        <v xml:space="preserve"> - Xi măng PCB40</v>
      </c>
      <c r="F384" s="641" t="str">
        <f>'Giá VL'!F37</f>
        <v>kg</v>
      </c>
      <c r="G384" s="67">
        <f>'Phan tich don gia'!G157</f>
        <v>23.050999999999998</v>
      </c>
      <c r="H384" s="5">
        <f>'Giá VL'!V37</f>
        <v>1587.7239999999999</v>
      </c>
      <c r="I384" s="198">
        <f>'Du toan chi tiet'!V28</f>
        <v>1</v>
      </c>
      <c r="J384" s="5">
        <f t="shared" ref="J384:J387" si="20">PRODUCT(G384,H384,I384)</f>
        <v>36598.625923999993</v>
      </c>
      <c r="K384" s="49"/>
      <c r="L384" s="49"/>
      <c r="M384" s="49"/>
      <c r="N384" s="49"/>
      <c r="O384" s="49"/>
      <c r="P384" s="49"/>
      <c r="Q384" s="49"/>
      <c r="R384" s="49"/>
      <c r="S384" s="49"/>
      <c r="T384" s="49"/>
      <c r="U384" s="49"/>
      <c r="V384" s="49"/>
      <c r="W384" s="49"/>
      <c r="X384" s="49"/>
      <c r="Y384" s="49"/>
      <c r="Z384" s="49"/>
      <c r="AA384" s="49"/>
    </row>
    <row r="385" spans="1:27" x14ac:dyDescent="0.25">
      <c r="A385" s="207"/>
      <c r="B385" s="641"/>
      <c r="C385" s="711" t="s">
        <v>98</v>
      </c>
      <c r="D385" s="276" t="s">
        <v>523</v>
      </c>
      <c r="E385" s="191" t="str">
        <f>" - " &amp; 'Giá VL'!E9</f>
        <v xml:space="preserve"> - Cát vàng</v>
      </c>
      <c r="F385" s="641" t="str">
        <f>'Giá VL'!F9</f>
        <v>m3</v>
      </c>
      <c r="G385" s="67">
        <f>'Phan tich don gia'!G158</f>
        <v>4.6991999999999999E-2</v>
      </c>
      <c r="H385" s="5">
        <f>'Giá VL'!V9</f>
        <v>345317.29174999997</v>
      </c>
      <c r="I385" s="198">
        <f>'Du toan chi tiet'!V28</f>
        <v>1</v>
      </c>
      <c r="J385" s="5">
        <f t="shared" si="20"/>
        <v>16227.150173915998</v>
      </c>
      <c r="K385" s="49"/>
      <c r="L385" s="49"/>
      <c r="M385" s="49"/>
      <c r="N385" s="49"/>
      <c r="O385" s="49"/>
      <c r="P385" s="49"/>
      <c r="Q385" s="49"/>
      <c r="R385" s="49"/>
      <c r="S385" s="49"/>
      <c r="T385" s="49"/>
      <c r="U385" s="49"/>
      <c r="V385" s="49"/>
      <c r="W385" s="49"/>
      <c r="X385" s="49"/>
      <c r="Y385" s="49"/>
      <c r="Z385" s="49"/>
      <c r="AA385" s="49"/>
    </row>
    <row r="386" spans="1:27" x14ac:dyDescent="0.25">
      <c r="A386" s="207"/>
      <c r="B386" s="641"/>
      <c r="C386" s="711" t="s">
        <v>98</v>
      </c>
      <c r="D386" s="276" t="s">
        <v>123</v>
      </c>
      <c r="E386" s="191" t="str">
        <f>" - " &amp; 'Giá VL'!E11</f>
        <v xml:space="preserve"> - Đá 1x2</v>
      </c>
      <c r="F386" s="641" t="str">
        <f>'Giá VL'!F11</f>
        <v>m3</v>
      </c>
      <c r="G386" s="67">
        <f>'Phan tich don gia'!G159</f>
        <v>7.7519000000000005E-2</v>
      </c>
      <c r="H386" s="5">
        <f>'Giá VL'!V11</f>
        <v>325404.14456500002</v>
      </c>
      <c r="I386" s="198">
        <f>'Du toan chi tiet'!V28</f>
        <v>1</v>
      </c>
      <c r="J386" s="5">
        <f t="shared" si="20"/>
        <v>25225.003882534238</v>
      </c>
      <c r="K386" s="49"/>
      <c r="L386" s="49"/>
      <c r="M386" s="49"/>
      <c r="N386" s="49"/>
      <c r="O386" s="49"/>
      <c r="P386" s="49"/>
      <c r="Q386" s="49"/>
      <c r="R386" s="49"/>
      <c r="S386" s="49"/>
      <c r="T386" s="49"/>
      <c r="U386" s="49"/>
      <c r="V386" s="49"/>
      <c r="W386" s="49"/>
      <c r="X386" s="49"/>
      <c r="Y386" s="49"/>
      <c r="Z386" s="49"/>
      <c r="AA386" s="49"/>
    </row>
    <row r="387" spans="1:27" x14ac:dyDescent="0.25">
      <c r="A387" s="207"/>
      <c r="B387" s="641"/>
      <c r="C387" s="711" t="s">
        <v>98</v>
      </c>
      <c r="D387" s="276" t="s">
        <v>956</v>
      </c>
      <c r="E387" s="191" t="str">
        <f>" - " &amp; 'Giá VL'!E23</f>
        <v xml:space="preserve"> - Nước</v>
      </c>
      <c r="F387" s="641" t="str">
        <f>'Giá VL'!F23</f>
        <v>lít</v>
      </c>
      <c r="G387" s="67">
        <f>'Phan tich don gia'!G160</f>
        <v>16.286999999999999</v>
      </c>
      <c r="H387" s="5">
        <f>'Giá VL'!V23</f>
        <v>10</v>
      </c>
      <c r="I387" s="198">
        <f>'Du toan chi tiet'!V28</f>
        <v>1</v>
      </c>
      <c r="J387" s="5">
        <f t="shared" si="20"/>
        <v>162.87</v>
      </c>
      <c r="K387" s="49"/>
      <c r="L387" s="49"/>
      <c r="M387" s="49"/>
      <c r="N387" s="49"/>
      <c r="O387" s="49"/>
      <c r="P387" s="49"/>
      <c r="Q387" s="49"/>
      <c r="R387" s="49"/>
      <c r="S387" s="49"/>
      <c r="T387" s="49"/>
      <c r="U387" s="49"/>
      <c r="V387" s="49"/>
      <c r="W387" s="49"/>
      <c r="X387" s="49"/>
      <c r="Y387" s="49"/>
      <c r="Z387" s="49"/>
      <c r="AA387" s="49"/>
    </row>
    <row r="388" spans="1:27" x14ac:dyDescent="0.25">
      <c r="A388" s="261"/>
      <c r="B388" s="690"/>
      <c r="C388" s="745" t="s">
        <v>98</v>
      </c>
      <c r="D388" s="745" t="s">
        <v>98</v>
      </c>
      <c r="E388" s="247" t="s">
        <v>301</v>
      </c>
      <c r="F388" s="690" t="s">
        <v>1018</v>
      </c>
      <c r="G388" s="133"/>
      <c r="H388" s="44"/>
      <c r="I388" s="233"/>
      <c r="J388" s="44">
        <f>SUM(J389:J389)</f>
        <v>156364</v>
      </c>
      <c r="K388" s="49"/>
      <c r="L388" s="49"/>
      <c r="M388" s="49"/>
      <c r="N388" s="49"/>
      <c r="O388" s="49"/>
      <c r="P388" s="49"/>
      <c r="Q388" s="49"/>
      <c r="R388" s="49"/>
      <c r="S388" s="49"/>
      <c r="T388" s="49"/>
      <c r="U388" s="49"/>
      <c r="V388" s="49"/>
      <c r="W388" s="49"/>
      <c r="X388" s="49"/>
      <c r="Y388" s="49"/>
      <c r="Z388" s="49"/>
      <c r="AA388" s="49"/>
    </row>
    <row r="389" spans="1:27" x14ac:dyDescent="0.25">
      <c r="A389" s="207"/>
      <c r="B389" s="641"/>
      <c r="C389" s="711" t="s">
        <v>98</v>
      </c>
      <c r="D389" s="276" t="s">
        <v>706</v>
      </c>
      <c r="E389" s="191" t="str">
        <f>" - " &amp; 'Giá NC'!E8</f>
        <v xml:space="preserve"> - Nhân công bậc 3,5/7 - Nhóm 2</v>
      </c>
      <c r="F389" s="641" t="str">
        <f>'Giá NC'!F8</f>
        <v>công</v>
      </c>
      <c r="G389" s="67">
        <f>'Phan tich don gia'!G162</f>
        <v>0.62</v>
      </c>
      <c r="H389" s="5">
        <f>'Giá NC'!K8</f>
        <v>252200</v>
      </c>
      <c r="I389" s="198">
        <f>'Du toan chi tiet'!W28</f>
        <v>1</v>
      </c>
      <c r="J389" s="5">
        <f>PRODUCT(G389,H389,I389)</f>
        <v>156364</v>
      </c>
      <c r="K389" s="49"/>
      <c r="L389" s="49"/>
      <c r="M389" s="49"/>
      <c r="N389" s="49"/>
      <c r="O389" s="49"/>
      <c r="P389" s="49"/>
      <c r="Q389" s="49"/>
      <c r="R389" s="49"/>
      <c r="S389" s="49"/>
      <c r="T389" s="49"/>
      <c r="U389" s="49"/>
      <c r="V389" s="49"/>
      <c r="W389" s="49"/>
      <c r="X389" s="49"/>
      <c r="Y389" s="49"/>
      <c r="Z389" s="49"/>
      <c r="AA389" s="49"/>
    </row>
    <row r="390" spans="1:27" x14ac:dyDescent="0.25">
      <c r="A390" s="261"/>
      <c r="B390" s="690"/>
      <c r="C390" s="745" t="s">
        <v>98</v>
      </c>
      <c r="D390" s="745" t="s">
        <v>98</v>
      </c>
      <c r="E390" s="247" t="s">
        <v>1175</v>
      </c>
      <c r="F390" s="690" t="s">
        <v>138</v>
      </c>
      <c r="G390" s="133"/>
      <c r="H390" s="44"/>
      <c r="I390" s="233"/>
      <c r="J390" s="44">
        <f>SUM(J391:J392)</f>
        <v>26333.475000000002</v>
      </c>
      <c r="K390" s="49"/>
      <c r="L390" s="49"/>
      <c r="M390" s="49"/>
      <c r="N390" s="49"/>
      <c r="O390" s="49"/>
      <c r="P390" s="49"/>
      <c r="Q390" s="49"/>
      <c r="R390" s="49"/>
      <c r="S390" s="49"/>
      <c r="T390" s="49"/>
      <c r="U390" s="49"/>
      <c r="V390" s="49"/>
      <c r="W390" s="49"/>
      <c r="X390" s="49"/>
      <c r="Y390" s="49"/>
      <c r="Z390" s="49"/>
      <c r="AA390" s="49"/>
    </row>
    <row r="391" spans="1:27" x14ac:dyDescent="0.25">
      <c r="A391" s="207"/>
      <c r="B391" s="641"/>
      <c r="C391" s="711" t="s">
        <v>98</v>
      </c>
      <c r="D391" s="276" t="s">
        <v>1060</v>
      </c>
      <c r="E391" s="191" t="str">
        <f>" - " &amp; 'Giá Máy'!E22</f>
        <v xml:space="preserve"> - Ô tô vận tải thùng 2,5T</v>
      </c>
      <c r="F391" s="641" t="str">
        <f>'Giá Máy'!F22</f>
        <v>ca</v>
      </c>
      <c r="G391" s="67">
        <f>'Phan tich don gia'!G164</f>
        <v>3.5000000000000003E-2</v>
      </c>
      <c r="H391" s="5">
        <f>'Giá Máy'!J22</f>
        <v>752384</v>
      </c>
      <c r="I391" s="198">
        <f>'Du toan chi tiet'!X28</f>
        <v>1</v>
      </c>
      <c r="J391" s="5">
        <f>PRODUCT(G391,H391,I391)</f>
        <v>26333.440000000002</v>
      </c>
      <c r="K391" s="49"/>
      <c r="L391" s="49"/>
      <c r="M391" s="49"/>
      <c r="N391" s="49"/>
      <c r="O391" s="49"/>
      <c r="P391" s="49"/>
      <c r="Q391" s="49"/>
      <c r="R391" s="49"/>
      <c r="S391" s="49"/>
      <c r="T391" s="49"/>
      <c r="U391" s="49"/>
      <c r="V391" s="49"/>
      <c r="W391" s="49"/>
      <c r="X391" s="49"/>
      <c r="Y391" s="49"/>
      <c r="Z391" s="49"/>
      <c r="AA391" s="49"/>
    </row>
    <row r="392" spans="1:27" x14ac:dyDescent="0.25">
      <c r="A392" s="207"/>
      <c r="B392" s="641"/>
      <c r="C392" s="711" t="s">
        <v>98</v>
      </c>
      <c r="D392" s="276" t="s">
        <v>98</v>
      </c>
      <c r="E392" s="191" t="s">
        <v>1230</v>
      </c>
      <c r="F392" s="641"/>
      <c r="G392" s="106"/>
      <c r="H392" s="5"/>
      <c r="I392" s="198"/>
      <c r="J392" s="5">
        <f>SUM(J393:J394)</f>
        <v>3.5000000000000003E-2</v>
      </c>
      <c r="K392" s="49"/>
      <c r="L392" s="49"/>
      <c r="M392" s="49"/>
      <c r="N392" s="49"/>
      <c r="O392" s="49"/>
      <c r="P392" s="49"/>
      <c r="Q392" s="49"/>
      <c r="R392" s="49"/>
      <c r="S392" s="49"/>
      <c r="T392" s="49"/>
      <c r="U392" s="49"/>
      <c r="V392" s="49"/>
      <c r="W392" s="49"/>
      <c r="X392" s="49"/>
      <c r="Y392" s="49"/>
      <c r="Z392" s="49"/>
      <c r="AA392" s="49"/>
    </row>
    <row r="393" spans="1:27" x14ac:dyDescent="0.25">
      <c r="A393" s="207"/>
      <c r="B393" s="641"/>
      <c r="C393" s="711" t="s">
        <v>98</v>
      </c>
      <c r="D393" s="276" t="s">
        <v>98</v>
      </c>
      <c r="E393" s="191" t="s">
        <v>52</v>
      </c>
      <c r="F393" s="641"/>
      <c r="G393" s="106"/>
      <c r="H393" s="5"/>
      <c r="I393" s="198"/>
      <c r="J393" s="5">
        <f>PRODUCT(G391,I391,'Giá Máy'!L22)</f>
        <v>0</v>
      </c>
      <c r="K393" s="49"/>
      <c r="L393" s="49"/>
      <c r="M393" s="49"/>
      <c r="N393" s="49"/>
      <c r="O393" s="49"/>
      <c r="P393" s="49"/>
      <c r="Q393" s="49"/>
      <c r="R393" s="49"/>
      <c r="S393" s="49"/>
      <c r="T393" s="49"/>
      <c r="U393" s="49"/>
      <c r="V393" s="49"/>
      <c r="W393" s="49"/>
      <c r="X393" s="49"/>
      <c r="Y393" s="49"/>
      <c r="Z393" s="49"/>
      <c r="AA393" s="49"/>
    </row>
    <row r="394" spans="1:27" x14ac:dyDescent="0.25">
      <c r="A394" s="207"/>
      <c r="B394" s="641"/>
      <c r="C394" s="711" t="s">
        <v>98</v>
      </c>
      <c r="D394" s="276" t="s">
        <v>98</v>
      </c>
      <c r="E394" s="191" t="s">
        <v>597</v>
      </c>
      <c r="F394" s="641"/>
      <c r="G394" s="106"/>
      <c r="H394" s="5"/>
      <c r="I394" s="198"/>
      <c r="J394" s="5">
        <f>PRODUCT(G391,I391,'Giá Máy'!M22)</f>
        <v>3.5000000000000003E-2</v>
      </c>
      <c r="K394" s="49"/>
      <c r="L394" s="49"/>
      <c r="M394" s="49"/>
      <c r="N394" s="49"/>
      <c r="O394" s="49"/>
      <c r="P394" s="49"/>
      <c r="Q394" s="49"/>
      <c r="R394" s="49"/>
      <c r="S394" s="49"/>
      <c r="T394" s="49"/>
      <c r="U394" s="49"/>
      <c r="V394" s="49"/>
      <c r="W394" s="49"/>
      <c r="X394" s="49"/>
      <c r="Y394" s="49"/>
      <c r="Z394" s="49"/>
      <c r="AA394" s="49"/>
    </row>
    <row r="395" spans="1:27" x14ac:dyDescent="0.25">
      <c r="A395" s="207"/>
      <c r="B395" s="641"/>
      <c r="C395" s="711" t="s">
        <v>98</v>
      </c>
      <c r="D395" s="276" t="s">
        <v>98</v>
      </c>
      <c r="E395" s="191" t="s">
        <v>599</v>
      </c>
      <c r="F395" s="641" t="s">
        <v>356</v>
      </c>
      <c r="G395" s="106"/>
      <c r="H395" s="5"/>
      <c r="I395" s="198"/>
      <c r="J395" s="5">
        <f>J383+J388+J390</f>
        <v>260911.12498045023</v>
      </c>
      <c r="K395" s="49"/>
      <c r="L395" s="49"/>
      <c r="M395" s="49"/>
      <c r="N395" s="49"/>
      <c r="O395" s="49"/>
      <c r="P395" s="49"/>
      <c r="Q395" s="49"/>
      <c r="R395" s="49"/>
      <c r="S395" s="49"/>
      <c r="T395" s="49"/>
      <c r="U395" s="49"/>
      <c r="V395" s="49"/>
      <c r="W395" s="49"/>
      <c r="X395" s="49"/>
      <c r="Y395" s="49"/>
      <c r="Z395" s="49"/>
      <c r="AA395" s="49"/>
    </row>
    <row r="396" spans="1:27" x14ac:dyDescent="0.25">
      <c r="A396" s="207"/>
      <c r="B396" s="641"/>
      <c r="C396" s="711" t="s">
        <v>98</v>
      </c>
      <c r="D396" s="276" t="s">
        <v>98</v>
      </c>
      <c r="E396" s="191" t="s">
        <v>265</v>
      </c>
      <c r="F396" s="641" t="s">
        <v>653</v>
      </c>
      <c r="G396" s="307">
        <f>'Thông tin'!E67</f>
        <v>7.2999999999999995E-2</v>
      </c>
      <c r="H396" s="5"/>
      <c r="I396" s="198"/>
      <c r="J396" s="5">
        <f>(J395)*G396</f>
        <v>19046.512123572866</v>
      </c>
      <c r="K396" s="49"/>
      <c r="L396" s="49"/>
      <c r="M396" s="49"/>
      <c r="N396" s="49"/>
      <c r="O396" s="49"/>
      <c r="P396" s="49"/>
      <c r="Q396" s="49"/>
      <c r="R396" s="49"/>
      <c r="S396" s="49"/>
      <c r="T396" s="49"/>
      <c r="U396" s="49"/>
      <c r="V396" s="49"/>
      <c r="W396" s="49"/>
      <c r="X396" s="49"/>
      <c r="Y396" s="49"/>
      <c r="Z396" s="49"/>
      <c r="AA396" s="49"/>
    </row>
    <row r="397" spans="1:27" x14ac:dyDescent="0.25">
      <c r="A397" s="207"/>
      <c r="B397" s="641"/>
      <c r="C397" s="711" t="s">
        <v>98</v>
      </c>
      <c r="D397" s="276" t="s">
        <v>98</v>
      </c>
      <c r="E397" s="191" t="s">
        <v>765</v>
      </c>
      <c r="F397" s="641" t="s">
        <v>602</v>
      </c>
      <c r="G397" s="307">
        <f>'Thông tin'!E60</f>
        <v>1.1000000000000001E-2</v>
      </c>
      <c r="H397" s="5"/>
      <c r="I397" s="198"/>
      <c r="J397" s="5">
        <f>(J395)*G397</f>
        <v>2870.0223747849527</v>
      </c>
      <c r="K397" s="49"/>
      <c r="L397" s="49"/>
      <c r="M397" s="49"/>
      <c r="N397" s="49"/>
      <c r="O397" s="49"/>
      <c r="P397" s="49"/>
      <c r="Q397" s="49"/>
      <c r="R397" s="49"/>
      <c r="S397" s="49"/>
      <c r="T397" s="49"/>
      <c r="U397" s="49"/>
      <c r="V397" s="49"/>
      <c r="W397" s="49"/>
      <c r="X397" s="49"/>
      <c r="Y397" s="49"/>
      <c r="Z397" s="49"/>
      <c r="AA397" s="49"/>
    </row>
    <row r="398" spans="1:27" ht="30" x14ac:dyDescent="0.25">
      <c r="A398" s="207"/>
      <c r="B398" s="641"/>
      <c r="C398" s="711" t="s">
        <v>98</v>
      </c>
      <c r="D398" s="276" t="s">
        <v>98</v>
      </c>
      <c r="E398" s="191" t="s">
        <v>457</v>
      </c>
      <c r="F398" s="641" t="s">
        <v>881</v>
      </c>
      <c r="G398" s="307">
        <f>'Thông tin'!E65</f>
        <v>2.5000000000000001E-2</v>
      </c>
      <c r="H398" s="5"/>
      <c r="I398" s="198"/>
      <c r="J398" s="5">
        <f>(J395)*G398</f>
        <v>6522.7781245112565</v>
      </c>
      <c r="K398" s="49"/>
      <c r="L398" s="49"/>
      <c r="M398" s="49"/>
      <c r="N398" s="49"/>
      <c r="O398" s="49"/>
      <c r="P398" s="49"/>
      <c r="Q398" s="49"/>
      <c r="R398" s="49"/>
      <c r="S398" s="49"/>
      <c r="T398" s="49"/>
      <c r="U398" s="49"/>
      <c r="V398" s="49"/>
      <c r="W398" s="49"/>
      <c r="X398" s="49"/>
      <c r="Y398" s="49"/>
      <c r="Z398" s="49"/>
      <c r="AA398" s="49"/>
    </row>
    <row r="399" spans="1:27" x14ac:dyDescent="0.25">
      <c r="A399" s="207"/>
      <c r="B399" s="641"/>
      <c r="C399" s="711" t="s">
        <v>98</v>
      </c>
      <c r="D399" s="276" t="s">
        <v>98</v>
      </c>
      <c r="E399" s="191" t="s">
        <v>1244</v>
      </c>
      <c r="F399" s="641" t="s">
        <v>1032</v>
      </c>
      <c r="G399" s="106"/>
      <c r="H399" s="5"/>
      <c r="I399" s="198"/>
      <c r="J399" s="5">
        <f>J396+J397+J398</f>
        <v>28439.312622869074</v>
      </c>
      <c r="K399" s="49"/>
      <c r="L399" s="49"/>
      <c r="M399" s="49"/>
      <c r="N399" s="49"/>
      <c r="O399" s="49"/>
      <c r="P399" s="49"/>
      <c r="Q399" s="49"/>
      <c r="R399" s="49"/>
      <c r="S399" s="49"/>
      <c r="T399" s="49"/>
      <c r="U399" s="49"/>
      <c r="V399" s="49"/>
      <c r="W399" s="49"/>
      <c r="X399" s="49"/>
      <c r="Y399" s="49"/>
      <c r="Z399" s="49"/>
      <c r="AA399" s="49"/>
    </row>
    <row r="400" spans="1:27" x14ac:dyDescent="0.25">
      <c r="A400" s="207"/>
      <c r="B400" s="641"/>
      <c r="C400" s="711" t="s">
        <v>98</v>
      </c>
      <c r="D400" s="276" t="s">
        <v>98</v>
      </c>
      <c r="E400" s="191" t="s">
        <v>990</v>
      </c>
      <c r="F400" s="641" t="s">
        <v>307</v>
      </c>
      <c r="G400" s="307">
        <f>'Thông tin'!E63</f>
        <v>5.5E-2</v>
      </c>
      <c r="H400" s="5"/>
      <c r="I400" s="198"/>
      <c r="J400" s="5">
        <f>(J395+J399)*G400</f>
        <v>15914.274068182562</v>
      </c>
      <c r="K400" s="49"/>
      <c r="L400" s="49"/>
      <c r="M400" s="49"/>
      <c r="N400" s="49"/>
      <c r="O400" s="49"/>
      <c r="P400" s="49"/>
      <c r="Q400" s="49"/>
      <c r="R400" s="49"/>
      <c r="S400" s="49"/>
      <c r="T400" s="49"/>
      <c r="U400" s="49"/>
      <c r="V400" s="49"/>
      <c r="W400" s="49"/>
      <c r="X400" s="49"/>
      <c r="Y400" s="49"/>
      <c r="Z400" s="49"/>
      <c r="AA400" s="49"/>
    </row>
    <row r="401" spans="1:27" x14ac:dyDescent="0.25">
      <c r="A401" s="207"/>
      <c r="B401" s="641"/>
      <c r="C401" s="711" t="s">
        <v>98</v>
      </c>
      <c r="D401" s="276" t="s">
        <v>98</v>
      </c>
      <c r="E401" s="7" t="s">
        <v>142</v>
      </c>
      <c r="F401" s="499" t="s">
        <v>286</v>
      </c>
      <c r="G401" s="106"/>
      <c r="H401" s="5"/>
      <c r="I401" s="198"/>
      <c r="J401" s="620">
        <f>J395+J399+J400</f>
        <v>305264.71167150186</v>
      </c>
      <c r="K401" s="49"/>
      <c r="L401" s="49"/>
      <c r="M401" s="49"/>
      <c r="N401" s="49"/>
      <c r="O401" s="49"/>
      <c r="P401" s="49"/>
      <c r="Q401" s="49"/>
      <c r="R401" s="49"/>
      <c r="S401" s="49"/>
      <c r="T401" s="49"/>
      <c r="U401" s="49"/>
      <c r="V401" s="49"/>
      <c r="W401" s="49"/>
      <c r="X401" s="49"/>
      <c r="Y401" s="49"/>
      <c r="Z401" s="49"/>
      <c r="AA401" s="49"/>
    </row>
    <row r="402" spans="1:27" x14ac:dyDescent="0.25">
      <c r="A402" s="207"/>
      <c r="B402" s="641"/>
      <c r="C402" s="711" t="s">
        <v>98</v>
      </c>
      <c r="D402" s="276" t="s">
        <v>98</v>
      </c>
      <c r="E402" s="191" t="s">
        <v>762</v>
      </c>
      <c r="F402" s="641" t="s">
        <v>830</v>
      </c>
      <c r="G402" s="705">
        <f>'Thông tin'!E61</f>
        <v>0.08</v>
      </c>
      <c r="H402" s="5"/>
      <c r="I402" s="198"/>
      <c r="J402" s="5">
        <f>(J401)*G402</f>
        <v>24421.176933720151</v>
      </c>
      <c r="K402" s="49"/>
      <c r="L402" s="49"/>
      <c r="M402" s="49"/>
      <c r="N402" s="49"/>
      <c r="O402" s="49"/>
      <c r="P402" s="49"/>
      <c r="Q402" s="49"/>
      <c r="R402" s="49"/>
      <c r="S402" s="49"/>
      <c r="T402" s="49"/>
      <c r="U402" s="49"/>
      <c r="V402" s="49"/>
      <c r="W402" s="49"/>
      <c r="X402" s="49"/>
      <c r="Y402" s="49"/>
      <c r="Z402" s="49"/>
      <c r="AA402" s="49"/>
    </row>
    <row r="403" spans="1:27" x14ac:dyDescent="0.25">
      <c r="A403" s="122"/>
      <c r="B403" s="581"/>
      <c r="C403" s="636" t="s">
        <v>98</v>
      </c>
      <c r="D403" s="196" t="s">
        <v>98</v>
      </c>
      <c r="E403" s="728" t="s">
        <v>953</v>
      </c>
      <c r="F403" s="429" t="s">
        <v>1108</v>
      </c>
      <c r="G403" s="29"/>
      <c r="H403" s="704"/>
      <c r="I403" s="113"/>
      <c r="J403" s="657">
        <f>J401+J402</f>
        <v>329685.88860522199</v>
      </c>
      <c r="K403" s="49"/>
      <c r="L403" s="49"/>
      <c r="M403" s="49"/>
      <c r="N403" s="49"/>
      <c r="O403" s="49"/>
      <c r="P403" s="49"/>
      <c r="Q403" s="49"/>
      <c r="R403" s="49"/>
      <c r="S403" s="49"/>
      <c r="T403" s="49"/>
      <c r="U403" s="49"/>
      <c r="V403" s="49"/>
      <c r="W403" s="49"/>
      <c r="X403" s="49"/>
      <c r="Y403" s="49"/>
      <c r="Z403" s="49"/>
      <c r="AA403" s="49"/>
    </row>
    <row r="404" spans="1:27" ht="30" x14ac:dyDescent="0.25">
      <c r="A404" s="458"/>
      <c r="B404" s="130">
        <v>21</v>
      </c>
      <c r="C404" s="234" t="str">
        <f>'Du toan chi tiet'!C29</f>
        <v>AB.11413</v>
      </c>
      <c r="D404" s="234" t="str">
        <f>'Du toan chi tiet'!C29</f>
        <v>AB.11413</v>
      </c>
      <c r="E404" s="730" t="str">
        <f>'Du toan chi tiet'!D29</f>
        <v>Đào móng cột, trụ, hố kiểm tra bằng thủ công, rộng ≤1m, sâu ≤1m - Cấp đất III</v>
      </c>
      <c r="F404" s="130" t="str">
        <f>'Du toan chi tiet'!E29</f>
        <v>1m3</v>
      </c>
      <c r="G404" s="664"/>
      <c r="H404" s="282"/>
      <c r="I404" s="450"/>
      <c r="J404" s="282"/>
      <c r="K404" s="49"/>
      <c r="L404" s="49"/>
      <c r="M404" s="49"/>
      <c r="N404" s="49"/>
      <c r="O404" s="49"/>
      <c r="P404" s="49"/>
      <c r="Q404" s="49"/>
      <c r="R404" s="49"/>
      <c r="S404" s="49"/>
      <c r="T404" s="49"/>
      <c r="U404" s="49"/>
      <c r="V404" s="49"/>
      <c r="W404" s="49"/>
      <c r="X404" s="49"/>
      <c r="Y404" s="49"/>
      <c r="Z404" s="49"/>
      <c r="AA404" s="49"/>
    </row>
    <row r="405" spans="1:27" x14ac:dyDescent="0.25">
      <c r="A405" s="261"/>
      <c r="B405" s="690"/>
      <c r="C405" s="745" t="s">
        <v>98</v>
      </c>
      <c r="D405" s="745" t="s">
        <v>98</v>
      </c>
      <c r="E405" s="247" t="s">
        <v>547</v>
      </c>
      <c r="F405" s="690" t="s">
        <v>962</v>
      </c>
      <c r="G405" s="133"/>
      <c r="H405" s="44"/>
      <c r="I405" s="233"/>
      <c r="J405" s="44">
        <v>0</v>
      </c>
      <c r="K405" s="49"/>
      <c r="L405" s="49"/>
      <c r="M405" s="49"/>
      <c r="N405" s="49"/>
      <c r="O405" s="49"/>
      <c r="P405" s="49"/>
      <c r="Q405" s="49"/>
      <c r="R405" s="49"/>
      <c r="S405" s="49"/>
      <c r="T405" s="49"/>
      <c r="U405" s="49"/>
      <c r="V405" s="49"/>
      <c r="W405" s="49"/>
      <c r="X405" s="49"/>
      <c r="Y405" s="49"/>
      <c r="Z405" s="49"/>
      <c r="AA405" s="49"/>
    </row>
    <row r="406" spans="1:27" x14ac:dyDescent="0.25">
      <c r="A406" s="261"/>
      <c r="B406" s="690"/>
      <c r="C406" s="745" t="s">
        <v>98</v>
      </c>
      <c r="D406" s="745" t="s">
        <v>98</v>
      </c>
      <c r="E406" s="247" t="s">
        <v>301</v>
      </c>
      <c r="F406" s="690" t="s">
        <v>1018</v>
      </c>
      <c r="G406" s="133"/>
      <c r="H406" s="44"/>
      <c r="I406" s="233"/>
      <c r="J406" s="44">
        <f>SUM(J407:J407)</f>
        <v>415262.1</v>
      </c>
      <c r="K406" s="49"/>
      <c r="L406" s="49"/>
      <c r="M406" s="49"/>
      <c r="N406" s="49"/>
      <c r="O406" s="49"/>
      <c r="P406" s="49"/>
      <c r="Q406" s="49"/>
      <c r="R406" s="49"/>
      <c r="S406" s="49"/>
      <c r="T406" s="49"/>
      <c r="U406" s="49"/>
      <c r="V406" s="49"/>
      <c r="W406" s="49"/>
      <c r="X406" s="49"/>
      <c r="Y406" s="49"/>
      <c r="Z406" s="49"/>
      <c r="AA406" s="49"/>
    </row>
    <row r="407" spans="1:27" x14ac:dyDescent="0.25">
      <c r="A407" s="207"/>
      <c r="B407" s="641"/>
      <c r="C407" s="711" t="s">
        <v>98</v>
      </c>
      <c r="D407" s="276" t="s">
        <v>475</v>
      </c>
      <c r="E407" s="191" t="str">
        <f>" - " &amp; 'Giá NC'!E5</f>
        <v xml:space="preserve"> - Nhân công bậc 3,0/7 - Nhóm 1</v>
      </c>
      <c r="F407" s="641" t="str">
        <f>'Giá NC'!F5</f>
        <v>công</v>
      </c>
      <c r="G407" s="67">
        <f>'Phan tich don gia'!G167</f>
        <v>1.9</v>
      </c>
      <c r="H407" s="5">
        <f>'Giá NC'!K5</f>
        <v>218559</v>
      </c>
      <c r="I407" s="198">
        <f>'Du toan chi tiet'!W29</f>
        <v>1</v>
      </c>
      <c r="J407" s="5">
        <f>PRODUCT(G407,H407,I407)</f>
        <v>415262.1</v>
      </c>
      <c r="K407" s="49"/>
      <c r="L407" s="49"/>
      <c r="M407" s="49"/>
      <c r="N407" s="49"/>
      <c r="O407" s="49"/>
      <c r="P407" s="49"/>
      <c r="Q407" s="49"/>
      <c r="R407" s="49"/>
      <c r="S407" s="49"/>
      <c r="T407" s="49"/>
      <c r="U407" s="49"/>
      <c r="V407" s="49"/>
      <c r="W407" s="49"/>
      <c r="X407" s="49"/>
      <c r="Y407" s="49"/>
      <c r="Z407" s="49"/>
      <c r="AA407" s="49"/>
    </row>
    <row r="408" spans="1:27" x14ac:dyDescent="0.25">
      <c r="A408" s="261"/>
      <c r="B408" s="690"/>
      <c r="C408" s="745" t="s">
        <v>98</v>
      </c>
      <c r="D408" s="745" t="s">
        <v>98</v>
      </c>
      <c r="E408" s="247" t="s">
        <v>1175</v>
      </c>
      <c r="F408" s="690" t="s">
        <v>138</v>
      </c>
      <c r="G408" s="133"/>
      <c r="H408" s="44"/>
      <c r="I408" s="233"/>
      <c r="J408" s="44">
        <v>0</v>
      </c>
      <c r="K408" s="49"/>
      <c r="L408" s="49"/>
      <c r="M408" s="49"/>
      <c r="N408" s="49"/>
      <c r="O408" s="49"/>
      <c r="P408" s="49"/>
      <c r="Q408" s="49"/>
      <c r="R408" s="49"/>
      <c r="S408" s="49"/>
      <c r="T408" s="49"/>
      <c r="U408" s="49"/>
      <c r="V408" s="49"/>
      <c r="W408" s="49"/>
      <c r="X408" s="49"/>
      <c r="Y408" s="49"/>
      <c r="Z408" s="49"/>
      <c r="AA408" s="49"/>
    </row>
    <row r="409" spans="1:27" x14ac:dyDescent="0.25">
      <c r="A409" s="207"/>
      <c r="B409" s="641"/>
      <c r="C409" s="711" t="s">
        <v>98</v>
      </c>
      <c r="D409" s="276" t="s">
        <v>98</v>
      </c>
      <c r="E409" s="191" t="s">
        <v>599</v>
      </c>
      <c r="F409" s="641" t="s">
        <v>356</v>
      </c>
      <c r="G409" s="106"/>
      <c r="H409" s="5"/>
      <c r="I409" s="198"/>
      <c r="J409" s="5">
        <f>J405+J406+J408</f>
        <v>415262.1</v>
      </c>
      <c r="K409" s="49"/>
      <c r="L409" s="49"/>
      <c r="M409" s="49"/>
      <c r="N409" s="49"/>
      <c r="O409" s="49"/>
      <c r="P409" s="49"/>
      <c r="Q409" s="49"/>
      <c r="R409" s="49"/>
      <c r="S409" s="49"/>
      <c r="T409" s="49"/>
      <c r="U409" s="49"/>
      <c r="V409" s="49"/>
      <c r="W409" s="49"/>
      <c r="X409" s="49"/>
      <c r="Y409" s="49"/>
      <c r="Z409" s="49"/>
      <c r="AA409" s="49"/>
    </row>
    <row r="410" spans="1:27" x14ac:dyDescent="0.25">
      <c r="A410" s="207"/>
      <c r="B410" s="641"/>
      <c r="C410" s="711" t="s">
        <v>98</v>
      </c>
      <c r="D410" s="276" t="s">
        <v>98</v>
      </c>
      <c r="E410" s="191" t="s">
        <v>265</v>
      </c>
      <c r="F410" s="641" t="s">
        <v>653</v>
      </c>
      <c r="G410" s="307">
        <f>'Thông tin'!E67</f>
        <v>7.2999999999999995E-2</v>
      </c>
      <c r="H410" s="5"/>
      <c r="I410" s="198"/>
      <c r="J410" s="5">
        <f>(J409)*G410</f>
        <v>30314.133299999998</v>
      </c>
      <c r="K410" s="49"/>
      <c r="L410" s="49"/>
      <c r="M410" s="49"/>
      <c r="N410" s="49"/>
      <c r="O410" s="49"/>
      <c r="P410" s="49"/>
      <c r="Q410" s="49"/>
      <c r="R410" s="49"/>
      <c r="S410" s="49"/>
      <c r="T410" s="49"/>
      <c r="U410" s="49"/>
      <c r="V410" s="49"/>
      <c r="W410" s="49"/>
      <c r="X410" s="49"/>
      <c r="Y410" s="49"/>
      <c r="Z410" s="49"/>
      <c r="AA410" s="49"/>
    </row>
    <row r="411" spans="1:27" x14ac:dyDescent="0.25">
      <c r="A411" s="207"/>
      <c r="B411" s="641"/>
      <c r="C411" s="711" t="s">
        <v>98</v>
      </c>
      <c r="D411" s="276" t="s">
        <v>98</v>
      </c>
      <c r="E411" s="191" t="s">
        <v>765</v>
      </c>
      <c r="F411" s="641" t="s">
        <v>602</v>
      </c>
      <c r="G411" s="307">
        <f>'Thông tin'!E60</f>
        <v>1.1000000000000001E-2</v>
      </c>
      <c r="H411" s="5"/>
      <c r="I411" s="198"/>
      <c r="J411" s="5">
        <f>(J409)*G411</f>
        <v>4567.8831</v>
      </c>
      <c r="K411" s="49"/>
      <c r="L411" s="49"/>
      <c r="M411" s="49"/>
      <c r="N411" s="49"/>
      <c r="O411" s="49"/>
      <c r="P411" s="49"/>
      <c r="Q411" s="49"/>
      <c r="R411" s="49"/>
      <c r="S411" s="49"/>
      <c r="T411" s="49"/>
      <c r="U411" s="49"/>
      <c r="V411" s="49"/>
      <c r="W411" s="49"/>
      <c r="X411" s="49"/>
      <c r="Y411" s="49"/>
      <c r="Z411" s="49"/>
      <c r="AA411" s="49"/>
    </row>
    <row r="412" spans="1:27" ht="30" x14ac:dyDescent="0.25">
      <c r="A412" s="207"/>
      <c r="B412" s="641"/>
      <c r="C412" s="711" t="s">
        <v>98</v>
      </c>
      <c r="D412" s="276" t="s">
        <v>98</v>
      </c>
      <c r="E412" s="191" t="s">
        <v>457</v>
      </c>
      <c r="F412" s="641" t="s">
        <v>881</v>
      </c>
      <c r="G412" s="307">
        <f>'Thông tin'!E65</f>
        <v>2.5000000000000001E-2</v>
      </c>
      <c r="H412" s="5"/>
      <c r="I412" s="198"/>
      <c r="J412" s="5">
        <f>(J409)*G412</f>
        <v>10381.5525</v>
      </c>
      <c r="K412" s="49"/>
      <c r="L412" s="49"/>
      <c r="M412" s="49"/>
      <c r="N412" s="49"/>
      <c r="O412" s="49"/>
      <c r="P412" s="49"/>
      <c r="Q412" s="49"/>
      <c r="R412" s="49"/>
      <c r="S412" s="49"/>
      <c r="T412" s="49"/>
      <c r="U412" s="49"/>
      <c r="V412" s="49"/>
      <c r="W412" s="49"/>
      <c r="X412" s="49"/>
      <c r="Y412" s="49"/>
      <c r="Z412" s="49"/>
      <c r="AA412" s="49"/>
    </row>
    <row r="413" spans="1:27" x14ac:dyDescent="0.25">
      <c r="A413" s="207"/>
      <c r="B413" s="641"/>
      <c r="C413" s="711" t="s">
        <v>98</v>
      </c>
      <c r="D413" s="276" t="s">
        <v>98</v>
      </c>
      <c r="E413" s="191" t="s">
        <v>1244</v>
      </c>
      <c r="F413" s="641" t="s">
        <v>1032</v>
      </c>
      <c r="G413" s="106"/>
      <c r="H413" s="5"/>
      <c r="I413" s="198"/>
      <c r="J413" s="5">
        <f>J410+J411+J412</f>
        <v>45263.568899999998</v>
      </c>
      <c r="K413" s="49"/>
      <c r="L413" s="49"/>
      <c r="M413" s="49"/>
      <c r="N413" s="49"/>
      <c r="O413" s="49"/>
      <c r="P413" s="49"/>
      <c r="Q413" s="49"/>
      <c r="R413" s="49"/>
      <c r="S413" s="49"/>
      <c r="T413" s="49"/>
      <c r="U413" s="49"/>
      <c r="V413" s="49"/>
      <c r="W413" s="49"/>
      <c r="X413" s="49"/>
      <c r="Y413" s="49"/>
      <c r="Z413" s="49"/>
      <c r="AA413" s="49"/>
    </row>
    <row r="414" spans="1:27" x14ac:dyDescent="0.25">
      <c r="A414" s="207"/>
      <c r="B414" s="641"/>
      <c r="C414" s="711" t="s">
        <v>98</v>
      </c>
      <c r="D414" s="276" t="s">
        <v>98</v>
      </c>
      <c r="E414" s="191" t="s">
        <v>990</v>
      </c>
      <c r="F414" s="641" t="s">
        <v>307</v>
      </c>
      <c r="G414" s="307">
        <f>'Thông tin'!E63</f>
        <v>5.5E-2</v>
      </c>
      <c r="H414" s="5"/>
      <c r="I414" s="198"/>
      <c r="J414" s="5">
        <f>(J409+J413)*G414</f>
        <v>25328.911789499998</v>
      </c>
      <c r="K414" s="49"/>
      <c r="L414" s="49"/>
      <c r="M414" s="49"/>
      <c r="N414" s="49"/>
      <c r="O414" s="49"/>
      <c r="P414" s="49"/>
      <c r="Q414" s="49"/>
      <c r="R414" s="49"/>
      <c r="S414" s="49"/>
      <c r="T414" s="49"/>
      <c r="U414" s="49"/>
      <c r="V414" s="49"/>
      <c r="W414" s="49"/>
      <c r="X414" s="49"/>
      <c r="Y414" s="49"/>
      <c r="Z414" s="49"/>
      <c r="AA414" s="49"/>
    </row>
    <row r="415" spans="1:27" x14ac:dyDescent="0.25">
      <c r="A415" s="207"/>
      <c r="B415" s="641"/>
      <c r="C415" s="711" t="s">
        <v>98</v>
      </c>
      <c r="D415" s="276" t="s">
        <v>98</v>
      </c>
      <c r="E415" s="7" t="s">
        <v>142</v>
      </c>
      <c r="F415" s="499" t="s">
        <v>286</v>
      </c>
      <c r="G415" s="106"/>
      <c r="H415" s="5"/>
      <c r="I415" s="198"/>
      <c r="J415" s="620">
        <f>J409+J413+J414</f>
        <v>485854.58068949997</v>
      </c>
      <c r="K415" s="49"/>
      <c r="L415" s="49"/>
      <c r="M415" s="49"/>
      <c r="N415" s="49"/>
      <c r="O415" s="49"/>
      <c r="P415" s="49"/>
      <c r="Q415" s="49"/>
      <c r="R415" s="49"/>
      <c r="S415" s="49"/>
      <c r="T415" s="49"/>
      <c r="U415" s="49"/>
      <c r="V415" s="49"/>
      <c r="W415" s="49"/>
      <c r="X415" s="49"/>
      <c r="Y415" s="49"/>
      <c r="Z415" s="49"/>
      <c r="AA415" s="49"/>
    </row>
    <row r="416" spans="1:27" x14ac:dyDescent="0.25">
      <c r="A416" s="207"/>
      <c r="B416" s="641"/>
      <c r="C416" s="711" t="s">
        <v>98</v>
      </c>
      <c r="D416" s="276" t="s">
        <v>98</v>
      </c>
      <c r="E416" s="191" t="s">
        <v>762</v>
      </c>
      <c r="F416" s="641" t="s">
        <v>830</v>
      </c>
      <c r="G416" s="705">
        <f>'Thông tin'!E61</f>
        <v>0.08</v>
      </c>
      <c r="H416" s="5"/>
      <c r="I416" s="198"/>
      <c r="J416" s="5">
        <f>(J415)*G416</f>
        <v>38868.366455160001</v>
      </c>
      <c r="K416" s="49"/>
      <c r="L416" s="49"/>
      <c r="M416" s="49"/>
      <c r="N416" s="49"/>
      <c r="O416" s="49"/>
      <c r="P416" s="49"/>
      <c r="Q416" s="49"/>
      <c r="R416" s="49"/>
      <c r="S416" s="49"/>
      <c r="T416" s="49"/>
      <c r="U416" s="49"/>
      <c r="V416" s="49"/>
      <c r="W416" s="49"/>
      <c r="X416" s="49"/>
      <c r="Y416" s="49"/>
      <c r="Z416" s="49"/>
      <c r="AA416" s="49"/>
    </row>
    <row r="417" spans="1:27" x14ac:dyDescent="0.25">
      <c r="A417" s="122"/>
      <c r="B417" s="581"/>
      <c r="C417" s="636" t="s">
        <v>98</v>
      </c>
      <c r="D417" s="196" t="s">
        <v>98</v>
      </c>
      <c r="E417" s="728" t="s">
        <v>953</v>
      </c>
      <c r="F417" s="429" t="s">
        <v>1108</v>
      </c>
      <c r="G417" s="29"/>
      <c r="H417" s="704"/>
      <c r="I417" s="113"/>
      <c r="J417" s="657">
        <f>J415+J416</f>
        <v>524722.94714465993</v>
      </c>
      <c r="K417" s="49"/>
      <c r="L417" s="49"/>
      <c r="M417" s="49"/>
      <c r="N417" s="49"/>
      <c r="O417" s="49"/>
      <c r="P417" s="49"/>
      <c r="Q417" s="49"/>
      <c r="R417" s="49"/>
      <c r="S417" s="49"/>
      <c r="T417" s="49"/>
      <c r="U417" s="49"/>
      <c r="V417" s="49"/>
      <c r="W417" s="49"/>
      <c r="X417" s="49"/>
      <c r="Y417" s="49"/>
      <c r="Z417" s="49"/>
      <c r="AA417" s="49"/>
    </row>
    <row r="418" spans="1:27" ht="30" x14ac:dyDescent="0.25">
      <c r="A418" s="458"/>
      <c r="B418" s="130">
        <v>22</v>
      </c>
      <c r="C418" s="234" t="str">
        <f>'Du toan chi tiet'!C30</f>
        <v>AB.13111</v>
      </c>
      <c r="D418" s="234" t="str">
        <f>'Du toan chi tiet'!C30</f>
        <v>AB.13111</v>
      </c>
      <c r="E418" s="730" t="str">
        <f>'Du toan chi tiet'!D30</f>
        <v>Đắp đất nền móng công trình, nền đường bằng thủ công</v>
      </c>
      <c r="F418" s="130" t="str">
        <f>'Du toan chi tiet'!E30</f>
        <v>m3</v>
      </c>
      <c r="G418" s="664"/>
      <c r="H418" s="282"/>
      <c r="I418" s="450"/>
      <c r="J418" s="282"/>
      <c r="K418" s="49"/>
      <c r="L418" s="49"/>
      <c r="M418" s="49"/>
      <c r="N418" s="49"/>
      <c r="O418" s="49"/>
      <c r="P418" s="49"/>
      <c r="Q418" s="49"/>
      <c r="R418" s="49"/>
      <c r="S418" s="49"/>
      <c r="T418" s="49"/>
      <c r="U418" s="49"/>
      <c r="V418" s="49"/>
      <c r="W418" s="49"/>
      <c r="X418" s="49"/>
      <c r="Y418" s="49"/>
      <c r="Z418" s="49"/>
      <c r="AA418" s="49"/>
    </row>
    <row r="419" spans="1:27" x14ac:dyDescent="0.25">
      <c r="A419" s="261"/>
      <c r="B419" s="690"/>
      <c r="C419" s="745" t="s">
        <v>98</v>
      </c>
      <c r="D419" s="745" t="s">
        <v>98</v>
      </c>
      <c r="E419" s="247" t="s">
        <v>547</v>
      </c>
      <c r="F419" s="690" t="s">
        <v>962</v>
      </c>
      <c r="G419" s="133"/>
      <c r="H419" s="44"/>
      <c r="I419" s="233"/>
      <c r="J419" s="44">
        <v>0</v>
      </c>
      <c r="K419" s="49"/>
      <c r="L419" s="49"/>
      <c r="M419" s="49"/>
      <c r="N419" s="49"/>
      <c r="O419" s="49"/>
      <c r="P419" s="49"/>
      <c r="Q419" s="49"/>
      <c r="R419" s="49"/>
      <c r="S419" s="49"/>
      <c r="T419" s="49"/>
      <c r="U419" s="49"/>
      <c r="V419" s="49"/>
      <c r="W419" s="49"/>
      <c r="X419" s="49"/>
      <c r="Y419" s="49"/>
      <c r="Z419" s="49"/>
      <c r="AA419" s="49"/>
    </row>
    <row r="420" spans="1:27" x14ac:dyDescent="0.25">
      <c r="A420" s="261"/>
      <c r="B420" s="690"/>
      <c r="C420" s="745" t="s">
        <v>98</v>
      </c>
      <c r="D420" s="745" t="s">
        <v>98</v>
      </c>
      <c r="E420" s="247" t="s">
        <v>301</v>
      </c>
      <c r="F420" s="690" t="s">
        <v>1018</v>
      </c>
      <c r="G420" s="133"/>
      <c r="H420" s="44"/>
      <c r="I420" s="233"/>
      <c r="J420" s="44">
        <f>SUM(J421:J421)</f>
        <v>122393.04000000001</v>
      </c>
      <c r="K420" s="49"/>
      <c r="L420" s="49"/>
      <c r="M420" s="49"/>
      <c r="N420" s="49"/>
      <c r="O420" s="49"/>
      <c r="P420" s="49"/>
      <c r="Q420" s="49"/>
      <c r="R420" s="49"/>
      <c r="S420" s="49"/>
      <c r="T420" s="49"/>
      <c r="U420" s="49"/>
      <c r="V420" s="49"/>
      <c r="W420" s="49"/>
      <c r="X420" s="49"/>
      <c r="Y420" s="49"/>
      <c r="Z420" s="49"/>
      <c r="AA420" s="49"/>
    </row>
    <row r="421" spans="1:27" x14ac:dyDescent="0.25">
      <c r="A421" s="207"/>
      <c r="B421" s="641"/>
      <c r="C421" s="711" t="s">
        <v>98</v>
      </c>
      <c r="D421" s="276" t="s">
        <v>475</v>
      </c>
      <c r="E421" s="191" t="str">
        <f>" - " &amp; 'Giá NC'!E5</f>
        <v xml:space="preserve"> - Nhân công bậc 3,0/7 - Nhóm 1</v>
      </c>
      <c r="F421" s="641" t="str">
        <f>'Giá NC'!F5</f>
        <v>công</v>
      </c>
      <c r="G421" s="67">
        <f>'Phan tich don gia'!G170</f>
        <v>0.56000000000000005</v>
      </c>
      <c r="H421" s="5">
        <f>'Giá NC'!K5</f>
        <v>218559</v>
      </c>
      <c r="I421" s="198">
        <f>'Du toan chi tiet'!W30</f>
        <v>1</v>
      </c>
      <c r="J421" s="5">
        <f>PRODUCT(G421,H421,I421)</f>
        <v>122393.04000000001</v>
      </c>
      <c r="K421" s="49"/>
      <c r="L421" s="49"/>
      <c r="M421" s="49"/>
      <c r="N421" s="49"/>
      <c r="O421" s="49"/>
      <c r="P421" s="49"/>
      <c r="Q421" s="49"/>
      <c r="R421" s="49"/>
      <c r="S421" s="49"/>
      <c r="T421" s="49"/>
      <c r="U421" s="49"/>
      <c r="V421" s="49"/>
      <c r="W421" s="49"/>
      <c r="X421" s="49"/>
      <c r="Y421" s="49"/>
      <c r="Z421" s="49"/>
      <c r="AA421" s="49"/>
    </row>
    <row r="422" spans="1:27" x14ac:dyDescent="0.25">
      <c r="A422" s="261"/>
      <c r="B422" s="690"/>
      <c r="C422" s="745" t="s">
        <v>98</v>
      </c>
      <c r="D422" s="745" t="s">
        <v>98</v>
      </c>
      <c r="E422" s="247" t="s">
        <v>1175</v>
      </c>
      <c r="F422" s="690" t="s">
        <v>138</v>
      </c>
      <c r="G422" s="133"/>
      <c r="H422" s="44"/>
      <c r="I422" s="233"/>
      <c r="J422" s="44">
        <v>0</v>
      </c>
      <c r="K422" s="49"/>
      <c r="L422" s="49"/>
      <c r="M422" s="49"/>
      <c r="N422" s="49"/>
      <c r="O422" s="49"/>
      <c r="P422" s="49"/>
      <c r="Q422" s="49"/>
      <c r="R422" s="49"/>
      <c r="S422" s="49"/>
      <c r="T422" s="49"/>
      <c r="U422" s="49"/>
      <c r="V422" s="49"/>
      <c r="W422" s="49"/>
      <c r="X422" s="49"/>
      <c r="Y422" s="49"/>
      <c r="Z422" s="49"/>
      <c r="AA422" s="49"/>
    </row>
    <row r="423" spans="1:27" x14ac:dyDescent="0.25">
      <c r="A423" s="207"/>
      <c r="B423" s="641"/>
      <c r="C423" s="711" t="s">
        <v>98</v>
      </c>
      <c r="D423" s="276" t="s">
        <v>98</v>
      </c>
      <c r="E423" s="191" t="s">
        <v>599</v>
      </c>
      <c r="F423" s="641" t="s">
        <v>356</v>
      </c>
      <c r="G423" s="106"/>
      <c r="H423" s="5"/>
      <c r="I423" s="198"/>
      <c r="J423" s="5">
        <f>J419+J420+J422</f>
        <v>122393.04000000001</v>
      </c>
      <c r="K423" s="49"/>
      <c r="L423" s="49"/>
      <c r="M423" s="49"/>
      <c r="N423" s="49"/>
      <c r="O423" s="49"/>
      <c r="P423" s="49"/>
      <c r="Q423" s="49"/>
      <c r="R423" s="49"/>
      <c r="S423" s="49"/>
      <c r="T423" s="49"/>
      <c r="U423" s="49"/>
      <c r="V423" s="49"/>
      <c r="W423" s="49"/>
      <c r="X423" s="49"/>
      <c r="Y423" s="49"/>
      <c r="Z423" s="49"/>
      <c r="AA423" s="49"/>
    </row>
    <row r="424" spans="1:27" x14ac:dyDescent="0.25">
      <c r="A424" s="207"/>
      <c r="B424" s="641"/>
      <c r="C424" s="711" t="s">
        <v>98</v>
      </c>
      <c r="D424" s="276" t="s">
        <v>98</v>
      </c>
      <c r="E424" s="191" t="s">
        <v>265</v>
      </c>
      <c r="F424" s="641" t="s">
        <v>653</v>
      </c>
      <c r="G424" s="307">
        <f>'Thông tin'!E67</f>
        <v>7.2999999999999995E-2</v>
      </c>
      <c r="H424" s="5"/>
      <c r="I424" s="198"/>
      <c r="J424" s="5">
        <f>(J423)*G424</f>
        <v>8934.6919199999993</v>
      </c>
      <c r="K424" s="49"/>
      <c r="L424" s="49"/>
      <c r="M424" s="49"/>
      <c r="N424" s="49"/>
      <c r="O424" s="49"/>
      <c r="P424" s="49"/>
      <c r="Q424" s="49"/>
      <c r="R424" s="49"/>
      <c r="S424" s="49"/>
      <c r="T424" s="49"/>
      <c r="U424" s="49"/>
      <c r="V424" s="49"/>
      <c r="W424" s="49"/>
      <c r="X424" s="49"/>
      <c r="Y424" s="49"/>
      <c r="Z424" s="49"/>
      <c r="AA424" s="49"/>
    </row>
    <row r="425" spans="1:27" x14ac:dyDescent="0.25">
      <c r="A425" s="207"/>
      <c r="B425" s="641"/>
      <c r="C425" s="711" t="s">
        <v>98</v>
      </c>
      <c r="D425" s="276" t="s">
        <v>98</v>
      </c>
      <c r="E425" s="191" t="s">
        <v>765</v>
      </c>
      <c r="F425" s="641" t="s">
        <v>602</v>
      </c>
      <c r="G425" s="307">
        <f>'Thông tin'!E60</f>
        <v>1.1000000000000001E-2</v>
      </c>
      <c r="H425" s="5"/>
      <c r="I425" s="198"/>
      <c r="J425" s="5">
        <f>(J423)*G425</f>
        <v>1346.3234400000001</v>
      </c>
      <c r="K425" s="49"/>
      <c r="L425" s="49"/>
      <c r="M425" s="49"/>
      <c r="N425" s="49"/>
      <c r="O425" s="49"/>
      <c r="P425" s="49"/>
      <c r="Q425" s="49"/>
      <c r="R425" s="49"/>
      <c r="S425" s="49"/>
      <c r="T425" s="49"/>
      <c r="U425" s="49"/>
      <c r="V425" s="49"/>
      <c r="W425" s="49"/>
      <c r="X425" s="49"/>
      <c r="Y425" s="49"/>
      <c r="Z425" s="49"/>
      <c r="AA425" s="49"/>
    </row>
    <row r="426" spans="1:27" ht="30" x14ac:dyDescent="0.25">
      <c r="A426" s="207"/>
      <c r="B426" s="641"/>
      <c r="C426" s="711" t="s">
        <v>98</v>
      </c>
      <c r="D426" s="276" t="s">
        <v>98</v>
      </c>
      <c r="E426" s="191" t="s">
        <v>457</v>
      </c>
      <c r="F426" s="641" t="s">
        <v>881</v>
      </c>
      <c r="G426" s="307">
        <f>'Thông tin'!E65</f>
        <v>2.5000000000000001E-2</v>
      </c>
      <c r="H426" s="5"/>
      <c r="I426" s="198"/>
      <c r="J426" s="5">
        <f>(J423)*G426</f>
        <v>3059.8260000000005</v>
      </c>
      <c r="K426" s="49"/>
      <c r="L426" s="49"/>
      <c r="M426" s="49"/>
      <c r="N426" s="49"/>
      <c r="O426" s="49"/>
      <c r="P426" s="49"/>
      <c r="Q426" s="49"/>
      <c r="R426" s="49"/>
      <c r="S426" s="49"/>
      <c r="T426" s="49"/>
      <c r="U426" s="49"/>
      <c r="V426" s="49"/>
      <c r="W426" s="49"/>
      <c r="X426" s="49"/>
      <c r="Y426" s="49"/>
      <c r="Z426" s="49"/>
      <c r="AA426" s="49"/>
    </row>
    <row r="427" spans="1:27" x14ac:dyDescent="0.25">
      <c r="A427" s="207"/>
      <c r="B427" s="641"/>
      <c r="C427" s="711" t="s">
        <v>98</v>
      </c>
      <c r="D427" s="276" t="s">
        <v>98</v>
      </c>
      <c r="E427" s="191" t="s">
        <v>1244</v>
      </c>
      <c r="F427" s="641" t="s">
        <v>1032</v>
      </c>
      <c r="G427" s="106"/>
      <c r="H427" s="5"/>
      <c r="I427" s="198"/>
      <c r="J427" s="5">
        <f>J424+J425+J426</f>
        <v>13340.84136</v>
      </c>
      <c r="K427" s="49"/>
      <c r="L427" s="49"/>
      <c r="M427" s="49"/>
      <c r="N427" s="49"/>
      <c r="O427" s="49"/>
      <c r="P427" s="49"/>
      <c r="Q427" s="49"/>
      <c r="R427" s="49"/>
      <c r="S427" s="49"/>
      <c r="T427" s="49"/>
      <c r="U427" s="49"/>
      <c r="V427" s="49"/>
      <c r="W427" s="49"/>
      <c r="X427" s="49"/>
      <c r="Y427" s="49"/>
      <c r="Z427" s="49"/>
      <c r="AA427" s="49"/>
    </row>
    <row r="428" spans="1:27" x14ac:dyDescent="0.25">
      <c r="A428" s="207"/>
      <c r="B428" s="641"/>
      <c r="C428" s="711" t="s">
        <v>98</v>
      </c>
      <c r="D428" s="276" t="s">
        <v>98</v>
      </c>
      <c r="E428" s="191" t="s">
        <v>990</v>
      </c>
      <c r="F428" s="641" t="s">
        <v>307</v>
      </c>
      <c r="G428" s="307">
        <f>'Thông tin'!E63</f>
        <v>5.5E-2</v>
      </c>
      <c r="H428" s="5"/>
      <c r="I428" s="198"/>
      <c r="J428" s="5">
        <f>(J423+J427)*G428</f>
        <v>7465.3634748000004</v>
      </c>
      <c r="K428" s="49"/>
      <c r="L428" s="49"/>
      <c r="M428" s="49"/>
      <c r="N428" s="49"/>
      <c r="O428" s="49"/>
      <c r="P428" s="49"/>
      <c r="Q428" s="49"/>
      <c r="R428" s="49"/>
      <c r="S428" s="49"/>
      <c r="T428" s="49"/>
      <c r="U428" s="49"/>
      <c r="V428" s="49"/>
      <c r="W428" s="49"/>
      <c r="X428" s="49"/>
      <c r="Y428" s="49"/>
      <c r="Z428" s="49"/>
      <c r="AA428" s="49"/>
    </row>
    <row r="429" spans="1:27" x14ac:dyDescent="0.25">
      <c r="A429" s="207"/>
      <c r="B429" s="641"/>
      <c r="C429" s="711" t="s">
        <v>98</v>
      </c>
      <c r="D429" s="276" t="s">
        <v>98</v>
      </c>
      <c r="E429" s="7" t="s">
        <v>142</v>
      </c>
      <c r="F429" s="499" t="s">
        <v>286</v>
      </c>
      <c r="G429" s="106"/>
      <c r="H429" s="5"/>
      <c r="I429" s="198"/>
      <c r="J429" s="620">
        <f>J423+J427+J428</f>
        <v>143199.24483479999</v>
      </c>
      <c r="K429" s="49"/>
      <c r="L429" s="49"/>
      <c r="M429" s="49"/>
      <c r="N429" s="49"/>
      <c r="O429" s="49"/>
      <c r="P429" s="49"/>
      <c r="Q429" s="49"/>
      <c r="R429" s="49"/>
      <c r="S429" s="49"/>
      <c r="T429" s="49"/>
      <c r="U429" s="49"/>
      <c r="V429" s="49"/>
      <c r="W429" s="49"/>
      <c r="X429" s="49"/>
      <c r="Y429" s="49"/>
      <c r="Z429" s="49"/>
      <c r="AA429" s="49"/>
    </row>
    <row r="430" spans="1:27" x14ac:dyDescent="0.25">
      <c r="A430" s="207"/>
      <c r="B430" s="641"/>
      <c r="C430" s="711" t="s">
        <v>98</v>
      </c>
      <c r="D430" s="276" t="s">
        <v>98</v>
      </c>
      <c r="E430" s="191" t="s">
        <v>762</v>
      </c>
      <c r="F430" s="641" t="s">
        <v>830</v>
      </c>
      <c r="G430" s="705">
        <f>'Thông tin'!E61</f>
        <v>0.08</v>
      </c>
      <c r="H430" s="5"/>
      <c r="I430" s="198"/>
      <c r="J430" s="5">
        <f>(J429)*G430</f>
        <v>11455.939586783999</v>
      </c>
      <c r="K430" s="49"/>
      <c r="L430" s="49"/>
      <c r="M430" s="49"/>
      <c r="N430" s="49"/>
      <c r="O430" s="49"/>
      <c r="P430" s="49"/>
      <c r="Q430" s="49"/>
      <c r="R430" s="49"/>
      <c r="S430" s="49"/>
      <c r="T430" s="49"/>
      <c r="U430" s="49"/>
      <c r="V430" s="49"/>
      <c r="W430" s="49"/>
      <c r="X430" s="49"/>
      <c r="Y430" s="49"/>
      <c r="Z430" s="49"/>
      <c r="AA430" s="49"/>
    </row>
    <row r="431" spans="1:27" x14ac:dyDescent="0.25">
      <c r="A431" s="122"/>
      <c r="B431" s="581"/>
      <c r="C431" s="636" t="s">
        <v>98</v>
      </c>
      <c r="D431" s="196" t="s">
        <v>98</v>
      </c>
      <c r="E431" s="728" t="s">
        <v>953</v>
      </c>
      <c r="F431" s="429" t="s">
        <v>1108</v>
      </c>
      <c r="G431" s="29"/>
      <c r="H431" s="704"/>
      <c r="I431" s="113"/>
      <c r="J431" s="657">
        <f>J429+J430</f>
        <v>154655.18442158398</v>
      </c>
      <c r="K431" s="49"/>
      <c r="L431" s="49"/>
      <c r="M431" s="49"/>
      <c r="N431" s="49"/>
      <c r="O431" s="49"/>
      <c r="P431" s="49"/>
      <c r="Q431" s="49"/>
      <c r="R431" s="49"/>
      <c r="S431" s="49"/>
      <c r="T431" s="49"/>
      <c r="U431" s="49"/>
      <c r="V431" s="49"/>
      <c r="W431" s="49"/>
      <c r="X431" s="49"/>
      <c r="Y431" s="49"/>
      <c r="Z431" s="49"/>
      <c r="AA431" s="49"/>
    </row>
    <row r="432" spans="1:27" ht="45" x14ac:dyDescent="0.25">
      <c r="A432" s="458"/>
      <c r="B432" s="130">
        <v>23</v>
      </c>
      <c r="C432" s="234" t="str">
        <f>'Du toan chi tiet'!C32</f>
        <v>AF.13413</v>
      </c>
      <c r="D432" s="234" t="str">
        <f>'Du toan chi tiet'!C32</f>
        <v>AF.13413</v>
      </c>
      <c r="E432" s="730" t="str">
        <f>'Du toan chi tiet'!D32</f>
        <v>Bê tông ống cống hình hộp SX bằng máy trộn, đổ bằng thủ công, bê tông M250, đá 1x2, PCB40</v>
      </c>
      <c r="F432" s="130" t="str">
        <f>'Du toan chi tiet'!E32</f>
        <v>m3</v>
      </c>
      <c r="G432" s="664"/>
      <c r="H432" s="282"/>
      <c r="I432" s="450"/>
      <c r="J432" s="282"/>
      <c r="K432" s="49"/>
      <c r="L432" s="49"/>
      <c r="M432" s="49"/>
      <c r="N432" s="49"/>
      <c r="O432" s="49"/>
      <c r="P432" s="49"/>
      <c r="Q432" s="49"/>
      <c r="R432" s="49"/>
      <c r="S432" s="49"/>
      <c r="T432" s="49"/>
      <c r="U432" s="49"/>
      <c r="V432" s="49"/>
      <c r="W432" s="49"/>
      <c r="X432" s="49"/>
      <c r="Y432" s="49"/>
      <c r="Z432" s="49"/>
      <c r="AA432" s="49"/>
    </row>
    <row r="433" spans="1:27" x14ac:dyDescent="0.25">
      <c r="A433" s="261"/>
      <c r="B433" s="690"/>
      <c r="C433" s="745" t="s">
        <v>98</v>
      </c>
      <c r="D433" s="745" t="s">
        <v>98</v>
      </c>
      <c r="E433" s="247" t="s">
        <v>547</v>
      </c>
      <c r="F433" s="690" t="s">
        <v>962</v>
      </c>
      <c r="G433" s="133"/>
      <c r="H433" s="44"/>
      <c r="I433" s="233"/>
      <c r="J433" s="44">
        <f>SUM(J434:J438)</f>
        <v>979816.61098329537</v>
      </c>
      <c r="K433" s="49"/>
      <c r="L433" s="49"/>
      <c r="M433" s="49"/>
      <c r="N433" s="49"/>
      <c r="O433" s="49"/>
      <c r="P433" s="49"/>
      <c r="Q433" s="49"/>
      <c r="R433" s="49"/>
      <c r="S433" s="49"/>
      <c r="T433" s="49"/>
      <c r="U433" s="49"/>
      <c r="V433" s="49"/>
      <c r="W433" s="49"/>
      <c r="X433" s="49"/>
      <c r="Y433" s="49"/>
      <c r="Z433" s="49"/>
      <c r="AA433" s="49"/>
    </row>
    <row r="434" spans="1:27" x14ac:dyDescent="0.25">
      <c r="A434" s="207"/>
      <c r="B434" s="641"/>
      <c r="C434" s="711" t="s">
        <v>98</v>
      </c>
      <c r="D434" s="276" t="s">
        <v>235</v>
      </c>
      <c r="E434" s="191" t="str">
        <f>" - " &amp; 'Giá VL'!E37</f>
        <v xml:space="preserve"> - Xi măng PCB40</v>
      </c>
      <c r="F434" s="641" t="str">
        <f>'Giá VL'!F37</f>
        <v>kg</v>
      </c>
      <c r="G434" s="67">
        <f>'Phan tich don gia'!G173</f>
        <v>308.52499999999998</v>
      </c>
      <c r="H434" s="5">
        <f>'Giá VL'!V37</f>
        <v>1587.7239999999999</v>
      </c>
      <c r="I434" s="198">
        <f>'Du toan chi tiet'!V32</f>
        <v>1</v>
      </c>
      <c r="J434" s="5">
        <f t="shared" ref="J434:J438" si="21">PRODUCT(G434,H434,I434)</f>
        <v>489852.54709999997</v>
      </c>
      <c r="K434" s="49"/>
      <c r="L434" s="49"/>
      <c r="M434" s="49"/>
      <c r="N434" s="49"/>
      <c r="O434" s="49"/>
      <c r="P434" s="49"/>
      <c r="Q434" s="49"/>
      <c r="R434" s="49"/>
      <c r="S434" s="49"/>
      <c r="T434" s="49"/>
      <c r="U434" s="49"/>
      <c r="V434" s="49"/>
      <c r="W434" s="49"/>
      <c r="X434" s="49"/>
      <c r="Y434" s="49"/>
      <c r="Z434" s="49"/>
      <c r="AA434" s="49"/>
    </row>
    <row r="435" spans="1:27" x14ac:dyDescent="0.25">
      <c r="A435" s="207"/>
      <c r="B435" s="641"/>
      <c r="C435" s="711" t="s">
        <v>98</v>
      </c>
      <c r="D435" s="276" t="s">
        <v>523</v>
      </c>
      <c r="E435" s="191" t="str">
        <f>" - " &amp; 'Giá VL'!E9</f>
        <v xml:space="preserve"> - Cát vàng</v>
      </c>
      <c r="F435" s="641" t="str">
        <f>'Giá VL'!F9</f>
        <v>m3</v>
      </c>
      <c r="G435" s="67">
        <f>'Phan tich don gia'!G174</f>
        <v>0.53197499999999998</v>
      </c>
      <c r="H435" s="5">
        <f>'Giá VL'!V9</f>
        <v>345317.29174999997</v>
      </c>
      <c r="I435" s="198">
        <f>'Du toan chi tiet'!V32</f>
        <v>1</v>
      </c>
      <c r="J435" s="5">
        <f t="shared" si="21"/>
        <v>183700.16627870622</v>
      </c>
      <c r="K435" s="49"/>
      <c r="L435" s="49"/>
      <c r="M435" s="49"/>
      <c r="N435" s="49"/>
      <c r="O435" s="49"/>
      <c r="P435" s="49"/>
      <c r="Q435" s="49"/>
      <c r="R435" s="49"/>
      <c r="S435" s="49"/>
      <c r="T435" s="49"/>
      <c r="U435" s="49"/>
      <c r="V435" s="49"/>
      <c r="W435" s="49"/>
      <c r="X435" s="49"/>
      <c r="Y435" s="49"/>
      <c r="Z435" s="49"/>
      <c r="AA435" s="49"/>
    </row>
    <row r="436" spans="1:27" x14ac:dyDescent="0.25">
      <c r="A436" s="207"/>
      <c r="B436" s="641"/>
      <c r="C436" s="711" t="s">
        <v>98</v>
      </c>
      <c r="D436" s="276" t="s">
        <v>123</v>
      </c>
      <c r="E436" s="191" t="str">
        <f>" - " &amp; 'Giá VL'!E11</f>
        <v xml:space="preserve"> - Đá 1x2</v>
      </c>
      <c r="F436" s="641" t="str">
        <f>'Giá VL'!F11</f>
        <v>m3</v>
      </c>
      <c r="G436" s="67">
        <f>'Phan tich don gia'!G175</f>
        <v>0.87637500000000002</v>
      </c>
      <c r="H436" s="5">
        <f>'Giá VL'!V11</f>
        <v>325404.14456500002</v>
      </c>
      <c r="I436" s="198">
        <f>'Du toan chi tiet'!V32</f>
        <v>1</v>
      </c>
      <c r="J436" s="5">
        <f t="shared" si="21"/>
        <v>285176.05719315191</v>
      </c>
      <c r="K436" s="49"/>
      <c r="L436" s="49"/>
      <c r="M436" s="49"/>
      <c r="N436" s="49"/>
      <c r="O436" s="49"/>
      <c r="P436" s="49"/>
      <c r="Q436" s="49"/>
      <c r="R436" s="49"/>
      <c r="S436" s="49"/>
      <c r="T436" s="49"/>
      <c r="U436" s="49"/>
      <c r="V436" s="49"/>
      <c r="W436" s="49"/>
      <c r="X436" s="49"/>
      <c r="Y436" s="49"/>
      <c r="Z436" s="49"/>
      <c r="AA436" s="49"/>
    </row>
    <row r="437" spans="1:27" x14ac:dyDescent="0.25">
      <c r="A437" s="207"/>
      <c r="B437" s="641"/>
      <c r="C437" s="711" t="s">
        <v>98</v>
      </c>
      <c r="D437" s="276" t="s">
        <v>956</v>
      </c>
      <c r="E437" s="191" t="str">
        <f>" - " &amp; 'Giá VL'!E23</f>
        <v xml:space="preserve"> - Nước</v>
      </c>
      <c r="F437" s="641" t="str">
        <f>'Giá VL'!F23</f>
        <v>lít</v>
      </c>
      <c r="G437" s="67">
        <f>'Phan tich don gia'!G176</f>
        <v>187.57499999999999</v>
      </c>
      <c r="H437" s="5">
        <f>'Giá VL'!V23</f>
        <v>10</v>
      </c>
      <c r="I437" s="198">
        <f>'Du toan chi tiet'!V32</f>
        <v>1</v>
      </c>
      <c r="J437" s="5">
        <f t="shared" si="21"/>
        <v>1875.75</v>
      </c>
      <c r="K437" s="49"/>
      <c r="L437" s="49"/>
      <c r="M437" s="49"/>
      <c r="N437" s="49"/>
      <c r="O437" s="49"/>
      <c r="P437" s="49"/>
      <c r="Q437" s="49"/>
      <c r="R437" s="49"/>
      <c r="S437" s="49"/>
      <c r="T437" s="49"/>
      <c r="U437" s="49"/>
      <c r="V437" s="49"/>
      <c r="W437" s="49"/>
      <c r="X437" s="49"/>
      <c r="Y437" s="49"/>
      <c r="Z437" s="49"/>
      <c r="AA437" s="49"/>
    </row>
    <row r="438" spans="1:27" x14ac:dyDescent="0.25">
      <c r="A438" s="207"/>
      <c r="B438" s="641"/>
      <c r="C438" s="711" t="s">
        <v>98</v>
      </c>
      <c r="D438" s="276" t="s">
        <v>667</v>
      </c>
      <c r="E438" s="191" t="s">
        <v>238</v>
      </c>
      <c r="F438" s="641" t="s">
        <v>1113</v>
      </c>
      <c r="G438" s="67">
        <f>'Phan tich don gia'!G177</f>
        <v>2</v>
      </c>
      <c r="H438" s="5">
        <f>IF('Du toan chi tiet'!V32&lt;&gt;0,SUM(J434:J437)/100/'Du toan chi tiet'!V32,0)</f>
        <v>9606.0452057185812</v>
      </c>
      <c r="I438" s="198">
        <f>'Du toan chi tiet'!V32</f>
        <v>1</v>
      </c>
      <c r="J438" s="5">
        <f t="shared" si="21"/>
        <v>19212.090411437162</v>
      </c>
      <c r="K438" s="49"/>
      <c r="L438" s="49"/>
      <c r="M438" s="49"/>
      <c r="N438" s="49"/>
      <c r="O438" s="49"/>
      <c r="P438" s="49"/>
      <c r="Q438" s="49"/>
      <c r="R438" s="49"/>
      <c r="S438" s="49"/>
      <c r="T438" s="49"/>
      <c r="U438" s="49"/>
      <c r="V438" s="49"/>
      <c r="W438" s="49"/>
      <c r="X438" s="49"/>
      <c r="Y438" s="49"/>
      <c r="Z438" s="49"/>
      <c r="AA438" s="49"/>
    </row>
    <row r="439" spans="1:27" x14ac:dyDescent="0.25">
      <c r="A439" s="261"/>
      <c r="B439" s="690"/>
      <c r="C439" s="745" t="s">
        <v>98</v>
      </c>
      <c r="D439" s="745" t="s">
        <v>98</v>
      </c>
      <c r="E439" s="247" t="s">
        <v>301</v>
      </c>
      <c r="F439" s="690" t="s">
        <v>1018</v>
      </c>
      <c r="G439" s="133"/>
      <c r="H439" s="44"/>
      <c r="I439" s="233"/>
      <c r="J439" s="44">
        <f>SUM(J440:J440)</f>
        <v>557362</v>
      </c>
      <c r="K439" s="49"/>
      <c r="L439" s="49"/>
      <c r="M439" s="49"/>
      <c r="N439" s="49"/>
      <c r="O439" s="49"/>
      <c r="P439" s="49"/>
      <c r="Q439" s="49"/>
      <c r="R439" s="49"/>
      <c r="S439" s="49"/>
      <c r="T439" s="49"/>
      <c r="U439" s="49"/>
      <c r="V439" s="49"/>
      <c r="W439" s="49"/>
      <c r="X439" s="49"/>
      <c r="Y439" s="49"/>
      <c r="Z439" s="49"/>
      <c r="AA439" s="49"/>
    </row>
    <row r="440" spans="1:27" x14ac:dyDescent="0.25">
      <c r="A440" s="207"/>
      <c r="B440" s="641"/>
      <c r="C440" s="711" t="s">
        <v>98</v>
      </c>
      <c r="D440" s="276" t="s">
        <v>706</v>
      </c>
      <c r="E440" s="191" t="str">
        <f>" - " &amp; 'Giá NC'!E8</f>
        <v xml:space="preserve"> - Nhân công bậc 3,5/7 - Nhóm 2</v>
      </c>
      <c r="F440" s="641" t="str">
        <f>'Giá NC'!F8</f>
        <v>công</v>
      </c>
      <c r="G440" s="67">
        <f>'Phan tich don gia'!G179</f>
        <v>2.21</v>
      </c>
      <c r="H440" s="5">
        <f>'Giá NC'!K8</f>
        <v>252200</v>
      </c>
      <c r="I440" s="198">
        <f>'Du toan chi tiet'!W32</f>
        <v>1</v>
      </c>
      <c r="J440" s="5">
        <f>PRODUCT(G440,H440,I440)</f>
        <v>557362</v>
      </c>
      <c r="K440" s="49"/>
      <c r="L440" s="49"/>
      <c r="M440" s="49"/>
      <c r="N440" s="49"/>
      <c r="O440" s="49"/>
      <c r="P440" s="49"/>
      <c r="Q440" s="49"/>
      <c r="R440" s="49"/>
      <c r="S440" s="49"/>
      <c r="T440" s="49"/>
      <c r="U440" s="49"/>
      <c r="V440" s="49"/>
      <c r="W440" s="49"/>
      <c r="X440" s="49"/>
      <c r="Y440" s="49"/>
      <c r="Z440" s="49"/>
      <c r="AA440" s="49"/>
    </row>
    <row r="441" spans="1:27" x14ac:dyDescent="0.25">
      <c r="A441" s="261"/>
      <c r="B441" s="690"/>
      <c r="C441" s="745" t="s">
        <v>98</v>
      </c>
      <c r="D441" s="745" t="s">
        <v>98</v>
      </c>
      <c r="E441" s="247" t="s">
        <v>1175</v>
      </c>
      <c r="F441" s="690" t="s">
        <v>138</v>
      </c>
      <c r="G441" s="133"/>
      <c r="H441" s="44"/>
      <c r="I441" s="233"/>
      <c r="J441" s="44">
        <f>SUM(J442:J444)</f>
        <v>53736.791000000005</v>
      </c>
      <c r="K441" s="49"/>
      <c r="L441" s="49"/>
      <c r="M441" s="49"/>
      <c r="N441" s="49"/>
      <c r="O441" s="49"/>
      <c r="P441" s="49"/>
      <c r="Q441" s="49"/>
      <c r="R441" s="49"/>
      <c r="S441" s="49"/>
      <c r="T441" s="49"/>
      <c r="U441" s="49"/>
      <c r="V441" s="49"/>
      <c r="W441" s="49"/>
      <c r="X441" s="49"/>
      <c r="Y441" s="49"/>
      <c r="Z441" s="49"/>
      <c r="AA441" s="49"/>
    </row>
    <row r="442" spans="1:27" x14ac:dyDescent="0.25">
      <c r="A442" s="207"/>
      <c r="B442" s="641"/>
      <c r="C442" s="711" t="s">
        <v>98</v>
      </c>
      <c r="D442" s="276" t="s">
        <v>113</v>
      </c>
      <c r="E442" s="191" t="str">
        <f>" - " &amp; 'Giá Máy'!E20</f>
        <v xml:space="preserve"> - Máy trộn bê tông 250 lít</v>
      </c>
      <c r="F442" s="641" t="str">
        <f>'Giá Máy'!F20</f>
        <v>ca</v>
      </c>
      <c r="G442" s="67">
        <f>'Phan tich don gia'!G181</f>
        <v>9.5000000000000001E-2</v>
      </c>
      <c r="H442" s="5">
        <f>'Giá Máy'!J20</f>
        <v>317242</v>
      </c>
      <c r="I442" s="198">
        <f>'Du toan chi tiet'!X32</f>
        <v>1</v>
      </c>
      <c r="J442" s="5">
        <f t="shared" ref="J442:J443" si="22">PRODUCT(G442,H442,I442)</f>
        <v>30137.99</v>
      </c>
      <c r="K442" s="49"/>
      <c r="L442" s="49"/>
      <c r="M442" s="49"/>
      <c r="N442" s="49"/>
      <c r="O442" s="49"/>
      <c r="P442" s="49"/>
      <c r="Q442" s="49"/>
      <c r="R442" s="49"/>
      <c r="S442" s="49"/>
      <c r="T442" s="49"/>
      <c r="U442" s="49"/>
      <c r="V442" s="49"/>
      <c r="W442" s="49"/>
      <c r="X442" s="49"/>
      <c r="Y442" s="49"/>
      <c r="Z442" s="49"/>
      <c r="AA442" s="49"/>
    </row>
    <row r="443" spans="1:27" x14ac:dyDescent="0.25">
      <c r="A443" s="207"/>
      <c r="B443" s="641"/>
      <c r="C443" s="711" t="s">
        <v>98</v>
      </c>
      <c r="D443" s="276" t="s">
        <v>194</v>
      </c>
      <c r="E443" s="191" t="str">
        <f>" - " &amp; 'Giá Máy'!E12</f>
        <v xml:space="preserve"> - Máy đầm dùi 1,5kW</v>
      </c>
      <c r="F443" s="641" t="str">
        <f>'Giá Máy'!F12</f>
        <v>ca</v>
      </c>
      <c r="G443" s="67">
        <f>'Phan tich don gia'!G182</f>
        <v>8.8999999999999996E-2</v>
      </c>
      <c r="H443" s="5">
        <f>'Giá Máy'!J12</f>
        <v>265153</v>
      </c>
      <c r="I443" s="198">
        <f>'Du toan chi tiet'!X32</f>
        <v>1</v>
      </c>
      <c r="J443" s="5">
        <f t="shared" si="22"/>
        <v>23598.616999999998</v>
      </c>
      <c r="K443" s="49"/>
      <c r="L443" s="49"/>
      <c r="M443" s="49"/>
      <c r="N443" s="49"/>
      <c r="O443" s="49"/>
      <c r="P443" s="49"/>
      <c r="Q443" s="49"/>
      <c r="R443" s="49"/>
      <c r="S443" s="49"/>
      <c r="T443" s="49"/>
      <c r="U443" s="49"/>
      <c r="V443" s="49"/>
      <c r="W443" s="49"/>
      <c r="X443" s="49"/>
      <c r="Y443" s="49"/>
      <c r="Z443" s="49"/>
      <c r="AA443" s="49"/>
    </row>
    <row r="444" spans="1:27" x14ac:dyDescent="0.25">
      <c r="A444" s="207"/>
      <c r="B444" s="641"/>
      <c r="C444" s="711" t="s">
        <v>98</v>
      </c>
      <c r="D444" s="276" t="s">
        <v>98</v>
      </c>
      <c r="E444" s="191" t="s">
        <v>1230</v>
      </c>
      <c r="F444" s="641"/>
      <c r="G444" s="106"/>
      <c r="H444" s="5"/>
      <c r="I444" s="198"/>
      <c r="J444" s="5">
        <f>SUM(J445:J446)</f>
        <v>0.184</v>
      </c>
      <c r="K444" s="49"/>
      <c r="L444" s="49"/>
      <c r="M444" s="49"/>
      <c r="N444" s="49"/>
      <c r="O444" s="49"/>
      <c r="P444" s="49"/>
      <c r="Q444" s="49"/>
      <c r="R444" s="49"/>
      <c r="S444" s="49"/>
      <c r="T444" s="49"/>
      <c r="U444" s="49"/>
      <c r="V444" s="49"/>
      <c r="W444" s="49"/>
      <c r="X444" s="49"/>
      <c r="Y444" s="49"/>
      <c r="Z444" s="49"/>
      <c r="AA444" s="49"/>
    </row>
    <row r="445" spans="1:27" x14ac:dyDescent="0.25">
      <c r="A445" s="207"/>
      <c r="B445" s="641"/>
      <c r="C445" s="711" t="s">
        <v>98</v>
      </c>
      <c r="D445" s="276" t="s">
        <v>98</v>
      </c>
      <c r="E445" s="191" t="s">
        <v>52</v>
      </c>
      <c r="F445" s="641"/>
      <c r="G445" s="106"/>
      <c r="H445" s="5"/>
      <c r="I445" s="198"/>
      <c r="J445" s="5">
        <f>PRODUCT(G442,I442,'Giá Máy'!L20)+PRODUCT(G443,I443,'Giá Máy'!L12)</f>
        <v>0</v>
      </c>
      <c r="K445" s="49"/>
      <c r="L445" s="49"/>
      <c r="M445" s="49"/>
      <c r="N445" s="49"/>
      <c r="O445" s="49"/>
      <c r="P445" s="49"/>
      <c r="Q445" s="49"/>
      <c r="R445" s="49"/>
      <c r="S445" s="49"/>
      <c r="T445" s="49"/>
      <c r="U445" s="49"/>
      <c r="V445" s="49"/>
      <c r="W445" s="49"/>
      <c r="X445" s="49"/>
      <c r="Y445" s="49"/>
      <c r="Z445" s="49"/>
      <c r="AA445" s="49"/>
    </row>
    <row r="446" spans="1:27" x14ac:dyDescent="0.25">
      <c r="A446" s="207"/>
      <c r="B446" s="641"/>
      <c r="C446" s="711" t="s">
        <v>98</v>
      </c>
      <c r="D446" s="276" t="s">
        <v>98</v>
      </c>
      <c r="E446" s="191" t="s">
        <v>597</v>
      </c>
      <c r="F446" s="641"/>
      <c r="G446" s="106"/>
      <c r="H446" s="5"/>
      <c r="I446" s="198"/>
      <c r="J446" s="5">
        <f>PRODUCT(G442,I442,'Giá Máy'!M20)+PRODUCT(G443,I443,'Giá Máy'!M12)</f>
        <v>0.184</v>
      </c>
      <c r="K446" s="49"/>
      <c r="L446" s="49"/>
      <c r="M446" s="49"/>
      <c r="N446" s="49"/>
      <c r="O446" s="49"/>
      <c r="P446" s="49"/>
      <c r="Q446" s="49"/>
      <c r="R446" s="49"/>
      <c r="S446" s="49"/>
      <c r="T446" s="49"/>
      <c r="U446" s="49"/>
      <c r="V446" s="49"/>
      <c r="W446" s="49"/>
      <c r="X446" s="49"/>
      <c r="Y446" s="49"/>
      <c r="Z446" s="49"/>
      <c r="AA446" s="49"/>
    </row>
    <row r="447" spans="1:27" x14ac:dyDescent="0.25">
      <c r="A447" s="207"/>
      <c r="B447" s="641"/>
      <c r="C447" s="711" t="s">
        <v>98</v>
      </c>
      <c r="D447" s="276" t="s">
        <v>98</v>
      </c>
      <c r="E447" s="191" t="s">
        <v>599</v>
      </c>
      <c r="F447" s="641" t="s">
        <v>356</v>
      </c>
      <c r="G447" s="106"/>
      <c r="H447" s="5"/>
      <c r="I447" s="198"/>
      <c r="J447" s="5">
        <f>J433+J439+J441</f>
        <v>1590915.4019832953</v>
      </c>
      <c r="K447" s="49"/>
      <c r="L447" s="49"/>
      <c r="M447" s="49"/>
      <c r="N447" s="49"/>
      <c r="O447" s="49"/>
      <c r="P447" s="49"/>
      <c r="Q447" s="49"/>
      <c r="R447" s="49"/>
      <c r="S447" s="49"/>
      <c r="T447" s="49"/>
      <c r="U447" s="49"/>
      <c r="V447" s="49"/>
      <c r="W447" s="49"/>
      <c r="X447" s="49"/>
      <c r="Y447" s="49"/>
      <c r="Z447" s="49"/>
      <c r="AA447" s="49"/>
    </row>
    <row r="448" spans="1:27" x14ac:dyDescent="0.25">
      <c r="A448" s="207"/>
      <c r="B448" s="641"/>
      <c r="C448" s="711" t="s">
        <v>98</v>
      </c>
      <c r="D448" s="276" t="s">
        <v>98</v>
      </c>
      <c r="E448" s="191" t="s">
        <v>265</v>
      </c>
      <c r="F448" s="641" t="s">
        <v>653</v>
      </c>
      <c r="G448" s="307">
        <f>'Thông tin'!E67</f>
        <v>7.2999999999999995E-2</v>
      </c>
      <c r="H448" s="5"/>
      <c r="I448" s="198"/>
      <c r="J448" s="5">
        <f>(J447)*G448</f>
        <v>116136.82434478056</v>
      </c>
      <c r="K448" s="49"/>
      <c r="L448" s="49"/>
      <c r="M448" s="49"/>
      <c r="N448" s="49"/>
      <c r="O448" s="49"/>
      <c r="P448" s="49"/>
      <c r="Q448" s="49"/>
      <c r="R448" s="49"/>
      <c r="S448" s="49"/>
      <c r="T448" s="49"/>
      <c r="U448" s="49"/>
      <c r="V448" s="49"/>
      <c r="W448" s="49"/>
      <c r="X448" s="49"/>
      <c r="Y448" s="49"/>
      <c r="Z448" s="49"/>
      <c r="AA448" s="49"/>
    </row>
    <row r="449" spans="1:27" x14ac:dyDescent="0.25">
      <c r="A449" s="207"/>
      <c r="B449" s="641"/>
      <c r="C449" s="711" t="s">
        <v>98</v>
      </c>
      <c r="D449" s="276" t="s">
        <v>98</v>
      </c>
      <c r="E449" s="191" t="s">
        <v>765</v>
      </c>
      <c r="F449" s="641" t="s">
        <v>602</v>
      </c>
      <c r="G449" s="307">
        <f>'Thông tin'!E60</f>
        <v>1.1000000000000001E-2</v>
      </c>
      <c r="H449" s="5"/>
      <c r="I449" s="198"/>
      <c r="J449" s="5">
        <f>(J447)*G449</f>
        <v>17500.06942181625</v>
      </c>
      <c r="K449" s="49"/>
      <c r="L449" s="49"/>
      <c r="M449" s="49"/>
      <c r="N449" s="49"/>
      <c r="O449" s="49"/>
      <c r="P449" s="49"/>
      <c r="Q449" s="49"/>
      <c r="R449" s="49"/>
      <c r="S449" s="49"/>
      <c r="T449" s="49"/>
      <c r="U449" s="49"/>
      <c r="V449" s="49"/>
      <c r="W449" s="49"/>
      <c r="X449" s="49"/>
      <c r="Y449" s="49"/>
      <c r="Z449" s="49"/>
      <c r="AA449" s="49"/>
    </row>
    <row r="450" spans="1:27" ht="30" x14ac:dyDescent="0.25">
      <c r="A450" s="207"/>
      <c r="B450" s="641"/>
      <c r="C450" s="711" t="s">
        <v>98</v>
      </c>
      <c r="D450" s="276" t="s">
        <v>98</v>
      </c>
      <c r="E450" s="191" t="s">
        <v>457</v>
      </c>
      <c r="F450" s="641" t="s">
        <v>881</v>
      </c>
      <c r="G450" s="307">
        <f>'Thông tin'!E65</f>
        <v>2.5000000000000001E-2</v>
      </c>
      <c r="H450" s="5"/>
      <c r="I450" s="198"/>
      <c r="J450" s="5">
        <f>(J447)*G450</f>
        <v>39772.885049582386</v>
      </c>
      <c r="K450" s="49"/>
      <c r="L450" s="49"/>
      <c r="M450" s="49"/>
      <c r="N450" s="49"/>
      <c r="O450" s="49"/>
      <c r="P450" s="49"/>
      <c r="Q450" s="49"/>
      <c r="R450" s="49"/>
      <c r="S450" s="49"/>
      <c r="T450" s="49"/>
      <c r="U450" s="49"/>
      <c r="V450" s="49"/>
      <c r="W450" s="49"/>
      <c r="X450" s="49"/>
      <c r="Y450" s="49"/>
      <c r="Z450" s="49"/>
      <c r="AA450" s="49"/>
    </row>
    <row r="451" spans="1:27" x14ac:dyDescent="0.25">
      <c r="A451" s="207"/>
      <c r="B451" s="641"/>
      <c r="C451" s="711" t="s">
        <v>98</v>
      </c>
      <c r="D451" s="276" t="s">
        <v>98</v>
      </c>
      <c r="E451" s="191" t="s">
        <v>1244</v>
      </c>
      <c r="F451" s="641" t="s">
        <v>1032</v>
      </c>
      <c r="G451" s="106"/>
      <c r="H451" s="5"/>
      <c r="I451" s="198"/>
      <c r="J451" s="5">
        <f>J448+J449+J450</f>
        <v>173409.7788161792</v>
      </c>
      <c r="K451" s="49"/>
      <c r="L451" s="49"/>
      <c r="M451" s="49"/>
      <c r="N451" s="49"/>
      <c r="O451" s="49"/>
      <c r="P451" s="49"/>
      <c r="Q451" s="49"/>
      <c r="R451" s="49"/>
      <c r="S451" s="49"/>
      <c r="T451" s="49"/>
      <c r="U451" s="49"/>
      <c r="V451" s="49"/>
      <c r="W451" s="49"/>
      <c r="X451" s="49"/>
      <c r="Y451" s="49"/>
      <c r="Z451" s="49"/>
      <c r="AA451" s="49"/>
    </row>
    <row r="452" spans="1:27" x14ac:dyDescent="0.25">
      <c r="A452" s="207"/>
      <c r="B452" s="641"/>
      <c r="C452" s="711" t="s">
        <v>98</v>
      </c>
      <c r="D452" s="276" t="s">
        <v>98</v>
      </c>
      <c r="E452" s="191" t="s">
        <v>990</v>
      </c>
      <c r="F452" s="641" t="s">
        <v>307</v>
      </c>
      <c r="G452" s="307">
        <f>'Thông tin'!E63</f>
        <v>5.5E-2</v>
      </c>
      <c r="H452" s="5"/>
      <c r="I452" s="198"/>
      <c r="J452" s="5">
        <f>(J447+J451)*G452</f>
        <v>97037.88494397109</v>
      </c>
      <c r="K452" s="49"/>
      <c r="L452" s="49"/>
      <c r="M452" s="49"/>
      <c r="N452" s="49"/>
      <c r="O452" s="49"/>
      <c r="P452" s="49"/>
      <c r="Q452" s="49"/>
      <c r="R452" s="49"/>
      <c r="S452" s="49"/>
      <c r="T452" s="49"/>
      <c r="U452" s="49"/>
      <c r="V452" s="49"/>
      <c r="W452" s="49"/>
      <c r="X452" s="49"/>
      <c r="Y452" s="49"/>
      <c r="Z452" s="49"/>
      <c r="AA452" s="49"/>
    </row>
    <row r="453" spans="1:27" x14ac:dyDescent="0.25">
      <c r="A453" s="207"/>
      <c r="B453" s="641"/>
      <c r="C453" s="711" t="s">
        <v>98</v>
      </c>
      <c r="D453" s="276" t="s">
        <v>98</v>
      </c>
      <c r="E453" s="7" t="s">
        <v>142</v>
      </c>
      <c r="F453" s="499" t="s">
        <v>286</v>
      </c>
      <c r="G453" s="106"/>
      <c r="H453" s="5"/>
      <c r="I453" s="198"/>
      <c r="J453" s="620">
        <f>J447+J451+J452</f>
        <v>1861363.0657434457</v>
      </c>
      <c r="K453" s="49"/>
      <c r="L453" s="49"/>
      <c r="M453" s="49"/>
      <c r="N453" s="49"/>
      <c r="O453" s="49"/>
      <c r="P453" s="49"/>
      <c r="Q453" s="49"/>
      <c r="R453" s="49"/>
      <c r="S453" s="49"/>
      <c r="T453" s="49"/>
      <c r="U453" s="49"/>
      <c r="V453" s="49"/>
      <c r="W453" s="49"/>
      <c r="X453" s="49"/>
      <c r="Y453" s="49"/>
      <c r="Z453" s="49"/>
      <c r="AA453" s="49"/>
    </row>
    <row r="454" spans="1:27" x14ac:dyDescent="0.25">
      <c r="A454" s="207"/>
      <c r="B454" s="641"/>
      <c r="C454" s="711" t="s">
        <v>98</v>
      </c>
      <c r="D454" s="276" t="s">
        <v>98</v>
      </c>
      <c r="E454" s="191" t="s">
        <v>762</v>
      </c>
      <c r="F454" s="641" t="s">
        <v>830</v>
      </c>
      <c r="G454" s="705">
        <f>'Thông tin'!E61</f>
        <v>0.08</v>
      </c>
      <c r="H454" s="5"/>
      <c r="I454" s="198"/>
      <c r="J454" s="5">
        <f>(J453)*G454</f>
        <v>148909.04525947565</v>
      </c>
      <c r="K454" s="49"/>
      <c r="L454" s="49"/>
      <c r="M454" s="49"/>
      <c r="N454" s="49"/>
      <c r="O454" s="49"/>
      <c r="P454" s="49"/>
      <c r="Q454" s="49"/>
      <c r="R454" s="49"/>
      <c r="S454" s="49"/>
      <c r="T454" s="49"/>
      <c r="U454" s="49"/>
      <c r="V454" s="49"/>
      <c r="W454" s="49"/>
      <c r="X454" s="49"/>
      <c r="Y454" s="49"/>
      <c r="Z454" s="49"/>
      <c r="AA454" s="49"/>
    </row>
    <row r="455" spans="1:27" x14ac:dyDescent="0.25">
      <c r="A455" s="122"/>
      <c r="B455" s="581"/>
      <c r="C455" s="636" t="s">
        <v>98</v>
      </c>
      <c r="D455" s="196" t="s">
        <v>98</v>
      </c>
      <c r="E455" s="728" t="s">
        <v>953</v>
      </c>
      <c r="F455" s="429" t="s">
        <v>1108</v>
      </c>
      <c r="G455" s="29"/>
      <c r="H455" s="704"/>
      <c r="I455" s="113"/>
      <c r="J455" s="657">
        <f>J453+J454</f>
        <v>2010272.1110029214</v>
      </c>
      <c r="K455" s="49"/>
      <c r="L455" s="49"/>
      <c r="M455" s="49"/>
      <c r="N455" s="49"/>
      <c r="O455" s="49"/>
      <c r="P455" s="49"/>
      <c r="Q455" s="49"/>
      <c r="R455" s="49"/>
      <c r="S455" s="49"/>
      <c r="T455" s="49"/>
      <c r="U455" s="49"/>
      <c r="V455" s="49"/>
      <c r="W455" s="49"/>
      <c r="X455" s="49"/>
      <c r="Y455" s="49"/>
      <c r="Z455" s="49"/>
      <c r="AA455" s="49"/>
    </row>
    <row r="456" spans="1:27" x14ac:dyDescent="0.25">
      <c r="A456" s="458"/>
      <c r="B456" s="130">
        <v>24</v>
      </c>
      <c r="C456" s="234" t="str">
        <f>'Du toan chi tiet'!C33</f>
        <v>AF.63310</v>
      </c>
      <c r="D456" s="234" t="str">
        <f>'Du toan chi tiet'!C33</f>
        <v>AF.63310</v>
      </c>
      <c r="E456" s="730" t="str">
        <f>'Du toan chi tiet'!D33</f>
        <v>Lắp dựng cốt thép cống, ĐK ≤10mm</v>
      </c>
      <c r="F456" s="130" t="str">
        <f>'Du toan chi tiet'!E33</f>
        <v>tấn</v>
      </c>
      <c r="G456" s="664"/>
      <c r="H456" s="282"/>
      <c r="I456" s="450"/>
      <c r="J456" s="282"/>
      <c r="K456" s="49"/>
      <c r="L456" s="49"/>
      <c r="M456" s="49"/>
      <c r="N456" s="49"/>
      <c r="O456" s="49"/>
      <c r="P456" s="49"/>
      <c r="Q456" s="49"/>
      <c r="R456" s="49"/>
      <c r="S456" s="49"/>
      <c r="T456" s="49"/>
      <c r="U456" s="49"/>
      <c r="V456" s="49"/>
      <c r="W456" s="49"/>
      <c r="X456" s="49"/>
      <c r="Y456" s="49"/>
      <c r="Z456" s="49"/>
      <c r="AA456" s="49"/>
    </row>
    <row r="457" spans="1:27" x14ac:dyDescent="0.25">
      <c r="A457" s="261"/>
      <c r="B457" s="690"/>
      <c r="C457" s="745" t="s">
        <v>98</v>
      </c>
      <c r="D457" s="745" t="s">
        <v>98</v>
      </c>
      <c r="E457" s="247" t="s">
        <v>547</v>
      </c>
      <c r="F457" s="690" t="s">
        <v>962</v>
      </c>
      <c r="G457" s="133"/>
      <c r="H457" s="44"/>
      <c r="I457" s="233"/>
      <c r="J457" s="44">
        <f>SUM(J458:J459)</f>
        <v>14800769.27537195</v>
      </c>
      <c r="K457" s="49"/>
      <c r="L457" s="49"/>
      <c r="M457" s="49"/>
      <c r="N457" s="49"/>
      <c r="O457" s="49"/>
      <c r="P457" s="49"/>
      <c r="Q457" s="49"/>
      <c r="R457" s="49"/>
      <c r="S457" s="49"/>
      <c r="T457" s="49"/>
      <c r="U457" s="49"/>
      <c r="V457" s="49"/>
      <c r="W457" s="49"/>
      <c r="X457" s="49"/>
      <c r="Y457" s="49"/>
      <c r="Z457" s="49"/>
      <c r="AA457" s="49"/>
    </row>
    <row r="458" spans="1:27" x14ac:dyDescent="0.25">
      <c r="A458" s="207"/>
      <c r="B458" s="641"/>
      <c r="C458" s="711" t="s">
        <v>98</v>
      </c>
      <c r="D458" s="276" t="s">
        <v>132</v>
      </c>
      <c r="E458" s="191" t="str">
        <f>" - " &amp; 'Giá VL'!E32</f>
        <v xml:space="preserve"> - Thép tròn Fi ≤10mm</v>
      </c>
      <c r="F458" s="641" t="str">
        <f>'Giá VL'!F32</f>
        <v>kg</v>
      </c>
      <c r="G458" s="67">
        <f>'Phan tich don gia'!G185</f>
        <v>1005</v>
      </c>
      <c r="H458" s="5">
        <f>'Giá VL'!V32</f>
        <v>14466.49579639</v>
      </c>
      <c r="I458" s="198">
        <f>'Du toan chi tiet'!V33</f>
        <v>1</v>
      </c>
      <c r="J458" s="5">
        <f t="shared" ref="J458:J459" si="23">PRODUCT(G458,H458,I458)</f>
        <v>14538828.27537195</v>
      </c>
      <c r="K458" s="49"/>
      <c r="L458" s="49"/>
      <c r="M458" s="49"/>
      <c r="N458" s="49"/>
      <c r="O458" s="49"/>
      <c r="P458" s="49"/>
      <c r="Q458" s="49"/>
      <c r="R458" s="49"/>
      <c r="S458" s="49"/>
      <c r="T458" s="49"/>
      <c r="U458" s="49"/>
      <c r="V458" s="49"/>
      <c r="W458" s="49"/>
      <c r="X458" s="49"/>
      <c r="Y458" s="49"/>
      <c r="Z458" s="49"/>
      <c r="AA458" s="49"/>
    </row>
    <row r="459" spans="1:27" x14ac:dyDescent="0.25">
      <c r="A459" s="207"/>
      <c r="B459" s="641"/>
      <c r="C459" s="711" t="s">
        <v>98</v>
      </c>
      <c r="D459" s="276" t="s">
        <v>901</v>
      </c>
      <c r="E459" s="191" t="str">
        <f>" - " &amp; 'Giá VL'!E14</f>
        <v xml:space="preserve"> - Dây thép</v>
      </c>
      <c r="F459" s="641" t="str">
        <f>'Giá VL'!F14</f>
        <v>kg</v>
      </c>
      <c r="G459" s="67">
        <f>'Phan tich don gia'!G186</f>
        <v>16.07</v>
      </c>
      <c r="H459" s="5">
        <f>'Giá VL'!V14</f>
        <v>16300</v>
      </c>
      <c r="I459" s="198">
        <f>'Du toan chi tiet'!V33</f>
        <v>1</v>
      </c>
      <c r="J459" s="5">
        <f t="shared" si="23"/>
        <v>261941</v>
      </c>
      <c r="K459" s="49"/>
      <c r="L459" s="49"/>
      <c r="M459" s="49"/>
      <c r="N459" s="49"/>
      <c r="O459" s="49"/>
      <c r="P459" s="49"/>
      <c r="Q459" s="49"/>
      <c r="R459" s="49"/>
      <c r="S459" s="49"/>
      <c r="T459" s="49"/>
      <c r="U459" s="49"/>
      <c r="V459" s="49"/>
      <c r="W459" s="49"/>
      <c r="X459" s="49"/>
      <c r="Y459" s="49"/>
      <c r="Z459" s="49"/>
      <c r="AA459" s="49"/>
    </row>
    <row r="460" spans="1:27" x14ac:dyDescent="0.25">
      <c r="A460" s="261"/>
      <c r="B460" s="690"/>
      <c r="C460" s="745" t="s">
        <v>98</v>
      </c>
      <c r="D460" s="745" t="s">
        <v>98</v>
      </c>
      <c r="E460" s="247" t="s">
        <v>301</v>
      </c>
      <c r="F460" s="690" t="s">
        <v>1018</v>
      </c>
      <c r="G460" s="133"/>
      <c r="H460" s="44"/>
      <c r="I460" s="233"/>
      <c r="J460" s="44">
        <f>SUM(J461:J461)</f>
        <v>4673266</v>
      </c>
      <c r="K460" s="49"/>
      <c r="L460" s="49"/>
      <c r="M460" s="49"/>
      <c r="N460" s="49"/>
      <c r="O460" s="49"/>
      <c r="P460" s="49"/>
      <c r="Q460" s="49"/>
      <c r="R460" s="49"/>
      <c r="S460" s="49"/>
      <c r="T460" s="49"/>
      <c r="U460" s="49"/>
      <c r="V460" s="49"/>
      <c r="W460" s="49"/>
      <c r="X460" s="49"/>
      <c r="Y460" s="49"/>
      <c r="Z460" s="49"/>
      <c r="AA460" s="49"/>
    </row>
    <row r="461" spans="1:27" x14ac:dyDescent="0.25">
      <c r="A461" s="207"/>
      <c r="B461" s="641"/>
      <c r="C461" s="711" t="s">
        <v>98</v>
      </c>
      <c r="D461" s="276" t="s">
        <v>706</v>
      </c>
      <c r="E461" s="191" t="str">
        <f>" - " &amp; 'Giá NC'!E8</f>
        <v xml:space="preserve"> - Nhân công bậc 3,5/7 - Nhóm 2</v>
      </c>
      <c r="F461" s="641" t="str">
        <f>'Giá NC'!F8</f>
        <v>công</v>
      </c>
      <c r="G461" s="67">
        <f>'Phan tich don gia'!G188</f>
        <v>18.53</v>
      </c>
      <c r="H461" s="5">
        <f>'Giá NC'!K8</f>
        <v>252200</v>
      </c>
      <c r="I461" s="198">
        <f>'Du toan chi tiet'!W33</f>
        <v>1</v>
      </c>
      <c r="J461" s="5">
        <f>PRODUCT(G461,H461,I461)</f>
        <v>4673266</v>
      </c>
      <c r="K461" s="49"/>
      <c r="L461" s="49"/>
      <c r="M461" s="49"/>
      <c r="N461" s="49"/>
      <c r="O461" s="49"/>
      <c r="P461" s="49"/>
      <c r="Q461" s="49"/>
      <c r="R461" s="49"/>
      <c r="S461" s="49"/>
      <c r="T461" s="49"/>
      <c r="U461" s="49"/>
      <c r="V461" s="49"/>
      <c r="W461" s="49"/>
      <c r="X461" s="49"/>
      <c r="Y461" s="49"/>
      <c r="Z461" s="49"/>
      <c r="AA461" s="49"/>
    </row>
    <row r="462" spans="1:27" x14ac:dyDescent="0.25">
      <c r="A462" s="261"/>
      <c r="B462" s="690"/>
      <c r="C462" s="745" t="s">
        <v>98</v>
      </c>
      <c r="D462" s="745" t="s">
        <v>98</v>
      </c>
      <c r="E462" s="247" t="s">
        <v>1175</v>
      </c>
      <c r="F462" s="690" t="s">
        <v>138</v>
      </c>
      <c r="G462" s="133"/>
      <c r="H462" s="44"/>
      <c r="I462" s="233"/>
      <c r="J462" s="44">
        <f>SUM(J463:J464)</f>
        <v>109490.8</v>
      </c>
      <c r="K462" s="49"/>
      <c r="L462" s="49"/>
      <c r="M462" s="49"/>
      <c r="N462" s="49"/>
      <c r="O462" s="49"/>
      <c r="P462" s="49"/>
      <c r="Q462" s="49"/>
      <c r="R462" s="49"/>
      <c r="S462" s="49"/>
      <c r="T462" s="49"/>
      <c r="U462" s="49"/>
      <c r="V462" s="49"/>
      <c r="W462" s="49"/>
      <c r="X462" s="49"/>
      <c r="Y462" s="49"/>
      <c r="Z462" s="49"/>
      <c r="AA462" s="49"/>
    </row>
    <row r="463" spans="1:27" x14ac:dyDescent="0.25">
      <c r="A463" s="207"/>
      <c r="B463" s="641"/>
      <c r="C463" s="711" t="s">
        <v>98</v>
      </c>
      <c r="D463" s="276" t="s">
        <v>239</v>
      </c>
      <c r="E463" s="191" t="str">
        <f>" - " &amp; 'Giá Máy'!E9</f>
        <v xml:space="preserve"> - Máy cắt uốn cốt thép 5kW</v>
      </c>
      <c r="F463" s="641" t="str">
        <f>'Giá Máy'!F9</f>
        <v>ca</v>
      </c>
      <c r="G463" s="67">
        <f>'Phan tich don gia'!G190</f>
        <v>0.4</v>
      </c>
      <c r="H463" s="5">
        <f>'Giá Máy'!J9</f>
        <v>273726</v>
      </c>
      <c r="I463" s="198">
        <f>'Du toan chi tiet'!X33</f>
        <v>1</v>
      </c>
      <c r="J463" s="5">
        <f>PRODUCT(G463,H463,I463)</f>
        <v>109490.40000000001</v>
      </c>
      <c r="K463" s="49"/>
      <c r="L463" s="49"/>
      <c r="M463" s="49"/>
      <c r="N463" s="49"/>
      <c r="O463" s="49"/>
      <c r="P463" s="49"/>
      <c r="Q463" s="49"/>
      <c r="R463" s="49"/>
      <c r="S463" s="49"/>
      <c r="T463" s="49"/>
      <c r="U463" s="49"/>
      <c r="V463" s="49"/>
      <c r="W463" s="49"/>
      <c r="X463" s="49"/>
      <c r="Y463" s="49"/>
      <c r="Z463" s="49"/>
      <c r="AA463" s="49"/>
    </row>
    <row r="464" spans="1:27" x14ac:dyDescent="0.25">
      <c r="A464" s="207"/>
      <c r="B464" s="641"/>
      <c r="C464" s="711" t="s">
        <v>98</v>
      </c>
      <c r="D464" s="276" t="s">
        <v>98</v>
      </c>
      <c r="E464" s="191" t="s">
        <v>1230</v>
      </c>
      <c r="F464" s="641"/>
      <c r="G464" s="106"/>
      <c r="H464" s="5"/>
      <c r="I464" s="198"/>
      <c r="J464" s="5">
        <f>SUM(J465:J466)</f>
        <v>0.4</v>
      </c>
      <c r="K464" s="49"/>
      <c r="L464" s="49"/>
      <c r="M464" s="49"/>
      <c r="N464" s="49"/>
      <c r="O464" s="49"/>
      <c r="P464" s="49"/>
      <c r="Q464" s="49"/>
      <c r="R464" s="49"/>
      <c r="S464" s="49"/>
      <c r="T464" s="49"/>
      <c r="U464" s="49"/>
      <c r="V464" s="49"/>
      <c r="W464" s="49"/>
      <c r="X464" s="49"/>
      <c r="Y464" s="49"/>
      <c r="Z464" s="49"/>
      <c r="AA464" s="49"/>
    </row>
    <row r="465" spans="1:27" x14ac:dyDescent="0.25">
      <c r="A465" s="207"/>
      <c r="B465" s="641"/>
      <c r="C465" s="711" t="s">
        <v>98</v>
      </c>
      <c r="D465" s="276" t="s">
        <v>98</v>
      </c>
      <c r="E465" s="191" t="s">
        <v>52</v>
      </c>
      <c r="F465" s="641"/>
      <c r="G465" s="106"/>
      <c r="H465" s="5"/>
      <c r="I465" s="198"/>
      <c r="J465" s="5">
        <f>PRODUCT(G463,I463,'Giá Máy'!L9)</f>
        <v>0</v>
      </c>
      <c r="K465" s="49"/>
      <c r="L465" s="49"/>
      <c r="M465" s="49"/>
      <c r="N465" s="49"/>
      <c r="O465" s="49"/>
      <c r="P465" s="49"/>
      <c r="Q465" s="49"/>
      <c r="R465" s="49"/>
      <c r="S465" s="49"/>
      <c r="T465" s="49"/>
      <c r="U465" s="49"/>
      <c r="V465" s="49"/>
      <c r="W465" s="49"/>
      <c r="X465" s="49"/>
      <c r="Y465" s="49"/>
      <c r="Z465" s="49"/>
      <c r="AA465" s="49"/>
    </row>
    <row r="466" spans="1:27" x14ac:dyDescent="0.25">
      <c r="A466" s="207"/>
      <c r="B466" s="641"/>
      <c r="C466" s="711" t="s">
        <v>98</v>
      </c>
      <c r="D466" s="276" t="s">
        <v>98</v>
      </c>
      <c r="E466" s="191" t="s">
        <v>597</v>
      </c>
      <c r="F466" s="641"/>
      <c r="G466" s="106"/>
      <c r="H466" s="5"/>
      <c r="I466" s="198"/>
      <c r="J466" s="5">
        <f>PRODUCT(G463,I463,'Giá Máy'!M9)</f>
        <v>0.4</v>
      </c>
      <c r="K466" s="49"/>
      <c r="L466" s="49"/>
      <c r="M466" s="49"/>
      <c r="N466" s="49"/>
      <c r="O466" s="49"/>
      <c r="P466" s="49"/>
      <c r="Q466" s="49"/>
      <c r="R466" s="49"/>
      <c r="S466" s="49"/>
      <c r="T466" s="49"/>
      <c r="U466" s="49"/>
      <c r="V466" s="49"/>
      <c r="W466" s="49"/>
      <c r="X466" s="49"/>
      <c r="Y466" s="49"/>
      <c r="Z466" s="49"/>
      <c r="AA466" s="49"/>
    </row>
    <row r="467" spans="1:27" x14ac:dyDescent="0.25">
      <c r="A467" s="207"/>
      <c r="B467" s="641"/>
      <c r="C467" s="711" t="s">
        <v>98</v>
      </c>
      <c r="D467" s="276" t="s">
        <v>98</v>
      </c>
      <c r="E467" s="191" t="s">
        <v>599</v>
      </c>
      <c r="F467" s="641" t="s">
        <v>356</v>
      </c>
      <c r="G467" s="106"/>
      <c r="H467" s="5"/>
      <c r="I467" s="198"/>
      <c r="J467" s="5">
        <f>J457+J460+J462</f>
        <v>19583526.075371951</v>
      </c>
      <c r="K467" s="49"/>
      <c r="L467" s="49"/>
      <c r="M467" s="49"/>
      <c r="N467" s="49"/>
      <c r="O467" s="49"/>
      <c r="P467" s="49"/>
      <c r="Q467" s="49"/>
      <c r="R467" s="49"/>
      <c r="S467" s="49"/>
      <c r="T467" s="49"/>
      <c r="U467" s="49"/>
      <c r="V467" s="49"/>
      <c r="W467" s="49"/>
      <c r="X467" s="49"/>
      <c r="Y467" s="49"/>
      <c r="Z467" s="49"/>
      <c r="AA467" s="49"/>
    </row>
    <row r="468" spans="1:27" x14ac:dyDescent="0.25">
      <c r="A468" s="207"/>
      <c r="B468" s="641"/>
      <c r="C468" s="711" t="s">
        <v>98</v>
      </c>
      <c r="D468" s="276" t="s">
        <v>98</v>
      </c>
      <c r="E468" s="191" t="s">
        <v>265</v>
      </c>
      <c r="F468" s="641" t="s">
        <v>653</v>
      </c>
      <c r="G468" s="307">
        <f>'Thông tin'!E67</f>
        <v>7.2999999999999995E-2</v>
      </c>
      <c r="H468" s="5"/>
      <c r="I468" s="198"/>
      <c r="J468" s="5">
        <f>(J467)*G468</f>
        <v>1429597.4035021523</v>
      </c>
      <c r="K468" s="49"/>
      <c r="L468" s="49"/>
      <c r="M468" s="49"/>
      <c r="N468" s="49"/>
      <c r="O468" s="49"/>
      <c r="P468" s="49"/>
      <c r="Q468" s="49"/>
      <c r="R468" s="49"/>
      <c r="S468" s="49"/>
      <c r="T468" s="49"/>
      <c r="U468" s="49"/>
      <c r="V468" s="49"/>
      <c r="W468" s="49"/>
      <c r="X468" s="49"/>
      <c r="Y468" s="49"/>
      <c r="Z468" s="49"/>
      <c r="AA468" s="49"/>
    </row>
    <row r="469" spans="1:27" x14ac:dyDescent="0.25">
      <c r="A469" s="207"/>
      <c r="B469" s="641"/>
      <c r="C469" s="711" t="s">
        <v>98</v>
      </c>
      <c r="D469" s="276" t="s">
        <v>98</v>
      </c>
      <c r="E469" s="191" t="s">
        <v>765</v>
      </c>
      <c r="F469" s="641" t="s">
        <v>602</v>
      </c>
      <c r="G469" s="307">
        <f>'Thông tin'!E60</f>
        <v>1.1000000000000001E-2</v>
      </c>
      <c r="H469" s="5"/>
      <c r="I469" s="198"/>
      <c r="J469" s="5">
        <f>(J467)*G469</f>
        <v>215418.78682909149</v>
      </c>
      <c r="K469" s="49"/>
      <c r="L469" s="49"/>
      <c r="M469" s="49"/>
      <c r="N469" s="49"/>
      <c r="O469" s="49"/>
      <c r="P469" s="49"/>
      <c r="Q469" s="49"/>
      <c r="R469" s="49"/>
      <c r="S469" s="49"/>
      <c r="T469" s="49"/>
      <c r="U469" s="49"/>
      <c r="V469" s="49"/>
      <c r="W469" s="49"/>
      <c r="X469" s="49"/>
      <c r="Y469" s="49"/>
      <c r="Z469" s="49"/>
      <c r="AA469" s="49"/>
    </row>
    <row r="470" spans="1:27" ht="30" x14ac:dyDescent="0.25">
      <c r="A470" s="207"/>
      <c r="B470" s="641"/>
      <c r="C470" s="711" t="s">
        <v>98</v>
      </c>
      <c r="D470" s="276" t="s">
        <v>98</v>
      </c>
      <c r="E470" s="191" t="s">
        <v>457</v>
      </c>
      <c r="F470" s="641" t="s">
        <v>881</v>
      </c>
      <c r="G470" s="307">
        <f>'Thông tin'!E65</f>
        <v>2.5000000000000001E-2</v>
      </c>
      <c r="H470" s="5"/>
      <c r="I470" s="198"/>
      <c r="J470" s="5">
        <f>(J467)*G470</f>
        <v>489588.15188429877</v>
      </c>
      <c r="K470" s="49"/>
      <c r="L470" s="49"/>
      <c r="M470" s="49"/>
      <c r="N470" s="49"/>
      <c r="O470" s="49"/>
      <c r="P470" s="49"/>
      <c r="Q470" s="49"/>
      <c r="R470" s="49"/>
      <c r="S470" s="49"/>
      <c r="T470" s="49"/>
      <c r="U470" s="49"/>
      <c r="V470" s="49"/>
      <c r="W470" s="49"/>
      <c r="X470" s="49"/>
      <c r="Y470" s="49"/>
      <c r="Z470" s="49"/>
      <c r="AA470" s="49"/>
    </row>
    <row r="471" spans="1:27" x14ac:dyDescent="0.25">
      <c r="A471" s="207"/>
      <c r="B471" s="641"/>
      <c r="C471" s="711" t="s">
        <v>98</v>
      </c>
      <c r="D471" s="276" t="s">
        <v>98</v>
      </c>
      <c r="E471" s="191" t="s">
        <v>1244</v>
      </c>
      <c r="F471" s="641" t="s">
        <v>1032</v>
      </c>
      <c r="G471" s="106"/>
      <c r="H471" s="5"/>
      <c r="I471" s="198"/>
      <c r="J471" s="5">
        <f>J468+J469+J470</f>
        <v>2134604.3422155427</v>
      </c>
      <c r="K471" s="49"/>
      <c r="L471" s="49"/>
      <c r="M471" s="49"/>
      <c r="N471" s="49"/>
      <c r="O471" s="49"/>
      <c r="P471" s="49"/>
      <c r="Q471" s="49"/>
      <c r="R471" s="49"/>
      <c r="S471" s="49"/>
      <c r="T471" s="49"/>
      <c r="U471" s="49"/>
      <c r="V471" s="49"/>
      <c r="W471" s="49"/>
      <c r="X471" s="49"/>
      <c r="Y471" s="49"/>
      <c r="Z471" s="49"/>
      <c r="AA471" s="49"/>
    </row>
    <row r="472" spans="1:27" x14ac:dyDescent="0.25">
      <c r="A472" s="207"/>
      <c r="B472" s="641"/>
      <c r="C472" s="711" t="s">
        <v>98</v>
      </c>
      <c r="D472" s="276" t="s">
        <v>98</v>
      </c>
      <c r="E472" s="191" t="s">
        <v>990</v>
      </c>
      <c r="F472" s="641" t="s">
        <v>307</v>
      </c>
      <c r="G472" s="307">
        <f>'Thông tin'!E63</f>
        <v>5.5E-2</v>
      </c>
      <c r="H472" s="5"/>
      <c r="I472" s="198"/>
      <c r="J472" s="5">
        <f>(J467+J471)*G472</f>
        <v>1194497.1729673122</v>
      </c>
      <c r="K472" s="49"/>
      <c r="L472" s="49"/>
      <c r="M472" s="49"/>
      <c r="N472" s="49"/>
      <c r="O472" s="49"/>
      <c r="P472" s="49"/>
      <c r="Q472" s="49"/>
      <c r="R472" s="49"/>
      <c r="S472" s="49"/>
      <c r="T472" s="49"/>
      <c r="U472" s="49"/>
      <c r="V472" s="49"/>
      <c r="W472" s="49"/>
      <c r="X472" s="49"/>
      <c r="Y472" s="49"/>
      <c r="Z472" s="49"/>
      <c r="AA472" s="49"/>
    </row>
    <row r="473" spans="1:27" x14ac:dyDescent="0.25">
      <c r="A473" s="207"/>
      <c r="B473" s="641"/>
      <c r="C473" s="711" t="s">
        <v>98</v>
      </c>
      <c r="D473" s="276" t="s">
        <v>98</v>
      </c>
      <c r="E473" s="7" t="s">
        <v>142</v>
      </c>
      <c r="F473" s="499" t="s">
        <v>286</v>
      </c>
      <c r="G473" s="106"/>
      <c r="H473" s="5"/>
      <c r="I473" s="198"/>
      <c r="J473" s="620">
        <f>J467+J471+J472</f>
        <v>22912627.590554804</v>
      </c>
      <c r="K473" s="49"/>
      <c r="L473" s="49"/>
      <c r="M473" s="49"/>
      <c r="N473" s="49"/>
      <c r="O473" s="49"/>
      <c r="P473" s="49"/>
      <c r="Q473" s="49"/>
      <c r="R473" s="49"/>
      <c r="S473" s="49"/>
      <c r="T473" s="49"/>
      <c r="U473" s="49"/>
      <c r="V473" s="49"/>
      <c r="W473" s="49"/>
      <c r="X473" s="49"/>
      <c r="Y473" s="49"/>
      <c r="Z473" s="49"/>
      <c r="AA473" s="49"/>
    </row>
    <row r="474" spans="1:27" x14ac:dyDescent="0.25">
      <c r="A474" s="207"/>
      <c r="B474" s="641"/>
      <c r="C474" s="711" t="s">
        <v>98</v>
      </c>
      <c r="D474" s="276" t="s">
        <v>98</v>
      </c>
      <c r="E474" s="191" t="s">
        <v>762</v>
      </c>
      <c r="F474" s="641" t="s">
        <v>830</v>
      </c>
      <c r="G474" s="705">
        <f>'Thông tin'!E61</f>
        <v>0.08</v>
      </c>
      <c r="H474" s="5"/>
      <c r="I474" s="198"/>
      <c r="J474" s="5">
        <f>(J473)*G474</f>
        <v>1833010.2072443843</v>
      </c>
      <c r="K474" s="49"/>
      <c r="L474" s="49"/>
      <c r="M474" s="49"/>
      <c r="N474" s="49"/>
      <c r="O474" s="49"/>
      <c r="P474" s="49"/>
      <c r="Q474" s="49"/>
      <c r="R474" s="49"/>
      <c r="S474" s="49"/>
      <c r="T474" s="49"/>
      <c r="U474" s="49"/>
      <c r="V474" s="49"/>
      <c r="W474" s="49"/>
      <c r="X474" s="49"/>
      <c r="Y474" s="49"/>
      <c r="Z474" s="49"/>
      <c r="AA474" s="49"/>
    </row>
    <row r="475" spans="1:27" x14ac:dyDescent="0.25">
      <c r="A475" s="122"/>
      <c r="B475" s="581"/>
      <c r="C475" s="636" t="s">
        <v>98</v>
      </c>
      <c r="D475" s="196" t="s">
        <v>98</v>
      </c>
      <c r="E475" s="728" t="s">
        <v>953</v>
      </c>
      <c r="F475" s="429" t="s">
        <v>1108</v>
      </c>
      <c r="G475" s="29"/>
      <c r="H475" s="704"/>
      <c r="I475" s="113"/>
      <c r="J475" s="657">
        <f>J473+J474</f>
        <v>24745637.797799189</v>
      </c>
      <c r="K475" s="49"/>
      <c r="L475" s="49"/>
      <c r="M475" s="49"/>
      <c r="N475" s="49"/>
      <c r="O475" s="49"/>
      <c r="P475" s="49"/>
      <c r="Q475" s="49"/>
      <c r="R475" s="49"/>
      <c r="S475" s="49"/>
      <c r="T475" s="49"/>
      <c r="U475" s="49"/>
      <c r="V475" s="49"/>
      <c r="W475" s="49"/>
      <c r="X475" s="49"/>
      <c r="Y475" s="49"/>
      <c r="Z475" s="49"/>
      <c r="AA475" s="49"/>
    </row>
    <row r="476" spans="1:27" x14ac:dyDescent="0.25">
      <c r="A476" s="458"/>
      <c r="B476" s="130">
        <v>25</v>
      </c>
      <c r="C476" s="234" t="str">
        <f>'Du toan chi tiet'!C34</f>
        <v>AF.63320</v>
      </c>
      <c r="D476" s="234" t="str">
        <f>'Du toan chi tiet'!C34</f>
        <v>AF.63320</v>
      </c>
      <c r="E476" s="730" t="str">
        <f>'Du toan chi tiet'!D34</f>
        <v>Lắp dựng cốt thép cống, ĐK ≤18mm</v>
      </c>
      <c r="F476" s="130" t="str">
        <f>'Du toan chi tiet'!E34</f>
        <v>tấn</v>
      </c>
      <c r="G476" s="664"/>
      <c r="H476" s="282"/>
      <c r="I476" s="450"/>
      <c r="J476" s="282"/>
      <c r="K476" s="49"/>
      <c r="L476" s="49"/>
      <c r="M476" s="49"/>
      <c r="N476" s="49"/>
      <c r="O476" s="49"/>
      <c r="P476" s="49"/>
      <c r="Q476" s="49"/>
      <c r="R476" s="49"/>
      <c r="S476" s="49"/>
      <c r="T476" s="49"/>
      <c r="U476" s="49"/>
      <c r="V476" s="49"/>
      <c r="W476" s="49"/>
      <c r="X476" s="49"/>
      <c r="Y476" s="49"/>
      <c r="Z476" s="49"/>
      <c r="AA476" s="49"/>
    </row>
    <row r="477" spans="1:27" x14ac:dyDescent="0.25">
      <c r="A477" s="261"/>
      <c r="B477" s="690"/>
      <c r="C477" s="745" t="s">
        <v>98</v>
      </c>
      <c r="D477" s="745" t="s">
        <v>98</v>
      </c>
      <c r="E477" s="247" t="s">
        <v>547</v>
      </c>
      <c r="F477" s="690" t="s">
        <v>962</v>
      </c>
      <c r="G477" s="133"/>
      <c r="H477" s="44"/>
      <c r="I477" s="233"/>
      <c r="J477" s="44">
        <f>SUM(J478:J480)</f>
        <v>15079818.7123178</v>
      </c>
      <c r="K477" s="49"/>
      <c r="L477" s="49"/>
      <c r="M477" s="49"/>
      <c r="N477" s="49"/>
      <c r="O477" s="49"/>
      <c r="P477" s="49"/>
      <c r="Q477" s="49"/>
      <c r="R477" s="49"/>
      <c r="S477" s="49"/>
      <c r="T477" s="49"/>
      <c r="U477" s="49"/>
      <c r="V477" s="49"/>
      <c r="W477" s="49"/>
      <c r="X477" s="49"/>
      <c r="Y477" s="49"/>
      <c r="Z477" s="49"/>
      <c r="AA477" s="49"/>
    </row>
    <row r="478" spans="1:27" x14ac:dyDescent="0.25">
      <c r="A478" s="207"/>
      <c r="B478" s="641"/>
      <c r="C478" s="711" t="s">
        <v>98</v>
      </c>
      <c r="D478" s="276" t="s">
        <v>149</v>
      </c>
      <c r="E478" s="191" t="str">
        <f>" - " &amp; 'Giá VL'!E33</f>
        <v xml:space="preserve"> - Thép tròn Fi ≤18mm</v>
      </c>
      <c r="F478" s="641" t="str">
        <f>'Giá VL'!F33</f>
        <v>kg</v>
      </c>
      <c r="G478" s="67">
        <f>'Phan tich don gia'!G193</f>
        <v>1020</v>
      </c>
      <c r="H478" s="5">
        <f>'Giá VL'!V33</f>
        <v>14466.49579639</v>
      </c>
      <c r="I478" s="198">
        <f>'Du toan chi tiet'!V34</f>
        <v>1</v>
      </c>
      <c r="J478" s="5">
        <f t="shared" ref="J478:J480" si="24">PRODUCT(G478,H478,I478)</f>
        <v>14755825.7123178</v>
      </c>
      <c r="K478" s="49"/>
      <c r="L478" s="49"/>
      <c r="M478" s="49"/>
      <c r="N478" s="49"/>
      <c r="O478" s="49"/>
      <c r="P478" s="49"/>
      <c r="Q478" s="49"/>
      <c r="R478" s="49"/>
      <c r="S478" s="49"/>
      <c r="T478" s="49"/>
      <c r="U478" s="49"/>
      <c r="V478" s="49"/>
      <c r="W478" s="49"/>
      <c r="X478" s="49"/>
      <c r="Y478" s="49"/>
      <c r="Z478" s="49"/>
      <c r="AA478" s="49"/>
    </row>
    <row r="479" spans="1:27" x14ac:dyDescent="0.25">
      <c r="A479" s="207"/>
      <c r="B479" s="641"/>
      <c r="C479" s="711" t="s">
        <v>98</v>
      </c>
      <c r="D479" s="276" t="s">
        <v>901</v>
      </c>
      <c r="E479" s="191" t="str">
        <f>" - " &amp; 'Giá VL'!E14</f>
        <v xml:space="preserve"> - Dây thép</v>
      </c>
      <c r="F479" s="641" t="str">
        <f>'Giá VL'!F14</f>
        <v>kg</v>
      </c>
      <c r="G479" s="67">
        <f>'Phan tich don gia'!G194</f>
        <v>9.2799999999999994</v>
      </c>
      <c r="H479" s="5">
        <f>'Giá VL'!V14</f>
        <v>16300</v>
      </c>
      <c r="I479" s="198">
        <f>'Du toan chi tiet'!V34</f>
        <v>1</v>
      </c>
      <c r="J479" s="5">
        <f t="shared" si="24"/>
        <v>151264</v>
      </c>
      <c r="K479" s="49"/>
      <c r="L479" s="49"/>
      <c r="M479" s="49"/>
      <c r="N479" s="49"/>
      <c r="O479" s="49"/>
      <c r="P479" s="49"/>
      <c r="Q479" s="49"/>
      <c r="R479" s="49"/>
      <c r="S479" s="49"/>
      <c r="T479" s="49"/>
      <c r="U479" s="49"/>
      <c r="V479" s="49"/>
      <c r="W479" s="49"/>
      <c r="X479" s="49"/>
      <c r="Y479" s="49"/>
      <c r="Z479" s="49"/>
      <c r="AA479" s="49"/>
    </row>
    <row r="480" spans="1:27" x14ac:dyDescent="0.25">
      <c r="A480" s="207"/>
      <c r="B480" s="641"/>
      <c r="C480" s="711" t="s">
        <v>98</v>
      </c>
      <c r="D480" s="276" t="s">
        <v>919</v>
      </c>
      <c r="E480" s="191" t="str">
        <f>" - " &amp; 'Giá VL'!E25</f>
        <v xml:space="preserve"> - Que hàn</v>
      </c>
      <c r="F480" s="641" t="str">
        <f>'Giá VL'!F25</f>
        <v>kg</v>
      </c>
      <c r="G480" s="67">
        <f>'Phan tich don gia'!G195</f>
        <v>9.5</v>
      </c>
      <c r="H480" s="5">
        <f>'Giá VL'!V25</f>
        <v>18182</v>
      </c>
      <c r="I480" s="198">
        <f>'Du toan chi tiet'!V34</f>
        <v>1</v>
      </c>
      <c r="J480" s="5">
        <f t="shared" si="24"/>
        <v>172729</v>
      </c>
      <c r="K480" s="49"/>
      <c r="L480" s="49"/>
      <c r="M480" s="49"/>
      <c r="N480" s="49"/>
      <c r="O480" s="49"/>
      <c r="P480" s="49"/>
      <c r="Q480" s="49"/>
      <c r="R480" s="49"/>
      <c r="S480" s="49"/>
      <c r="T480" s="49"/>
      <c r="U480" s="49"/>
      <c r="V480" s="49"/>
      <c r="W480" s="49"/>
      <c r="X480" s="49"/>
      <c r="Y480" s="49"/>
      <c r="Z480" s="49"/>
      <c r="AA480" s="49"/>
    </row>
    <row r="481" spans="1:27" x14ac:dyDescent="0.25">
      <c r="A481" s="261"/>
      <c r="B481" s="690"/>
      <c r="C481" s="745" t="s">
        <v>98</v>
      </c>
      <c r="D481" s="745" t="s">
        <v>98</v>
      </c>
      <c r="E481" s="247" t="s">
        <v>301</v>
      </c>
      <c r="F481" s="690" t="s">
        <v>1018</v>
      </c>
      <c r="G481" s="133"/>
      <c r="H481" s="44"/>
      <c r="I481" s="233"/>
      <c r="J481" s="44">
        <f>SUM(J482:J482)</f>
        <v>3666988</v>
      </c>
      <c r="K481" s="49"/>
      <c r="L481" s="49"/>
      <c r="M481" s="49"/>
      <c r="N481" s="49"/>
      <c r="O481" s="49"/>
      <c r="P481" s="49"/>
      <c r="Q481" s="49"/>
      <c r="R481" s="49"/>
      <c r="S481" s="49"/>
      <c r="T481" s="49"/>
      <c r="U481" s="49"/>
      <c r="V481" s="49"/>
      <c r="W481" s="49"/>
      <c r="X481" s="49"/>
      <c r="Y481" s="49"/>
      <c r="Z481" s="49"/>
      <c r="AA481" s="49"/>
    </row>
    <row r="482" spans="1:27" x14ac:dyDescent="0.25">
      <c r="A482" s="207"/>
      <c r="B482" s="641"/>
      <c r="C482" s="711" t="s">
        <v>98</v>
      </c>
      <c r="D482" s="276" t="s">
        <v>706</v>
      </c>
      <c r="E482" s="191" t="str">
        <f>" - " &amp; 'Giá NC'!E8</f>
        <v xml:space="preserve"> - Nhân công bậc 3,5/7 - Nhóm 2</v>
      </c>
      <c r="F482" s="641" t="str">
        <f>'Giá NC'!F8</f>
        <v>công</v>
      </c>
      <c r="G482" s="67">
        <f>'Phan tich don gia'!G197</f>
        <v>14.54</v>
      </c>
      <c r="H482" s="5">
        <f>'Giá NC'!K8</f>
        <v>252200</v>
      </c>
      <c r="I482" s="198">
        <f>'Du toan chi tiet'!W34</f>
        <v>1</v>
      </c>
      <c r="J482" s="5">
        <f>PRODUCT(G482,H482,I482)</f>
        <v>3666988</v>
      </c>
      <c r="K482" s="49"/>
      <c r="L482" s="49"/>
      <c r="M482" s="49"/>
      <c r="N482" s="49"/>
      <c r="O482" s="49"/>
      <c r="P482" s="49"/>
      <c r="Q482" s="49"/>
      <c r="R482" s="49"/>
      <c r="S482" s="49"/>
      <c r="T482" s="49"/>
      <c r="U482" s="49"/>
      <c r="V482" s="49"/>
      <c r="W482" s="49"/>
      <c r="X482" s="49"/>
      <c r="Y482" s="49"/>
      <c r="Z482" s="49"/>
      <c r="AA482" s="49"/>
    </row>
    <row r="483" spans="1:27" x14ac:dyDescent="0.25">
      <c r="A483" s="261"/>
      <c r="B483" s="690"/>
      <c r="C483" s="745" t="s">
        <v>98</v>
      </c>
      <c r="D483" s="745" t="s">
        <v>98</v>
      </c>
      <c r="E483" s="247" t="s">
        <v>1175</v>
      </c>
      <c r="F483" s="690" t="s">
        <v>138</v>
      </c>
      <c r="G483" s="133"/>
      <c r="H483" s="44"/>
      <c r="I483" s="233"/>
      <c r="J483" s="44">
        <f>SUM(J484:J486)</f>
        <v>1182047.7600000002</v>
      </c>
      <c r="K483" s="49"/>
      <c r="L483" s="49"/>
      <c r="M483" s="49"/>
      <c r="N483" s="49"/>
      <c r="O483" s="49"/>
      <c r="P483" s="49"/>
      <c r="Q483" s="49"/>
      <c r="R483" s="49"/>
      <c r="S483" s="49"/>
      <c r="T483" s="49"/>
      <c r="U483" s="49"/>
      <c r="V483" s="49"/>
      <c r="W483" s="49"/>
      <c r="X483" s="49"/>
      <c r="Y483" s="49"/>
      <c r="Z483" s="49"/>
      <c r="AA483" s="49"/>
    </row>
    <row r="484" spans="1:27" x14ac:dyDescent="0.25">
      <c r="A484" s="207"/>
      <c r="B484" s="641"/>
      <c r="C484" s="711" t="s">
        <v>98</v>
      </c>
      <c r="D484" s="276" t="s">
        <v>82</v>
      </c>
      <c r="E484" s="191" t="str">
        <f>" - " &amp; 'Giá Máy'!E15</f>
        <v xml:space="preserve"> - Máy hàn điện 23kW</v>
      </c>
      <c r="F484" s="641" t="str">
        <f>'Giá Máy'!F15</f>
        <v>ca</v>
      </c>
      <c r="G484" s="67">
        <f>'Phan tich don gia'!G199</f>
        <v>2.29</v>
      </c>
      <c r="H484" s="5">
        <f>'Giá Máy'!J15</f>
        <v>477927</v>
      </c>
      <c r="I484" s="198">
        <f>'Du toan chi tiet'!X34</f>
        <v>1</v>
      </c>
      <c r="J484" s="5">
        <f t="shared" ref="J484:J485" si="25">PRODUCT(G484,H484,I484)</f>
        <v>1094452.83</v>
      </c>
      <c r="K484" s="49"/>
      <c r="L484" s="49"/>
      <c r="M484" s="49"/>
      <c r="N484" s="49"/>
      <c r="O484" s="49"/>
      <c r="P484" s="49"/>
      <c r="Q484" s="49"/>
      <c r="R484" s="49"/>
      <c r="S484" s="49"/>
      <c r="T484" s="49"/>
      <c r="U484" s="49"/>
      <c r="V484" s="49"/>
      <c r="W484" s="49"/>
      <c r="X484" s="49"/>
      <c r="Y484" s="49"/>
      <c r="Z484" s="49"/>
      <c r="AA484" s="49"/>
    </row>
    <row r="485" spans="1:27" x14ac:dyDescent="0.25">
      <c r="A485" s="207"/>
      <c r="B485" s="641"/>
      <c r="C485" s="711" t="s">
        <v>98</v>
      </c>
      <c r="D485" s="276" t="s">
        <v>239</v>
      </c>
      <c r="E485" s="191" t="str">
        <f>" - " &amp; 'Giá Máy'!E9</f>
        <v xml:space="preserve"> - Máy cắt uốn cốt thép 5kW</v>
      </c>
      <c r="F485" s="641" t="str">
        <f>'Giá Máy'!F9</f>
        <v>ca</v>
      </c>
      <c r="G485" s="67">
        <f>'Phan tich don gia'!G200</f>
        <v>0.32</v>
      </c>
      <c r="H485" s="5">
        <f>'Giá Máy'!J9</f>
        <v>273726</v>
      </c>
      <c r="I485" s="198">
        <f>'Du toan chi tiet'!X34</f>
        <v>1</v>
      </c>
      <c r="J485" s="5">
        <f t="shared" si="25"/>
        <v>87592.320000000007</v>
      </c>
      <c r="K485" s="49"/>
      <c r="L485" s="49"/>
      <c r="M485" s="49"/>
      <c r="N485" s="49"/>
      <c r="O485" s="49"/>
      <c r="P485" s="49"/>
      <c r="Q485" s="49"/>
      <c r="R485" s="49"/>
      <c r="S485" s="49"/>
      <c r="T485" s="49"/>
      <c r="U485" s="49"/>
      <c r="V485" s="49"/>
      <c r="W485" s="49"/>
      <c r="X485" s="49"/>
      <c r="Y485" s="49"/>
      <c r="Z485" s="49"/>
      <c r="AA485" s="49"/>
    </row>
    <row r="486" spans="1:27" x14ac:dyDescent="0.25">
      <c r="A486" s="207"/>
      <c r="B486" s="641"/>
      <c r="C486" s="711" t="s">
        <v>98</v>
      </c>
      <c r="D486" s="276" t="s">
        <v>98</v>
      </c>
      <c r="E486" s="191" t="s">
        <v>1230</v>
      </c>
      <c r="F486" s="641"/>
      <c r="G486" s="106"/>
      <c r="H486" s="5"/>
      <c r="I486" s="198"/>
      <c r="J486" s="5">
        <f>SUM(J487:J488)</f>
        <v>2.61</v>
      </c>
      <c r="K486" s="49"/>
      <c r="L486" s="49"/>
      <c r="M486" s="49"/>
      <c r="N486" s="49"/>
      <c r="O486" s="49"/>
      <c r="P486" s="49"/>
      <c r="Q486" s="49"/>
      <c r="R486" s="49"/>
      <c r="S486" s="49"/>
      <c r="T486" s="49"/>
      <c r="U486" s="49"/>
      <c r="V486" s="49"/>
      <c r="W486" s="49"/>
      <c r="X486" s="49"/>
      <c r="Y486" s="49"/>
      <c r="Z486" s="49"/>
      <c r="AA486" s="49"/>
    </row>
    <row r="487" spans="1:27" x14ac:dyDescent="0.25">
      <c r="A487" s="207"/>
      <c r="B487" s="641"/>
      <c r="C487" s="711" t="s">
        <v>98</v>
      </c>
      <c r="D487" s="276" t="s">
        <v>98</v>
      </c>
      <c r="E487" s="191" t="s">
        <v>52</v>
      </c>
      <c r="F487" s="641"/>
      <c r="G487" s="106"/>
      <c r="H487" s="5"/>
      <c r="I487" s="198"/>
      <c r="J487" s="5">
        <f>PRODUCT(G484,I484,'Giá Máy'!L15)+PRODUCT(G485,I485,'Giá Máy'!L9)</f>
        <v>0</v>
      </c>
      <c r="K487" s="49"/>
      <c r="L487" s="49"/>
      <c r="M487" s="49"/>
      <c r="N487" s="49"/>
      <c r="O487" s="49"/>
      <c r="P487" s="49"/>
      <c r="Q487" s="49"/>
      <c r="R487" s="49"/>
      <c r="S487" s="49"/>
      <c r="T487" s="49"/>
      <c r="U487" s="49"/>
      <c r="V487" s="49"/>
      <c r="W487" s="49"/>
      <c r="X487" s="49"/>
      <c r="Y487" s="49"/>
      <c r="Z487" s="49"/>
      <c r="AA487" s="49"/>
    </row>
    <row r="488" spans="1:27" x14ac:dyDescent="0.25">
      <c r="A488" s="207"/>
      <c r="B488" s="641"/>
      <c r="C488" s="711" t="s">
        <v>98</v>
      </c>
      <c r="D488" s="276" t="s">
        <v>98</v>
      </c>
      <c r="E488" s="191" t="s">
        <v>597</v>
      </c>
      <c r="F488" s="641"/>
      <c r="G488" s="106"/>
      <c r="H488" s="5"/>
      <c r="I488" s="198"/>
      <c r="J488" s="5">
        <f>PRODUCT(G484,I484,'Giá Máy'!M15)+PRODUCT(G485,I485,'Giá Máy'!M9)</f>
        <v>2.61</v>
      </c>
      <c r="K488" s="49"/>
      <c r="L488" s="49"/>
      <c r="M488" s="49"/>
      <c r="N488" s="49"/>
      <c r="O488" s="49"/>
      <c r="P488" s="49"/>
      <c r="Q488" s="49"/>
      <c r="R488" s="49"/>
      <c r="S488" s="49"/>
      <c r="T488" s="49"/>
      <c r="U488" s="49"/>
      <c r="V488" s="49"/>
      <c r="W488" s="49"/>
      <c r="X488" s="49"/>
      <c r="Y488" s="49"/>
      <c r="Z488" s="49"/>
      <c r="AA488" s="49"/>
    </row>
    <row r="489" spans="1:27" x14ac:dyDescent="0.25">
      <c r="A489" s="207"/>
      <c r="B489" s="641"/>
      <c r="C489" s="711" t="s">
        <v>98</v>
      </c>
      <c r="D489" s="276" t="s">
        <v>98</v>
      </c>
      <c r="E489" s="191" t="s">
        <v>599</v>
      </c>
      <c r="F489" s="641" t="s">
        <v>356</v>
      </c>
      <c r="G489" s="106"/>
      <c r="H489" s="5"/>
      <c r="I489" s="198"/>
      <c r="J489" s="5">
        <f>J477+J481+J483</f>
        <v>19928854.472317804</v>
      </c>
      <c r="K489" s="49"/>
      <c r="L489" s="49"/>
      <c r="M489" s="49"/>
      <c r="N489" s="49"/>
      <c r="O489" s="49"/>
      <c r="P489" s="49"/>
      <c r="Q489" s="49"/>
      <c r="R489" s="49"/>
      <c r="S489" s="49"/>
      <c r="T489" s="49"/>
      <c r="U489" s="49"/>
      <c r="V489" s="49"/>
      <c r="W489" s="49"/>
      <c r="X489" s="49"/>
      <c r="Y489" s="49"/>
      <c r="Z489" s="49"/>
      <c r="AA489" s="49"/>
    </row>
    <row r="490" spans="1:27" x14ac:dyDescent="0.25">
      <c r="A490" s="207"/>
      <c r="B490" s="641"/>
      <c r="C490" s="711" t="s">
        <v>98</v>
      </c>
      <c r="D490" s="276" t="s">
        <v>98</v>
      </c>
      <c r="E490" s="191" t="s">
        <v>265</v>
      </c>
      <c r="F490" s="641" t="s">
        <v>653</v>
      </c>
      <c r="G490" s="307">
        <f>'Thông tin'!E67</f>
        <v>7.2999999999999995E-2</v>
      </c>
      <c r="H490" s="5"/>
      <c r="I490" s="198"/>
      <c r="J490" s="5">
        <f>(J489)*G490</f>
        <v>1454806.3764791996</v>
      </c>
      <c r="K490" s="49"/>
      <c r="L490" s="49"/>
      <c r="M490" s="49"/>
      <c r="N490" s="49"/>
      <c r="O490" s="49"/>
      <c r="P490" s="49"/>
      <c r="Q490" s="49"/>
      <c r="R490" s="49"/>
      <c r="S490" s="49"/>
      <c r="T490" s="49"/>
      <c r="U490" s="49"/>
      <c r="V490" s="49"/>
      <c r="W490" s="49"/>
      <c r="X490" s="49"/>
      <c r="Y490" s="49"/>
      <c r="Z490" s="49"/>
      <c r="AA490" s="49"/>
    </row>
    <row r="491" spans="1:27" x14ac:dyDescent="0.25">
      <c r="A491" s="207"/>
      <c r="B491" s="641"/>
      <c r="C491" s="711" t="s">
        <v>98</v>
      </c>
      <c r="D491" s="276" t="s">
        <v>98</v>
      </c>
      <c r="E491" s="191" t="s">
        <v>765</v>
      </c>
      <c r="F491" s="641" t="s">
        <v>602</v>
      </c>
      <c r="G491" s="307">
        <f>'Thông tin'!E60</f>
        <v>1.1000000000000001E-2</v>
      </c>
      <c r="H491" s="5"/>
      <c r="I491" s="198"/>
      <c r="J491" s="5">
        <f>(J489)*G491</f>
        <v>219217.39919549588</v>
      </c>
      <c r="K491" s="49"/>
      <c r="L491" s="49"/>
      <c r="M491" s="49"/>
      <c r="N491" s="49"/>
      <c r="O491" s="49"/>
      <c r="P491" s="49"/>
      <c r="Q491" s="49"/>
      <c r="R491" s="49"/>
      <c r="S491" s="49"/>
      <c r="T491" s="49"/>
      <c r="U491" s="49"/>
      <c r="V491" s="49"/>
      <c r="W491" s="49"/>
      <c r="X491" s="49"/>
      <c r="Y491" s="49"/>
      <c r="Z491" s="49"/>
      <c r="AA491" s="49"/>
    </row>
    <row r="492" spans="1:27" ht="30" x14ac:dyDescent="0.25">
      <c r="A492" s="207"/>
      <c r="B492" s="641"/>
      <c r="C492" s="711" t="s">
        <v>98</v>
      </c>
      <c r="D492" s="276" t="s">
        <v>98</v>
      </c>
      <c r="E492" s="191" t="s">
        <v>457</v>
      </c>
      <c r="F492" s="641" t="s">
        <v>881</v>
      </c>
      <c r="G492" s="307">
        <f>'Thông tin'!E65</f>
        <v>2.5000000000000001E-2</v>
      </c>
      <c r="H492" s="5"/>
      <c r="I492" s="198"/>
      <c r="J492" s="5">
        <f>(J489)*G492</f>
        <v>498221.36180794513</v>
      </c>
      <c r="K492" s="49"/>
      <c r="L492" s="49"/>
      <c r="M492" s="49"/>
      <c r="N492" s="49"/>
      <c r="O492" s="49"/>
      <c r="P492" s="49"/>
      <c r="Q492" s="49"/>
      <c r="R492" s="49"/>
      <c r="S492" s="49"/>
      <c r="T492" s="49"/>
      <c r="U492" s="49"/>
      <c r="V492" s="49"/>
      <c r="W492" s="49"/>
      <c r="X492" s="49"/>
      <c r="Y492" s="49"/>
      <c r="Z492" s="49"/>
      <c r="AA492" s="49"/>
    </row>
    <row r="493" spans="1:27" x14ac:dyDescent="0.25">
      <c r="A493" s="207"/>
      <c r="B493" s="641"/>
      <c r="C493" s="711" t="s">
        <v>98</v>
      </c>
      <c r="D493" s="276" t="s">
        <v>98</v>
      </c>
      <c r="E493" s="191" t="s">
        <v>1244</v>
      </c>
      <c r="F493" s="641" t="s">
        <v>1032</v>
      </c>
      <c r="G493" s="106"/>
      <c r="H493" s="5"/>
      <c r="I493" s="198"/>
      <c r="J493" s="5">
        <f>J490+J491+J492</f>
        <v>2172245.1374826408</v>
      </c>
      <c r="K493" s="49"/>
      <c r="L493" s="49"/>
      <c r="M493" s="49"/>
      <c r="N493" s="49"/>
      <c r="O493" s="49"/>
      <c r="P493" s="49"/>
      <c r="Q493" s="49"/>
      <c r="R493" s="49"/>
      <c r="S493" s="49"/>
      <c r="T493" s="49"/>
      <c r="U493" s="49"/>
      <c r="V493" s="49"/>
      <c r="W493" s="49"/>
      <c r="X493" s="49"/>
      <c r="Y493" s="49"/>
      <c r="Z493" s="49"/>
      <c r="AA493" s="49"/>
    </row>
    <row r="494" spans="1:27" x14ac:dyDescent="0.25">
      <c r="A494" s="207"/>
      <c r="B494" s="641"/>
      <c r="C494" s="711" t="s">
        <v>98</v>
      </c>
      <c r="D494" s="276" t="s">
        <v>98</v>
      </c>
      <c r="E494" s="191" t="s">
        <v>990</v>
      </c>
      <c r="F494" s="641" t="s">
        <v>307</v>
      </c>
      <c r="G494" s="307">
        <f>'Thông tin'!E63</f>
        <v>5.5E-2</v>
      </c>
      <c r="H494" s="5"/>
      <c r="I494" s="198"/>
      <c r="J494" s="5">
        <f>(J489+J493)*G494</f>
        <v>1215560.4785390245</v>
      </c>
      <c r="K494" s="49"/>
      <c r="L494" s="49"/>
      <c r="M494" s="49"/>
      <c r="N494" s="49"/>
      <c r="O494" s="49"/>
      <c r="P494" s="49"/>
      <c r="Q494" s="49"/>
      <c r="R494" s="49"/>
      <c r="S494" s="49"/>
      <c r="T494" s="49"/>
      <c r="U494" s="49"/>
      <c r="V494" s="49"/>
      <c r="W494" s="49"/>
      <c r="X494" s="49"/>
      <c r="Y494" s="49"/>
      <c r="Z494" s="49"/>
      <c r="AA494" s="49"/>
    </row>
    <row r="495" spans="1:27" x14ac:dyDescent="0.25">
      <c r="A495" s="207"/>
      <c r="B495" s="641"/>
      <c r="C495" s="711" t="s">
        <v>98</v>
      </c>
      <c r="D495" s="276" t="s">
        <v>98</v>
      </c>
      <c r="E495" s="7" t="s">
        <v>142</v>
      </c>
      <c r="F495" s="499" t="s">
        <v>286</v>
      </c>
      <c r="G495" s="106"/>
      <c r="H495" s="5"/>
      <c r="I495" s="198"/>
      <c r="J495" s="620">
        <f>J489+J493+J494</f>
        <v>23316660.088339467</v>
      </c>
      <c r="K495" s="49"/>
      <c r="L495" s="49"/>
      <c r="M495" s="49"/>
      <c r="N495" s="49"/>
      <c r="O495" s="49"/>
      <c r="P495" s="49"/>
      <c r="Q495" s="49"/>
      <c r="R495" s="49"/>
      <c r="S495" s="49"/>
      <c r="T495" s="49"/>
      <c r="U495" s="49"/>
      <c r="V495" s="49"/>
      <c r="W495" s="49"/>
      <c r="X495" s="49"/>
      <c r="Y495" s="49"/>
      <c r="Z495" s="49"/>
      <c r="AA495" s="49"/>
    </row>
    <row r="496" spans="1:27" x14ac:dyDescent="0.25">
      <c r="A496" s="207"/>
      <c r="B496" s="641"/>
      <c r="C496" s="711" t="s">
        <v>98</v>
      </c>
      <c r="D496" s="276" t="s">
        <v>98</v>
      </c>
      <c r="E496" s="191" t="s">
        <v>762</v>
      </c>
      <c r="F496" s="641" t="s">
        <v>830</v>
      </c>
      <c r="G496" s="705">
        <f>'Thông tin'!E61</f>
        <v>0.08</v>
      </c>
      <c r="H496" s="5"/>
      <c r="I496" s="198"/>
      <c r="J496" s="5">
        <f>(J495)*G496</f>
        <v>1865332.8070671575</v>
      </c>
      <c r="K496" s="49"/>
      <c r="L496" s="49"/>
      <c r="M496" s="49"/>
      <c r="N496" s="49"/>
      <c r="O496" s="49"/>
      <c r="P496" s="49"/>
      <c r="Q496" s="49"/>
      <c r="R496" s="49"/>
      <c r="S496" s="49"/>
      <c r="T496" s="49"/>
      <c r="U496" s="49"/>
      <c r="V496" s="49"/>
      <c r="W496" s="49"/>
      <c r="X496" s="49"/>
      <c r="Y496" s="49"/>
      <c r="Z496" s="49"/>
      <c r="AA496" s="49"/>
    </row>
    <row r="497" spans="1:27" x14ac:dyDescent="0.25">
      <c r="A497" s="122"/>
      <c r="B497" s="581"/>
      <c r="C497" s="636" t="s">
        <v>98</v>
      </c>
      <c r="D497" s="196" t="s">
        <v>98</v>
      </c>
      <c r="E497" s="728" t="s">
        <v>953</v>
      </c>
      <c r="F497" s="429" t="s">
        <v>1108</v>
      </c>
      <c r="G497" s="29"/>
      <c r="H497" s="704"/>
      <c r="I497" s="113"/>
      <c r="J497" s="657">
        <f>J495+J496</f>
        <v>25181992.895406622</v>
      </c>
      <c r="K497" s="49"/>
      <c r="L497" s="49"/>
      <c r="M497" s="49"/>
      <c r="N497" s="49"/>
      <c r="O497" s="49"/>
      <c r="P497" s="49"/>
      <c r="Q497" s="49"/>
      <c r="R497" s="49"/>
      <c r="S497" s="49"/>
      <c r="T497" s="49"/>
      <c r="U497" s="49"/>
      <c r="V497" s="49"/>
      <c r="W497" s="49"/>
      <c r="X497" s="49"/>
      <c r="Y497" s="49"/>
      <c r="Z497" s="49"/>
      <c r="AA497" s="49"/>
    </row>
    <row r="498" spans="1:27" ht="30" x14ac:dyDescent="0.25">
      <c r="A498" s="458"/>
      <c r="B498" s="130">
        <v>26</v>
      </c>
      <c r="C498" s="234" t="str">
        <f>'Du toan chi tiet'!C35</f>
        <v>AF.86211</v>
      </c>
      <c r="D498" s="234" t="str">
        <f>'Du toan chi tiet'!C35</f>
        <v>AF.86211</v>
      </c>
      <c r="E498" s="730" t="str">
        <f>'Du toan chi tiet'!D35</f>
        <v>Ván khuôn thép, khung xương, cột chống giáo ống, tường, chiều cao ≤28m</v>
      </c>
      <c r="F498" s="130" t="str">
        <f>'Du toan chi tiet'!E35</f>
        <v>m2</v>
      </c>
      <c r="G498" s="664"/>
      <c r="H498" s="282"/>
      <c r="I498" s="450"/>
      <c r="J498" s="282"/>
      <c r="K498" s="49"/>
      <c r="L498" s="49"/>
      <c r="M498" s="49"/>
      <c r="N498" s="49"/>
      <c r="O498" s="49"/>
      <c r="P498" s="49"/>
      <c r="Q498" s="49"/>
      <c r="R498" s="49"/>
      <c r="S498" s="49"/>
      <c r="T498" s="49"/>
      <c r="U498" s="49"/>
      <c r="V498" s="49"/>
      <c r="W498" s="49"/>
      <c r="X498" s="49"/>
      <c r="Y498" s="49"/>
      <c r="Z498" s="49"/>
      <c r="AA498" s="49"/>
    </row>
    <row r="499" spans="1:27" x14ac:dyDescent="0.25">
      <c r="A499" s="261"/>
      <c r="B499" s="690"/>
      <c r="C499" s="745" t="s">
        <v>98</v>
      </c>
      <c r="D499" s="745" t="s">
        <v>98</v>
      </c>
      <c r="E499" s="247" t="s">
        <v>547</v>
      </c>
      <c r="F499" s="690" t="s">
        <v>962</v>
      </c>
      <c r="G499" s="133"/>
      <c r="H499" s="44"/>
      <c r="I499" s="233"/>
      <c r="J499" s="44" t="e">
        <f>SUM(J500:J504)</f>
        <v>#REF!</v>
      </c>
      <c r="K499" s="49"/>
      <c r="L499" s="49"/>
      <c r="M499" s="49"/>
      <c r="N499" s="49"/>
      <c r="O499" s="49"/>
      <c r="P499" s="49"/>
      <c r="Q499" s="49"/>
      <c r="R499" s="49"/>
      <c r="S499" s="49"/>
      <c r="T499" s="49"/>
      <c r="U499" s="49"/>
      <c r="V499" s="49"/>
      <c r="W499" s="49"/>
      <c r="X499" s="49"/>
      <c r="Y499" s="49"/>
      <c r="Z499" s="49"/>
      <c r="AA499" s="49"/>
    </row>
    <row r="500" spans="1:27" x14ac:dyDescent="0.25">
      <c r="A500" s="207"/>
      <c r="B500" s="641"/>
      <c r="C500" s="711" t="s">
        <v>98</v>
      </c>
      <c r="D500" s="276" t="s">
        <v>713</v>
      </c>
      <c r="E500" s="191" t="str">
        <f>" - " &amp; 'Giá VL'!E31</f>
        <v xml:space="preserve"> - Thép tấm</v>
      </c>
      <c r="F500" s="641" t="str">
        <f>'Giá VL'!F31</f>
        <v>kg</v>
      </c>
      <c r="G500" s="67">
        <f>'Phan tich don gia'!G203</f>
        <v>0.5181</v>
      </c>
      <c r="H500" s="5">
        <f>'Giá VL'!V31</f>
        <v>19657.495796390001</v>
      </c>
      <c r="I500" s="198">
        <f>'Du toan chi tiet'!V35</f>
        <v>1</v>
      </c>
      <c r="J500" s="5">
        <f t="shared" ref="J500:J504" si="26">PRODUCT(G500,H500,I500)</f>
        <v>10184.548572109659</v>
      </c>
      <c r="K500" s="49"/>
      <c r="L500" s="49"/>
      <c r="M500" s="49"/>
      <c r="N500" s="49"/>
      <c r="O500" s="49"/>
      <c r="P500" s="49"/>
      <c r="Q500" s="49"/>
      <c r="R500" s="49"/>
      <c r="S500" s="49"/>
      <c r="T500" s="49"/>
      <c r="U500" s="49"/>
      <c r="V500" s="49"/>
      <c r="W500" s="49"/>
      <c r="X500" s="49"/>
      <c r="Y500" s="49"/>
      <c r="Z500" s="49"/>
      <c r="AA500" s="49"/>
    </row>
    <row r="501" spans="1:27" x14ac:dyDescent="0.25">
      <c r="A501" s="207"/>
      <c r="B501" s="641"/>
      <c r="C501" s="711" t="s">
        <v>98</v>
      </c>
      <c r="D501" s="276" t="s">
        <v>1141</v>
      </c>
      <c r="E501" s="191" t="str">
        <f>" - " &amp; 'Giá VL'!E29</f>
        <v xml:space="preserve"> - Thép hình</v>
      </c>
      <c r="F501" s="641" t="str">
        <f>'Giá VL'!F29</f>
        <v>kg</v>
      </c>
      <c r="G501" s="67">
        <f>'Phan tich don gia'!G204</f>
        <v>0.4884</v>
      </c>
      <c r="H501" s="5">
        <f>'Giá VL'!V29</f>
        <v>19657.495796390001</v>
      </c>
      <c r="I501" s="198">
        <f>'Du toan chi tiet'!V35</f>
        <v>1</v>
      </c>
      <c r="J501" s="5">
        <f t="shared" si="26"/>
        <v>9600.720946956877</v>
      </c>
      <c r="K501" s="49"/>
      <c r="L501" s="49"/>
      <c r="M501" s="49"/>
      <c r="N501" s="49"/>
      <c r="O501" s="49"/>
      <c r="P501" s="49"/>
      <c r="Q501" s="49"/>
      <c r="R501" s="49"/>
      <c r="S501" s="49"/>
      <c r="T501" s="49"/>
      <c r="U501" s="49"/>
      <c r="V501" s="49"/>
      <c r="W501" s="49"/>
      <c r="X501" s="49"/>
      <c r="Y501" s="49"/>
      <c r="Z501" s="49"/>
      <c r="AA501" s="49"/>
    </row>
    <row r="502" spans="1:27" x14ac:dyDescent="0.25">
      <c r="A502" s="207"/>
      <c r="B502" s="641"/>
      <c r="C502" s="711" t="s">
        <v>98</v>
      </c>
      <c r="D502" s="276" t="s">
        <v>984</v>
      </c>
      <c r="E502" s="191" t="str">
        <f>" - " &amp; 'Giá VL'!E10</f>
        <v xml:space="preserve"> - Cột chống thép ống</v>
      </c>
      <c r="F502" s="641" t="str">
        <f>'Giá VL'!F10</f>
        <v>kg</v>
      </c>
      <c r="G502" s="67" t="e">
        <f>'Phan tich don gia'!#REF!</f>
        <v>#REF!</v>
      </c>
      <c r="H502" s="5">
        <f>'Giá VL'!V10</f>
        <v>17000</v>
      </c>
      <c r="I502" s="198">
        <f>'Du toan chi tiet'!V35</f>
        <v>1</v>
      </c>
      <c r="J502" s="5" t="e">
        <f t="shared" si="26"/>
        <v>#REF!</v>
      </c>
      <c r="K502" s="49"/>
      <c r="L502" s="49"/>
      <c r="M502" s="49"/>
      <c r="N502" s="49"/>
      <c r="O502" s="49"/>
      <c r="P502" s="49"/>
      <c r="Q502" s="49"/>
      <c r="R502" s="49"/>
      <c r="S502" s="49"/>
      <c r="T502" s="49"/>
      <c r="U502" s="49"/>
      <c r="V502" s="49"/>
      <c r="W502" s="49"/>
      <c r="X502" s="49"/>
      <c r="Y502" s="49"/>
      <c r="Z502" s="49"/>
      <c r="AA502" s="49"/>
    </row>
    <row r="503" spans="1:27" x14ac:dyDescent="0.25">
      <c r="A503" s="207"/>
      <c r="B503" s="641"/>
      <c r="C503" s="711" t="s">
        <v>98</v>
      </c>
      <c r="D503" s="276" t="s">
        <v>919</v>
      </c>
      <c r="E503" s="191" t="str">
        <f>" - " &amp; 'Giá VL'!E25</f>
        <v xml:space="preserve"> - Que hàn</v>
      </c>
      <c r="F503" s="641" t="str">
        <f>'Giá VL'!F25</f>
        <v>kg</v>
      </c>
      <c r="G503" s="67">
        <f>'Phan tich don gia'!G205</f>
        <v>5.6000000000000001E-2</v>
      </c>
      <c r="H503" s="5">
        <f>'Giá VL'!V25</f>
        <v>18182</v>
      </c>
      <c r="I503" s="198">
        <f>'Du toan chi tiet'!V35</f>
        <v>1</v>
      </c>
      <c r="J503" s="5">
        <f t="shared" si="26"/>
        <v>1018.192</v>
      </c>
      <c r="K503" s="49"/>
      <c r="L503" s="49"/>
      <c r="M503" s="49"/>
      <c r="N503" s="49"/>
      <c r="O503" s="49"/>
      <c r="P503" s="49"/>
      <c r="Q503" s="49"/>
      <c r="R503" s="49"/>
      <c r="S503" s="49"/>
      <c r="T503" s="49"/>
      <c r="U503" s="49"/>
      <c r="V503" s="49"/>
      <c r="W503" s="49"/>
      <c r="X503" s="49"/>
      <c r="Y503" s="49"/>
      <c r="Z503" s="49"/>
      <c r="AA503" s="49"/>
    </row>
    <row r="504" spans="1:27" x14ac:dyDescent="0.25">
      <c r="A504" s="207"/>
      <c r="B504" s="641"/>
      <c r="C504" s="711" t="s">
        <v>98</v>
      </c>
      <c r="D504" s="276" t="s">
        <v>667</v>
      </c>
      <c r="E504" s="191" t="s">
        <v>238</v>
      </c>
      <c r="F504" s="641" t="s">
        <v>1113</v>
      </c>
      <c r="G504" s="67">
        <f>'Phan tich don gia'!G206</f>
        <v>2</v>
      </c>
      <c r="H504" s="5" t="e">
        <f>IF('Du toan chi tiet'!V35&lt;&gt;0,SUM(J500:J503)/100/'Du toan chi tiet'!V35,0)</f>
        <v>#REF!</v>
      </c>
      <c r="I504" s="198">
        <f>'Du toan chi tiet'!V35</f>
        <v>1</v>
      </c>
      <c r="J504" s="5" t="e">
        <f t="shared" si="26"/>
        <v>#REF!</v>
      </c>
      <c r="K504" s="49"/>
      <c r="L504" s="49"/>
      <c r="M504" s="49"/>
      <c r="N504" s="49"/>
      <c r="O504" s="49"/>
      <c r="P504" s="49"/>
      <c r="Q504" s="49"/>
      <c r="R504" s="49"/>
      <c r="S504" s="49"/>
      <c r="T504" s="49"/>
      <c r="U504" s="49"/>
      <c r="V504" s="49"/>
      <c r="W504" s="49"/>
      <c r="X504" s="49"/>
      <c r="Y504" s="49"/>
      <c r="Z504" s="49"/>
      <c r="AA504" s="49"/>
    </row>
    <row r="505" spans="1:27" x14ac:dyDescent="0.25">
      <c r="A505" s="261"/>
      <c r="B505" s="690"/>
      <c r="C505" s="745" t="s">
        <v>98</v>
      </c>
      <c r="D505" s="745" t="s">
        <v>98</v>
      </c>
      <c r="E505" s="247" t="s">
        <v>301</v>
      </c>
      <c r="F505" s="690" t="s">
        <v>1018</v>
      </c>
      <c r="G505" s="133"/>
      <c r="H505" s="44"/>
      <c r="I505" s="233"/>
      <c r="J505" s="44">
        <f>SUM(J506:J506)</f>
        <v>78024.45</v>
      </c>
      <c r="K505" s="49"/>
      <c r="L505" s="49"/>
      <c r="M505" s="49"/>
      <c r="N505" s="49"/>
      <c r="O505" s="49"/>
      <c r="P505" s="49"/>
      <c r="Q505" s="49"/>
      <c r="R505" s="49"/>
      <c r="S505" s="49"/>
      <c r="T505" s="49"/>
      <c r="U505" s="49"/>
      <c r="V505" s="49"/>
      <c r="W505" s="49"/>
      <c r="X505" s="49"/>
      <c r="Y505" s="49"/>
      <c r="Z505" s="49"/>
      <c r="AA505" s="49"/>
    </row>
    <row r="506" spans="1:27" x14ac:dyDescent="0.25">
      <c r="A506" s="207"/>
      <c r="B506" s="641"/>
      <c r="C506" s="711" t="s">
        <v>98</v>
      </c>
      <c r="D506" s="276" t="s">
        <v>169</v>
      </c>
      <c r="E506" s="191" t="str">
        <f>" - " &amp; 'Giá NC'!E9</f>
        <v xml:space="preserve"> - Nhân công bậc 4,0/7 - Nhóm 2</v>
      </c>
      <c r="F506" s="641" t="str">
        <f>'Giá NC'!F9</f>
        <v>công</v>
      </c>
      <c r="G506" s="67">
        <f>'Phan tich don gia'!G208</f>
        <v>0.28499999999999998</v>
      </c>
      <c r="H506" s="5">
        <f>'Giá NC'!K9</f>
        <v>273770</v>
      </c>
      <c r="I506" s="198">
        <f>'Du toan chi tiet'!W35</f>
        <v>1</v>
      </c>
      <c r="J506" s="5">
        <f>PRODUCT(G506,H506,I506)</f>
        <v>78024.45</v>
      </c>
      <c r="K506" s="49"/>
      <c r="L506" s="49"/>
      <c r="M506" s="49"/>
      <c r="N506" s="49"/>
      <c r="O506" s="49"/>
      <c r="P506" s="49"/>
      <c r="Q506" s="49"/>
      <c r="R506" s="49"/>
      <c r="S506" s="49"/>
      <c r="T506" s="49"/>
      <c r="U506" s="49"/>
      <c r="V506" s="49"/>
      <c r="W506" s="49"/>
      <c r="X506" s="49"/>
      <c r="Y506" s="49"/>
      <c r="Z506" s="49"/>
      <c r="AA506" s="49"/>
    </row>
    <row r="507" spans="1:27" x14ac:dyDescent="0.25">
      <c r="A507" s="261"/>
      <c r="B507" s="690"/>
      <c r="C507" s="745" t="s">
        <v>98</v>
      </c>
      <c r="D507" s="745" t="s">
        <v>98</v>
      </c>
      <c r="E507" s="247" t="s">
        <v>1175</v>
      </c>
      <c r="F507" s="690" t="s">
        <v>138</v>
      </c>
      <c r="G507" s="133"/>
      <c r="H507" s="44"/>
      <c r="I507" s="233"/>
      <c r="J507" s="44" t="e">
        <f>SUM(J508:J512)</f>
        <v>#REF!</v>
      </c>
      <c r="K507" s="49"/>
      <c r="L507" s="49"/>
      <c r="M507" s="49"/>
      <c r="N507" s="49"/>
      <c r="O507" s="49"/>
      <c r="P507" s="49"/>
      <c r="Q507" s="49"/>
      <c r="R507" s="49"/>
      <c r="S507" s="49"/>
      <c r="T507" s="49"/>
      <c r="U507" s="49"/>
      <c r="V507" s="49"/>
      <c r="W507" s="49"/>
      <c r="X507" s="49"/>
      <c r="Y507" s="49"/>
      <c r="Z507" s="49"/>
      <c r="AA507" s="49"/>
    </row>
    <row r="508" spans="1:27" x14ac:dyDescent="0.25">
      <c r="A508" s="207"/>
      <c r="B508" s="641"/>
      <c r="C508" s="711" t="s">
        <v>98</v>
      </c>
      <c r="D508" s="276" t="s">
        <v>82</v>
      </c>
      <c r="E508" s="191" t="str">
        <f>" - " &amp; 'Giá Máy'!E15</f>
        <v xml:space="preserve"> - Máy hàn điện 23kW</v>
      </c>
      <c r="F508" s="641" t="str">
        <f>'Giá Máy'!F15</f>
        <v>ca</v>
      </c>
      <c r="G508" s="67">
        <f>'Phan tich don gia'!G210</f>
        <v>1.4999999999999999E-2</v>
      </c>
      <c r="H508" s="5">
        <f>'Giá Máy'!J15</f>
        <v>477927</v>
      </c>
      <c r="I508" s="198">
        <f>'Du toan chi tiet'!X35</f>
        <v>1</v>
      </c>
      <c r="J508" s="5">
        <f t="shared" ref="J508:J511" si="27">PRODUCT(G508,H508,I508)</f>
        <v>7168.9049999999997</v>
      </c>
      <c r="K508" s="49"/>
      <c r="L508" s="49"/>
      <c r="M508" s="49"/>
      <c r="N508" s="49"/>
      <c r="O508" s="49"/>
      <c r="P508" s="49"/>
      <c r="Q508" s="49"/>
      <c r="R508" s="49"/>
      <c r="S508" s="49"/>
      <c r="T508" s="49"/>
      <c r="U508" s="49"/>
      <c r="V508" s="49"/>
      <c r="W508" s="49"/>
      <c r="X508" s="49"/>
      <c r="Y508" s="49"/>
      <c r="Z508" s="49"/>
      <c r="AA508" s="49"/>
    </row>
    <row r="509" spans="1:27" x14ac:dyDescent="0.25">
      <c r="A509" s="207"/>
      <c r="B509" s="641"/>
      <c r="C509" s="711" t="s">
        <v>98</v>
      </c>
      <c r="D509" s="276" t="s">
        <v>271</v>
      </c>
      <c r="E509" s="191" t="e">
        <f>" - " &amp; 'Giá Máy'!#REF!</f>
        <v>#REF!</v>
      </c>
      <c r="F509" s="641" t="e">
        <f>'Giá Máy'!#REF!</f>
        <v>#REF!</v>
      </c>
      <c r="G509" s="67" t="e">
        <f>'Phan tich don gia'!#REF!</f>
        <v>#REF!</v>
      </c>
      <c r="H509" s="5" t="e">
        <f>'Giá Máy'!#REF!</f>
        <v>#REF!</v>
      </c>
      <c r="I509" s="198">
        <f>'Du toan chi tiet'!X35</f>
        <v>1</v>
      </c>
      <c r="J509" s="5" t="e">
        <f t="shared" si="27"/>
        <v>#REF!</v>
      </c>
      <c r="K509" s="49"/>
      <c r="L509" s="49"/>
      <c r="M509" s="49"/>
      <c r="N509" s="49"/>
      <c r="O509" s="49"/>
      <c r="P509" s="49"/>
      <c r="Q509" s="49"/>
      <c r="R509" s="49"/>
      <c r="S509" s="49"/>
      <c r="T509" s="49"/>
      <c r="U509" s="49"/>
      <c r="V509" s="49"/>
      <c r="W509" s="49"/>
      <c r="X509" s="49"/>
      <c r="Y509" s="49"/>
      <c r="Z509" s="49"/>
      <c r="AA509" s="49"/>
    </row>
    <row r="510" spans="1:27" x14ac:dyDescent="0.25">
      <c r="A510" s="207"/>
      <c r="B510" s="641"/>
      <c r="C510" s="711" t="s">
        <v>98</v>
      </c>
      <c r="D510" s="276" t="s">
        <v>208</v>
      </c>
      <c r="E510" s="191" t="e">
        <f>" - " &amp; 'Giá Máy'!#REF!</f>
        <v>#REF!</v>
      </c>
      <c r="F510" s="641" t="e">
        <f>'Giá Máy'!#REF!</f>
        <v>#REF!</v>
      </c>
      <c r="G510" s="67" t="e">
        <f>'Phan tich don gia'!#REF!</f>
        <v>#REF!</v>
      </c>
      <c r="H510" s="5" t="e">
        <f>'Giá Máy'!#REF!</f>
        <v>#REF!</v>
      </c>
      <c r="I510" s="198">
        <f>'Du toan chi tiet'!X35</f>
        <v>1</v>
      </c>
      <c r="J510" s="5" t="e">
        <f t="shared" si="27"/>
        <v>#REF!</v>
      </c>
      <c r="K510" s="49"/>
      <c r="L510" s="49"/>
      <c r="M510" s="49"/>
      <c r="N510" s="49"/>
      <c r="O510" s="49"/>
      <c r="P510" s="49"/>
      <c r="Q510" s="49"/>
      <c r="R510" s="49"/>
      <c r="S510" s="49"/>
      <c r="T510" s="49"/>
      <c r="U510" s="49"/>
      <c r="V510" s="49"/>
      <c r="W510" s="49"/>
      <c r="X510" s="49"/>
      <c r="Y510" s="49"/>
      <c r="Z510" s="49"/>
      <c r="AA510" s="49"/>
    </row>
    <row r="511" spans="1:27" x14ac:dyDescent="0.25">
      <c r="A511" s="207"/>
      <c r="B511" s="641"/>
      <c r="C511" s="711" t="s">
        <v>98</v>
      </c>
      <c r="D511" s="276" t="s">
        <v>1162</v>
      </c>
      <c r="E511" s="191" t="s">
        <v>1080</v>
      </c>
      <c r="F511" s="641" t="s">
        <v>1113</v>
      </c>
      <c r="G511" s="67">
        <f>'Phan tich don gia'!G211</f>
        <v>2</v>
      </c>
      <c r="H511" s="5" t="e">
        <f>IF('Du toan chi tiet'!X35&lt;&gt;0,SUM(J508:J510)/100/'Du toan chi tiet'!X35,0)</f>
        <v>#REF!</v>
      </c>
      <c r="I511" s="198">
        <f>'Du toan chi tiet'!X35</f>
        <v>1</v>
      </c>
      <c r="J511" s="5" t="e">
        <f t="shared" si="27"/>
        <v>#REF!</v>
      </c>
      <c r="K511" s="49"/>
      <c r="L511" s="49"/>
      <c r="M511" s="49"/>
      <c r="N511" s="49"/>
      <c r="O511" s="49"/>
      <c r="P511" s="49"/>
      <c r="Q511" s="49"/>
      <c r="R511" s="49"/>
      <c r="S511" s="49"/>
      <c r="T511" s="49"/>
      <c r="U511" s="49"/>
      <c r="V511" s="49"/>
      <c r="W511" s="49"/>
      <c r="X511" s="49"/>
      <c r="Y511" s="49"/>
      <c r="Z511" s="49"/>
      <c r="AA511" s="49"/>
    </row>
    <row r="512" spans="1:27" x14ac:dyDescent="0.25">
      <c r="A512" s="207"/>
      <c r="B512" s="641"/>
      <c r="C512" s="711" t="s">
        <v>98</v>
      </c>
      <c r="D512" s="276" t="s">
        <v>98</v>
      </c>
      <c r="E512" s="191" t="s">
        <v>1230</v>
      </c>
      <c r="F512" s="641"/>
      <c r="G512" s="106"/>
      <c r="H512" s="5"/>
      <c r="I512" s="198"/>
      <c r="J512" s="5" t="e">
        <f>SUM(J513:J514)+PRODUCT(G511,I511,THM!X101-THM!R101)</f>
        <v>#REF!</v>
      </c>
      <c r="K512" s="49"/>
      <c r="L512" s="49"/>
      <c r="M512" s="49"/>
      <c r="N512" s="49"/>
      <c r="O512" s="49"/>
      <c r="P512" s="49"/>
      <c r="Q512" s="49"/>
      <c r="R512" s="49"/>
      <c r="S512" s="49"/>
      <c r="T512" s="49"/>
      <c r="U512" s="49"/>
      <c r="V512" s="49"/>
      <c r="W512" s="49"/>
      <c r="X512" s="49"/>
      <c r="Y512" s="49"/>
      <c r="Z512" s="49"/>
      <c r="AA512" s="49"/>
    </row>
    <row r="513" spans="1:27" x14ac:dyDescent="0.25">
      <c r="A513" s="207"/>
      <c r="B513" s="641"/>
      <c r="C513" s="711" t="s">
        <v>98</v>
      </c>
      <c r="D513" s="276" t="s">
        <v>98</v>
      </c>
      <c r="E513" s="191" t="s">
        <v>52</v>
      </c>
      <c r="F513" s="641"/>
      <c r="G513" s="106"/>
      <c r="H513" s="5"/>
      <c r="I513" s="198"/>
      <c r="J513" s="5" t="e">
        <f>PRODUCT(G508,I508,'Giá Máy'!L15)+PRODUCT(G509,I509,'Giá Máy'!#REF!)+PRODUCT(G510,I510,'Giá Máy'!#REF!)</f>
        <v>#REF!</v>
      </c>
      <c r="K513" s="49"/>
      <c r="L513" s="49"/>
      <c r="M513" s="49"/>
      <c r="N513" s="49"/>
      <c r="O513" s="49"/>
      <c r="P513" s="49"/>
      <c r="Q513" s="49"/>
      <c r="R513" s="49"/>
      <c r="S513" s="49"/>
      <c r="T513" s="49"/>
      <c r="U513" s="49"/>
      <c r="V513" s="49"/>
      <c r="W513" s="49"/>
      <c r="X513" s="49"/>
      <c r="Y513" s="49"/>
      <c r="Z513" s="49"/>
      <c r="AA513" s="49"/>
    </row>
    <row r="514" spans="1:27" x14ac:dyDescent="0.25">
      <c r="A514" s="207"/>
      <c r="B514" s="641"/>
      <c r="C514" s="711" t="s">
        <v>98</v>
      </c>
      <c r="D514" s="276" t="s">
        <v>98</v>
      </c>
      <c r="E514" s="191" t="s">
        <v>597</v>
      </c>
      <c r="F514" s="641"/>
      <c r="G514" s="106"/>
      <c r="H514" s="5"/>
      <c r="I514" s="198"/>
      <c r="J514" s="5" t="e">
        <f>PRODUCT(G508,I508,'Giá Máy'!M15)+PRODUCT(G509,I509,'Giá Máy'!#REF!)+PRODUCT(G510,I510,'Giá Máy'!#REF!)</f>
        <v>#REF!</v>
      </c>
      <c r="K514" s="49"/>
      <c r="L514" s="49"/>
      <c r="M514" s="49"/>
      <c r="N514" s="49"/>
      <c r="O514" s="49"/>
      <c r="P514" s="49"/>
      <c r="Q514" s="49"/>
      <c r="R514" s="49"/>
      <c r="S514" s="49"/>
      <c r="T514" s="49"/>
      <c r="U514" s="49"/>
      <c r="V514" s="49"/>
      <c r="W514" s="49"/>
      <c r="X514" s="49"/>
      <c r="Y514" s="49"/>
      <c r="Z514" s="49"/>
      <c r="AA514" s="49"/>
    </row>
    <row r="515" spans="1:27" x14ac:dyDescent="0.25">
      <c r="A515" s="207"/>
      <c r="B515" s="641"/>
      <c r="C515" s="711" t="s">
        <v>98</v>
      </c>
      <c r="D515" s="276" t="s">
        <v>98</v>
      </c>
      <c r="E515" s="191" t="s">
        <v>599</v>
      </c>
      <c r="F515" s="641" t="s">
        <v>356</v>
      </c>
      <c r="G515" s="106"/>
      <c r="H515" s="5"/>
      <c r="I515" s="198"/>
      <c r="J515" s="5" t="e">
        <f>J499+J505+J507</f>
        <v>#REF!</v>
      </c>
      <c r="K515" s="49"/>
      <c r="L515" s="49"/>
      <c r="M515" s="49"/>
      <c r="N515" s="49"/>
      <c r="O515" s="49"/>
      <c r="P515" s="49"/>
      <c r="Q515" s="49"/>
      <c r="R515" s="49"/>
      <c r="S515" s="49"/>
      <c r="T515" s="49"/>
      <c r="U515" s="49"/>
      <c r="V515" s="49"/>
      <c r="W515" s="49"/>
      <c r="X515" s="49"/>
      <c r="Y515" s="49"/>
      <c r="Z515" s="49"/>
      <c r="AA515" s="49"/>
    </row>
    <row r="516" spans="1:27" x14ac:dyDescent="0.25">
      <c r="A516" s="207"/>
      <c r="B516" s="641"/>
      <c r="C516" s="711" t="s">
        <v>98</v>
      </c>
      <c r="D516" s="276" t="s">
        <v>98</v>
      </c>
      <c r="E516" s="191" t="s">
        <v>265</v>
      </c>
      <c r="F516" s="641" t="s">
        <v>653</v>
      </c>
      <c r="G516" s="307">
        <f>'Thông tin'!E67</f>
        <v>7.2999999999999995E-2</v>
      </c>
      <c r="H516" s="5"/>
      <c r="I516" s="198"/>
      <c r="J516" s="5" t="e">
        <f>(J515)*G516</f>
        <v>#REF!</v>
      </c>
      <c r="K516" s="49"/>
      <c r="L516" s="49"/>
      <c r="M516" s="49"/>
      <c r="N516" s="49"/>
      <c r="O516" s="49"/>
      <c r="P516" s="49"/>
      <c r="Q516" s="49"/>
      <c r="R516" s="49"/>
      <c r="S516" s="49"/>
      <c r="T516" s="49"/>
      <c r="U516" s="49"/>
      <c r="V516" s="49"/>
      <c r="W516" s="49"/>
      <c r="X516" s="49"/>
      <c r="Y516" s="49"/>
      <c r="Z516" s="49"/>
      <c r="AA516" s="49"/>
    </row>
    <row r="517" spans="1:27" x14ac:dyDescent="0.25">
      <c r="A517" s="207"/>
      <c r="B517" s="641"/>
      <c r="C517" s="711" t="s">
        <v>98</v>
      </c>
      <c r="D517" s="276" t="s">
        <v>98</v>
      </c>
      <c r="E517" s="191" t="s">
        <v>765</v>
      </c>
      <c r="F517" s="641" t="s">
        <v>602</v>
      </c>
      <c r="G517" s="307">
        <f>'Thông tin'!E60</f>
        <v>1.1000000000000001E-2</v>
      </c>
      <c r="H517" s="5"/>
      <c r="I517" s="198"/>
      <c r="J517" s="5" t="e">
        <f>(J515)*G517</f>
        <v>#REF!</v>
      </c>
      <c r="K517" s="49"/>
      <c r="L517" s="49"/>
      <c r="M517" s="49"/>
      <c r="N517" s="49"/>
      <c r="O517" s="49"/>
      <c r="P517" s="49"/>
      <c r="Q517" s="49"/>
      <c r="R517" s="49"/>
      <c r="S517" s="49"/>
      <c r="T517" s="49"/>
      <c r="U517" s="49"/>
      <c r="V517" s="49"/>
      <c r="W517" s="49"/>
      <c r="X517" s="49"/>
      <c r="Y517" s="49"/>
      <c r="Z517" s="49"/>
      <c r="AA517" s="49"/>
    </row>
    <row r="518" spans="1:27" ht="30" x14ac:dyDescent="0.25">
      <c r="A518" s="207"/>
      <c r="B518" s="641"/>
      <c r="C518" s="711" t="s">
        <v>98</v>
      </c>
      <c r="D518" s="276" t="s">
        <v>98</v>
      </c>
      <c r="E518" s="191" t="s">
        <v>457</v>
      </c>
      <c r="F518" s="641" t="s">
        <v>881</v>
      </c>
      <c r="G518" s="307">
        <f>'Thông tin'!E65</f>
        <v>2.5000000000000001E-2</v>
      </c>
      <c r="H518" s="5"/>
      <c r="I518" s="198"/>
      <c r="J518" s="5" t="e">
        <f>(J515)*G518</f>
        <v>#REF!</v>
      </c>
      <c r="K518" s="49"/>
      <c r="L518" s="49"/>
      <c r="M518" s="49"/>
      <c r="N518" s="49"/>
      <c r="O518" s="49"/>
      <c r="P518" s="49"/>
      <c r="Q518" s="49"/>
      <c r="R518" s="49"/>
      <c r="S518" s="49"/>
      <c r="T518" s="49"/>
      <c r="U518" s="49"/>
      <c r="V518" s="49"/>
      <c r="W518" s="49"/>
      <c r="X518" s="49"/>
      <c r="Y518" s="49"/>
      <c r="Z518" s="49"/>
      <c r="AA518" s="49"/>
    </row>
    <row r="519" spans="1:27" x14ac:dyDescent="0.25">
      <c r="A519" s="207"/>
      <c r="B519" s="641"/>
      <c r="C519" s="711" t="s">
        <v>98</v>
      </c>
      <c r="D519" s="276" t="s">
        <v>98</v>
      </c>
      <c r="E519" s="191" t="s">
        <v>1244</v>
      </c>
      <c r="F519" s="641" t="s">
        <v>1032</v>
      </c>
      <c r="G519" s="106"/>
      <c r="H519" s="5"/>
      <c r="I519" s="198"/>
      <c r="J519" s="5" t="e">
        <f>J516+J517+J518</f>
        <v>#REF!</v>
      </c>
      <c r="K519" s="49"/>
      <c r="L519" s="49"/>
      <c r="M519" s="49"/>
      <c r="N519" s="49"/>
      <c r="O519" s="49"/>
      <c r="P519" s="49"/>
      <c r="Q519" s="49"/>
      <c r="R519" s="49"/>
      <c r="S519" s="49"/>
      <c r="T519" s="49"/>
      <c r="U519" s="49"/>
      <c r="V519" s="49"/>
      <c r="W519" s="49"/>
      <c r="X519" s="49"/>
      <c r="Y519" s="49"/>
      <c r="Z519" s="49"/>
      <c r="AA519" s="49"/>
    </row>
    <row r="520" spans="1:27" x14ac:dyDescent="0.25">
      <c r="A520" s="207"/>
      <c r="B520" s="641"/>
      <c r="C520" s="711" t="s">
        <v>98</v>
      </c>
      <c r="D520" s="276" t="s">
        <v>98</v>
      </c>
      <c r="E520" s="191" t="s">
        <v>990</v>
      </c>
      <c r="F520" s="641" t="s">
        <v>307</v>
      </c>
      <c r="G520" s="307">
        <f>'Thông tin'!E63</f>
        <v>5.5E-2</v>
      </c>
      <c r="H520" s="5"/>
      <c r="I520" s="198"/>
      <c r="J520" s="5" t="e">
        <f>(J515+J519)*G520</f>
        <v>#REF!</v>
      </c>
      <c r="K520" s="49"/>
      <c r="L520" s="49"/>
      <c r="M520" s="49"/>
      <c r="N520" s="49"/>
      <c r="O520" s="49"/>
      <c r="P520" s="49"/>
      <c r="Q520" s="49"/>
      <c r="R520" s="49"/>
      <c r="S520" s="49"/>
      <c r="T520" s="49"/>
      <c r="U520" s="49"/>
      <c r="V520" s="49"/>
      <c r="W520" s="49"/>
      <c r="X520" s="49"/>
      <c r="Y520" s="49"/>
      <c r="Z520" s="49"/>
      <c r="AA520" s="49"/>
    </row>
    <row r="521" spans="1:27" x14ac:dyDescent="0.25">
      <c r="A521" s="207"/>
      <c r="B521" s="641"/>
      <c r="C521" s="711" t="s">
        <v>98</v>
      </c>
      <c r="D521" s="276" t="s">
        <v>98</v>
      </c>
      <c r="E521" s="7" t="s">
        <v>142</v>
      </c>
      <c r="F521" s="499" t="s">
        <v>286</v>
      </c>
      <c r="G521" s="106"/>
      <c r="H521" s="5"/>
      <c r="I521" s="198"/>
      <c r="J521" s="620" t="e">
        <f>J515+J519+J520</f>
        <v>#REF!</v>
      </c>
      <c r="K521" s="49"/>
      <c r="L521" s="49"/>
      <c r="M521" s="49"/>
      <c r="N521" s="49"/>
      <c r="O521" s="49"/>
      <c r="P521" s="49"/>
      <c r="Q521" s="49"/>
      <c r="R521" s="49"/>
      <c r="S521" s="49"/>
      <c r="T521" s="49"/>
      <c r="U521" s="49"/>
      <c r="V521" s="49"/>
      <c r="W521" s="49"/>
      <c r="X521" s="49"/>
      <c r="Y521" s="49"/>
      <c r="Z521" s="49"/>
      <c r="AA521" s="49"/>
    </row>
    <row r="522" spans="1:27" x14ac:dyDescent="0.25">
      <c r="A522" s="207"/>
      <c r="B522" s="641"/>
      <c r="C522" s="711" t="s">
        <v>98</v>
      </c>
      <c r="D522" s="276" t="s">
        <v>98</v>
      </c>
      <c r="E522" s="191" t="s">
        <v>762</v>
      </c>
      <c r="F522" s="641" t="s">
        <v>830</v>
      </c>
      <c r="G522" s="705">
        <f>'Thông tin'!E61</f>
        <v>0.08</v>
      </c>
      <c r="H522" s="5"/>
      <c r="I522" s="198"/>
      <c r="J522" s="5" t="e">
        <f>(J521)*G522</f>
        <v>#REF!</v>
      </c>
      <c r="K522" s="49"/>
      <c r="L522" s="49"/>
      <c r="M522" s="49"/>
      <c r="N522" s="49"/>
      <c r="O522" s="49"/>
      <c r="P522" s="49"/>
      <c r="Q522" s="49"/>
      <c r="R522" s="49"/>
      <c r="S522" s="49"/>
      <c r="T522" s="49"/>
      <c r="U522" s="49"/>
      <c r="V522" s="49"/>
      <c r="W522" s="49"/>
      <c r="X522" s="49"/>
      <c r="Y522" s="49"/>
      <c r="Z522" s="49"/>
      <c r="AA522" s="49"/>
    </row>
    <row r="523" spans="1:27" x14ac:dyDescent="0.25">
      <c r="A523" s="122"/>
      <c r="B523" s="581"/>
      <c r="C523" s="636" t="s">
        <v>98</v>
      </c>
      <c r="D523" s="196" t="s">
        <v>98</v>
      </c>
      <c r="E523" s="728" t="s">
        <v>953</v>
      </c>
      <c r="F523" s="429" t="s">
        <v>1108</v>
      </c>
      <c r="G523" s="29"/>
      <c r="H523" s="704"/>
      <c r="I523" s="113"/>
      <c r="J523" s="657" t="e">
        <f>J521+J522</f>
        <v>#REF!</v>
      </c>
      <c r="K523" s="49"/>
      <c r="L523" s="49"/>
      <c r="M523" s="49"/>
      <c r="N523" s="49"/>
      <c r="O523" s="49"/>
      <c r="P523" s="49"/>
      <c r="Q523" s="49"/>
      <c r="R523" s="49"/>
      <c r="S523" s="49"/>
      <c r="T523" s="49"/>
      <c r="U523" s="49"/>
      <c r="V523" s="49"/>
      <c r="W523" s="49"/>
      <c r="X523" s="49"/>
      <c r="Y523" s="49"/>
      <c r="Z523" s="49"/>
      <c r="AA523" s="49"/>
    </row>
    <row r="524" spans="1:27" ht="45" x14ac:dyDescent="0.25">
      <c r="A524" s="458"/>
      <c r="B524" s="130">
        <v>27</v>
      </c>
      <c r="C524" s="234" t="str">
        <f>'Du toan chi tiet'!C36</f>
        <v>AF.11231</v>
      </c>
      <c r="D524" s="234" t="str">
        <f>'Du toan chi tiet'!C36</f>
        <v>AF.11231</v>
      </c>
      <c r="E524" s="730" t="str">
        <f>'Du toan chi tiet'!D36</f>
        <v>Bê tông móng tường cánh SX bằng máy trộn, đổ bằng thủ công, rộng ≤250cm, M150, đá 2x4, PCB40</v>
      </c>
      <c r="F524" s="130" t="str">
        <f>'Du toan chi tiet'!E36</f>
        <v>m3</v>
      </c>
      <c r="G524" s="664"/>
      <c r="H524" s="282"/>
      <c r="I524" s="450"/>
      <c r="J524" s="282"/>
      <c r="K524" s="49"/>
      <c r="L524" s="49"/>
      <c r="M524" s="49"/>
      <c r="N524" s="49"/>
      <c r="O524" s="49"/>
      <c r="P524" s="49"/>
      <c r="Q524" s="49"/>
      <c r="R524" s="49"/>
      <c r="S524" s="49"/>
      <c r="T524" s="49"/>
      <c r="U524" s="49"/>
      <c r="V524" s="49"/>
      <c r="W524" s="49"/>
      <c r="X524" s="49"/>
      <c r="Y524" s="49"/>
      <c r="Z524" s="49"/>
      <c r="AA524" s="49"/>
    </row>
    <row r="525" spans="1:27" x14ac:dyDescent="0.25">
      <c r="A525" s="261"/>
      <c r="B525" s="690"/>
      <c r="C525" s="745" t="s">
        <v>98</v>
      </c>
      <c r="D525" s="745" t="s">
        <v>98</v>
      </c>
      <c r="E525" s="247" t="s">
        <v>547</v>
      </c>
      <c r="F525" s="690" t="s">
        <v>962</v>
      </c>
      <c r="G525" s="133"/>
      <c r="H525" s="44"/>
      <c r="I525" s="233"/>
      <c r="J525" s="44">
        <f>SUM(J526:J530)</f>
        <v>834624.02152202884</v>
      </c>
      <c r="K525" s="49"/>
      <c r="L525" s="49"/>
      <c r="M525" s="49"/>
      <c r="N525" s="49"/>
      <c r="O525" s="49"/>
      <c r="P525" s="49"/>
      <c r="Q525" s="49"/>
      <c r="R525" s="49"/>
      <c r="S525" s="49"/>
      <c r="T525" s="49"/>
      <c r="U525" s="49"/>
      <c r="V525" s="49"/>
      <c r="W525" s="49"/>
      <c r="X525" s="49"/>
      <c r="Y525" s="49"/>
      <c r="Z525" s="49"/>
      <c r="AA525" s="49"/>
    </row>
    <row r="526" spans="1:27" x14ac:dyDescent="0.25">
      <c r="A526" s="207"/>
      <c r="B526" s="641"/>
      <c r="C526" s="711" t="s">
        <v>98</v>
      </c>
      <c r="D526" s="276" t="s">
        <v>235</v>
      </c>
      <c r="E526" s="191" t="str">
        <f>" - " &amp; 'Giá VL'!E37</f>
        <v xml:space="preserve"> - Xi măng PCB40</v>
      </c>
      <c r="F526" s="641" t="str">
        <f>'Giá VL'!F37</f>
        <v>kg</v>
      </c>
      <c r="G526" s="67">
        <f>'Phan tich don gia'!G214</f>
        <v>210.125</v>
      </c>
      <c r="H526" s="5">
        <f>'Giá VL'!V37</f>
        <v>1587.7239999999999</v>
      </c>
      <c r="I526" s="198">
        <f>'Du toan chi tiet'!V36</f>
        <v>1</v>
      </c>
      <c r="J526" s="5">
        <f t="shared" ref="J526:J530" si="28">PRODUCT(G526,H526,I526)</f>
        <v>333620.50549999997</v>
      </c>
      <c r="K526" s="49"/>
      <c r="L526" s="49"/>
      <c r="M526" s="49"/>
      <c r="N526" s="49"/>
      <c r="O526" s="49"/>
      <c r="P526" s="49"/>
      <c r="Q526" s="49"/>
      <c r="R526" s="49"/>
      <c r="S526" s="49"/>
      <c r="T526" s="49"/>
      <c r="U526" s="49"/>
      <c r="V526" s="49"/>
      <c r="W526" s="49"/>
      <c r="X526" s="49"/>
      <c r="Y526" s="49"/>
      <c r="Z526" s="49"/>
      <c r="AA526" s="49"/>
    </row>
    <row r="527" spans="1:27" x14ac:dyDescent="0.25">
      <c r="A527" s="207"/>
      <c r="B527" s="641"/>
      <c r="C527" s="711" t="s">
        <v>98</v>
      </c>
      <c r="D527" s="276" t="s">
        <v>523</v>
      </c>
      <c r="E527" s="191" t="str">
        <f>" - " &amp; 'Giá VL'!E9</f>
        <v xml:space="preserve"> - Cát vàng</v>
      </c>
      <c r="F527" s="641" t="str">
        <f>'Giá VL'!F9</f>
        <v>m3</v>
      </c>
      <c r="G527" s="67">
        <f>'Phan tich don gia'!G215</f>
        <v>0.56272500000000003</v>
      </c>
      <c r="H527" s="5">
        <f>'Giá VL'!V9</f>
        <v>345317.29174999997</v>
      </c>
      <c r="I527" s="198">
        <f>'Du toan chi tiet'!V36</f>
        <v>1</v>
      </c>
      <c r="J527" s="5">
        <f t="shared" si="28"/>
        <v>194318.67300001875</v>
      </c>
      <c r="K527" s="49"/>
      <c r="L527" s="49"/>
      <c r="M527" s="49"/>
      <c r="N527" s="49"/>
      <c r="O527" s="49"/>
      <c r="P527" s="49"/>
      <c r="Q527" s="49"/>
      <c r="R527" s="49"/>
      <c r="S527" s="49"/>
      <c r="T527" s="49"/>
      <c r="U527" s="49"/>
      <c r="V527" s="49"/>
      <c r="W527" s="49"/>
      <c r="X527" s="49"/>
      <c r="Y527" s="49"/>
      <c r="Z527" s="49"/>
      <c r="AA527" s="49"/>
    </row>
    <row r="528" spans="1:27" x14ac:dyDescent="0.25">
      <c r="A528" s="207"/>
      <c r="B528" s="641"/>
      <c r="C528" s="711" t="s">
        <v>98</v>
      </c>
      <c r="D528" s="276" t="s">
        <v>485</v>
      </c>
      <c r="E528" s="191" t="str">
        <f>" - " &amp; 'Giá VL'!E12</f>
        <v xml:space="preserve"> - Đá 2x4</v>
      </c>
      <c r="F528" s="641" t="str">
        <f>'Giá VL'!F12</f>
        <v>m3</v>
      </c>
      <c r="G528" s="67">
        <f>'Phan tich don gia'!G216</f>
        <v>0.91225000000000001</v>
      </c>
      <c r="H528" s="5">
        <f>'Giá VL'!V12</f>
        <v>316313.14456500002</v>
      </c>
      <c r="I528" s="198">
        <f>'Du toan chi tiet'!V36</f>
        <v>1</v>
      </c>
      <c r="J528" s="5">
        <f t="shared" si="28"/>
        <v>288556.66612942127</v>
      </c>
      <c r="K528" s="49"/>
      <c r="L528" s="49"/>
      <c r="M528" s="49"/>
      <c r="N528" s="49"/>
      <c r="O528" s="49"/>
      <c r="P528" s="49"/>
      <c r="Q528" s="49"/>
      <c r="R528" s="49"/>
      <c r="S528" s="49"/>
      <c r="T528" s="49"/>
      <c r="U528" s="49"/>
      <c r="V528" s="49"/>
      <c r="W528" s="49"/>
      <c r="X528" s="49"/>
      <c r="Y528" s="49"/>
      <c r="Z528" s="49"/>
      <c r="AA528" s="49"/>
    </row>
    <row r="529" spans="1:27" x14ac:dyDescent="0.25">
      <c r="A529" s="207"/>
      <c r="B529" s="641"/>
      <c r="C529" s="711" t="s">
        <v>98</v>
      </c>
      <c r="D529" s="276" t="s">
        <v>956</v>
      </c>
      <c r="E529" s="191" t="str">
        <f>" - " &amp; 'Giá VL'!E23</f>
        <v xml:space="preserve"> - Nước</v>
      </c>
      <c r="F529" s="641" t="str">
        <f>'Giá VL'!F23</f>
        <v>lít</v>
      </c>
      <c r="G529" s="67">
        <f>'Phan tich don gia'!G217</f>
        <v>176.3</v>
      </c>
      <c r="H529" s="5">
        <f>'Giá VL'!V23</f>
        <v>10</v>
      </c>
      <c r="I529" s="198">
        <f>'Du toan chi tiet'!V36</f>
        <v>1</v>
      </c>
      <c r="J529" s="5">
        <f t="shared" si="28"/>
        <v>1763</v>
      </c>
      <c r="K529" s="49"/>
      <c r="L529" s="49"/>
      <c r="M529" s="49"/>
      <c r="N529" s="49"/>
      <c r="O529" s="49"/>
      <c r="P529" s="49"/>
      <c r="Q529" s="49"/>
      <c r="R529" s="49"/>
      <c r="S529" s="49"/>
      <c r="T529" s="49"/>
      <c r="U529" s="49"/>
      <c r="V529" s="49"/>
      <c r="W529" s="49"/>
      <c r="X529" s="49"/>
      <c r="Y529" s="49"/>
      <c r="Z529" s="49"/>
      <c r="AA529" s="49"/>
    </row>
    <row r="530" spans="1:27" x14ac:dyDescent="0.25">
      <c r="A530" s="207"/>
      <c r="B530" s="641"/>
      <c r="C530" s="711" t="s">
        <v>98</v>
      </c>
      <c r="D530" s="276" t="s">
        <v>667</v>
      </c>
      <c r="E530" s="191" t="s">
        <v>238</v>
      </c>
      <c r="F530" s="641" t="s">
        <v>1113</v>
      </c>
      <c r="G530" s="67">
        <f>'Phan tich don gia'!G218</f>
        <v>2</v>
      </c>
      <c r="H530" s="5">
        <f>IF('Du toan chi tiet'!V36&lt;&gt;0,SUM(J526:J529)/100/'Du toan chi tiet'!V36,0)</f>
        <v>8182.5884462943995</v>
      </c>
      <c r="I530" s="198">
        <f>'Du toan chi tiet'!V36</f>
        <v>1</v>
      </c>
      <c r="J530" s="5">
        <f t="shared" si="28"/>
        <v>16365.176892588799</v>
      </c>
      <c r="K530" s="49"/>
      <c r="L530" s="49"/>
      <c r="M530" s="49"/>
      <c r="N530" s="49"/>
      <c r="O530" s="49"/>
      <c r="P530" s="49"/>
      <c r="Q530" s="49"/>
      <c r="R530" s="49"/>
      <c r="S530" s="49"/>
      <c r="T530" s="49"/>
      <c r="U530" s="49"/>
      <c r="V530" s="49"/>
      <c r="W530" s="49"/>
      <c r="X530" s="49"/>
      <c r="Y530" s="49"/>
      <c r="Z530" s="49"/>
      <c r="AA530" s="49"/>
    </row>
    <row r="531" spans="1:27" x14ac:dyDescent="0.25">
      <c r="A531" s="261"/>
      <c r="B531" s="690"/>
      <c r="C531" s="745" t="s">
        <v>98</v>
      </c>
      <c r="D531" s="745" t="s">
        <v>98</v>
      </c>
      <c r="E531" s="247" t="s">
        <v>301</v>
      </c>
      <c r="F531" s="690" t="s">
        <v>1018</v>
      </c>
      <c r="G531" s="133"/>
      <c r="H531" s="44"/>
      <c r="I531" s="233"/>
      <c r="J531" s="44">
        <f>SUM(J532:J532)</f>
        <v>283674.90000000002</v>
      </c>
      <c r="K531" s="49"/>
      <c r="L531" s="49"/>
      <c r="M531" s="49"/>
      <c r="N531" s="49"/>
      <c r="O531" s="49"/>
      <c r="P531" s="49"/>
      <c r="Q531" s="49"/>
      <c r="R531" s="49"/>
      <c r="S531" s="49"/>
      <c r="T531" s="49"/>
      <c r="U531" s="49"/>
      <c r="V531" s="49"/>
      <c r="W531" s="49"/>
      <c r="X531" s="49"/>
      <c r="Y531" s="49"/>
      <c r="Z531" s="49"/>
      <c r="AA531" s="49"/>
    </row>
    <row r="532" spans="1:27" x14ac:dyDescent="0.25">
      <c r="A532" s="207"/>
      <c r="B532" s="641"/>
      <c r="C532" s="711" t="s">
        <v>98</v>
      </c>
      <c r="D532" s="276" t="s">
        <v>1156</v>
      </c>
      <c r="E532" s="191" t="str">
        <f>" - " &amp; 'Giá NC'!E7</f>
        <v xml:space="preserve"> - Nhân công bậc 3,0/7 - Nhóm 2</v>
      </c>
      <c r="F532" s="641" t="str">
        <f>'Giá NC'!F7</f>
        <v>công</v>
      </c>
      <c r="G532" s="67">
        <f>'Phan tich don gia'!G220</f>
        <v>1.23</v>
      </c>
      <c r="H532" s="5">
        <f>'Giá NC'!K7</f>
        <v>230630</v>
      </c>
      <c r="I532" s="198">
        <f>'Du toan chi tiet'!W36</f>
        <v>1</v>
      </c>
      <c r="J532" s="5">
        <f>PRODUCT(G532,H532,I532)</f>
        <v>283674.90000000002</v>
      </c>
      <c r="K532" s="49"/>
      <c r="L532" s="49"/>
      <c r="M532" s="49"/>
      <c r="N532" s="49"/>
      <c r="O532" s="49"/>
      <c r="P532" s="49"/>
      <c r="Q532" s="49"/>
      <c r="R532" s="49"/>
      <c r="S532" s="49"/>
      <c r="T532" s="49"/>
      <c r="U532" s="49"/>
      <c r="V532" s="49"/>
      <c r="W532" s="49"/>
      <c r="X532" s="49"/>
      <c r="Y532" s="49"/>
      <c r="Z532" s="49"/>
      <c r="AA532" s="49"/>
    </row>
    <row r="533" spans="1:27" x14ac:dyDescent="0.25">
      <c r="A533" s="261"/>
      <c r="B533" s="690"/>
      <c r="C533" s="745" t="s">
        <v>98</v>
      </c>
      <c r="D533" s="745" t="s">
        <v>98</v>
      </c>
      <c r="E533" s="247" t="s">
        <v>1175</v>
      </c>
      <c r="F533" s="690" t="s">
        <v>138</v>
      </c>
      <c r="G533" s="133"/>
      <c r="H533" s="44"/>
      <c r="I533" s="233"/>
      <c r="J533" s="44">
        <f>SUM(J534:J536)</f>
        <v>53736.791000000005</v>
      </c>
      <c r="K533" s="49"/>
      <c r="L533" s="49"/>
      <c r="M533" s="49"/>
      <c r="N533" s="49"/>
      <c r="O533" s="49"/>
      <c r="P533" s="49"/>
      <c r="Q533" s="49"/>
      <c r="R533" s="49"/>
      <c r="S533" s="49"/>
      <c r="T533" s="49"/>
      <c r="U533" s="49"/>
      <c r="V533" s="49"/>
      <c r="W533" s="49"/>
      <c r="X533" s="49"/>
      <c r="Y533" s="49"/>
      <c r="Z533" s="49"/>
      <c r="AA533" s="49"/>
    </row>
    <row r="534" spans="1:27" x14ac:dyDescent="0.25">
      <c r="A534" s="207"/>
      <c r="B534" s="641"/>
      <c r="C534" s="711" t="s">
        <v>98</v>
      </c>
      <c r="D534" s="276" t="s">
        <v>113</v>
      </c>
      <c r="E534" s="191" t="str">
        <f>" - " &amp; 'Giá Máy'!E20</f>
        <v xml:space="preserve"> - Máy trộn bê tông 250 lít</v>
      </c>
      <c r="F534" s="641" t="str">
        <f>'Giá Máy'!F20</f>
        <v>ca</v>
      </c>
      <c r="G534" s="67">
        <f>'Phan tich don gia'!G222</f>
        <v>9.5000000000000001E-2</v>
      </c>
      <c r="H534" s="5">
        <f>'Giá Máy'!J20</f>
        <v>317242</v>
      </c>
      <c r="I534" s="198">
        <f>'Du toan chi tiet'!X36</f>
        <v>1</v>
      </c>
      <c r="J534" s="5">
        <f t="shared" ref="J534:J535" si="29">PRODUCT(G534,H534,I534)</f>
        <v>30137.99</v>
      </c>
      <c r="K534" s="49"/>
      <c r="L534" s="49"/>
      <c r="M534" s="49"/>
      <c r="N534" s="49"/>
      <c r="O534" s="49"/>
      <c r="P534" s="49"/>
      <c r="Q534" s="49"/>
      <c r="R534" s="49"/>
      <c r="S534" s="49"/>
      <c r="T534" s="49"/>
      <c r="U534" s="49"/>
      <c r="V534" s="49"/>
      <c r="W534" s="49"/>
      <c r="X534" s="49"/>
      <c r="Y534" s="49"/>
      <c r="Z534" s="49"/>
      <c r="AA534" s="49"/>
    </row>
    <row r="535" spans="1:27" x14ac:dyDescent="0.25">
      <c r="A535" s="207"/>
      <c r="B535" s="641"/>
      <c r="C535" s="711" t="s">
        <v>98</v>
      </c>
      <c r="D535" s="276" t="s">
        <v>194</v>
      </c>
      <c r="E535" s="191" t="str">
        <f>" - " &amp; 'Giá Máy'!E12</f>
        <v xml:space="preserve"> - Máy đầm dùi 1,5kW</v>
      </c>
      <c r="F535" s="641" t="str">
        <f>'Giá Máy'!F12</f>
        <v>ca</v>
      </c>
      <c r="G535" s="67">
        <f>'Phan tich don gia'!G223</f>
        <v>8.8999999999999996E-2</v>
      </c>
      <c r="H535" s="5">
        <f>'Giá Máy'!J12</f>
        <v>265153</v>
      </c>
      <c r="I535" s="198">
        <f>'Du toan chi tiet'!X36</f>
        <v>1</v>
      </c>
      <c r="J535" s="5">
        <f t="shared" si="29"/>
        <v>23598.616999999998</v>
      </c>
      <c r="K535" s="49"/>
      <c r="L535" s="49"/>
      <c r="M535" s="49"/>
      <c r="N535" s="49"/>
      <c r="O535" s="49"/>
      <c r="P535" s="49"/>
      <c r="Q535" s="49"/>
      <c r="R535" s="49"/>
      <c r="S535" s="49"/>
      <c r="T535" s="49"/>
      <c r="U535" s="49"/>
      <c r="V535" s="49"/>
      <c r="W535" s="49"/>
      <c r="X535" s="49"/>
      <c r="Y535" s="49"/>
      <c r="Z535" s="49"/>
      <c r="AA535" s="49"/>
    </row>
    <row r="536" spans="1:27" x14ac:dyDescent="0.25">
      <c r="A536" s="207"/>
      <c r="B536" s="641"/>
      <c r="C536" s="711" t="s">
        <v>98</v>
      </c>
      <c r="D536" s="276" t="s">
        <v>98</v>
      </c>
      <c r="E536" s="191" t="s">
        <v>1230</v>
      </c>
      <c r="F536" s="641"/>
      <c r="G536" s="106"/>
      <c r="H536" s="5"/>
      <c r="I536" s="198"/>
      <c r="J536" s="5">
        <f>SUM(J537:J538)</f>
        <v>0.184</v>
      </c>
      <c r="K536" s="49"/>
      <c r="L536" s="49"/>
      <c r="M536" s="49"/>
      <c r="N536" s="49"/>
      <c r="O536" s="49"/>
      <c r="P536" s="49"/>
      <c r="Q536" s="49"/>
      <c r="R536" s="49"/>
      <c r="S536" s="49"/>
      <c r="T536" s="49"/>
      <c r="U536" s="49"/>
      <c r="V536" s="49"/>
      <c r="W536" s="49"/>
      <c r="X536" s="49"/>
      <c r="Y536" s="49"/>
      <c r="Z536" s="49"/>
      <c r="AA536" s="49"/>
    </row>
    <row r="537" spans="1:27" x14ac:dyDescent="0.25">
      <c r="A537" s="207"/>
      <c r="B537" s="641"/>
      <c r="C537" s="711" t="s">
        <v>98</v>
      </c>
      <c r="D537" s="276" t="s">
        <v>98</v>
      </c>
      <c r="E537" s="191" t="s">
        <v>52</v>
      </c>
      <c r="F537" s="641"/>
      <c r="G537" s="106"/>
      <c r="H537" s="5"/>
      <c r="I537" s="198"/>
      <c r="J537" s="5">
        <f>PRODUCT(G534,I534,'Giá Máy'!L20)+PRODUCT(G535,I535,'Giá Máy'!L12)</f>
        <v>0</v>
      </c>
      <c r="K537" s="49"/>
      <c r="L537" s="49"/>
      <c r="M537" s="49"/>
      <c r="N537" s="49"/>
      <c r="O537" s="49"/>
      <c r="P537" s="49"/>
      <c r="Q537" s="49"/>
      <c r="R537" s="49"/>
      <c r="S537" s="49"/>
      <c r="T537" s="49"/>
      <c r="U537" s="49"/>
      <c r="V537" s="49"/>
      <c r="W537" s="49"/>
      <c r="X537" s="49"/>
      <c r="Y537" s="49"/>
      <c r="Z537" s="49"/>
      <c r="AA537" s="49"/>
    </row>
    <row r="538" spans="1:27" x14ac:dyDescent="0.25">
      <c r="A538" s="207"/>
      <c r="B538" s="641"/>
      <c r="C538" s="711" t="s">
        <v>98</v>
      </c>
      <c r="D538" s="276" t="s">
        <v>98</v>
      </c>
      <c r="E538" s="191" t="s">
        <v>597</v>
      </c>
      <c r="F538" s="641"/>
      <c r="G538" s="106"/>
      <c r="H538" s="5"/>
      <c r="I538" s="198"/>
      <c r="J538" s="5">
        <f>PRODUCT(G534,I534,'Giá Máy'!M20)+PRODUCT(G535,I535,'Giá Máy'!M12)</f>
        <v>0.184</v>
      </c>
      <c r="K538" s="49"/>
      <c r="L538" s="49"/>
      <c r="M538" s="49"/>
      <c r="N538" s="49"/>
      <c r="O538" s="49"/>
      <c r="P538" s="49"/>
      <c r="Q538" s="49"/>
      <c r="R538" s="49"/>
      <c r="S538" s="49"/>
      <c r="T538" s="49"/>
      <c r="U538" s="49"/>
      <c r="V538" s="49"/>
      <c r="W538" s="49"/>
      <c r="X538" s="49"/>
      <c r="Y538" s="49"/>
      <c r="Z538" s="49"/>
      <c r="AA538" s="49"/>
    </row>
    <row r="539" spans="1:27" x14ac:dyDescent="0.25">
      <c r="A539" s="207"/>
      <c r="B539" s="641"/>
      <c r="C539" s="711" t="s">
        <v>98</v>
      </c>
      <c r="D539" s="276" t="s">
        <v>98</v>
      </c>
      <c r="E539" s="191" t="s">
        <v>599</v>
      </c>
      <c r="F539" s="641" t="s">
        <v>356</v>
      </c>
      <c r="G539" s="106"/>
      <c r="H539" s="5"/>
      <c r="I539" s="198"/>
      <c r="J539" s="5">
        <f>J525+J531+J533</f>
        <v>1172035.7125220287</v>
      </c>
      <c r="K539" s="49"/>
      <c r="L539" s="49"/>
      <c r="M539" s="49"/>
      <c r="N539" s="49"/>
      <c r="O539" s="49"/>
      <c r="P539" s="49"/>
      <c r="Q539" s="49"/>
      <c r="R539" s="49"/>
      <c r="S539" s="49"/>
      <c r="T539" s="49"/>
      <c r="U539" s="49"/>
      <c r="V539" s="49"/>
      <c r="W539" s="49"/>
      <c r="X539" s="49"/>
      <c r="Y539" s="49"/>
      <c r="Z539" s="49"/>
      <c r="AA539" s="49"/>
    </row>
    <row r="540" spans="1:27" x14ac:dyDescent="0.25">
      <c r="A540" s="207"/>
      <c r="B540" s="641"/>
      <c r="C540" s="711" t="s">
        <v>98</v>
      </c>
      <c r="D540" s="276" t="s">
        <v>98</v>
      </c>
      <c r="E540" s="191" t="s">
        <v>265</v>
      </c>
      <c r="F540" s="641" t="s">
        <v>653</v>
      </c>
      <c r="G540" s="307">
        <f>'Thông tin'!E67</f>
        <v>7.2999999999999995E-2</v>
      </c>
      <c r="H540" s="5"/>
      <c r="I540" s="198"/>
      <c r="J540" s="5">
        <f>(J539)*G540</f>
        <v>85558.607014108085</v>
      </c>
      <c r="K540" s="49"/>
      <c r="L540" s="49"/>
      <c r="M540" s="49"/>
      <c r="N540" s="49"/>
      <c r="O540" s="49"/>
      <c r="P540" s="49"/>
      <c r="Q540" s="49"/>
      <c r="R540" s="49"/>
      <c r="S540" s="49"/>
      <c r="T540" s="49"/>
      <c r="U540" s="49"/>
      <c r="V540" s="49"/>
      <c r="W540" s="49"/>
      <c r="X540" s="49"/>
      <c r="Y540" s="49"/>
      <c r="Z540" s="49"/>
      <c r="AA540" s="49"/>
    </row>
    <row r="541" spans="1:27" x14ac:dyDescent="0.25">
      <c r="A541" s="207"/>
      <c r="B541" s="641"/>
      <c r="C541" s="711" t="s">
        <v>98</v>
      </c>
      <c r="D541" s="276" t="s">
        <v>98</v>
      </c>
      <c r="E541" s="191" t="s">
        <v>765</v>
      </c>
      <c r="F541" s="641" t="s">
        <v>602</v>
      </c>
      <c r="G541" s="307">
        <f>'Thông tin'!E60</f>
        <v>1.1000000000000001E-2</v>
      </c>
      <c r="H541" s="5"/>
      <c r="I541" s="198"/>
      <c r="J541" s="5">
        <f>(J539)*G541</f>
        <v>12892.392837742316</v>
      </c>
      <c r="K541" s="49"/>
      <c r="L541" s="49"/>
      <c r="M541" s="49"/>
      <c r="N541" s="49"/>
      <c r="O541" s="49"/>
      <c r="P541" s="49"/>
      <c r="Q541" s="49"/>
      <c r="R541" s="49"/>
      <c r="S541" s="49"/>
      <c r="T541" s="49"/>
      <c r="U541" s="49"/>
      <c r="V541" s="49"/>
      <c r="W541" s="49"/>
      <c r="X541" s="49"/>
      <c r="Y541" s="49"/>
      <c r="Z541" s="49"/>
      <c r="AA541" s="49"/>
    </row>
    <row r="542" spans="1:27" ht="30" x14ac:dyDescent="0.25">
      <c r="A542" s="207"/>
      <c r="B542" s="641"/>
      <c r="C542" s="711" t="s">
        <v>98</v>
      </c>
      <c r="D542" s="276" t="s">
        <v>98</v>
      </c>
      <c r="E542" s="191" t="s">
        <v>457</v>
      </c>
      <c r="F542" s="641" t="s">
        <v>881</v>
      </c>
      <c r="G542" s="307">
        <f>'Thông tin'!E65</f>
        <v>2.5000000000000001E-2</v>
      </c>
      <c r="H542" s="5"/>
      <c r="I542" s="198"/>
      <c r="J542" s="5">
        <f>(J539)*G542</f>
        <v>29300.892813050719</v>
      </c>
      <c r="K542" s="49"/>
      <c r="L542" s="49"/>
      <c r="M542" s="49"/>
      <c r="N542" s="49"/>
      <c r="O542" s="49"/>
      <c r="P542" s="49"/>
      <c r="Q542" s="49"/>
      <c r="R542" s="49"/>
      <c r="S542" s="49"/>
      <c r="T542" s="49"/>
      <c r="U542" s="49"/>
      <c r="V542" s="49"/>
      <c r="W542" s="49"/>
      <c r="X542" s="49"/>
      <c r="Y542" s="49"/>
      <c r="Z542" s="49"/>
      <c r="AA542" s="49"/>
    </row>
    <row r="543" spans="1:27" x14ac:dyDescent="0.25">
      <c r="A543" s="207"/>
      <c r="B543" s="641"/>
      <c r="C543" s="711" t="s">
        <v>98</v>
      </c>
      <c r="D543" s="276" t="s">
        <v>98</v>
      </c>
      <c r="E543" s="191" t="s">
        <v>1244</v>
      </c>
      <c r="F543" s="641" t="s">
        <v>1032</v>
      </c>
      <c r="G543" s="106"/>
      <c r="H543" s="5"/>
      <c r="I543" s="198"/>
      <c r="J543" s="5">
        <f>J540+J541+J542</f>
        <v>127751.89266490113</v>
      </c>
      <c r="K543" s="49"/>
      <c r="L543" s="49"/>
      <c r="M543" s="49"/>
      <c r="N543" s="49"/>
      <c r="O543" s="49"/>
      <c r="P543" s="49"/>
      <c r="Q543" s="49"/>
      <c r="R543" s="49"/>
      <c r="S543" s="49"/>
      <c r="T543" s="49"/>
      <c r="U543" s="49"/>
      <c r="V543" s="49"/>
      <c r="W543" s="49"/>
      <c r="X543" s="49"/>
      <c r="Y543" s="49"/>
      <c r="Z543" s="49"/>
      <c r="AA543" s="49"/>
    </row>
    <row r="544" spans="1:27" x14ac:dyDescent="0.25">
      <c r="A544" s="207"/>
      <c r="B544" s="641"/>
      <c r="C544" s="711" t="s">
        <v>98</v>
      </c>
      <c r="D544" s="276" t="s">
        <v>98</v>
      </c>
      <c r="E544" s="191" t="s">
        <v>990</v>
      </c>
      <c r="F544" s="641" t="s">
        <v>307</v>
      </c>
      <c r="G544" s="307">
        <f>'Thông tin'!E63</f>
        <v>5.5E-2</v>
      </c>
      <c r="H544" s="5"/>
      <c r="I544" s="198"/>
      <c r="J544" s="5">
        <f>(J539+J543)*G544</f>
        <v>71488.318285281144</v>
      </c>
      <c r="K544" s="49"/>
      <c r="L544" s="49"/>
      <c r="M544" s="49"/>
      <c r="N544" s="49"/>
      <c r="O544" s="49"/>
      <c r="P544" s="49"/>
      <c r="Q544" s="49"/>
      <c r="R544" s="49"/>
      <c r="S544" s="49"/>
      <c r="T544" s="49"/>
      <c r="U544" s="49"/>
      <c r="V544" s="49"/>
      <c r="W544" s="49"/>
      <c r="X544" s="49"/>
      <c r="Y544" s="49"/>
      <c r="Z544" s="49"/>
      <c r="AA544" s="49"/>
    </row>
    <row r="545" spans="1:27" x14ac:dyDescent="0.25">
      <c r="A545" s="207"/>
      <c r="B545" s="641"/>
      <c r="C545" s="711" t="s">
        <v>98</v>
      </c>
      <c r="D545" s="276" t="s">
        <v>98</v>
      </c>
      <c r="E545" s="7" t="s">
        <v>142</v>
      </c>
      <c r="F545" s="499" t="s">
        <v>286</v>
      </c>
      <c r="G545" s="106"/>
      <c r="H545" s="5"/>
      <c r="I545" s="198"/>
      <c r="J545" s="620">
        <f>J539+J543+J544</f>
        <v>1371275.923472211</v>
      </c>
      <c r="K545" s="49"/>
      <c r="L545" s="49"/>
      <c r="M545" s="49"/>
      <c r="N545" s="49"/>
      <c r="O545" s="49"/>
      <c r="P545" s="49"/>
      <c r="Q545" s="49"/>
      <c r="R545" s="49"/>
      <c r="S545" s="49"/>
      <c r="T545" s="49"/>
      <c r="U545" s="49"/>
      <c r="V545" s="49"/>
      <c r="W545" s="49"/>
      <c r="X545" s="49"/>
      <c r="Y545" s="49"/>
      <c r="Z545" s="49"/>
      <c r="AA545" s="49"/>
    </row>
    <row r="546" spans="1:27" x14ac:dyDescent="0.25">
      <c r="A546" s="207"/>
      <c r="B546" s="641"/>
      <c r="C546" s="711" t="s">
        <v>98</v>
      </c>
      <c r="D546" s="276" t="s">
        <v>98</v>
      </c>
      <c r="E546" s="191" t="s">
        <v>762</v>
      </c>
      <c r="F546" s="641" t="s">
        <v>830</v>
      </c>
      <c r="G546" s="705">
        <f>'Thông tin'!E61</f>
        <v>0.08</v>
      </c>
      <c r="H546" s="5"/>
      <c r="I546" s="198"/>
      <c r="J546" s="5">
        <f>(J545)*G546</f>
        <v>109702.07387777689</v>
      </c>
      <c r="K546" s="49"/>
      <c r="L546" s="49"/>
      <c r="M546" s="49"/>
      <c r="N546" s="49"/>
      <c r="O546" s="49"/>
      <c r="P546" s="49"/>
      <c r="Q546" s="49"/>
      <c r="R546" s="49"/>
      <c r="S546" s="49"/>
      <c r="T546" s="49"/>
      <c r="U546" s="49"/>
      <c r="V546" s="49"/>
      <c r="W546" s="49"/>
      <c r="X546" s="49"/>
      <c r="Y546" s="49"/>
      <c r="Z546" s="49"/>
      <c r="AA546" s="49"/>
    </row>
    <row r="547" spans="1:27" x14ac:dyDescent="0.25">
      <c r="A547" s="122"/>
      <c r="B547" s="581"/>
      <c r="C547" s="636" t="s">
        <v>98</v>
      </c>
      <c r="D547" s="196" t="s">
        <v>98</v>
      </c>
      <c r="E547" s="728" t="s">
        <v>953</v>
      </c>
      <c r="F547" s="429" t="s">
        <v>1108</v>
      </c>
      <c r="G547" s="29"/>
      <c r="H547" s="704"/>
      <c r="I547" s="113"/>
      <c r="J547" s="657">
        <f>J545+J546</f>
        <v>1480977.997349988</v>
      </c>
      <c r="K547" s="49"/>
      <c r="L547" s="49"/>
      <c r="M547" s="49"/>
      <c r="N547" s="49"/>
      <c r="O547" s="49"/>
      <c r="P547" s="49"/>
      <c r="Q547" s="49"/>
      <c r="R547" s="49"/>
      <c r="S547" s="49"/>
      <c r="T547" s="49"/>
      <c r="U547" s="49"/>
      <c r="V547" s="49"/>
      <c r="W547" s="49"/>
      <c r="X547" s="49"/>
      <c r="Y547" s="49"/>
      <c r="Z547" s="49"/>
      <c r="AA547" s="49"/>
    </row>
    <row r="548" spans="1:27" x14ac:dyDescent="0.25">
      <c r="A548" s="458"/>
      <c r="B548" s="130">
        <v>28</v>
      </c>
      <c r="C548" s="234" t="str">
        <f>'Du toan chi tiet'!C37</f>
        <v>AF.82511</v>
      </c>
      <c r="D548" s="234" t="str">
        <f>'Du toan chi tiet'!C37</f>
        <v>AF.82511</v>
      </c>
      <c r="E548" s="730" t="str">
        <f>'Du toan chi tiet'!D37</f>
        <v>Ván khuôn móng dài</v>
      </c>
      <c r="F548" s="130" t="str">
        <f>'Du toan chi tiet'!E37</f>
        <v>m2</v>
      </c>
      <c r="G548" s="664"/>
      <c r="H548" s="282"/>
      <c r="I548" s="450"/>
      <c r="J548" s="282"/>
      <c r="K548" s="49"/>
      <c r="L548" s="49"/>
      <c r="M548" s="49"/>
      <c r="N548" s="49"/>
      <c r="O548" s="49"/>
      <c r="P548" s="49"/>
      <c r="Q548" s="49"/>
      <c r="R548" s="49"/>
      <c r="S548" s="49"/>
      <c r="T548" s="49"/>
      <c r="U548" s="49"/>
      <c r="V548" s="49"/>
      <c r="W548" s="49"/>
      <c r="X548" s="49"/>
      <c r="Y548" s="49"/>
      <c r="Z548" s="49"/>
      <c r="AA548" s="49"/>
    </row>
    <row r="549" spans="1:27" x14ac:dyDescent="0.25">
      <c r="A549" s="261"/>
      <c r="B549" s="690"/>
      <c r="C549" s="745" t="s">
        <v>98</v>
      </c>
      <c r="D549" s="745" t="s">
        <v>98</v>
      </c>
      <c r="E549" s="247" t="s">
        <v>547</v>
      </c>
      <c r="F549" s="690" t="s">
        <v>962</v>
      </c>
      <c r="G549" s="133"/>
      <c r="H549" s="44"/>
      <c r="I549" s="233"/>
      <c r="J549" s="44">
        <f>SUM(J550:J553)</f>
        <v>17413.044164636009</v>
      </c>
      <c r="K549" s="49"/>
      <c r="L549" s="49"/>
      <c r="M549" s="49"/>
      <c r="N549" s="49"/>
      <c r="O549" s="49"/>
      <c r="P549" s="49"/>
      <c r="Q549" s="49"/>
      <c r="R549" s="49"/>
      <c r="S549" s="49"/>
      <c r="T549" s="49"/>
      <c r="U549" s="49"/>
      <c r="V549" s="49"/>
      <c r="W549" s="49"/>
      <c r="X549" s="49"/>
      <c r="Y549" s="49"/>
      <c r="Z549" s="49"/>
      <c r="AA549" s="49"/>
    </row>
    <row r="550" spans="1:27" x14ac:dyDescent="0.25">
      <c r="A550" s="207"/>
      <c r="B550" s="641"/>
      <c r="C550" s="711" t="s">
        <v>98</v>
      </c>
      <c r="D550" s="276" t="s">
        <v>713</v>
      </c>
      <c r="E550" s="191" t="str">
        <f>" - " &amp; 'Giá VL'!E31</f>
        <v xml:space="preserve"> - Thép tấm</v>
      </c>
      <c r="F550" s="641" t="str">
        <f>'Giá VL'!F31</f>
        <v>kg</v>
      </c>
      <c r="G550" s="67">
        <f>'Phan tich don gia'!G226</f>
        <v>0.5181</v>
      </c>
      <c r="H550" s="5">
        <f>'Giá VL'!V31</f>
        <v>19657.495796390001</v>
      </c>
      <c r="I550" s="198">
        <f>'Du toan chi tiet'!V37</f>
        <v>1</v>
      </c>
      <c r="J550" s="5">
        <f t="shared" ref="J550:J553" si="30">PRODUCT(G550,H550,I550)</f>
        <v>10184.548572109659</v>
      </c>
      <c r="K550" s="49"/>
      <c r="L550" s="49"/>
      <c r="M550" s="49"/>
      <c r="N550" s="49"/>
      <c r="O550" s="49"/>
      <c r="P550" s="49"/>
      <c r="Q550" s="49"/>
      <c r="R550" s="49"/>
      <c r="S550" s="49"/>
      <c r="T550" s="49"/>
      <c r="U550" s="49"/>
      <c r="V550" s="49"/>
      <c r="W550" s="49"/>
      <c r="X550" s="49"/>
      <c r="Y550" s="49"/>
      <c r="Z550" s="49"/>
      <c r="AA550" s="49"/>
    </row>
    <row r="551" spans="1:27" x14ac:dyDescent="0.25">
      <c r="A551" s="207"/>
      <c r="B551" s="641"/>
      <c r="C551" s="711" t="s">
        <v>98</v>
      </c>
      <c r="D551" s="276" t="s">
        <v>1141</v>
      </c>
      <c r="E551" s="191" t="str">
        <f>" - " &amp; 'Giá VL'!E29</f>
        <v xml:space="preserve"> - Thép hình</v>
      </c>
      <c r="F551" s="641" t="str">
        <f>'Giá VL'!F29</f>
        <v>kg</v>
      </c>
      <c r="G551" s="67">
        <f>'Phan tich don gia'!G227</f>
        <v>0.32019999999999998</v>
      </c>
      <c r="H551" s="5">
        <f>'Giá VL'!V29</f>
        <v>19657.495796390001</v>
      </c>
      <c r="I551" s="198">
        <f>'Du toan chi tiet'!V37</f>
        <v>1</v>
      </c>
      <c r="J551" s="5">
        <f t="shared" si="30"/>
        <v>6294.3301540040784</v>
      </c>
      <c r="K551" s="49"/>
      <c r="L551" s="49"/>
      <c r="M551" s="49"/>
      <c r="N551" s="49"/>
      <c r="O551" s="49"/>
      <c r="P551" s="49"/>
      <c r="Q551" s="49"/>
      <c r="R551" s="49"/>
      <c r="S551" s="49"/>
      <c r="T551" s="49"/>
      <c r="U551" s="49"/>
      <c r="V551" s="49"/>
      <c r="W551" s="49"/>
      <c r="X551" s="49"/>
      <c r="Y551" s="49"/>
      <c r="Z551" s="49"/>
      <c r="AA551" s="49"/>
    </row>
    <row r="552" spans="1:27" x14ac:dyDescent="0.25">
      <c r="A552" s="207"/>
      <c r="B552" s="641"/>
      <c r="C552" s="711" t="s">
        <v>98</v>
      </c>
      <c r="D552" s="276" t="s">
        <v>919</v>
      </c>
      <c r="E552" s="191" t="str">
        <f>" - " &amp; 'Giá VL'!E25</f>
        <v xml:space="preserve"> - Que hàn</v>
      </c>
      <c r="F552" s="641" t="str">
        <f>'Giá VL'!F25</f>
        <v>kg</v>
      </c>
      <c r="G552" s="67">
        <f>'Phan tich don gia'!G228</f>
        <v>3.2599999999999997E-2</v>
      </c>
      <c r="H552" s="5">
        <f>'Giá VL'!V25</f>
        <v>18182</v>
      </c>
      <c r="I552" s="198">
        <f>'Du toan chi tiet'!V37</f>
        <v>1</v>
      </c>
      <c r="J552" s="5">
        <f t="shared" si="30"/>
        <v>592.7331999999999</v>
      </c>
      <c r="K552" s="49"/>
      <c r="L552" s="49"/>
      <c r="M552" s="49"/>
      <c r="N552" s="49"/>
      <c r="O552" s="49"/>
      <c r="P552" s="49"/>
      <c r="Q552" s="49"/>
      <c r="R552" s="49"/>
      <c r="S552" s="49"/>
      <c r="T552" s="49"/>
      <c r="U552" s="49"/>
      <c r="V552" s="49"/>
      <c r="W552" s="49"/>
      <c r="X552" s="49"/>
      <c r="Y552" s="49"/>
      <c r="Z552" s="49"/>
      <c r="AA552" s="49"/>
    </row>
    <row r="553" spans="1:27" x14ac:dyDescent="0.25">
      <c r="A553" s="207"/>
      <c r="B553" s="641"/>
      <c r="C553" s="711" t="s">
        <v>98</v>
      </c>
      <c r="D553" s="276" t="s">
        <v>667</v>
      </c>
      <c r="E553" s="191" t="s">
        <v>238</v>
      </c>
      <c r="F553" s="641" t="s">
        <v>1113</v>
      </c>
      <c r="G553" s="67">
        <f>'Phan tich don gia'!G229</f>
        <v>2</v>
      </c>
      <c r="H553" s="5">
        <f>IF('Du toan chi tiet'!V37&lt;&gt;0,SUM(J550:J552)/100/'Du toan chi tiet'!V37,0)</f>
        <v>170.71611926113735</v>
      </c>
      <c r="I553" s="198">
        <f>'Du toan chi tiet'!V37</f>
        <v>1</v>
      </c>
      <c r="J553" s="5">
        <f t="shared" si="30"/>
        <v>341.4322385222747</v>
      </c>
      <c r="K553" s="49"/>
      <c r="L553" s="49"/>
      <c r="M553" s="49"/>
      <c r="N553" s="49"/>
      <c r="O553" s="49"/>
      <c r="P553" s="49"/>
      <c r="Q553" s="49"/>
      <c r="R553" s="49"/>
      <c r="S553" s="49"/>
      <c r="T553" s="49"/>
      <c r="U553" s="49"/>
      <c r="V553" s="49"/>
      <c r="W553" s="49"/>
      <c r="X553" s="49"/>
      <c r="Y553" s="49"/>
      <c r="Z553" s="49"/>
      <c r="AA553" s="49"/>
    </row>
    <row r="554" spans="1:27" x14ac:dyDescent="0.25">
      <c r="A554" s="261"/>
      <c r="B554" s="690"/>
      <c r="C554" s="745" t="s">
        <v>98</v>
      </c>
      <c r="D554" s="745" t="s">
        <v>98</v>
      </c>
      <c r="E554" s="247" t="s">
        <v>301</v>
      </c>
      <c r="F554" s="690" t="s">
        <v>1018</v>
      </c>
      <c r="G554" s="133"/>
      <c r="H554" s="44"/>
      <c r="I554" s="233"/>
      <c r="J554" s="44">
        <f>SUM(J555:J555)</f>
        <v>33536.824999999997</v>
      </c>
      <c r="K554" s="49"/>
      <c r="L554" s="49"/>
      <c r="M554" s="49"/>
      <c r="N554" s="49"/>
      <c r="O554" s="49"/>
      <c r="P554" s="49"/>
      <c r="Q554" s="49"/>
      <c r="R554" s="49"/>
      <c r="S554" s="49"/>
      <c r="T554" s="49"/>
      <c r="U554" s="49"/>
      <c r="V554" s="49"/>
      <c r="W554" s="49"/>
      <c r="X554" s="49"/>
      <c r="Y554" s="49"/>
      <c r="Z554" s="49"/>
      <c r="AA554" s="49"/>
    </row>
    <row r="555" spans="1:27" x14ac:dyDescent="0.25">
      <c r="A555" s="207"/>
      <c r="B555" s="641"/>
      <c r="C555" s="711" t="s">
        <v>98</v>
      </c>
      <c r="D555" s="276" t="s">
        <v>169</v>
      </c>
      <c r="E555" s="191" t="str">
        <f>" - " &amp; 'Giá NC'!E9</f>
        <v xml:space="preserve"> - Nhân công bậc 4,0/7 - Nhóm 2</v>
      </c>
      <c r="F555" s="641" t="str">
        <f>'Giá NC'!F9</f>
        <v>công</v>
      </c>
      <c r="G555" s="67">
        <f>'Phan tich don gia'!G231</f>
        <v>0.1225</v>
      </c>
      <c r="H555" s="5">
        <f>'Giá NC'!K9</f>
        <v>273770</v>
      </c>
      <c r="I555" s="198">
        <f>'Du toan chi tiet'!W37</f>
        <v>1</v>
      </c>
      <c r="J555" s="5">
        <f>PRODUCT(G555,H555,I555)</f>
        <v>33536.824999999997</v>
      </c>
      <c r="K555" s="49"/>
      <c r="L555" s="49"/>
      <c r="M555" s="49"/>
      <c r="N555" s="49"/>
      <c r="O555" s="49"/>
      <c r="P555" s="49"/>
      <c r="Q555" s="49"/>
      <c r="R555" s="49"/>
      <c r="S555" s="49"/>
      <c r="T555" s="49"/>
      <c r="U555" s="49"/>
      <c r="V555" s="49"/>
      <c r="W555" s="49"/>
      <c r="X555" s="49"/>
      <c r="Y555" s="49"/>
      <c r="Z555" s="49"/>
      <c r="AA555" s="49"/>
    </row>
    <row r="556" spans="1:27" x14ac:dyDescent="0.25">
      <c r="A556" s="261"/>
      <c r="B556" s="690"/>
      <c r="C556" s="745" t="s">
        <v>98</v>
      </c>
      <c r="D556" s="745" t="s">
        <v>98</v>
      </c>
      <c r="E556" s="247" t="s">
        <v>1175</v>
      </c>
      <c r="F556" s="690" t="s">
        <v>138</v>
      </c>
      <c r="G556" s="133"/>
      <c r="H556" s="44"/>
      <c r="I556" s="233"/>
      <c r="J556" s="44">
        <f>SUM(J557:J559)</f>
        <v>3997.3896280000004</v>
      </c>
      <c r="K556" s="49"/>
      <c r="L556" s="49"/>
      <c r="M556" s="49"/>
      <c r="N556" s="49"/>
      <c r="O556" s="49"/>
      <c r="P556" s="49"/>
      <c r="Q556" s="49"/>
      <c r="R556" s="49"/>
      <c r="S556" s="49"/>
      <c r="T556" s="49"/>
      <c r="U556" s="49"/>
      <c r="V556" s="49"/>
      <c r="W556" s="49"/>
      <c r="X556" s="49"/>
      <c r="Y556" s="49"/>
      <c r="Z556" s="49"/>
      <c r="AA556" s="49"/>
    </row>
    <row r="557" spans="1:27" x14ac:dyDescent="0.25">
      <c r="A557" s="207"/>
      <c r="B557" s="641"/>
      <c r="C557" s="711" t="s">
        <v>98</v>
      </c>
      <c r="D557" s="276" t="s">
        <v>82</v>
      </c>
      <c r="E557" s="191" t="str">
        <f>" - " &amp; 'Giá Máy'!E15</f>
        <v xml:space="preserve"> - Máy hàn điện 23kW</v>
      </c>
      <c r="F557" s="641" t="str">
        <f>'Giá Máy'!F15</f>
        <v>ca</v>
      </c>
      <c r="G557" s="67">
        <f>'Phan tich don gia'!G233</f>
        <v>8.2000000000000007E-3</v>
      </c>
      <c r="H557" s="5">
        <f>'Giá Máy'!J15</f>
        <v>477927</v>
      </c>
      <c r="I557" s="198">
        <f>'Du toan chi tiet'!X37</f>
        <v>1</v>
      </c>
      <c r="J557" s="5">
        <f t="shared" ref="J557:J558" si="31">PRODUCT(G557,H557,I557)</f>
        <v>3919.0014000000001</v>
      </c>
      <c r="K557" s="49"/>
      <c r="L557" s="49"/>
      <c r="M557" s="49"/>
      <c r="N557" s="49"/>
      <c r="O557" s="49"/>
      <c r="P557" s="49"/>
      <c r="Q557" s="49"/>
      <c r="R557" s="49"/>
      <c r="S557" s="49"/>
      <c r="T557" s="49"/>
      <c r="U557" s="49"/>
      <c r="V557" s="49"/>
      <c r="W557" s="49"/>
      <c r="X557" s="49"/>
      <c r="Y557" s="49"/>
      <c r="Z557" s="49"/>
      <c r="AA557" s="49"/>
    </row>
    <row r="558" spans="1:27" x14ac:dyDescent="0.25">
      <c r="A558" s="207"/>
      <c r="B558" s="641"/>
      <c r="C558" s="711" t="s">
        <v>98</v>
      </c>
      <c r="D558" s="276" t="s">
        <v>1162</v>
      </c>
      <c r="E558" s="191" t="s">
        <v>1080</v>
      </c>
      <c r="F558" s="641" t="s">
        <v>1113</v>
      </c>
      <c r="G558" s="67">
        <f>'Phan tich don gia'!G234</f>
        <v>2</v>
      </c>
      <c r="H558" s="5">
        <f>IF('Du toan chi tiet'!X37&lt;&gt;0,SUM(J557:J557)/100/'Du toan chi tiet'!X37,0)</f>
        <v>39.190013999999998</v>
      </c>
      <c r="I558" s="198">
        <f>'Du toan chi tiet'!X37</f>
        <v>1</v>
      </c>
      <c r="J558" s="5">
        <f t="shared" si="31"/>
        <v>78.380027999999996</v>
      </c>
      <c r="K558" s="49"/>
      <c r="L558" s="49"/>
      <c r="M558" s="49"/>
      <c r="N558" s="49"/>
      <c r="O558" s="49"/>
      <c r="P558" s="49"/>
      <c r="Q558" s="49"/>
      <c r="R558" s="49"/>
      <c r="S558" s="49"/>
      <c r="T558" s="49"/>
      <c r="U558" s="49"/>
      <c r="V558" s="49"/>
      <c r="W558" s="49"/>
      <c r="X558" s="49"/>
      <c r="Y558" s="49"/>
      <c r="Z558" s="49"/>
      <c r="AA558" s="49"/>
    </row>
    <row r="559" spans="1:27" x14ac:dyDescent="0.25">
      <c r="A559" s="207"/>
      <c r="B559" s="641"/>
      <c r="C559" s="711" t="s">
        <v>98</v>
      </c>
      <c r="D559" s="276" t="s">
        <v>98</v>
      </c>
      <c r="E559" s="191" t="s">
        <v>1230</v>
      </c>
      <c r="F559" s="641"/>
      <c r="G559" s="106"/>
      <c r="H559" s="5"/>
      <c r="I559" s="198"/>
      <c r="J559" s="5">
        <f>SUM(J560:J561)+PRODUCT(G558,I558,THM!X98-THM!R98)</f>
        <v>8.2000000000000007E-3</v>
      </c>
      <c r="K559" s="49"/>
      <c r="L559" s="49"/>
      <c r="M559" s="49"/>
      <c r="N559" s="49"/>
      <c r="O559" s="49"/>
      <c r="P559" s="49"/>
      <c r="Q559" s="49"/>
      <c r="R559" s="49"/>
      <c r="S559" s="49"/>
      <c r="T559" s="49"/>
      <c r="U559" s="49"/>
      <c r="V559" s="49"/>
      <c r="W559" s="49"/>
      <c r="X559" s="49"/>
      <c r="Y559" s="49"/>
      <c r="Z559" s="49"/>
      <c r="AA559" s="49"/>
    </row>
    <row r="560" spans="1:27" x14ac:dyDescent="0.25">
      <c r="A560" s="207"/>
      <c r="B560" s="641"/>
      <c r="C560" s="711" t="s">
        <v>98</v>
      </c>
      <c r="D560" s="276" t="s">
        <v>98</v>
      </c>
      <c r="E560" s="191" t="s">
        <v>52</v>
      </c>
      <c r="F560" s="641"/>
      <c r="G560" s="106"/>
      <c r="H560" s="5"/>
      <c r="I560" s="198"/>
      <c r="J560" s="5">
        <f>PRODUCT(G557,I557,'Giá Máy'!L15)</f>
        <v>0</v>
      </c>
      <c r="K560" s="49"/>
      <c r="L560" s="49"/>
      <c r="M560" s="49"/>
      <c r="N560" s="49"/>
      <c r="O560" s="49"/>
      <c r="P560" s="49"/>
      <c r="Q560" s="49"/>
      <c r="R560" s="49"/>
      <c r="S560" s="49"/>
      <c r="T560" s="49"/>
      <c r="U560" s="49"/>
      <c r="V560" s="49"/>
      <c r="W560" s="49"/>
      <c r="X560" s="49"/>
      <c r="Y560" s="49"/>
      <c r="Z560" s="49"/>
      <c r="AA560" s="49"/>
    </row>
    <row r="561" spans="1:27" x14ac:dyDescent="0.25">
      <c r="A561" s="207"/>
      <c r="B561" s="641"/>
      <c r="C561" s="711" t="s">
        <v>98</v>
      </c>
      <c r="D561" s="276" t="s">
        <v>98</v>
      </c>
      <c r="E561" s="191" t="s">
        <v>597</v>
      </c>
      <c r="F561" s="641"/>
      <c r="G561" s="106"/>
      <c r="H561" s="5"/>
      <c r="I561" s="198"/>
      <c r="J561" s="5">
        <f>PRODUCT(G557,I557,'Giá Máy'!M15)</f>
        <v>8.2000000000000007E-3</v>
      </c>
      <c r="K561" s="49"/>
      <c r="L561" s="49"/>
      <c r="M561" s="49"/>
      <c r="N561" s="49"/>
      <c r="O561" s="49"/>
      <c r="P561" s="49"/>
      <c r="Q561" s="49"/>
      <c r="R561" s="49"/>
      <c r="S561" s="49"/>
      <c r="T561" s="49"/>
      <c r="U561" s="49"/>
      <c r="V561" s="49"/>
      <c r="W561" s="49"/>
      <c r="X561" s="49"/>
      <c r="Y561" s="49"/>
      <c r="Z561" s="49"/>
      <c r="AA561" s="49"/>
    </row>
    <row r="562" spans="1:27" x14ac:dyDescent="0.25">
      <c r="A562" s="207"/>
      <c r="B562" s="641"/>
      <c r="C562" s="711" t="s">
        <v>98</v>
      </c>
      <c r="D562" s="276" t="s">
        <v>98</v>
      </c>
      <c r="E562" s="191" t="s">
        <v>599</v>
      </c>
      <c r="F562" s="641" t="s">
        <v>356</v>
      </c>
      <c r="G562" s="106"/>
      <c r="H562" s="5"/>
      <c r="I562" s="198"/>
      <c r="J562" s="5">
        <f>J549+J554+J556</f>
        <v>54947.258792636007</v>
      </c>
      <c r="K562" s="49"/>
      <c r="L562" s="49"/>
      <c r="M562" s="49"/>
      <c r="N562" s="49"/>
      <c r="O562" s="49"/>
      <c r="P562" s="49"/>
      <c r="Q562" s="49"/>
      <c r="R562" s="49"/>
      <c r="S562" s="49"/>
      <c r="T562" s="49"/>
      <c r="U562" s="49"/>
      <c r="V562" s="49"/>
      <c r="W562" s="49"/>
      <c r="X562" s="49"/>
      <c r="Y562" s="49"/>
      <c r="Z562" s="49"/>
      <c r="AA562" s="49"/>
    </row>
    <row r="563" spans="1:27" x14ac:dyDescent="0.25">
      <c r="A563" s="207"/>
      <c r="B563" s="641"/>
      <c r="C563" s="711" t="s">
        <v>98</v>
      </c>
      <c r="D563" s="276" t="s">
        <v>98</v>
      </c>
      <c r="E563" s="191" t="s">
        <v>265</v>
      </c>
      <c r="F563" s="641" t="s">
        <v>653</v>
      </c>
      <c r="G563" s="307">
        <f>'Thông tin'!E67</f>
        <v>7.2999999999999995E-2</v>
      </c>
      <c r="H563" s="5"/>
      <c r="I563" s="198"/>
      <c r="J563" s="5">
        <f>(J562)*G563</f>
        <v>4011.1498918624284</v>
      </c>
      <c r="K563" s="49"/>
      <c r="L563" s="49"/>
      <c r="M563" s="49"/>
      <c r="N563" s="49"/>
      <c r="O563" s="49"/>
      <c r="P563" s="49"/>
      <c r="Q563" s="49"/>
      <c r="R563" s="49"/>
      <c r="S563" s="49"/>
      <c r="T563" s="49"/>
      <c r="U563" s="49"/>
      <c r="V563" s="49"/>
      <c r="W563" s="49"/>
      <c r="X563" s="49"/>
      <c r="Y563" s="49"/>
      <c r="Z563" s="49"/>
      <c r="AA563" s="49"/>
    </row>
    <row r="564" spans="1:27" x14ac:dyDescent="0.25">
      <c r="A564" s="207"/>
      <c r="B564" s="641"/>
      <c r="C564" s="711" t="s">
        <v>98</v>
      </c>
      <c r="D564" s="276" t="s">
        <v>98</v>
      </c>
      <c r="E564" s="191" t="s">
        <v>765</v>
      </c>
      <c r="F564" s="641" t="s">
        <v>602</v>
      </c>
      <c r="G564" s="307">
        <f>'Thông tin'!E60</f>
        <v>1.1000000000000001E-2</v>
      </c>
      <c r="H564" s="5"/>
      <c r="I564" s="198"/>
      <c r="J564" s="5">
        <f>(J562)*G564</f>
        <v>604.41984671899615</v>
      </c>
      <c r="K564" s="49"/>
      <c r="L564" s="49"/>
      <c r="M564" s="49"/>
      <c r="N564" s="49"/>
      <c r="O564" s="49"/>
      <c r="P564" s="49"/>
      <c r="Q564" s="49"/>
      <c r="R564" s="49"/>
      <c r="S564" s="49"/>
      <c r="T564" s="49"/>
      <c r="U564" s="49"/>
      <c r="V564" s="49"/>
      <c r="W564" s="49"/>
      <c r="X564" s="49"/>
      <c r="Y564" s="49"/>
      <c r="Z564" s="49"/>
      <c r="AA564" s="49"/>
    </row>
    <row r="565" spans="1:27" ht="30" x14ac:dyDescent="0.25">
      <c r="A565" s="207"/>
      <c r="B565" s="641"/>
      <c r="C565" s="711" t="s">
        <v>98</v>
      </c>
      <c r="D565" s="276" t="s">
        <v>98</v>
      </c>
      <c r="E565" s="191" t="s">
        <v>457</v>
      </c>
      <c r="F565" s="641" t="s">
        <v>881</v>
      </c>
      <c r="G565" s="307">
        <f>'Thông tin'!E65</f>
        <v>2.5000000000000001E-2</v>
      </c>
      <c r="H565" s="5"/>
      <c r="I565" s="198"/>
      <c r="J565" s="5">
        <f>(J562)*G565</f>
        <v>1373.6814698159003</v>
      </c>
      <c r="K565" s="49"/>
      <c r="L565" s="49"/>
      <c r="M565" s="49"/>
      <c r="N565" s="49"/>
      <c r="O565" s="49"/>
      <c r="P565" s="49"/>
      <c r="Q565" s="49"/>
      <c r="R565" s="49"/>
      <c r="S565" s="49"/>
      <c r="T565" s="49"/>
      <c r="U565" s="49"/>
      <c r="V565" s="49"/>
      <c r="W565" s="49"/>
      <c r="X565" s="49"/>
      <c r="Y565" s="49"/>
      <c r="Z565" s="49"/>
      <c r="AA565" s="49"/>
    </row>
    <row r="566" spans="1:27" x14ac:dyDescent="0.25">
      <c r="A566" s="207"/>
      <c r="B566" s="641"/>
      <c r="C566" s="711" t="s">
        <v>98</v>
      </c>
      <c r="D566" s="276" t="s">
        <v>98</v>
      </c>
      <c r="E566" s="191" t="s">
        <v>1244</v>
      </c>
      <c r="F566" s="641" t="s">
        <v>1032</v>
      </c>
      <c r="G566" s="106"/>
      <c r="H566" s="5"/>
      <c r="I566" s="198"/>
      <c r="J566" s="5">
        <f>J563+J564+J565</f>
        <v>5989.2512083973252</v>
      </c>
      <c r="K566" s="49"/>
      <c r="L566" s="49"/>
      <c r="M566" s="49"/>
      <c r="N566" s="49"/>
      <c r="O566" s="49"/>
      <c r="P566" s="49"/>
      <c r="Q566" s="49"/>
      <c r="R566" s="49"/>
      <c r="S566" s="49"/>
      <c r="T566" s="49"/>
      <c r="U566" s="49"/>
      <c r="V566" s="49"/>
      <c r="W566" s="49"/>
      <c r="X566" s="49"/>
      <c r="Y566" s="49"/>
      <c r="Z566" s="49"/>
      <c r="AA566" s="49"/>
    </row>
    <row r="567" spans="1:27" x14ac:dyDescent="0.25">
      <c r="A567" s="207"/>
      <c r="B567" s="641"/>
      <c r="C567" s="711" t="s">
        <v>98</v>
      </c>
      <c r="D567" s="276" t="s">
        <v>98</v>
      </c>
      <c r="E567" s="191" t="s">
        <v>990</v>
      </c>
      <c r="F567" s="641" t="s">
        <v>307</v>
      </c>
      <c r="G567" s="307">
        <f>'Thông tin'!E63</f>
        <v>5.5E-2</v>
      </c>
      <c r="H567" s="5"/>
      <c r="I567" s="198"/>
      <c r="J567" s="5">
        <f>(J562+J566)*G567</f>
        <v>3351.5080500568333</v>
      </c>
      <c r="K567" s="49"/>
      <c r="L567" s="49"/>
      <c r="M567" s="49"/>
      <c r="N567" s="49"/>
      <c r="O567" s="49"/>
      <c r="P567" s="49"/>
      <c r="Q567" s="49"/>
      <c r="R567" s="49"/>
      <c r="S567" s="49"/>
      <c r="T567" s="49"/>
      <c r="U567" s="49"/>
      <c r="V567" s="49"/>
      <c r="W567" s="49"/>
      <c r="X567" s="49"/>
      <c r="Y567" s="49"/>
      <c r="Z567" s="49"/>
      <c r="AA567" s="49"/>
    </row>
    <row r="568" spans="1:27" x14ac:dyDescent="0.25">
      <c r="A568" s="207"/>
      <c r="B568" s="641"/>
      <c r="C568" s="711" t="s">
        <v>98</v>
      </c>
      <c r="D568" s="276" t="s">
        <v>98</v>
      </c>
      <c r="E568" s="7" t="s">
        <v>142</v>
      </c>
      <c r="F568" s="499" t="s">
        <v>286</v>
      </c>
      <c r="G568" s="106"/>
      <c r="H568" s="5"/>
      <c r="I568" s="198"/>
      <c r="J568" s="620">
        <f>J562+J566+J567</f>
        <v>64288.01805109017</v>
      </c>
      <c r="K568" s="49"/>
      <c r="L568" s="49"/>
      <c r="M568" s="49"/>
      <c r="N568" s="49"/>
      <c r="O568" s="49"/>
      <c r="P568" s="49"/>
      <c r="Q568" s="49"/>
      <c r="R568" s="49"/>
      <c r="S568" s="49"/>
      <c r="T568" s="49"/>
      <c r="U568" s="49"/>
      <c r="V568" s="49"/>
      <c r="W568" s="49"/>
      <c r="X568" s="49"/>
      <c r="Y568" s="49"/>
      <c r="Z568" s="49"/>
      <c r="AA568" s="49"/>
    </row>
    <row r="569" spans="1:27" x14ac:dyDescent="0.25">
      <c r="A569" s="207"/>
      <c r="B569" s="641"/>
      <c r="C569" s="711" t="s">
        <v>98</v>
      </c>
      <c r="D569" s="276" t="s">
        <v>98</v>
      </c>
      <c r="E569" s="191" t="s">
        <v>762</v>
      </c>
      <c r="F569" s="641" t="s">
        <v>830</v>
      </c>
      <c r="G569" s="705">
        <f>'Thông tin'!E61</f>
        <v>0.08</v>
      </c>
      <c r="H569" s="5"/>
      <c r="I569" s="198"/>
      <c r="J569" s="5">
        <f>(J568)*G569</f>
        <v>5143.0414440872137</v>
      </c>
      <c r="K569" s="49"/>
      <c r="L569" s="49"/>
      <c r="M569" s="49"/>
      <c r="N569" s="49"/>
      <c r="O569" s="49"/>
      <c r="P569" s="49"/>
      <c r="Q569" s="49"/>
      <c r="R569" s="49"/>
      <c r="S569" s="49"/>
      <c r="T569" s="49"/>
      <c r="U569" s="49"/>
      <c r="V569" s="49"/>
      <c r="W569" s="49"/>
      <c r="X569" s="49"/>
      <c r="Y569" s="49"/>
      <c r="Z569" s="49"/>
      <c r="AA569" s="49"/>
    </row>
    <row r="570" spans="1:27" x14ac:dyDescent="0.25">
      <c r="A570" s="122"/>
      <c r="B570" s="581"/>
      <c r="C570" s="636" t="s">
        <v>98</v>
      </c>
      <c r="D570" s="196" t="s">
        <v>98</v>
      </c>
      <c r="E570" s="728" t="s">
        <v>953</v>
      </c>
      <c r="F570" s="429" t="s">
        <v>1108</v>
      </c>
      <c r="G570" s="29"/>
      <c r="H570" s="704"/>
      <c r="I570" s="113"/>
      <c r="J570" s="657">
        <f>J568+J569</f>
        <v>69431.059495177382</v>
      </c>
      <c r="K570" s="49"/>
      <c r="L570" s="49"/>
      <c r="M570" s="49"/>
      <c r="N570" s="49"/>
      <c r="O570" s="49"/>
      <c r="P570" s="49"/>
      <c r="Q570" s="49"/>
      <c r="R570" s="49"/>
      <c r="S570" s="49"/>
      <c r="T570" s="49"/>
      <c r="U570" s="49"/>
      <c r="V570" s="49"/>
      <c r="W570" s="49"/>
      <c r="X570" s="49"/>
      <c r="Y570" s="49"/>
      <c r="Z570" s="49"/>
      <c r="AA570" s="49"/>
    </row>
    <row r="571" spans="1:27" ht="45" x14ac:dyDescent="0.25">
      <c r="A571" s="458"/>
      <c r="B571" s="130">
        <v>29</v>
      </c>
      <c r="C571" s="234" t="str">
        <f>'Du toan chi tiet'!C38</f>
        <v>AF.12151</v>
      </c>
      <c r="D571" s="234" t="str">
        <f>'Du toan chi tiet'!C38</f>
        <v>AF.12151</v>
      </c>
      <c r="E571" s="730" t="str">
        <f>'Du toan chi tiet'!D38</f>
        <v>Bê tông tường cánh SX bằng máy trộn, đổ bằng thủ công - Chiều dày ≤45cm, chiều cao ≤6m, M150, đá 2x4, PCB40</v>
      </c>
      <c r="F571" s="130" t="str">
        <f>'Du toan chi tiet'!E38</f>
        <v>m3</v>
      </c>
      <c r="G571" s="664"/>
      <c r="H571" s="282"/>
      <c r="I571" s="450"/>
      <c r="J571" s="282"/>
      <c r="K571" s="49"/>
      <c r="L571" s="49"/>
      <c r="M571" s="49"/>
      <c r="N571" s="49"/>
      <c r="O571" s="49"/>
      <c r="P571" s="49"/>
      <c r="Q571" s="49"/>
      <c r="R571" s="49"/>
      <c r="S571" s="49"/>
      <c r="T571" s="49"/>
      <c r="U571" s="49"/>
      <c r="V571" s="49"/>
      <c r="W571" s="49"/>
      <c r="X571" s="49"/>
      <c r="Y571" s="49"/>
      <c r="Z571" s="49"/>
      <c r="AA571" s="49"/>
    </row>
    <row r="572" spans="1:27" x14ac:dyDescent="0.25">
      <c r="A572" s="261"/>
      <c r="B572" s="690"/>
      <c r="C572" s="745" t="s">
        <v>98</v>
      </c>
      <c r="D572" s="745" t="s">
        <v>98</v>
      </c>
      <c r="E572" s="247" t="s">
        <v>547</v>
      </c>
      <c r="F572" s="690" t="s">
        <v>962</v>
      </c>
      <c r="G572" s="133"/>
      <c r="H572" s="44"/>
      <c r="I572" s="233"/>
      <c r="J572" s="44">
        <f>SUM(J573:J577)</f>
        <v>834624.02152202884</v>
      </c>
      <c r="K572" s="49"/>
      <c r="L572" s="49"/>
      <c r="M572" s="49"/>
      <c r="N572" s="49"/>
      <c r="O572" s="49"/>
      <c r="P572" s="49"/>
      <c r="Q572" s="49"/>
      <c r="R572" s="49"/>
      <c r="S572" s="49"/>
      <c r="T572" s="49"/>
      <c r="U572" s="49"/>
      <c r="V572" s="49"/>
      <c r="W572" s="49"/>
      <c r="X572" s="49"/>
      <c r="Y572" s="49"/>
      <c r="Z572" s="49"/>
      <c r="AA572" s="49"/>
    </row>
    <row r="573" spans="1:27" x14ac:dyDescent="0.25">
      <c r="A573" s="207"/>
      <c r="B573" s="641"/>
      <c r="C573" s="711" t="s">
        <v>98</v>
      </c>
      <c r="D573" s="276" t="s">
        <v>235</v>
      </c>
      <c r="E573" s="191" t="str">
        <f>" - " &amp; 'Giá VL'!E37</f>
        <v xml:space="preserve"> - Xi măng PCB40</v>
      </c>
      <c r="F573" s="641" t="str">
        <f>'Giá VL'!F37</f>
        <v>kg</v>
      </c>
      <c r="G573" s="67">
        <f>'Phan tich don gia'!G237</f>
        <v>210.125</v>
      </c>
      <c r="H573" s="5">
        <f>'Giá VL'!V37</f>
        <v>1587.7239999999999</v>
      </c>
      <c r="I573" s="198">
        <f>'Du toan chi tiet'!V38</f>
        <v>1</v>
      </c>
      <c r="J573" s="5">
        <f t="shared" ref="J573:J577" si="32">PRODUCT(G573,H573,I573)</f>
        <v>333620.50549999997</v>
      </c>
      <c r="K573" s="49"/>
      <c r="L573" s="49"/>
      <c r="M573" s="49"/>
      <c r="N573" s="49"/>
      <c r="O573" s="49"/>
      <c r="P573" s="49"/>
      <c r="Q573" s="49"/>
      <c r="R573" s="49"/>
      <c r="S573" s="49"/>
      <c r="T573" s="49"/>
      <c r="U573" s="49"/>
      <c r="V573" s="49"/>
      <c r="W573" s="49"/>
      <c r="X573" s="49"/>
      <c r="Y573" s="49"/>
      <c r="Z573" s="49"/>
      <c r="AA573" s="49"/>
    </row>
    <row r="574" spans="1:27" x14ac:dyDescent="0.25">
      <c r="A574" s="207"/>
      <c r="B574" s="641"/>
      <c r="C574" s="711" t="s">
        <v>98</v>
      </c>
      <c r="D574" s="276" t="s">
        <v>523</v>
      </c>
      <c r="E574" s="191" t="str">
        <f>" - " &amp; 'Giá VL'!E9</f>
        <v xml:space="preserve"> - Cát vàng</v>
      </c>
      <c r="F574" s="641" t="str">
        <f>'Giá VL'!F9</f>
        <v>m3</v>
      </c>
      <c r="G574" s="67">
        <f>'Phan tich don gia'!G238</f>
        <v>0.56272500000000003</v>
      </c>
      <c r="H574" s="5">
        <f>'Giá VL'!V9</f>
        <v>345317.29174999997</v>
      </c>
      <c r="I574" s="198">
        <f>'Du toan chi tiet'!V38</f>
        <v>1</v>
      </c>
      <c r="J574" s="5">
        <f t="shared" si="32"/>
        <v>194318.67300001875</v>
      </c>
      <c r="K574" s="49"/>
      <c r="L574" s="49"/>
      <c r="M574" s="49"/>
      <c r="N574" s="49"/>
      <c r="O574" s="49"/>
      <c r="P574" s="49"/>
      <c r="Q574" s="49"/>
      <c r="R574" s="49"/>
      <c r="S574" s="49"/>
      <c r="T574" s="49"/>
      <c r="U574" s="49"/>
      <c r="V574" s="49"/>
      <c r="W574" s="49"/>
      <c r="X574" s="49"/>
      <c r="Y574" s="49"/>
      <c r="Z574" s="49"/>
      <c r="AA574" s="49"/>
    </row>
    <row r="575" spans="1:27" x14ac:dyDescent="0.25">
      <c r="A575" s="207"/>
      <c r="B575" s="641"/>
      <c r="C575" s="711" t="s">
        <v>98</v>
      </c>
      <c r="D575" s="276" t="s">
        <v>485</v>
      </c>
      <c r="E575" s="191" t="str">
        <f>" - " &amp; 'Giá VL'!E12</f>
        <v xml:space="preserve"> - Đá 2x4</v>
      </c>
      <c r="F575" s="641" t="str">
        <f>'Giá VL'!F12</f>
        <v>m3</v>
      </c>
      <c r="G575" s="67">
        <f>'Phan tich don gia'!G239</f>
        <v>0.91225000000000001</v>
      </c>
      <c r="H575" s="5">
        <f>'Giá VL'!V12</f>
        <v>316313.14456500002</v>
      </c>
      <c r="I575" s="198">
        <f>'Du toan chi tiet'!V38</f>
        <v>1</v>
      </c>
      <c r="J575" s="5">
        <f t="shared" si="32"/>
        <v>288556.66612942127</v>
      </c>
      <c r="K575" s="49"/>
      <c r="L575" s="49"/>
      <c r="M575" s="49"/>
      <c r="N575" s="49"/>
      <c r="O575" s="49"/>
      <c r="P575" s="49"/>
      <c r="Q575" s="49"/>
      <c r="R575" s="49"/>
      <c r="S575" s="49"/>
      <c r="T575" s="49"/>
      <c r="U575" s="49"/>
      <c r="V575" s="49"/>
      <c r="W575" s="49"/>
      <c r="X575" s="49"/>
      <c r="Y575" s="49"/>
      <c r="Z575" s="49"/>
      <c r="AA575" s="49"/>
    </row>
    <row r="576" spans="1:27" x14ac:dyDescent="0.25">
      <c r="A576" s="207"/>
      <c r="B576" s="641"/>
      <c r="C576" s="711" t="s">
        <v>98</v>
      </c>
      <c r="D576" s="276" t="s">
        <v>956</v>
      </c>
      <c r="E576" s="191" t="str">
        <f>" - " &amp; 'Giá VL'!E23</f>
        <v xml:space="preserve"> - Nước</v>
      </c>
      <c r="F576" s="641" t="str">
        <f>'Giá VL'!F23</f>
        <v>lít</v>
      </c>
      <c r="G576" s="67">
        <f>'Phan tich don gia'!G240</f>
        <v>176.3</v>
      </c>
      <c r="H576" s="5">
        <f>'Giá VL'!V23</f>
        <v>10</v>
      </c>
      <c r="I576" s="198">
        <f>'Du toan chi tiet'!V38</f>
        <v>1</v>
      </c>
      <c r="J576" s="5">
        <f t="shared" si="32"/>
        <v>1763</v>
      </c>
      <c r="K576" s="49"/>
      <c r="L576" s="49"/>
      <c r="M576" s="49"/>
      <c r="N576" s="49"/>
      <c r="O576" s="49"/>
      <c r="P576" s="49"/>
      <c r="Q576" s="49"/>
      <c r="R576" s="49"/>
      <c r="S576" s="49"/>
      <c r="T576" s="49"/>
      <c r="U576" s="49"/>
      <c r="V576" s="49"/>
      <c r="W576" s="49"/>
      <c r="X576" s="49"/>
      <c r="Y576" s="49"/>
      <c r="Z576" s="49"/>
      <c r="AA576" s="49"/>
    </row>
    <row r="577" spans="1:27" x14ac:dyDescent="0.25">
      <c r="A577" s="207"/>
      <c r="B577" s="641"/>
      <c r="C577" s="711" t="s">
        <v>98</v>
      </c>
      <c r="D577" s="276" t="s">
        <v>667</v>
      </c>
      <c r="E577" s="191" t="s">
        <v>238</v>
      </c>
      <c r="F577" s="641" t="s">
        <v>1113</v>
      </c>
      <c r="G577" s="67">
        <f>'Phan tich don gia'!G241</f>
        <v>2</v>
      </c>
      <c r="H577" s="5">
        <f>IF('Du toan chi tiet'!V38&lt;&gt;0,SUM(J573:J576)/100/'Du toan chi tiet'!V38,0)</f>
        <v>8182.5884462943995</v>
      </c>
      <c r="I577" s="198">
        <f>'Du toan chi tiet'!V38</f>
        <v>1</v>
      </c>
      <c r="J577" s="5">
        <f t="shared" si="32"/>
        <v>16365.176892588799</v>
      </c>
      <c r="K577" s="49"/>
      <c r="L577" s="49"/>
      <c r="M577" s="49"/>
      <c r="N577" s="49"/>
      <c r="O577" s="49"/>
      <c r="P577" s="49"/>
      <c r="Q577" s="49"/>
      <c r="R577" s="49"/>
      <c r="S577" s="49"/>
      <c r="T577" s="49"/>
      <c r="U577" s="49"/>
      <c r="V577" s="49"/>
      <c r="W577" s="49"/>
      <c r="X577" s="49"/>
      <c r="Y577" s="49"/>
      <c r="Z577" s="49"/>
      <c r="AA577" s="49"/>
    </row>
    <row r="578" spans="1:27" x14ac:dyDescent="0.25">
      <c r="A578" s="261"/>
      <c r="B578" s="690"/>
      <c r="C578" s="745" t="s">
        <v>98</v>
      </c>
      <c r="D578" s="745" t="s">
        <v>98</v>
      </c>
      <c r="E578" s="247" t="s">
        <v>301</v>
      </c>
      <c r="F578" s="690" t="s">
        <v>1018</v>
      </c>
      <c r="G578" s="133"/>
      <c r="H578" s="44"/>
      <c r="I578" s="233"/>
      <c r="J578" s="44">
        <f>SUM(J579:J579)</f>
        <v>627978</v>
      </c>
      <c r="K578" s="49"/>
      <c r="L578" s="49"/>
      <c r="M578" s="49"/>
      <c r="N578" s="49"/>
      <c r="O578" s="49"/>
      <c r="P578" s="49"/>
      <c r="Q578" s="49"/>
      <c r="R578" s="49"/>
      <c r="S578" s="49"/>
      <c r="T578" s="49"/>
      <c r="U578" s="49"/>
      <c r="V578" s="49"/>
      <c r="W578" s="49"/>
      <c r="X578" s="49"/>
      <c r="Y578" s="49"/>
      <c r="Z578" s="49"/>
      <c r="AA578" s="49"/>
    </row>
    <row r="579" spans="1:27" x14ac:dyDescent="0.25">
      <c r="A579" s="207"/>
      <c r="B579" s="641"/>
      <c r="C579" s="711" t="s">
        <v>98</v>
      </c>
      <c r="D579" s="276" t="s">
        <v>706</v>
      </c>
      <c r="E579" s="191" t="str">
        <f>" - " &amp; 'Giá NC'!E8</f>
        <v xml:space="preserve"> - Nhân công bậc 3,5/7 - Nhóm 2</v>
      </c>
      <c r="F579" s="641" t="str">
        <f>'Giá NC'!F8</f>
        <v>công</v>
      </c>
      <c r="G579" s="67">
        <f>'Phan tich don gia'!G243</f>
        <v>2.4900000000000002</v>
      </c>
      <c r="H579" s="5">
        <f>'Giá NC'!K8</f>
        <v>252200</v>
      </c>
      <c r="I579" s="198">
        <f>'Du toan chi tiet'!W38</f>
        <v>1</v>
      </c>
      <c r="J579" s="5">
        <f>PRODUCT(G579,H579,I579)</f>
        <v>627978</v>
      </c>
      <c r="K579" s="49"/>
      <c r="L579" s="49"/>
      <c r="M579" s="49"/>
      <c r="N579" s="49"/>
      <c r="O579" s="49"/>
      <c r="P579" s="49"/>
      <c r="Q579" s="49"/>
      <c r="R579" s="49"/>
      <c r="S579" s="49"/>
      <c r="T579" s="49"/>
      <c r="U579" s="49"/>
      <c r="V579" s="49"/>
      <c r="W579" s="49"/>
      <c r="X579" s="49"/>
      <c r="Y579" s="49"/>
      <c r="Z579" s="49"/>
      <c r="AA579" s="49"/>
    </row>
    <row r="580" spans="1:27" x14ac:dyDescent="0.25">
      <c r="A580" s="261"/>
      <c r="B580" s="690"/>
      <c r="C580" s="745" t="s">
        <v>98</v>
      </c>
      <c r="D580" s="745" t="s">
        <v>98</v>
      </c>
      <c r="E580" s="247" t="s">
        <v>1175</v>
      </c>
      <c r="F580" s="690" t="s">
        <v>138</v>
      </c>
      <c r="G580" s="133"/>
      <c r="H580" s="44"/>
      <c r="I580" s="233"/>
      <c r="J580" s="44">
        <f>SUM(J581:J583)</f>
        <v>77865.804999999993</v>
      </c>
      <c r="K580" s="49"/>
      <c r="L580" s="49"/>
      <c r="M580" s="49"/>
      <c r="N580" s="49"/>
      <c r="O580" s="49"/>
      <c r="P580" s="49"/>
      <c r="Q580" s="49"/>
      <c r="R580" s="49"/>
      <c r="S580" s="49"/>
      <c r="T580" s="49"/>
      <c r="U580" s="49"/>
      <c r="V580" s="49"/>
      <c r="W580" s="49"/>
      <c r="X580" s="49"/>
      <c r="Y580" s="49"/>
      <c r="Z580" s="49"/>
      <c r="AA580" s="49"/>
    </row>
    <row r="581" spans="1:27" x14ac:dyDescent="0.25">
      <c r="A581" s="207"/>
      <c r="B581" s="641"/>
      <c r="C581" s="711" t="s">
        <v>98</v>
      </c>
      <c r="D581" s="276" t="s">
        <v>113</v>
      </c>
      <c r="E581" s="191" t="str">
        <f>" - " &amp; 'Giá Máy'!E20</f>
        <v xml:space="preserve"> - Máy trộn bê tông 250 lít</v>
      </c>
      <c r="F581" s="641" t="str">
        <f>'Giá Máy'!F20</f>
        <v>ca</v>
      </c>
      <c r="G581" s="67">
        <f>'Phan tich don gia'!G245</f>
        <v>9.5000000000000001E-2</v>
      </c>
      <c r="H581" s="5">
        <f>'Giá Máy'!J20</f>
        <v>317242</v>
      </c>
      <c r="I581" s="198">
        <f>'Du toan chi tiet'!X38</f>
        <v>1</v>
      </c>
      <c r="J581" s="5">
        <f t="shared" ref="J581:J582" si="33">PRODUCT(G581,H581,I581)</f>
        <v>30137.99</v>
      </c>
      <c r="K581" s="49"/>
      <c r="L581" s="49"/>
      <c r="M581" s="49"/>
      <c r="N581" s="49"/>
      <c r="O581" s="49"/>
      <c r="P581" s="49"/>
      <c r="Q581" s="49"/>
      <c r="R581" s="49"/>
      <c r="S581" s="49"/>
      <c r="T581" s="49"/>
      <c r="U581" s="49"/>
      <c r="V581" s="49"/>
      <c r="W581" s="49"/>
      <c r="X581" s="49"/>
      <c r="Y581" s="49"/>
      <c r="Z581" s="49"/>
      <c r="AA581" s="49"/>
    </row>
    <row r="582" spans="1:27" x14ac:dyDescent="0.25">
      <c r="A582" s="207"/>
      <c r="B582" s="641"/>
      <c r="C582" s="711" t="s">
        <v>98</v>
      </c>
      <c r="D582" s="276" t="s">
        <v>194</v>
      </c>
      <c r="E582" s="191" t="str">
        <f>" - " &amp; 'Giá Máy'!E12</f>
        <v xml:space="preserve"> - Máy đầm dùi 1,5kW</v>
      </c>
      <c r="F582" s="641" t="str">
        <f>'Giá Máy'!F12</f>
        <v>ca</v>
      </c>
      <c r="G582" s="67">
        <f>'Phan tich don gia'!G246</f>
        <v>0.18</v>
      </c>
      <c r="H582" s="5">
        <f>'Giá Máy'!J12</f>
        <v>265153</v>
      </c>
      <c r="I582" s="198">
        <f>'Du toan chi tiet'!X38</f>
        <v>1</v>
      </c>
      <c r="J582" s="5">
        <f t="shared" si="33"/>
        <v>47727.54</v>
      </c>
      <c r="K582" s="49"/>
      <c r="L582" s="49"/>
      <c r="M582" s="49"/>
      <c r="N582" s="49"/>
      <c r="O582" s="49"/>
      <c r="P582" s="49"/>
      <c r="Q582" s="49"/>
      <c r="R582" s="49"/>
      <c r="S582" s="49"/>
      <c r="T582" s="49"/>
      <c r="U582" s="49"/>
      <c r="V582" s="49"/>
      <c r="W582" s="49"/>
      <c r="X582" s="49"/>
      <c r="Y582" s="49"/>
      <c r="Z582" s="49"/>
      <c r="AA582" s="49"/>
    </row>
    <row r="583" spans="1:27" x14ac:dyDescent="0.25">
      <c r="A583" s="207"/>
      <c r="B583" s="641"/>
      <c r="C583" s="711" t="s">
        <v>98</v>
      </c>
      <c r="D583" s="276" t="s">
        <v>98</v>
      </c>
      <c r="E583" s="191" t="s">
        <v>1230</v>
      </c>
      <c r="F583" s="641"/>
      <c r="G583" s="106"/>
      <c r="H583" s="5"/>
      <c r="I583" s="198"/>
      <c r="J583" s="5">
        <f>SUM(J584:J585)</f>
        <v>0.27500000000000002</v>
      </c>
      <c r="K583" s="49"/>
      <c r="L583" s="49"/>
      <c r="M583" s="49"/>
      <c r="N583" s="49"/>
      <c r="O583" s="49"/>
      <c r="P583" s="49"/>
      <c r="Q583" s="49"/>
      <c r="R583" s="49"/>
      <c r="S583" s="49"/>
      <c r="T583" s="49"/>
      <c r="U583" s="49"/>
      <c r="V583" s="49"/>
      <c r="W583" s="49"/>
      <c r="X583" s="49"/>
      <c r="Y583" s="49"/>
      <c r="Z583" s="49"/>
      <c r="AA583" s="49"/>
    </row>
    <row r="584" spans="1:27" x14ac:dyDescent="0.25">
      <c r="A584" s="207"/>
      <c r="B584" s="641"/>
      <c r="C584" s="711" t="s">
        <v>98</v>
      </c>
      <c r="D584" s="276" t="s">
        <v>98</v>
      </c>
      <c r="E584" s="191" t="s">
        <v>52</v>
      </c>
      <c r="F584" s="641"/>
      <c r="G584" s="106"/>
      <c r="H584" s="5"/>
      <c r="I584" s="198"/>
      <c r="J584" s="5">
        <f>PRODUCT(G581,I581,'Giá Máy'!L20)+PRODUCT(G582,I582,'Giá Máy'!L12)</f>
        <v>0</v>
      </c>
      <c r="K584" s="49"/>
      <c r="L584" s="49"/>
      <c r="M584" s="49"/>
      <c r="N584" s="49"/>
      <c r="O584" s="49"/>
      <c r="P584" s="49"/>
      <c r="Q584" s="49"/>
      <c r="R584" s="49"/>
      <c r="S584" s="49"/>
      <c r="T584" s="49"/>
      <c r="U584" s="49"/>
      <c r="V584" s="49"/>
      <c r="W584" s="49"/>
      <c r="X584" s="49"/>
      <c r="Y584" s="49"/>
      <c r="Z584" s="49"/>
      <c r="AA584" s="49"/>
    </row>
    <row r="585" spans="1:27" x14ac:dyDescent="0.25">
      <c r="A585" s="207"/>
      <c r="B585" s="641"/>
      <c r="C585" s="711" t="s">
        <v>98</v>
      </c>
      <c r="D585" s="276" t="s">
        <v>98</v>
      </c>
      <c r="E585" s="191" t="s">
        <v>597</v>
      </c>
      <c r="F585" s="641"/>
      <c r="G585" s="106"/>
      <c r="H585" s="5"/>
      <c r="I585" s="198"/>
      <c r="J585" s="5">
        <f>PRODUCT(G581,I581,'Giá Máy'!M20)+PRODUCT(G582,I582,'Giá Máy'!M12)</f>
        <v>0.27500000000000002</v>
      </c>
      <c r="K585" s="49"/>
      <c r="L585" s="49"/>
      <c r="M585" s="49"/>
      <c r="N585" s="49"/>
      <c r="O585" s="49"/>
      <c r="P585" s="49"/>
      <c r="Q585" s="49"/>
      <c r="R585" s="49"/>
      <c r="S585" s="49"/>
      <c r="T585" s="49"/>
      <c r="U585" s="49"/>
      <c r="V585" s="49"/>
      <c r="W585" s="49"/>
      <c r="X585" s="49"/>
      <c r="Y585" s="49"/>
      <c r="Z585" s="49"/>
      <c r="AA585" s="49"/>
    </row>
    <row r="586" spans="1:27" x14ac:dyDescent="0.25">
      <c r="A586" s="207"/>
      <c r="B586" s="641"/>
      <c r="C586" s="711" t="s">
        <v>98</v>
      </c>
      <c r="D586" s="276" t="s">
        <v>98</v>
      </c>
      <c r="E586" s="191" t="s">
        <v>599</v>
      </c>
      <c r="F586" s="641" t="s">
        <v>356</v>
      </c>
      <c r="G586" s="106"/>
      <c r="H586" s="5"/>
      <c r="I586" s="198"/>
      <c r="J586" s="5">
        <f>J572+J578+J580</f>
        <v>1540467.8265220288</v>
      </c>
      <c r="K586" s="49"/>
      <c r="L586" s="49"/>
      <c r="M586" s="49"/>
      <c r="N586" s="49"/>
      <c r="O586" s="49"/>
      <c r="P586" s="49"/>
      <c r="Q586" s="49"/>
      <c r="R586" s="49"/>
      <c r="S586" s="49"/>
      <c r="T586" s="49"/>
      <c r="U586" s="49"/>
      <c r="V586" s="49"/>
      <c r="W586" s="49"/>
      <c r="X586" s="49"/>
      <c r="Y586" s="49"/>
      <c r="Z586" s="49"/>
      <c r="AA586" s="49"/>
    </row>
    <row r="587" spans="1:27" x14ac:dyDescent="0.25">
      <c r="A587" s="207"/>
      <c r="B587" s="641"/>
      <c r="C587" s="711" t="s">
        <v>98</v>
      </c>
      <c r="D587" s="276" t="s">
        <v>98</v>
      </c>
      <c r="E587" s="191" t="s">
        <v>265</v>
      </c>
      <c r="F587" s="641" t="s">
        <v>653</v>
      </c>
      <c r="G587" s="307">
        <f>'Thông tin'!E67</f>
        <v>7.2999999999999995E-2</v>
      </c>
      <c r="H587" s="5"/>
      <c r="I587" s="198"/>
      <c r="J587" s="5">
        <f>(J586)*G587</f>
        <v>112454.15133610809</v>
      </c>
      <c r="K587" s="49"/>
      <c r="L587" s="49"/>
      <c r="M587" s="49"/>
      <c r="N587" s="49"/>
      <c r="O587" s="49"/>
      <c r="P587" s="49"/>
      <c r="Q587" s="49"/>
      <c r="R587" s="49"/>
      <c r="S587" s="49"/>
      <c r="T587" s="49"/>
      <c r="U587" s="49"/>
      <c r="V587" s="49"/>
      <c r="W587" s="49"/>
      <c r="X587" s="49"/>
      <c r="Y587" s="49"/>
      <c r="Z587" s="49"/>
      <c r="AA587" s="49"/>
    </row>
    <row r="588" spans="1:27" x14ac:dyDescent="0.25">
      <c r="A588" s="207"/>
      <c r="B588" s="641"/>
      <c r="C588" s="711" t="s">
        <v>98</v>
      </c>
      <c r="D588" s="276" t="s">
        <v>98</v>
      </c>
      <c r="E588" s="191" t="s">
        <v>765</v>
      </c>
      <c r="F588" s="641" t="s">
        <v>602</v>
      </c>
      <c r="G588" s="307">
        <f>'Thông tin'!E60</f>
        <v>1.1000000000000001E-2</v>
      </c>
      <c r="H588" s="5"/>
      <c r="I588" s="198"/>
      <c r="J588" s="5">
        <f>(J586)*G588</f>
        <v>16945.146091742317</v>
      </c>
      <c r="K588" s="49"/>
      <c r="L588" s="49"/>
      <c r="M588" s="49"/>
      <c r="N588" s="49"/>
      <c r="O588" s="49"/>
      <c r="P588" s="49"/>
      <c r="Q588" s="49"/>
      <c r="R588" s="49"/>
      <c r="S588" s="49"/>
      <c r="T588" s="49"/>
      <c r="U588" s="49"/>
      <c r="V588" s="49"/>
      <c r="W588" s="49"/>
      <c r="X588" s="49"/>
      <c r="Y588" s="49"/>
      <c r="Z588" s="49"/>
      <c r="AA588" s="49"/>
    </row>
    <row r="589" spans="1:27" ht="30" x14ac:dyDescent="0.25">
      <c r="A589" s="207"/>
      <c r="B589" s="641"/>
      <c r="C589" s="711" t="s">
        <v>98</v>
      </c>
      <c r="D589" s="276" t="s">
        <v>98</v>
      </c>
      <c r="E589" s="191" t="s">
        <v>457</v>
      </c>
      <c r="F589" s="641" t="s">
        <v>881</v>
      </c>
      <c r="G589" s="307">
        <f>'Thông tin'!E65</f>
        <v>2.5000000000000001E-2</v>
      </c>
      <c r="H589" s="5"/>
      <c r="I589" s="198"/>
      <c r="J589" s="5">
        <f>(J586)*G589</f>
        <v>38511.695663050719</v>
      </c>
      <c r="K589" s="49"/>
      <c r="L589" s="49"/>
      <c r="M589" s="49"/>
      <c r="N589" s="49"/>
      <c r="O589" s="49"/>
      <c r="P589" s="49"/>
      <c r="Q589" s="49"/>
      <c r="R589" s="49"/>
      <c r="S589" s="49"/>
      <c r="T589" s="49"/>
      <c r="U589" s="49"/>
      <c r="V589" s="49"/>
      <c r="W589" s="49"/>
      <c r="X589" s="49"/>
      <c r="Y589" s="49"/>
      <c r="Z589" s="49"/>
      <c r="AA589" s="49"/>
    </row>
    <row r="590" spans="1:27" x14ac:dyDescent="0.25">
      <c r="A590" s="207"/>
      <c r="B590" s="641"/>
      <c r="C590" s="711" t="s">
        <v>98</v>
      </c>
      <c r="D590" s="276" t="s">
        <v>98</v>
      </c>
      <c r="E590" s="191" t="s">
        <v>1244</v>
      </c>
      <c r="F590" s="641" t="s">
        <v>1032</v>
      </c>
      <c r="G590" s="106"/>
      <c r="H590" s="5"/>
      <c r="I590" s="198"/>
      <c r="J590" s="5">
        <f>J587+J588+J589</f>
        <v>167910.99309090112</v>
      </c>
      <c r="K590" s="49"/>
      <c r="L590" s="49"/>
      <c r="M590" s="49"/>
      <c r="N590" s="49"/>
      <c r="O590" s="49"/>
      <c r="P590" s="49"/>
      <c r="Q590" s="49"/>
      <c r="R590" s="49"/>
      <c r="S590" s="49"/>
      <c r="T590" s="49"/>
      <c r="U590" s="49"/>
      <c r="V590" s="49"/>
      <c r="W590" s="49"/>
      <c r="X590" s="49"/>
      <c r="Y590" s="49"/>
      <c r="Z590" s="49"/>
      <c r="AA590" s="49"/>
    </row>
    <row r="591" spans="1:27" x14ac:dyDescent="0.25">
      <c r="A591" s="207"/>
      <c r="B591" s="641"/>
      <c r="C591" s="711" t="s">
        <v>98</v>
      </c>
      <c r="D591" s="276" t="s">
        <v>98</v>
      </c>
      <c r="E591" s="191" t="s">
        <v>990</v>
      </c>
      <c r="F591" s="641" t="s">
        <v>307</v>
      </c>
      <c r="G591" s="307">
        <f>'Thông tin'!E63</f>
        <v>5.5E-2</v>
      </c>
      <c r="H591" s="5"/>
      <c r="I591" s="198"/>
      <c r="J591" s="5">
        <f>(J586+J590)*G591</f>
        <v>93960.835078711141</v>
      </c>
      <c r="K591" s="49"/>
      <c r="L591" s="49"/>
      <c r="M591" s="49"/>
      <c r="N591" s="49"/>
      <c r="O591" s="49"/>
      <c r="P591" s="49"/>
      <c r="Q591" s="49"/>
      <c r="R591" s="49"/>
      <c r="S591" s="49"/>
      <c r="T591" s="49"/>
      <c r="U591" s="49"/>
      <c r="V591" s="49"/>
      <c r="W591" s="49"/>
      <c r="X591" s="49"/>
      <c r="Y591" s="49"/>
      <c r="Z591" s="49"/>
      <c r="AA591" s="49"/>
    </row>
    <row r="592" spans="1:27" x14ac:dyDescent="0.25">
      <c r="A592" s="207"/>
      <c r="B592" s="641"/>
      <c r="C592" s="711" t="s">
        <v>98</v>
      </c>
      <c r="D592" s="276" t="s">
        <v>98</v>
      </c>
      <c r="E592" s="7" t="s">
        <v>142</v>
      </c>
      <c r="F592" s="499" t="s">
        <v>286</v>
      </c>
      <c r="G592" s="106"/>
      <c r="H592" s="5"/>
      <c r="I592" s="198"/>
      <c r="J592" s="620">
        <f>J586+J590+J591</f>
        <v>1802339.654691641</v>
      </c>
      <c r="K592" s="49"/>
      <c r="L592" s="49"/>
      <c r="M592" s="49"/>
      <c r="N592" s="49"/>
      <c r="O592" s="49"/>
      <c r="P592" s="49"/>
      <c r="Q592" s="49"/>
      <c r="R592" s="49"/>
      <c r="S592" s="49"/>
      <c r="T592" s="49"/>
      <c r="U592" s="49"/>
      <c r="V592" s="49"/>
      <c r="W592" s="49"/>
      <c r="X592" s="49"/>
      <c r="Y592" s="49"/>
      <c r="Z592" s="49"/>
      <c r="AA592" s="49"/>
    </row>
    <row r="593" spans="1:27" x14ac:dyDescent="0.25">
      <c r="A593" s="207"/>
      <c r="B593" s="641"/>
      <c r="C593" s="711" t="s">
        <v>98</v>
      </c>
      <c r="D593" s="276" t="s">
        <v>98</v>
      </c>
      <c r="E593" s="191" t="s">
        <v>762</v>
      </c>
      <c r="F593" s="641" t="s">
        <v>830</v>
      </c>
      <c r="G593" s="705">
        <f>'Thông tin'!E61</f>
        <v>0.08</v>
      </c>
      <c r="H593" s="5"/>
      <c r="I593" s="198"/>
      <c r="J593" s="5">
        <f>(J592)*G593</f>
        <v>144187.17237533128</v>
      </c>
      <c r="K593" s="49"/>
      <c r="L593" s="49"/>
      <c r="M593" s="49"/>
      <c r="N593" s="49"/>
      <c r="O593" s="49"/>
      <c r="P593" s="49"/>
      <c r="Q593" s="49"/>
      <c r="R593" s="49"/>
      <c r="S593" s="49"/>
      <c r="T593" s="49"/>
      <c r="U593" s="49"/>
      <c r="V593" s="49"/>
      <c r="W593" s="49"/>
      <c r="X593" s="49"/>
      <c r="Y593" s="49"/>
      <c r="Z593" s="49"/>
      <c r="AA593" s="49"/>
    </row>
    <row r="594" spans="1:27" x14ac:dyDescent="0.25">
      <c r="A594" s="122"/>
      <c r="B594" s="581"/>
      <c r="C594" s="636" t="s">
        <v>98</v>
      </c>
      <c r="D594" s="196" t="s">
        <v>98</v>
      </c>
      <c r="E594" s="728" t="s">
        <v>953</v>
      </c>
      <c r="F594" s="429" t="s">
        <v>1108</v>
      </c>
      <c r="G594" s="29"/>
      <c r="H594" s="704"/>
      <c r="I594" s="113"/>
      <c r="J594" s="657">
        <f>J592+J593</f>
        <v>1946526.8270669724</v>
      </c>
      <c r="K594" s="49"/>
      <c r="L594" s="49"/>
      <c r="M594" s="49"/>
      <c r="N594" s="49"/>
      <c r="O594" s="49"/>
      <c r="P594" s="49"/>
      <c r="Q594" s="49"/>
      <c r="R594" s="49"/>
      <c r="S594" s="49"/>
      <c r="T594" s="49"/>
      <c r="U594" s="49"/>
      <c r="V594" s="49"/>
      <c r="W594" s="49"/>
      <c r="X594" s="49"/>
      <c r="Y594" s="49"/>
      <c r="Z594" s="49"/>
      <c r="AA594" s="49"/>
    </row>
    <row r="595" spans="1:27" ht="30" x14ac:dyDescent="0.25">
      <c r="A595" s="458"/>
      <c r="B595" s="130">
        <v>30</v>
      </c>
      <c r="C595" s="234" t="str">
        <f>'Du toan chi tiet'!C39</f>
        <v>AF.86211</v>
      </c>
      <c r="D595" s="234" t="str">
        <f>'Du toan chi tiet'!C39</f>
        <v>AF.86211</v>
      </c>
      <c r="E595" s="730" t="str">
        <f>'Du toan chi tiet'!D39</f>
        <v>Ván khuôn thép, khung xương, cột chống giáo ống, tường cánh chiều cao ≤28m</v>
      </c>
      <c r="F595" s="130" t="str">
        <f>'Du toan chi tiet'!E39</f>
        <v>m2</v>
      </c>
      <c r="G595" s="664"/>
      <c r="H595" s="282"/>
      <c r="I595" s="450"/>
      <c r="J595" s="282"/>
      <c r="K595" s="49"/>
      <c r="L595" s="49"/>
      <c r="M595" s="49"/>
      <c r="N595" s="49"/>
      <c r="O595" s="49"/>
      <c r="P595" s="49"/>
      <c r="Q595" s="49"/>
      <c r="R595" s="49"/>
      <c r="S595" s="49"/>
      <c r="T595" s="49"/>
      <c r="U595" s="49"/>
      <c r="V595" s="49"/>
      <c r="W595" s="49"/>
      <c r="X595" s="49"/>
      <c r="Y595" s="49"/>
      <c r="Z595" s="49"/>
      <c r="AA595" s="49"/>
    </row>
    <row r="596" spans="1:27" x14ac:dyDescent="0.25">
      <c r="A596" s="261"/>
      <c r="B596" s="690"/>
      <c r="C596" s="745" t="s">
        <v>98</v>
      </c>
      <c r="D596" s="745" t="s">
        <v>98</v>
      </c>
      <c r="E596" s="247" t="s">
        <v>547</v>
      </c>
      <c r="F596" s="690" t="s">
        <v>962</v>
      </c>
      <c r="G596" s="133"/>
      <c r="H596" s="44"/>
      <c r="I596" s="233"/>
      <c r="J596" s="44" t="e">
        <f>SUM(J597:J601)</f>
        <v>#REF!</v>
      </c>
      <c r="K596" s="49"/>
      <c r="L596" s="49"/>
      <c r="M596" s="49"/>
      <c r="N596" s="49"/>
      <c r="O596" s="49"/>
      <c r="P596" s="49"/>
      <c r="Q596" s="49"/>
      <c r="R596" s="49"/>
      <c r="S596" s="49"/>
      <c r="T596" s="49"/>
      <c r="U596" s="49"/>
      <c r="V596" s="49"/>
      <c r="W596" s="49"/>
      <c r="X596" s="49"/>
      <c r="Y596" s="49"/>
      <c r="Z596" s="49"/>
      <c r="AA596" s="49"/>
    </row>
    <row r="597" spans="1:27" x14ac:dyDescent="0.25">
      <c r="A597" s="207"/>
      <c r="B597" s="641"/>
      <c r="C597" s="711" t="s">
        <v>98</v>
      </c>
      <c r="D597" s="276" t="s">
        <v>713</v>
      </c>
      <c r="E597" s="191" t="str">
        <f>" - " &amp; 'Giá VL'!E31</f>
        <v xml:space="preserve"> - Thép tấm</v>
      </c>
      <c r="F597" s="641" t="str">
        <f>'Giá VL'!F31</f>
        <v>kg</v>
      </c>
      <c r="G597" s="67">
        <f>'Phan tich don gia'!G249</f>
        <v>0.5181</v>
      </c>
      <c r="H597" s="5">
        <f>'Giá VL'!V31</f>
        <v>19657.495796390001</v>
      </c>
      <c r="I597" s="198">
        <f>'Du toan chi tiet'!V39</f>
        <v>1</v>
      </c>
      <c r="J597" s="5">
        <f t="shared" ref="J597:J601" si="34">PRODUCT(G597,H597,I597)</f>
        <v>10184.548572109659</v>
      </c>
      <c r="K597" s="49"/>
      <c r="L597" s="49"/>
      <c r="M597" s="49"/>
      <c r="N597" s="49"/>
      <c r="O597" s="49"/>
      <c r="P597" s="49"/>
      <c r="Q597" s="49"/>
      <c r="R597" s="49"/>
      <c r="S597" s="49"/>
      <c r="T597" s="49"/>
      <c r="U597" s="49"/>
      <c r="V597" s="49"/>
      <c r="W597" s="49"/>
      <c r="X597" s="49"/>
      <c r="Y597" s="49"/>
      <c r="Z597" s="49"/>
      <c r="AA597" s="49"/>
    </row>
    <row r="598" spans="1:27" x14ac:dyDescent="0.25">
      <c r="A598" s="207"/>
      <c r="B598" s="641"/>
      <c r="C598" s="711" t="s">
        <v>98</v>
      </c>
      <c r="D598" s="276" t="s">
        <v>1141</v>
      </c>
      <c r="E598" s="191" t="str">
        <f>" - " &amp; 'Giá VL'!E29</f>
        <v xml:space="preserve"> - Thép hình</v>
      </c>
      <c r="F598" s="641" t="str">
        <f>'Giá VL'!F29</f>
        <v>kg</v>
      </c>
      <c r="G598" s="67">
        <f>'Phan tich don gia'!G250</f>
        <v>0.4884</v>
      </c>
      <c r="H598" s="5">
        <f>'Giá VL'!V29</f>
        <v>19657.495796390001</v>
      </c>
      <c r="I598" s="198">
        <f>'Du toan chi tiet'!V39</f>
        <v>1</v>
      </c>
      <c r="J598" s="5">
        <f t="shared" si="34"/>
        <v>9600.720946956877</v>
      </c>
      <c r="K598" s="49"/>
      <c r="L598" s="49"/>
      <c r="M598" s="49"/>
      <c r="N598" s="49"/>
      <c r="O598" s="49"/>
      <c r="P598" s="49"/>
      <c r="Q598" s="49"/>
      <c r="R598" s="49"/>
      <c r="S598" s="49"/>
      <c r="T598" s="49"/>
      <c r="U598" s="49"/>
      <c r="V598" s="49"/>
      <c r="W598" s="49"/>
      <c r="X598" s="49"/>
      <c r="Y598" s="49"/>
      <c r="Z598" s="49"/>
      <c r="AA598" s="49"/>
    </row>
    <row r="599" spans="1:27" x14ac:dyDescent="0.25">
      <c r="A599" s="207"/>
      <c r="B599" s="641"/>
      <c r="C599" s="711" t="s">
        <v>98</v>
      </c>
      <c r="D599" s="276" t="s">
        <v>984</v>
      </c>
      <c r="E599" s="191" t="str">
        <f>" - " &amp; 'Giá VL'!E10</f>
        <v xml:space="preserve"> - Cột chống thép ống</v>
      </c>
      <c r="F599" s="641" t="str">
        <f>'Giá VL'!F10</f>
        <v>kg</v>
      </c>
      <c r="G599" s="67" t="e">
        <f>'Phan tich don gia'!#REF!</f>
        <v>#REF!</v>
      </c>
      <c r="H599" s="5">
        <f>'Giá VL'!V10</f>
        <v>17000</v>
      </c>
      <c r="I599" s="198">
        <f>'Du toan chi tiet'!V39</f>
        <v>1</v>
      </c>
      <c r="J599" s="5" t="e">
        <f t="shared" si="34"/>
        <v>#REF!</v>
      </c>
      <c r="K599" s="49"/>
      <c r="L599" s="49"/>
      <c r="M599" s="49"/>
      <c r="N599" s="49"/>
      <c r="O599" s="49"/>
      <c r="P599" s="49"/>
      <c r="Q599" s="49"/>
      <c r="R599" s="49"/>
      <c r="S599" s="49"/>
      <c r="T599" s="49"/>
      <c r="U599" s="49"/>
      <c r="V599" s="49"/>
      <c r="W599" s="49"/>
      <c r="X599" s="49"/>
      <c r="Y599" s="49"/>
      <c r="Z599" s="49"/>
      <c r="AA599" s="49"/>
    </row>
    <row r="600" spans="1:27" x14ac:dyDescent="0.25">
      <c r="A600" s="207"/>
      <c r="B600" s="641"/>
      <c r="C600" s="711" t="s">
        <v>98</v>
      </c>
      <c r="D600" s="276" t="s">
        <v>919</v>
      </c>
      <c r="E600" s="191" t="str">
        <f>" - " &amp; 'Giá VL'!E25</f>
        <v xml:space="preserve"> - Que hàn</v>
      </c>
      <c r="F600" s="641" t="str">
        <f>'Giá VL'!F25</f>
        <v>kg</v>
      </c>
      <c r="G600" s="67">
        <f>'Phan tich don gia'!G251</f>
        <v>5.6000000000000001E-2</v>
      </c>
      <c r="H600" s="5">
        <f>'Giá VL'!V25</f>
        <v>18182</v>
      </c>
      <c r="I600" s="198">
        <f>'Du toan chi tiet'!V39</f>
        <v>1</v>
      </c>
      <c r="J600" s="5">
        <f t="shared" si="34"/>
        <v>1018.192</v>
      </c>
      <c r="K600" s="49"/>
      <c r="L600" s="49"/>
      <c r="M600" s="49"/>
      <c r="N600" s="49"/>
      <c r="O600" s="49"/>
      <c r="P600" s="49"/>
      <c r="Q600" s="49"/>
      <c r="R600" s="49"/>
      <c r="S600" s="49"/>
      <c r="T600" s="49"/>
      <c r="U600" s="49"/>
      <c r="V600" s="49"/>
      <c r="W600" s="49"/>
      <c r="X600" s="49"/>
      <c r="Y600" s="49"/>
      <c r="Z600" s="49"/>
      <c r="AA600" s="49"/>
    </row>
    <row r="601" spans="1:27" x14ac:dyDescent="0.25">
      <c r="A601" s="207"/>
      <c r="B601" s="641"/>
      <c r="C601" s="711" t="s">
        <v>98</v>
      </c>
      <c r="D601" s="276" t="s">
        <v>667</v>
      </c>
      <c r="E601" s="191" t="s">
        <v>238</v>
      </c>
      <c r="F601" s="641" t="s">
        <v>1113</v>
      </c>
      <c r="G601" s="67">
        <f>'Phan tich don gia'!G252</f>
        <v>2</v>
      </c>
      <c r="H601" s="5" t="e">
        <f>IF('Du toan chi tiet'!V39&lt;&gt;0,SUM(J597:J600)/100/'Du toan chi tiet'!V39,0)</f>
        <v>#REF!</v>
      </c>
      <c r="I601" s="198">
        <f>'Du toan chi tiet'!V39</f>
        <v>1</v>
      </c>
      <c r="J601" s="5" t="e">
        <f t="shared" si="34"/>
        <v>#REF!</v>
      </c>
      <c r="K601" s="49"/>
      <c r="L601" s="49"/>
      <c r="M601" s="49"/>
      <c r="N601" s="49"/>
      <c r="O601" s="49"/>
      <c r="P601" s="49"/>
      <c r="Q601" s="49"/>
      <c r="R601" s="49"/>
      <c r="S601" s="49"/>
      <c r="T601" s="49"/>
      <c r="U601" s="49"/>
      <c r="V601" s="49"/>
      <c r="W601" s="49"/>
      <c r="X601" s="49"/>
      <c r="Y601" s="49"/>
      <c r="Z601" s="49"/>
      <c r="AA601" s="49"/>
    </row>
    <row r="602" spans="1:27" x14ac:dyDescent="0.25">
      <c r="A602" s="261"/>
      <c r="B602" s="690"/>
      <c r="C602" s="745" t="s">
        <v>98</v>
      </c>
      <c r="D602" s="745" t="s">
        <v>98</v>
      </c>
      <c r="E602" s="247" t="s">
        <v>301</v>
      </c>
      <c r="F602" s="690" t="s">
        <v>1018</v>
      </c>
      <c r="G602" s="133"/>
      <c r="H602" s="44"/>
      <c r="I602" s="233"/>
      <c r="J602" s="44">
        <f>SUM(J603:J603)</f>
        <v>78024.45</v>
      </c>
      <c r="K602" s="49"/>
      <c r="L602" s="49"/>
      <c r="M602" s="49"/>
      <c r="N602" s="49"/>
      <c r="O602" s="49"/>
      <c r="P602" s="49"/>
      <c r="Q602" s="49"/>
      <c r="R602" s="49"/>
      <c r="S602" s="49"/>
      <c r="T602" s="49"/>
      <c r="U602" s="49"/>
      <c r="V602" s="49"/>
      <c r="W602" s="49"/>
      <c r="X602" s="49"/>
      <c r="Y602" s="49"/>
      <c r="Z602" s="49"/>
      <c r="AA602" s="49"/>
    </row>
    <row r="603" spans="1:27" x14ac:dyDescent="0.25">
      <c r="A603" s="207"/>
      <c r="B603" s="641"/>
      <c r="C603" s="711" t="s">
        <v>98</v>
      </c>
      <c r="D603" s="276" t="s">
        <v>169</v>
      </c>
      <c r="E603" s="191" t="str">
        <f>" - " &amp; 'Giá NC'!E9</f>
        <v xml:space="preserve"> - Nhân công bậc 4,0/7 - Nhóm 2</v>
      </c>
      <c r="F603" s="641" t="str">
        <f>'Giá NC'!F9</f>
        <v>công</v>
      </c>
      <c r="G603" s="67">
        <f>'Phan tich don gia'!G254</f>
        <v>0.28499999999999998</v>
      </c>
      <c r="H603" s="5">
        <f>'Giá NC'!K9</f>
        <v>273770</v>
      </c>
      <c r="I603" s="198">
        <f>'Du toan chi tiet'!W39</f>
        <v>1</v>
      </c>
      <c r="J603" s="5">
        <f>PRODUCT(G603,H603,I603)</f>
        <v>78024.45</v>
      </c>
      <c r="K603" s="49"/>
      <c r="L603" s="49"/>
      <c r="M603" s="49"/>
      <c r="N603" s="49"/>
      <c r="O603" s="49"/>
      <c r="P603" s="49"/>
      <c r="Q603" s="49"/>
      <c r="R603" s="49"/>
      <c r="S603" s="49"/>
      <c r="T603" s="49"/>
      <c r="U603" s="49"/>
      <c r="V603" s="49"/>
      <c r="W603" s="49"/>
      <c r="X603" s="49"/>
      <c r="Y603" s="49"/>
      <c r="Z603" s="49"/>
      <c r="AA603" s="49"/>
    </row>
    <row r="604" spans="1:27" x14ac:dyDescent="0.25">
      <c r="A604" s="261"/>
      <c r="B604" s="690"/>
      <c r="C604" s="745" t="s">
        <v>98</v>
      </c>
      <c r="D604" s="745" t="s">
        <v>98</v>
      </c>
      <c r="E604" s="247" t="s">
        <v>1175</v>
      </c>
      <c r="F604" s="690" t="s">
        <v>138</v>
      </c>
      <c r="G604" s="133"/>
      <c r="H604" s="44"/>
      <c r="I604" s="233"/>
      <c r="J604" s="44" t="e">
        <f>SUM(J605:J609)</f>
        <v>#REF!</v>
      </c>
      <c r="K604" s="49"/>
      <c r="L604" s="49"/>
      <c r="M604" s="49"/>
      <c r="N604" s="49"/>
      <c r="O604" s="49"/>
      <c r="P604" s="49"/>
      <c r="Q604" s="49"/>
      <c r="R604" s="49"/>
      <c r="S604" s="49"/>
      <c r="T604" s="49"/>
      <c r="U604" s="49"/>
      <c r="V604" s="49"/>
      <c r="W604" s="49"/>
      <c r="X604" s="49"/>
      <c r="Y604" s="49"/>
      <c r="Z604" s="49"/>
      <c r="AA604" s="49"/>
    </row>
    <row r="605" spans="1:27" x14ac:dyDescent="0.25">
      <c r="A605" s="207"/>
      <c r="B605" s="641"/>
      <c r="C605" s="711" t="s">
        <v>98</v>
      </c>
      <c r="D605" s="276" t="s">
        <v>82</v>
      </c>
      <c r="E605" s="191" t="str">
        <f>" - " &amp; 'Giá Máy'!E15</f>
        <v xml:space="preserve"> - Máy hàn điện 23kW</v>
      </c>
      <c r="F605" s="641" t="str">
        <f>'Giá Máy'!F15</f>
        <v>ca</v>
      </c>
      <c r="G605" s="67">
        <f>'Phan tich don gia'!G256</f>
        <v>1.4999999999999999E-2</v>
      </c>
      <c r="H605" s="5">
        <f>'Giá Máy'!J15</f>
        <v>477927</v>
      </c>
      <c r="I605" s="198">
        <f>'Du toan chi tiet'!X39</f>
        <v>1</v>
      </c>
      <c r="J605" s="5">
        <f t="shared" ref="J605:J608" si="35">PRODUCT(G605,H605,I605)</f>
        <v>7168.9049999999997</v>
      </c>
      <c r="K605" s="49"/>
      <c r="L605" s="49"/>
      <c r="M605" s="49"/>
      <c r="N605" s="49"/>
      <c r="O605" s="49"/>
      <c r="P605" s="49"/>
      <c r="Q605" s="49"/>
      <c r="R605" s="49"/>
      <c r="S605" s="49"/>
      <c r="T605" s="49"/>
      <c r="U605" s="49"/>
      <c r="V605" s="49"/>
      <c r="W605" s="49"/>
      <c r="X605" s="49"/>
      <c r="Y605" s="49"/>
      <c r="Z605" s="49"/>
      <c r="AA605" s="49"/>
    </row>
    <row r="606" spans="1:27" x14ac:dyDescent="0.25">
      <c r="A606" s="207"/>
      <c r="B606" s="641"/>
      <c r="C606" s="711" t="s">
        <v>98</v>
      </c>
      <c r="D606" s="276" t="s">
        <v>271</v>
      </c>
      <c r="E606" s="191" t="e">
        <f>" - " &amp; 'Giá Máy'!#REF!</f>
        <v>#REF!</v>
      </c>
      <c r="F606" s="641" t="e">
        <f>'Giá Máy'!#REF!</f>
        <v>#REF!</v>
      </c>
      <c r="G606" s="67" t="e">
        <f>'Phan tich don gia'!#REF!</f>
        <v>#REF!</v>
      </c>
      <c r="H606" s="5" t="e">
        <f>'Giá Máy'!#REF!</f>
        <v>#REF!</v>
      </c>
      <c r="I606" s="198">
        <f>'Du toan chi tiet'!X39</f>
        <v>1</v>
      </c>
      <c r="J606" s="5" t="e">
        <f t="shared" si="35"/>
        <v>#REF!</v>
      </c>
      <c r="K606" s="49"/>
      <c r="L606" s="49"/>
      <c r="M606" s="49"/>
      <c r="N606" s="49"/>
      <c r="O606" s="49"/>
      <c r="P606" s="49"/>
      <c r="Q606" s="49"/>
      <c r="R606" s="49"/>
      <c r="S606" s="49"/>
      <c r="T606" s="49"/>
      <c r="U606" s="49"/>
      <c r="V606" s="49"/>
      <c r="W606" s="49"/>
      <c r="X606" s="49"/>
      <c r="Y606" s="49"/>
      <c r="Z606" s="49"/>
      <c r="AA606" s="49"/>
    </row>
    <row r="607" spans="1:27" x14ac:dyDescent="0.25">
      <c r="A607" s="207"/>
      <c r="B607" s="641"/>
      <c r="C607" s="711" t="s">
        <v>98</v>
      </c>
      <c r="D607" s="276" t="s">
        <v>208</v>
      </c>
      <c r="E607" s="191" t="e">
        <f>" - " &amp; 'Giá Máy'!#REF!</f>
        <v>#REF!</v>
      </c>
      <c r="F607" s="641" t="e">
        <f>'Giá Máy'!#REF!</f>
        <v>#REF!</v>
      </c>
      <c r="G607" s="67" t="e">
        <f>'Phan tich don gia'!#REF!</f>
        <v>#REF!</v>
      </c>
      <c r="H607" s="5" t="e">
        <f>'Giá Máy'!#REF!</f>
        <v>#REF!</v>
      </c>
      <c r="I607" s="198">
        <f>'Du toan chi tiet'!X39</f>
        <v>1</v>
      </c>
      <c r="J607" s="5" t="e">
        <f t="shared" si="35"/>
        <v>#REF!</v>
      </c>
      <c r="K607" s="49"/>
      <c r="L607" s="49"/>
      <c r="M607" s="49"/>
      <c r="N607" s="49"/>
      <c r="O607" s="49"/>
      <c r="P607" s="49"/>
      <c r="Q607" s="49"/>
      <c r="R607" s="49"/>
      <c r="S607" s="49"/>
      <c r="T607" s="49"/>
      <c r="U607" s="49"/>
      <c r="V607" s="49"/>
      <c r="W607" s="49"/>
      <c r="X607" s="49"/>
      <c r="Y607" s="49"/>
      <c r="Z607" s="49"/>
      <c r="AA607" s="49"/>
    </row>
    <row r="608" spans="1:27" x14ac:dyDescent="0.25">
      <c r="A608" s="207"/>
      <c r="B608" s="641"/>
      <c r="C608" s="711" t="s">
        <v>98</v>
      </c>
      <c r="D608" s="276" t="s">
        <v>1162</v>
      </c>
      <c r="E608" s="191" t="s">
        <v>1080</v>
      </c>
      <c r="F608" s="641" t="s">
        <v>1113</v>
      </c>
      <c r="G608" s="67">
        <f>'Phan tich don gia'!G257</f>
        <v>2</v>
      </c>
      <c r="H608" s="5" t="e">
        <f>IF('Du toan chi tiet'!X39&lt;&gt;0,SUM(J605:J607)/100/'Du toan chi tiet'!X39,0)</f>
        <v>#REF!</v>
      </c>
      <c r="I608" s="198">
        <f>'Du toan chi tiet'!X39</f>
        <v>1</v>
      </c>
      <c r="J608" s="5" t="e">
        <f t="shared" si="35"/>
        <v>#REF!</v>
      </c>
      <c r="K608" s="49"/>
      <c r="L608" s="49"/>
      <c r="M608" s="49"/>
      <c r="N608" s="49"/>
      <c r="O608" s="49"/>
      <c r="P608" s="49"/>
      <c r="Q608" s="49"/>
      <c r="R608" s="49"/>
      <c r="S608" s="49"/>
      <c r="T608" s="49"/>
      <c r="U608" s="49"/>
      <c r="V608" s="49"/>
      <c r="W608" s="49"/>
      <c r="X608" s="49"/>
      <c r="Y608" s="49"/>
      <c r="Z608" s="49"/>
      <c r="AA608" s="49"/>
    </row>
    <row r="609" spans="1:27" x14ac:dyDescent="0.25">
      <c r="A609" s="207"/>
      <c r="B609" s="641"/>
      <c r="C609" s="711" t="s">
        <v>98</v>
      </c>
      <c r="D609" s="276" t="s">
        <v>98</v>
      </c>
      <c r="E609" s="191" t="s">
        <v>1230</v>
      </c>
      <c r="F609" s="641"/>
      <c r="G609" s="106"/>
      <c r="H609" s="5"/>
      <c r="I609" s="198"/>
      <c r="J609" s="5" t="e">
        <f>SUM(J610:J611)+PRODUCT(G608,I608,THM!X102-THM!R102)</f>
        <v>#REF!</v>
      </c>
      <c r="K609" s="49"/>
      <c r="L609" s="49"/>
      <c r="M609" s="49"/>
      <c r="N609" s="49"/>
      <c r="O609" s="49"/>
      <c r="P609" s="49"/>
      <c r="Q609" s="49"/>
      <c r="R609" s="49"/>
      <c r="S609" s="49"/>
      <c r="T609" s="49"/>
      <c r="U609" s="49"/>
      <c r="V609" s="49"/>
      <c r="W609" s="49"/>
      <c r="X609" s="49"/>
      <c r="Y609" s="49"/>
      <c r="Z609" s="49"/>
      <c r="AA609" s="49"/>
    </row>
    <row r="610" spans="1:27" x14ac:dyDescent="0.25">
      <c r="A610" s="207"/>
      <c r="B610" s="641"/>
      <c r="C610" s="711" t="s">
        <v>98</v>
      </c>
      <c r="D610" s="276" t="s">
        <v>98</v>
      </c>
      <c r="E610" s="191" t="s">
        <v>52</v>
      </c>
      <c r="F610" s="641"/>
      <c r="G610" s="106"/>
      <c r="H610" s="5"/>
      <c r="I610" s="198"/>
      <c r="J610" s="5" t="e">
        <f>PRODUCT(G605,I605,'Giá Máy'!L15)+PRODUCT(G606,I606,'Giá Máy'!#REF!)+PRODUCT(G607,I607,'Giá Máy'!#REF!)</f>
        <v>#REF!</v>
      </c>
      <c r="K610" s="49"/>
      <c r="L610" s="49"/>
      <c r="M610" s="49"/>
      <c r="N610" s="49"/>
      <c r="O610" s="49"/>
      <c r="P610" s="49"/>
      <c r="Q610" s="49"/>
      <c r="R610" s="49"/>
      <c r="S610" s="49"/>
      <c r="T610" s="49"/>
      <c r="U610" s="49"/>
      <c r="V610" s="49"/>
      <c r="W610" s="49"/>
      <c r="X610" s="49"/>
      <c r="Y610" s="49"/>
      <c r="Z610" s="49"/>
      <c r="AA610" s="49"/>
    </row>
    <row r="611" spans="1:27" x14ac:dyDescent="0.25">
      <c r="A611" s="207"/>
      <c r="B611" s="641"/>
      <c r="C611" s="711" t="s">
        <v>98</v>
      </c>
      <c r="D611" s="276" t="s">
        <v>98</v>
      </c>
      <c r="E611" s="191" t="s">
        <v>597</v>
      </c>
      <c r="F611" s="641"/>
      <c r="G611" s="106"/>
      <c r="H611" s="5"/>
      <c r="I611" s="198"/>
      <c r="J611" s="5" t="e">
        <f>PRODUCT(G605,I605,'Giá Máy'!M15)+PRODUCT(G606,I606,'Giá Máy'!#REF!)+PRODUCT(G607,I607,'Giá Máy'!#REF!)</f>
        <v>#REF!</v>
      </c>
      <c r="K611" s="49"/>
      <c r="L611" s="49"/>
      <c r="M611" s="49"/>
      <c r="N611" s="49"/>
      <c r="O611" s="49"/>
      <c r="P611" s="49"/>
      <c r="Q611" s="49"/>
      <c r="R611" s="49"/>
      <c r="S611" s="49"/>
      <c r="T611" s="49"/>
      <c r="U611" s="49"/>
      <c r="V611" s="49"/>
      <c r="W611" s="49"/>
      <c r="X611" s="49"/>
      <c r="Y611" s="49"/>
      <c r="Z611" s="49"/>
      <c r="AA611" s="49"/>
    </row>
    <row r="612" spans="1:27" x14ac:dyDescent="0.25">
      <c r="A612" s="207"/>
      <c r="B612" s="641"/>
      <c r="C612" s="711" t="s">
        <v>98</v>
      </c>
      <c r="D612" s="276" t="s">
        <v>98</v>
      </c>
      <c r="E612" s="191" t="s">
        <v>599</v>
      </c>
      <c r="F612" s="641" t="s">
        <v>356</v>
      </c>
      <c r="G612" s="106"/>
      <c r="H612" s="5"/>
      <c r="I612" s="198"/>
      <c r="J612" s="5" t="e">
        <f>J596+J602+J604</f>
        <v>#REF!</v>
      </c>
      <c r="K612" s="49"/>
      <c r="L612" s="49"/>
      <c r="M612" s="49"/>
      <c r="N612" s="49"/>
      <c r="O612" s="49"/>
      <c r="P612" s="49"/>
      <c r="Q612" s="49"/>
      <c r="R612" s="49"/>
      <c r="S612" s="49"/>
      <c r="T612" s="49"/>
      <c r="U612" s="49"/>
      <c r="V612" s="49"/>
      <c r="W612" s="49"/>
      <c r="X612" s="49"/>
      <c r="Y612" s="49"/>
      <c r="Z612" s="49"/>
      <c r="AA612" s="49"/>
    </row>
    <row r="613" spans="1:27" x14ac:dyDescent="0.25">
      <c r="A613" s="207"/>
      <c r="B613" s="641"/>
      <c r="C613" s="711" t="s">
        <v>98</v>
      </c>
      <c r="D613" s="276" t="s">
        <v>98</v>
      </c>
      <c r="E613" s="191" t="s">
        <v>265</v>
      </c>
      <c r="F613" s="641" t="s">
        <v>653</v>
      </c>
      <c r="G613" s="307">
        <f>'Thông tin'!E67</f>
        <v>7.2999999999999995E-2</v>
      </c>
      <c r="H613" s="5"/>
      <c r="I613" s="198"/>
      <c r="J613" s="5" t="e">
        <f>(J612)*G613</f>
        <v>#REF!</v>
      </c>
      <c r="K613" s="49"/>
      <c r="L613" s="49"/>
      <c r="M613" s="49"/>
      <c r="N613" s="49"/>
      <c r="O613" s="49"/>
      <c r="P613" s="49"/>
      <c r="Q613" s="49"/>
      <c r="R613" s="49"/>
      <c r="S613" s="49"/>
      <c r="T613" s="49"/>
      <c r="U613" s="49"/>
      <c r="V613" s="49"/>
      <c r="W613" s="49"/>
      <c r="X613" s="49"/>
      <c r="Y613" s="49"/>
      <c r="Z613" s="49"/>
      <c r="AA613" s="49"/>
    </row>
    <row r="614" spans="1:27" x14ac:dyDescent="0.25">
      <c r="A614" s="207"/>
      <c r="B614" s="641"/>
      <c r="C614" s="711" t="s">
        <v>98</v>
      </c>
      <c r="D614" s="276" t="s">
        <v>98</v>
      </c>
      <c r="E614" s="191" t="s">
        <v>765</v>
      </c>
      <c r="F614" s="641" t="s">
        <v>602</v>
      </c>
      <c r="G614" s="307">
        <f>'Thông tin'!E60</f>
        <v>1.1000000000000001E-2</v>
      </c>
      <c r="H614" s="5"/>
      <c r="I614" s="198"/>
      <c r="J614" s="5" t="e">
        <f>(J612)*G614</f>
        <v>#REF!</v>
      </c>
      <c r="K614" s="49"/>
      <c r="L614" s="49"/>
      <c r="M614" s="49"/>
      <c r="N614" s="49"/>
      <c r="O614" s="49"/>
      <c r="P614" s="49"/>
      <c r="Q614" s="49"/>
      <c r="R614" s="49"/>
      <c r="S614" s="49"/>
      <c r="T614" s="49"/>
      <c r="U614" s="49"/>
      <c r="V614" s="49"/>
      <c r="W614" s="49"/>
      <c r="X614" s="49"/>
      <c r="Y614" s="49"/>
      <c r="Z614" s="49"/>
      <c r="AA614" s="49"/>
    </row>
    <row r="615" spans="1:27" ht="30" x14ac:dyDescent="0.25">
      <c r="A615" s="207"/>
      <c r="B615" s="641"/>
      <c r="C615" s="711" t="s">
        <v>98</v>
      </c>
      <c r="D615" s="276" t="s">
        <v>98</v>
      </c>
      <c r="E615" s="191" t="s">
        <v>457</v>
      </c>
      <c r="F615" s="641" t="s">
        <v>881</v>
      </c>
      <c r="G615" s="307">
        <f>'Thông tin'!E65</f>
        <v>2.5000000000000001E-2</v>
      </c>
      <c r="H615" s="5"/>
      <c r="I615" s="198"/>
      <c r="J615" s="5" t="e">
        <f>(J612)*G615</f>
        <v>#REF!</v>
      </c>
      <c r="K615" s="49"/>
      <c r="L615" s="49"/>
      <c r="M615" s="49"/>
      <c r="N615" s="49"/>
      <c r="O615" s="49"/>
      <c r="P615" s="49"/>
      <c r="Q615" s="49"/>
      <c r="R615" s="49"/>
      <c r="S615" s="49"/>
      <c r="T615" s="49"/>
      <c r="U615" s="49"/>
      <c r="V615" s="49"/>
      <c r="W615" s="49"/>
      <c r="X615" s="49"/>
      <c r="Y615" s="49"/>
      <c r="Z615" s="49"/>
      <c r="AA615" s="49"/>
    </row>
    <row r="616" spans="1:27" x14ac:dyDescent="0.25">
      <c r="A616" s="207"/>
      <c r="B616" s="641"/>
      <c r="C616" s="711" t="s">
        <v>98</v>
      </c>
      <c r="D616" s="276" t="s">
        <v>98</v>
      </c>
      <c r="E616" s="191" t="s">
        <v>1244</v>
      </c>
      <c r="F616" s="641" t="s">
        <v>1032</v>
      </c>
      <c r="G616" s="106"/>
      <c r="H616" s="5"/>
      <c r="I616" s="198"/>
      <c r="J616" s="5" t="e">
        <f>J613+J614+J615</f>
        <v>#REF!</v>
      </c>
      <c r="K616" s="49"/>
      <c r="L616" s="49"/>
      <c r="M616" s="49"/>
      <c r="N616" s="49"/>
      <c r="O616" s="49"/>
      <c r="P616" s="49"/>
      <c r="Q616" s="49"/>
      <c r="R616" s="49"/>
      <c r="S616" s="49"/>
      <c r="T616" s="49"/>
      <c r="U616" s="49"/>
      <c r="V616" s="49"/>
      <c r="W616" s="49"/>
      <c r="X616" s="49"/>
      <c r="Y616" s="49"/>
      <c r="Z616" s="49"/>
      <c r="AA616" s="49"/>
    </row>
    <row r="617" spans="1:27" x14ac:dyDescent="0.25">
      <c r="A617" s="207"/>
      <c r="B617" s="641"/>
      <c r="C617" s="711" t="s">
        <v>98</v>
      </c>
      <c r="D617" s="276" t="s">
        <v>98</v>
      </c>
      <c r="E617" s="191" t="s">
        <v>990</v>
      </c>
      <c r="F617" s="641" t="s">
        <v>307</v>
      </c>
      <c r="G617" s="307">
        <f>'Thông tin'!E63</f>
        <v>5.5E-2</v>
      </c>
      <c r="H617" s="5"/>
      <c r="I617" s="198"/>
      <c r="J617" s="5" t="e">
        <f>(J612+J616)*G617</f>
        <v>#REF!</v>
      </c>
      <c r="K617" s="49"/>
      <c r="L617" s="49"/>
      <c r="M617" s="49"/>
      <c r="N617" s="49"/>
      <c r="O617" s="49"/>
      <c r="P617" s="49"/>
      <c r="Q617" s="49"/>
      <c r="R617" s="49"/>
      <c r="S617" s="49"/>
      <c r="T617" s="49"/>
      <c r="U617" s="49"/>
      <c r="V617" s="49"/>
      <c r="W617" s="49"/>
      <c r="X617" s="49"/>
      <c r="Y617" s="49"/>
      <c r="Z617" s="49"/>
      <c r="AA617" s="49"/>
    </row>
    <row r="618" spans="1:27" x14ac:dyDescent="0.25">
      <c r="A618" s="207"/>
      <c r="B618" s="641"/>
      <c r="C618" s="711" t="s">
        <v>98</v>
      </c>
      <c r="D618" s="276" t="s">
        <v>98</v>
      </c>
      <c r="E618" s="7" t="s">
        <v>142</v>
      </c>
      <c r="F618" s="499" t="s">
        <v>286</v>
      </c>
      <c r="G618" s="106"/>
      <c r="H618" s="5"/>
      <c r="I618" s="198"/>
      <c r="J618" s="620" t="e">
        <f>J612+J616+J617</f>
        <v>#REF!</v>
      </c>
      <c r="K618" s="49"/>
      <c r="L618" s="49"/>
      <c r="M618" s="49"/>
      <c r="N618" s="49"/>
      <c r="O618" s="49"/>
      <c r="P618" s="49"/>
      <c r="Q618" s="49"/>
      <c r="R618" s="49"/>
      <c r="S618" s="49"/>
      <c r="T618" s="49"/>
      <c r="U618" s="49"/>
      <c r="V618" s="49"/>
      <c r="W618" s="49"/>
      <c r="X618" s="49"/>
      <c r="Y618" s="49"/>
      <c r="Z618" s="49"/>
      <c r="AA618" s="49"/>
    </row>
    <row r="619" spans="1:27" x14ac:dyDescent="0.25">
      <c r="A619" s="207"/>
      <c r="B619" s="641"/>
      <c r="C619" s="711" t="s">
        <v>98</v>
      </c>
      <c r="D619" s="276" t="s">
        <v>98</v>
      </c>
      <c r="E619" s="191" t="s">
        <v>762</v>
      </c>
      <c r="F619" s="641" t="s">
        <v>830</v>
      </c>
      <c r="G619" s="705">
        <f>'Thông tin'!E61</f>
        <v>0.08</v>
      </c>
      <c r="H619" s="5"/>
      <c r="I619" s="198"/>
      <c r="J619" s="5" t="e">
        <f>(J618)*G619</f>
        <v>#REF!</v>
      </c>
      <c r="K619" s="49"/>
      <c r="L619" s="49"/>
      <c r="M619" s="49"/>
      <c r="N619" s="49"/>
      <c r="O619" s="49"/>
      <c r="P619" s="49"/>
      <c r="Q619" s="49"/>
      <c r="R619" s="49"/>
      <c r="S619" s="49"/>
      <c r="T619" s="49"/>
      <c r="U619" s="49"/>
      <c r="V619" s="49"/>
      <c r="W619" s="49"/>
      <c r="X619" s="49"/>
      <c r="Y619" s="49"/>
      <c r="Z619" s="49"/>
      <c r="AA619" s="49"/>
    </row>
    <row r="620" spans="1:27" x14ac:dyDescent="0.25">
      <c r="A620" s="122"/>
      <c r="B620" s="581"/>
      <c r="C620" s="636" t="s">
        <v>98</v>
      </c>
      <c r="D620" s="196" t="s">
        <v>98</v>
      </c>
      <c r="E620" s="728" t="s">
        <v>953</v>
      </c>
      <c r="F620" s="429" t="s">
        <v>1108</v>
      </c>
      <c r="G620" s="29"/>
      <c r="H620" s="704"/>
      <c r="I620" s="113"/>
      <c r="J620" s="657" t="e">
        <f>J618+J619</f>
        <v>#REF!</v>
      </c>
      <c r="K620" s="49"/>
      <c r="L620" s="49"/>
      <c r="M620" s="49"/>
      <c r="N620" s="49"/>
      <c r="O620" s="49"/>
      <c r="P620" s="49"/>
      <c r="Q620" s="49"/>
      <c r="R620" s="49"/>
      <c r="S620" s="49"/>
      <c r="T620" s="49"/>
      <c r="U620" s="49"/>
      <c r="V620" s="49"/>
      <c r="W620" s="49"/>
      <c r="X620" s="49"/>
      <c r="Y620" s="49"/>
      <c r="Z620" s="49"/>
      <c r="AA620" s="49"/>
    </row>
    <row r="621" spans="1:27" x14ac:dyDescent="0.25">
      <c r="A621" s="458"/>
      <c r="B621" s="130">
        <v>31</v>
      </c>
      <c r="C621" s="234" t="str">
        <f>'Du toan chi tiet'!C40</f>
        <v>AK.98110</v>
      </c>
      <c r="D621" s="234" t="str">
        <f>'Du toan chi tiet'!C40</f>
        <v>AK.98110</v>
      </c>
      <c r="E621" s="730" t="str">
        <f>'Du toan chi tiet'!D40</f>
        <v>Thi công lớp đá đệm móng, đá dăm 2x4</v>
      </c>
      <c r="F621" s="130" t="str">
        <f>'Du toan chi tiet'!E40</f>
        <v>m3</v>
      </c>
      <c r="G621" s="664"/>
      <c r="H621" s="282"/>
      <c r="I621" s="450"/>
      <c r="J621" s="282"/>
      <c r="K621" s="49"/>
      <c r="L621" s="49"/>
      <c r="M621" s="49"/>
      <c r="N621" s="49"/>
      <c r="O621" s="49"/>
      <c r="P621" s="49"/>
      <c r="Q621" s="49"/>
      <c r="R621" s="49"/>
      <c r="S621" s="49"/>
      <c r="T621" s="49"/>
      <c r="U621" s="49"/>
      <c r="V621" s="49"/>
      <c r="W621" s="49"/>
      <c r="X621" s="49"/>
      <c r="Y621" s="49"/>
      <c r="Z621" s="49"/>
      <c r="AA621" s="49"/>
    </row>
    <row r="622" spans="1:27" x14ac:dyDescent="0.25">
      <c r="A622" s="261"/>
      <c r="B622" s="690"/>
      <c r="C622" s="745" t="s">
        <v>98</v>
      </c>
      <c r="D622" s="745" t="s">
        <v>98</v>
      </c>
      <c r="E622" s="247" t="s">
        <v>547</v>
      </c>
      <c r="F622" s="690" t="s">
        <v>962</v>
      </c>
      <c r="G622" s="133"/>
      <c r="H622" s="44"/>
      <c r="I622" s="233"/>
      <c r="J622" s="44" t="e">
        <f>SUM(J623:J624)</f>
        <v>#REF!</v>
      </c>
      <c r="K622" s="49"/>
      <c r="L622" s="49"/>
      <c r="M622" s="49"/>
      <c r="N622" s="49"/>
      <c r="O622" s="49"/>
      <c r="P622" s="49"/>
      <c r="Q622" s="49"/>
      <c r="R622" s="49"/>
      <c r="S622" s="49"/>
      <c r="T622" s="49"/>
      <c r="U622" s="49"/>
      <c r="V622" s="49"/>
      <c r="W622" s="49"/>
      <c r="X622" s="49"/>
      <c r="Y622" s="49"/>
      <c r="Z622" s="49"/>
      <c r="AA622" s="49"/>
    </row>
    <row r="623" spans="1:27" x14ac:dyDescent="0.25">
      <c r="A623" s="207"/>
      <c r="B623" s="641"/>
      <c r="C623" s="711" t="s">
        <v>98</v>
      </c>
      <c r="D623" s="276" t="s">
        <v>552</v>
      </c>
      <c r="E623" s="191" t="str">
        <f>" - " &amp; 'Giá VL'!E13</f>
        <v xml:space="preserve"> - Đá dăm 2x4 </v>
      </c>
      <c r="F623" s="641" t="str">
        <f>'Giá VL'!F13</f>
        <v>m3</v>
      </c>
      <c r="G623" s="67">
        <f>'Phan tich don gia'!G260</f>
        <v>1.2</v>
      </c>
      <c r="H623" s="5">
        <f>'Giá VL'!V13</f>
        <v>316313.14456500002</v>
      </c>
      <c r="I623" s="198">
        <f>'Du toan chi tiet'!V40</f>
        <v>1</v>
      </c>
      <c r="J623" s="5">
        <f t="shared" ref="J623:J624" si="36">PRODUCT(G623,H623,I623)</f>
        <v>379575.77347800002</v>
      </c>
      <c r="K623" s="49"/>
      <c r="L623" s="49"/>
      <c r="M623" s="49"/>
      <c r="N623" s="49"/>
      <c r="O623" s="49"/>
      <c r="P623" s="49"/>
      <c r="Q623" s="49"/>
      <c r="R623" s="49"/>
      <c r="S623" s="49"/>
      <c r="T623" s="49"/>
      <c r="U623" s="49"/>
      <c r="V623" s="49"/>
      <c r="W623" s="49"/>
      <c r="X623" s="49"/>
      <c r="Y623" s="49"/>
      <c r="Z623" s="49"/>
      <c r="AA623" s="49"/>
    </row>
    <row r="624" spans="1:27" x14ac:dyDescent="0.25">
      <c r="A624" s="207"/>
      <c r="B624" s="641"/>
      <c r="C624" s="711" t="s">
        <v>98</v>
      </c>
      <c r="D624" s="276" t="s">
        <v>603</v>
      </c>
      <c r="E624" s="191" t="str">
        <f>" - " &amp; 'Giá VL'!E7</f>
        <v xml:space="preserve"> - Cát</v>
      </c>
      <c r="F624" s="641" t="str">
        <f>'Giá VL'!F7</f>
        <v>m3</v>
      </c>
      <c r="G624" s="67" t="e">
        <f>'Phan tich don gia'!#REF!</f>
        <v>#REF!</v>
      </c>
      <c r="H624" s="5">
        <f>'Giá VL'!V7</f>
        <v>306207.189442</v>
      </c>
      <c r="I624" s="198">
        <f>'Du toan chi tiet'!V40</f>
        <v>1</v>
      </c>
      <c r="J624" s="5" t="e">
        <f t="shared" si="36"/>
        <v>#REF!</v>
      </c>
      <c r="K624" s="49"/>
      <c r="L624" s="49"/>
      <c r="M624" s="49"/>
      <c r="N624" s="49"/>
      <c r="O624" s="49"/>
      <c r="P624" s="49"/>
      <c r="Q624" s="49"/>
      <c r="R624" s="49"/>
      <c r="S624" s="49"/>
      <c r="T624" s="49"/>
      <c r="U624" s="49"/>
      <c r="V624" s="49"/>
      <c r="W624" s="49"/>
      <c r="X624" s="49"/>
      <c r="Y624" s="49"/>
      <c r="Z624" s="49"/>
      <c r="AA624" s="49"/>
    </row>
    <row r="625" spans="1:27" x14ac:dyDescent="0.25">
      <c r="A625" s="261"/>
      <c r="B625" s="690"/>
      <c r="C625" s="745" t="s">
        <v>98</v>
      </c>
      <c r="D625" s="745" t="s">
        <v>98</v>
      </c>
      <c r="E625" s="247" t="s">
        <v>301</v>
      </c>
      <c r="F625" s="690" t="s">
        <v>1018</v>
      </c>
      <c r="G625" s="133"/>
      <c r="H625" s="44"/>
      <c r="I625" s="233"/>
      <c r="J625" s="44">
        <f>SUM(J626:J626)</f>
        <v>405179.6</v>
      </c>
      <c r="K625" s="49"/>
      <c r="L625" s="49"/>
      <c r="M625" s="49"/>
      <c r="N625" s="49"/>
      <c r="O625" s="49"/>
      <c r="P625" s="49"/>
      <c r="Q625" s="49"/>
      <c r="R625" s="49"/>
      <c r="S625" s="49"/>
      <c r="T625" s="49"/>
      <c r="U625" s="49"/>
      <c r="V625" s="49"/>
      <c r="W625" s="49"/>
      <c r="X625" s="49"/>
      <c r="Y625" s="49"/>
      <c r="Z625" s="49"/>
      <c r="AA625" s="49"/>
    </row>
    <row r="626" spans="1:27" x14ac:dyDescent="0.25">
      <c r="A626" s="207"/>
      <c r="B626" s="641"/>
      <c r="C626" s="711" t="s">
        <v>98</v>
      </c>
      <c r="D626" s="276" t="s">
        <v>169</v>
      </c>
      <c r="E626" s="191" t="str">
        <f>" - " &amp; 'Giá NC'!E9</f>
        <v xml:space="preserve"> - Nhân công bậc 4,0/7 - Nhóm 2</v>
      </c>
      <c r="F626" s="641" t="str">
        <f>'Giá NC'!F9</f>
        <v>công</v>
      </c>
      <c r="G626" s="67">
        <f>'Phan tich don gia'!G262</f>
        <v>1.48</v>
      </c>
      <c r="H626" s="5">
        <f>'Giá NC'!K9</f>
        <v>273770</v>
      </c>
      <c r="I626" s="198">
        <f>'Du toan chi tiet'!W40</f>
        <v>1</v>
      </c>
      <c r="J626" s="5">
        <f>PRODUCT(G626,H626,I626)</f>
        <v>405179.6</v>
      </c>
      <c r="K626" s="49"/>
      <c r="L626" s="49"/>
      <c r="M626" s="49"/>
      <c r="N626" s="49"/>
      <c r="O626" s="49"/>
      <c r="P626" s="49"/>
      <c r="Q626" s="49"/>
      <c r="R626" s="49"/>
      <c r="S626" s="49"/>
      <c r="T626" s="49"/>
      <c r="U626" s="49"/>
      <c r="V626" s="49"/>
      <c r="W626" s="49"/>
      <c r="X626" s="49"/>
      <c r="Y626" s="49"/>
      <c r="Z626" s="49"/>
      <c r="AA626" s="49"/>
    </row>
    <row r="627" spans="1:27" x14ac:dyDescent="0.25">
      <c r="A627" s="261"/>
      <c r="B627" s="690"/>
      <c r="C627" s="745" t="s">
        <v>98</v>
      </c>
      <c r="D627" s="745" t="s">
        <v>98</v>
      </c>
      <c r="E627" s="247" t="s">
        <v>1175</v>
      </c>
      <c r="F627" s="690" t="s">
        <v>138</v>
      </c>
      <c r="G627" s="133"/>
      <c r="H627" s="44"/>
      <c r="I627" s="233"/>
      <c r="J627" s="44">
        <v>0</v>
      </c>
      <c r="K627" s="49"/>
      <c r="L627" s="49"/>
      <c r="M627" s="49"/>
      <c r="N627" s="49"/>
      <c r="O627" s="49"/>
      <c r="P627" s="49"/>
      <c r="Q627" s="49"/>
      <c r="R627" s="49"/>
      <c r="S627" s="49"/>
      <c r="T627" s="49"/>
      <c r="U627" s="49"/>
      <c r="V627" s="49"/>
      <c r="W627" s="49"/>
      <c r="X627" s="49"/>
      <c r="Y627" s="49"/>
      <c r="Z627" s="49"/>
      <c r="AA627" s="49"/>
    </row>
    <row r="628" spans="1:27" x14ac:dyDescent="0.25">
      <c r="A628" s="207"/>
      <c r="B628" s="641"/>
      <c r="C628" s="711" t="s">
        <v>98</v>
      </c>
      <c r="D628" s="276" t="s">
        <v>98</v>
      </c>
      <c r="E628" s="191" t="s">
        <v>599</v>
      </c>
      <c r="F628" s="641" t="s">
        <v>356</v>
      </c>
      <c r="G628" s="106"/>
      <c r="H628" s="5"/>
      <c r="I628" s="198"/>
      <c r="J628" s="5" t="e">
        <f>J622+J625+J627</f>
        <v>#REF!</v>
      </c>
      <c r="K628" s="49"/>
      <c r="L628" s="49"/>
      <c r="M628" s="49"/>
      <c r="N628" s="49"/>
      <c r="O628" s="49"/>
      <c r="P628" s="49"/>
      <c r="Q628" s="49"/>
      <c r="R628" s="49"/>
      <c r="S628" s="49"/>
      <c r="T628" s="49"/>
      <c r="U628" s="49"/>
      <c r="V628" s="49"/>
      <c r="W628" s="49"/>
      <c r="X628" s="49"/>
      <c r="Y628" s="49"/>
      <c r="Z628" s="49"/>
      <c r="AA628" s="49"/>
    </row>
    <row r="629" spans="1:27" x14ac:dyDescent="0.25">
      <c r="A629" s="207"/>
      <c r="B629" s="641"/>
      <c r="C629" s="711" t="s">
        <v>98</v>
      </c>
      <c r="D629" s="276" t="s">
        <v>98</v>
      </c>
      <c r="E629" s="191" t="s">
        <v>265</v>
      </c>
      <c r="F629" s="641" t="s">
        <v>653</v>
      </c>
      <c r="G629" s="307">
        <f>'Thông tin'!E67</f>
        <v>7.2999999999999995E-2</v>
      </c>
      <c r="H629" s="5"/>
      <c r="I629" s="198"/>
      <c r="J629" s="5" t="e">
        <f>(J628)*G629</f>
        <v>#REF!</v>
      </c>
      <c r="K629" s="49"/>
      <c r="L629" s="49"/>
      <c r="M629" s="49"/>
      <c r="N629" s="49"/>
      <c r="O629" s="49"/>
      <c r="P629" s="49"/>
      <c r="Q629" s="49"/>
      <c r="R629" s="49"/>
      <c r="S629" s="49"/>
      <c r="T629" s="49"/>
      <c r="U629" s="49"/>
      <c r="V629" s="49"/>
      <c r="W629" s="49"/>
      <c r="X629" s="49"/>
      <c r="Y629" s="49"/>
      <c r="Z629" s="49"/>
      <c r="AA629" s="49"/>
    </row>
    <row r="630" spans="1:27" x14ac:dyDescent="0.25">
      <c r="A630" s="207"/>
      <c r="B630" s="641"/>
      <c r="C630" s="711" t="s">
        <v>98</v>
      </c>
      <c r="D630" s="276" t="s">
        <v>98</v>
      </c>
      <c r="E630" s="191" t="s">
        <v>765</v>
      </c>
      <c r="F630" s="641" t="s">
        <v>602</v>
      </c>
      <c r="G630" s="307">
        <f>'Thông tin'!E60</f>
        <v>1.1000000000000001E-2</v>
      </c>
      <c r="H630" s="5"/>
      <c r="I630" s="198"/>
      <c r="J630" s="5" t="e">
        <f>(J628)*G630</f>
        <v>#REF!</v>
      </c>
      <c r="K630" s="49"/>
      <c r="L630" s="49"/>
      <c r="M630" s="49"/>
      <c r="N630" s="49"/>
      <c r="O630" s="49"/>
      <c r="P630" s="49"/>
      <c r="Q630" s="49"/>
      <c r="R630" s="49"/>
      <c r="S630" s="49"/>
      <c r="T630" s="49"/>
      <c r="U630" s="49"/>
      <c r="V630" s="49"/>
      <c r="W630" s="49"/>
      <c r="X630" s="49"/>
      <c r="Y630" s="49"/>
      <c r="Z630" s="49"/>
      <c r="AA630" s="49"/>
    </row>
    <row r="631" spans="1:27" ht="30" x14ac:dyDescent="0.25">
      <c r="A631" s="207"/>
      <c r="B631" s="641"/>
      <c r="C631" s="711" t="s">
        <v>98</v>
      </c>
      <c r="D631" s="276" t="s">
        <v>98</v>
      </c>
      <c r="E631" s="191" t="s">
        <v>457</v>
      </c>
      <c r="F631" s="641" t="s">
        <v>881</v>
      </c>
      <c r="G631" s="307">
        <f>'Thông tin'!E65</f>
        <v>2.5000000000000001E-2</v>
      </c>
      <c r="H631" s="5"/>
      <c r="I631" s="198"/>
      <c r="J631" s="5" t="e">
        <f>(J628)*G631</f>
        <v>#REF!</v>
      </c>
      <c r="K631" s="49"/>
      <c r="L631" s="49"/>
      <c r="M631" s="49"/>
      <c r="N631" s="49"/>
      <c r="O631" s="49"/>
      <c r="P631" s="49"/>
      <c r="Q631" s="49"/>
      <c r="R631" s="49"/>
      <c r="S631" s="49"/>
      <c r="T631" s="49"/>
      <c r="U631" s="49"/>
      <c r="V631" s="49"/>
      <c r="W631" s="49"/>
      <c r="X631" s="49"/>
      <c r="Y631" s="49"/>
      <c r="Z631" s="49"/>
      <c r="AA631" s="49"/>
    </row>
    <row r="632" spans="1:27" x14ac:dyDescent="0.25">
      <c r="A632" s="207"/>
      <c r="B632" s="641"/>
      <c r="C632" s="711" t="s">
        <v>98</v>
      </c>
      <c r="D632" s="276" t="s">
        <v>98</v>
      </c>
      <c r="E632" s="191" t="s">
        <v>1244</v>
      </c>
      <c r="F632" s="641" t="s">
        <v>1032</v>
      </c>
      <c r="G632" s="106"/>
      <c r="H632" s="5"/>
      <c r="I632" s="198"/>
      <c r="J632" s="5" t="e">
        <f>J629+J630+J631</f>
        <v>#REF!</v>
      </c>
      <c r="K632" s="49"/>
      <c r="L632" s="49"/>
      <c r="M632" s="49"/>
      <c r="N632" s="49"/>
      <c r="O632" s="49"/>
      <c r="P632" s="49"/>
      <c r="Q632" s="49"/>
      <c r="R632" s="49"/>
      <c r="S632" s="49"/>
      <c r="T632" s="49"/>
      <c r="U632" s="49"/>
      <c r="V632" s="49"/>
      <c r="W632" s="49"/>
      <c r="X632" s="49"/>
      <c r="Y632" s="49"/>
      <c r="Z632" s="49"/>
      <c r="AA632" s="49"/>
    </row>
    <row r="633" spans="1:27" x14ac:dyDescent="0.25">
      <c r="A633" s="207"/>
      <c r="B633" s="641"/>
      <c r="C633" s="711" t="s">
        <v>98</v>
      </c>
      <c r="D633" s="276" t="s">
        <v>98</v>
      </c>
      <c r="E633" s="191" t="s">
        <v>990</v>
      </c>
      <c r="F633" s="641" t="s">
        <v>307</v>
      </c>
      <c r="G633" s="307">
        <f>'Thông tin'!E63</f>
        <v>5.5E-2</v>
      </c>
      <c r="H633" s="5"/>
      <c r="I633" s="198"/>
      <c r="J633" s="5" t="e">
        <f>(J628+J632)*G633</f>
        <v>#REF!</v>
      </c>
      <c r="K633" s="49"/>
      <c r="L633" s="49"/>
      <c r="M633" s="49"/>
      <c r="N633" s="49"/>
      <c r="O633" s="49"/>
      <c r="P633" s="49"/>
      <c r="Q633" s="49"/>
      <c r="R633" s="49"/>
      <c r="S633" s="49"/>
      <c r="T633" s="49"/>
      <c r="U633" s="49"/>
      <c r="V633" s="49"/>
      <c r="W633" s="49"/>
      <c r="X633" s="49"/>
      <c r="Y633" s="49"/>
      <c r="Z633" s="49"/>
      <c r="AA633" s="49"/>
    </row>
    <row r="634" spans="1:27" x14ac:dyDescent="0.25">
      <c r="A634" s="207"/>
      <c r="B634" s="641"/>
      <c r="C634" s="711" t="s">
        <v>98</v>
      </c>
      <c r="D634" s="276" t="s">
        <v>98</v>
      </c>
      <c r="E634" s="7" t="s">
        <v>142</v>
      </c>
      <c r="F634" s="499" t="s">
        <v>286</v>
      </c>
      <c r="G634" s="106"/>
      <c r="H634" s="5"/>
      <c r="I634" s="198"/>
      <c r="J634" s="620" t="e">
        <f>J628+J632+J633</f>
        <v>#REF!</v>
      </c>
      <c r="K634" s="49"/>
      <c r="L634" s="49"/>
      <c r="M634" s="49"/>
      <c r="N634" s="49"/>
      <c r="O634" s="49"/>
      <c r="P634" s="49"/>
      <c r="Q634" s="49"/>
      <c r="R634" s="49"/>
      <c r="S634" s="49"/>
      <c r="T634" s="49"/>
      <c r="U634" s="49"/>
      <c r="V634" s="49"/>
      <c r="W634" s="49"/>
      <c r="X634" s="49"/>
      <c r="Y634" s="49"/>
      <c r="Z634" s="49"/>
      <c r="AA634" s="49"/>
    </row>
    <row r="635" spans="1:27" x14ac:dyDescent="0.25">
      <c r="A635" s="207"/>
      <c r="B635" s="641"/>
      <c r="C635" s="711" t="s">
        <v>98</v>
      </c>
      <c r="D635" s="276" t="s">
        <v>98</v>
      </c>
      <c r="E635" s="191" t="s">
        <v>762</v>
      </c>
      <c r="F635" s="641" t="s">
        <v>830</v>
      </c>
      <c r="G635" s="705">
        <f>'Thông tin'!E61</f>
        <v>0.08</v>
      </c>
      <c r="H635" s="5"/>
      <c r="I635" s="198"/>
      <c r="J635" s="5" t="e">
        <f>(J634)*G635</f>
        <v>#REF!</v>
      </c>
      <c r="K635" s="49"/>
      <c r="L635" s="49"/>
      <c r="M635" s="49"/>
      <c r="N635" s="49"/>
      <c r="O635" s="49"/>
      <c r="P635" s="49"/>
      <c r="Q635" s="49"/>
      <c r="R635" s="49"/>
      <c r="S635" s="49"/>
      <c r="T635" s="49"/>
      <c r="U635" s="49"/>
      <c r="V635" s="49"/>
      <c r="W635" s="49"/>
      <c r="X635" s="49"/>
      <c r="Y635" s="49"/>
      <c r="Z635" s="49"/>
      <c r="AA635" s="49"/>
    </row>
    <row r="636" spans="1:27" x14ac:dyDescent="0.25">
      <c r="A636" s="122"/>
      <c r="B636" s="581"/>
      <c r="C636" s="636" t="s">
        <v>98</v>
      </c>
      <c r="D636" s="196" t="s">
        <v>98</v>
      </c>
      <c r="E636" s="728" t="s">
        <v>953</v>
      </c>
      <c r="F636" s="429" t="s">
        <v>1108</v>
      </c>
      <c r="G636" s="29"/>
      <c r="H636" s="704"/>
      <c r="I636" s="113"/>
      <c r="J636" s="657" t="e">
        <f>J634+J635</f>
        <v>#REF!</v>
      </c>
      <c r="K636" s="49"/>
      <c r="L636" s="49"/>
      <c r="M636" s="49"/>
      <c r="N636" s="49"/>
      <c r="O636" s="49"/>
      <c r="P636" s="49"/>
      <c r="Q636" s="49"/>
      <c r="R636" s="49"/>
      <c r="S636" s="49"/>
      <c r="T636" s="49"/>
      <c r="U636" s="49"/>
      <c r="V636" s="49"/>
      <c r="W636" s="49"/>
      <c r="X636" s="49"/>
      <c r="Y636" s="49"/>
      <c r="Z636" s="49"/>
      <c r="AA636" s="49"/>
    </row>
    <row r="637" spans="1:27" x14ac:dyDescent="0.25">
      <c r="A637" s="458"/>
      <c r="B637" s="130">
        <v>32</v>
      </c>
      <c r="C637" s="234" t="str">
        <f>'Du toan chi tiet'!C41</f>
        <v>AL.22112</v>
      </c>
      <c r="D637" s="234" t="str">
        <f>'Du toan chi tiet'!C41</f>
        <v>AL.22112</v>
      </c>
      <c r="E637" s="730" t="str">
        <f>'Du toan chi tiet'!D41</f>
        <v>Cắt mặt đường bê tông hiện có</v>
      </c>
      <c r="F637" s="130" t="str">
        <f>'Du toan chi tiet'!E41</f>
        <v>10m</v>
      </c>
      <c r="G637" s="664"/>
      <c r="H637" s="282"/>
      <c r="I637" s="450"/>
      <c r="J637" s="282"/>
      <c r="K637" s="49"/>
      <c r="L637" s="49"/>
      <c r="M637" s="49"/>
      <c r="N637" s="49"/>
      <c r="O637" s="49"/>
      <c r="P637" s="49"/>
      <c r="Q637" s="49"/>
      <c r="R637" s="49"/>
      <c r="S637" s="49"/>
      <c r="T637" s="49"/>
      <c r="U637" s="49"/>
      <c r="V637" s="49"/>
      <c r="W637" s="49"/>
      <c r="X637" s="49"/>
      <c r="Y637" s="49"/>
      <c r="Z637" s="49"/>
      <c r="AA637" s="49"/>
    </row>
    <row r="638" spans="1:27" x14ac:dyDescent="0.25">
      <c r="A638" s="261"/>
      <c r="B638" s="690"/>
      <c r="C638" s="745" t="s">
        <v>98</v>
      </c>
      <c r="D638" s="745" t="s">
        <v>98</v>
      </c>
      <c r="E638" s="247" t="s">
        <v>547</v>
      </c>
      <c r="F638" s="690" t="s">
        <v>962</v>
      </c>
      <c r="G638" s="133"/>
      <c r="H638" s="44"/>
      <c r="I638" s="233"/>
      <c r="J638" s="44">
        <f>SUM(J639:J640)</f>
        <v>239181.84</v>
      </c>
      <c r="K638" s="49"/>
      <c r="L638" s="49"/>
      <c r="M638" s="49"/>
      <c r="N638" s="49"/>
      <c r="O638" s="49"/>
      <c r="P638" s="49"/>
      <c r="Q638" s="49"/>
      <c r="R638" s="49"/>
      <c r="S638" s="49"/>
      <c r="T638" s="49"/>
      <c r="U638" s="49"/>
      <c r="V638" s="49"/>
      <c r="W638" s="49"/>
      <c r="X638" s="49"/>
      <c r="Y638" s="49"/>
      <c r="Z638" s="49"/>
      <c r="AA638" s="49"/>
    </row>
    <row r="639" spans="1:27" x14ac:dyDescent="0.25">
      <c r="A639" s="207"/>
      <c r="B639" s="641"/>
      <c r="C639" s="711" t="s">
        <v>98</v>
      </c>
      <c r="D639" s="276" t="s">
        <v>1077</v>
      </c>
      <c r="E639" s="191" t="str">
        <f>" - " &amp; 'Giá VL'!E19</f>
        <v xml:space="preserve"> - Lưỡi cắt D350mm</v>
      </c>
      <c r="F639" s="641" t="str">
        <f>'Giá VL'!F19</f>
        <v>cái</v>
      </c>
      <c r="G639" s="67">
        <f>'Phan tich don gia'!G265</f>
        <v>0.18</v>
      </c>
      <c r="H639" s="5">
        <f>'Giá VL'!V19</f>
        <v>1322000</v>
      </c>
      <c r="I639" s="198">
        <f>'Du toan chi tiet'!V41</f>
        <v>1</v>
      </c>
      <c r="J639" s="5">
        <f t="shared" ref="J639:J640" si="37">PRODUCT(G639,H639,I639)</f>
        <v>237960</v>
      </c>
      <c r="K639" s="49"/>
      <c r="L639" s="49"/>
      <c r="M639" s="49"/>
      <c r="N639" s="49"/>
      <c r="O639" s="49"/>
      <c r="P639" s="49"/>
      <c r="Q639" s="49"/>
      <c r="R639" s="49"/>
      <c r="S639" s="49"/>
      <c r="T639" s="49"/>
      <c r="U639" s="49"/>
      <c r="V639" s="49"/>
      <c r="W639" s="49"/>
      <c r="X639" s="49"/>
      <c r="Y639" s="49"/>
      <c r="Z639" s="49"/>
      <c r="AA639" s="49"/>
    </row>
    <row r="640" spans="1:27" x14ac:dyDescent="0.25">
      <c r="A640" s="207"/>
      <c r="B640" s="641"/>
      <c r="C640" s="711" t="s">
        <v>98</v>
      </c>
      <c r="D640" s="276" t="s">
        <v>615</v>
      </c>
      <c r="E640" s="191" t="str">
        <f>" - " &amp; 'Giá VL'!E24</f>
        <v xml:space="preserve"> - Nước</v>
      </c>
      <c r="F640" s="641" t="str">
        <f>'Giá VL'!F24</f>
        <v>m3</v>
      </c>
      <c r="G640" s="67">
        <f>'Phan tich don gia'!G266</f>
        <v>0.12</v>
      </c>
      <c r="H640" s="5">
        <f>'Giá VL'!V24</f>
        <v>10182</v>
      </c>
      <c r="I640" s="198">
        <f>'Du toan chi tiet'!V41</f>
        <v>1</v>
      </c>
      <c r="J640" s="5">
        <f t="shared" si="37"/>
        <v>1221.8399999999999</v>
      </c>
      <c r="K640" s="49"/>
      <c r="L640" s="49"/>
      <c r="M640" s="49"/>
      <c r="N640" s="49"/>
      <c r="O640" s="49"/>
      <c r="P640" s="49"/>
      <c r="Q640" s="49"/>
      <c r="R640" s="49"/>
      <c r="S640" s="49"/>
      <c r="T640" s="49"/>
      <c r="U640" s="49"/>
      <c r="V640" s="49"/>
      <c r="W640" s="49"/>
      <c r="X640" s="49"/>
      <c r="Y640" s="49"/>
      <c r="Z640" s="49"/>
      <c r="AA640" s="49"/>
    </row>
    <row r="641" spans="1:27" x14ac:dyDescent="0.25">
      <c r="A641" s="261"/>
      <c r="B641" s="690"/>
      <c r="C641" s="745" t="s">
        <v>98</v>
      </c>
      <c r="D641" s="745" t="s">
        <v>98</v>
      </c>
      <c r="E641" s="247" t="s">
        <v>301</v>
      </c>
      <c r="F641" s="690" t="s">
        <v>1018</v>
      </c>
      <c r="G641" s="133"/>
      <c r="H641" s="44"/>
      <c r="I641" s="233"/>
      <c r="J641" s="44">
        <f>SUM(J642:J642)</f>
        <v>138710</v>
      </c>
      <c r="K641" s="49"/>
      <c r="L641" s="49"/>
      <c r="M641" s="49"/>
      <c r="N641" s="49"/>
      <c r="O641" s="49"/>
      <c r="P641" s="49"/>
      <c r="Q641" s="49"/>
      <c r="R641" s="49"/>
      <c r="S641" s="49"/>
      <c r="T641" s="49"/>
      <c r="U641" s="49"/>
      <c r="V641" s="49"/>
      <c r="W641" s="49"/>
      <c r="X641" s="49"/>
      <c r="Y641" s="49"/>
      <c r="Z641" s="49"/>
      <c r="AA641" s="49"/>
    </row>
    <row r="642" spans="1:27" x14ac:dyDescent="0.25">
      <c r="A642" s="207"/>
      <c r="B642" s="641"/>
      <c r="C642" s="711" t="s">
        <v>98</v>
      </c>
      <c r="D642" s="276" t="s">
        <v>706</v>
      </c>
      <c r="E642" s="191" t="str">
        <f>" - " &amp; 'Giá NC'!E8</f>
        <v xml:space="preserve"> - Nhân công bậc 3,5/7 - Nhóm 2</v>
      </c>
      <c r="F642" s="641" t="str">
        <f>'Giá NC'!F8</f>
        <v>công</v>
      </c>
      <c r="G642" s="67">
        <f>'Phan tich don gia'!G268</f>
        <v>0.55000000000000004</v>
      </c>
      <c r="H642" s="5">
        <f>'Giá NC'!K8</f>
        <v>252200</v>
      </c>
      <c r="I642" s="198">
        <f>'Du toan chi tiet'!W41</f>
        <v>1</v>
      </c>
      <c r="J642" s="5">
        <f>PRODUCT(G642,H642,I642)</f>
        <v>138710</v>
      </c>
      <c r="K642" s="49"/>
      <c r="L642" s="49"/>
      <c r="M642" s="49"/>
      <c r="N642" s="49"/>
      <c r="O642" s="49"/>
      <c r="P642" s="49"/>
      <c r="Q642" s="49"/>
      <c r="R642" s="49"/>
      <c r="S642" s="49"/>
      <c r="T642" s="49"/>
      <c r="U642" s="49"/>
      <c r="V642" s="49"/>
      <c r="W642" s="49"/>
      <c r="X642" s="49"/>
      <c r="Y642" s="49"/>
      <c r="Z642" s="49"/>
      <c r="AA642" s="49"/>
    </row>
    <row r="643" spans="1:27" x14ac:dyDescent="0.25">
      <c r="A643" s="261"/>
      <c r="B643" s="690"/>
      <c r="C643" s="745" t="s">
        <v>98</v>
      </c>
      <c r="D643" s="745" t="s">
        <v>98</v>
      </c>
      <c r="E643" s="247" t="s">
        <v>1175</v>
      </c>
      <c r="F643" s="690" t="s">
        <v>138</v>
      </c>
      <c r="G643" s="133"/>
      <c r="H643" s="44"/>
      <c r="I643" s="233"/>
      <c r="J643" s="44">
        <f>SUM(J644:J645)</f>
        <v>67683.88</v>
      </c>
      <c r="K643" s="49"/>
      <c r="L643" s="49"/>
      <c r="M643" s="49"/>
      <c r="N643" s="49"/>
      <c r="O643" s="49"/>
      <c r="P643" s="49"/>
      <c r="Q643" s="49"/>
      <c r="R643" s="49"/>
      <c r="S643" s="49"/>
      <c r="T643" s="49"/>
      <c r="U643" s="49"/>
      <c r="V643" s="49"/>
      <c r="W643" s="49"/>
      <c r="X643" s="49"/>
      <c r="Y643" s="49"/>
      <c r="Z643" s="49"/>
      <c r="AA643" s="49"/>
    </row>
    <row r="644" spans="1:27" x14ac:dyDescent="0.25">
      <c r="A644" s="207"/>
      <c r="B644" s="641"/>
      <c r="C644" s="711" t="s">
        <v>98</v>
      </c>
      <c r="D644" s="276" t="s">
        <v>177</v>
      </c>
      <c r="E644" s="191" t="str">
        <f>" - " &amp; 'Giá Máy'!E7</f>
        <v xml:space="preserve"> - Máy cắt bê tông 7,5kW</v>
      </c>
      <c r="F644" s="641" t="str">
        <f>'Giá Máy'!F7</f>
        <v>ca</v>
      </c>
      <c r="G644" s="67">
        <f>'Phan tich don gia'!G270</f>
        <v>0.22</v>
      </c>
      <c r="H644" s="5">
        <f>'Giá Máy'!J7</f>
        <v>307653</v>
      </c>
      <c r="I644" s="198">
        <f>'Du toan chi tiet'!X41</f>
        <v>1</v>
      </c>
      <c r="J644" s="5">
        <f>PRODUCT(G644,H644,I644)</f>
        <v>67683.66</v>
      </c>
      <c r="K644" s="49"/>
      <c r="L644" s="49"/>
      <c r="M644" s="49"/>
      <c r="N644" s="49"/>
      <c r="O644" s="49"/>
      <c r="P644" s="49"/>
      <c r="Q644" s="49"/>
      <c r="R644" s="49"/>
      <c r="S644" s="49"/>
      <c r="T644" s="49"/>
      <c r="U644" s="49"/>
      <c r="V644" s="49"/>
      <c r="W644" s="49"/>
      <c r="X644" s="49"/>
      <c r="Y644" s="49"/>
      <c r="Z644" s="49"/>
      <c r="AA644" s="49"/>
    </row>
    <row r="645" spans="1:27" x14ac:dyDescent="0.25">
      <c r="A645" s="207"/>
      <c r="B645" s="641"/>
      <c r="C645" s="711" t="s">
        <v>98</v>
      </c>
      <c r="D645" s="276" t="s">
        <v>98</v>
      </c>
      <c r="E645" s="191" t="s">
        <v>1230</v>
      </c>
      <c r="F645" s="641"/>
      <c r="G645" s="106"/>
      <c r="H645" s="5"/>
      <c r="I645" s="198"/>
      <c r="J645" s="5">
        <f>SUM(J646:J647)</f>
        <v>0.22</v>
      </c>
      <c r="K645" s="49"/>
      <c r="L645" s="49"/>
      <c r="M645" s="49"/>
      <c r="N645" s="49"/>
      <c r="O645" s="49"/>
      <c r="P645" s="49"/>
      <c r="Q645" s="49"/>
      <c r="R645" s="49"/>
      <c r="S645" s="49"/>
      <c r="T645" s="49"/>
      <c r="U645" s="49"/>
      <c r="V645" s="49"/>
      <c r="W645" s="49"/>
      <c r="X645" s="49"/>
      <c r="Y645" s="49"/>
      <c r="Z645" s="49"/>
      <c r="AA645" s="49"/>
    </row>
    <row r="646" spans="1:27" x14ac:dyDescent="0.25">
      <c r="A646" s="207"/>
      <c r="B646" s="641"/>
      <c r="C646" s="711" t="s">
        <v>98</v>
      </c>
      <c r="D646" s="276" t="s">
        <v>98</v>
      </c>
      <c r="E646" s="191" t="s">
        <v>52</v>
      </c>
      <c r="F646" s="641"/>
      <c r="G646" s="106"/>
      <c r="H646" s="5"/>
      <c r="I646" s="198"/>
      <c r="J646" s="5">
        <f>PRODUCT(G644,I644,'Giá Máy'!L7)</f>
        <v>0</v>
      </c>
      <c r="K646" s="49"/>
      <c r="L646" s="49"/>
      <c r="M646" s="49"/>
      <c r="N646" s="49"/>
      <c r="O646" s="49"/>
      <c r="P646" s="49"/>
      <c r="Q646" s="49"/>
      <c r="R646" s="49"/>
      <c r="S646" s="49"/>
      <c r="T646" s="49"/>
      <c r="U646" s="49"/>
      <c r="V646" s="49"/>
      <c r="W646" s="49"/>
      <c r="X646" s="49"/>
      <c r="Y646" s="49"/>
      <c r="Z646" s="49"/>
      <c r="AA646" s="49"/>
    </row>
    <row r="647" spans="1:27" x14ac:dyDescent="0.25">
      <c r="A647" s="207"/>
      <c r="B647" s="641"/>
      <c r="C647" s="711" t="s">
        <v>98</v>
      </c>
      <c r="D647" s="276" t="s">
        <v>98</v>
      </c>
      <c r="E647" s="191" t="s">
        <v>597</v>
      </c>
      <c r="F647" s="641"/>
      <c r="G647" s="106"/>
      <c r="H647" s="5"/>
      <c r="I647" s="198"/>
      <c r="J647" s="5">
        <f>PRODUCT(G644,I644,'Giá Máy'!M7)</f>
        <v>0.22</v>
      </c>
      <c r="K647" s="49"/>
      <c r="L647" s="49"/>
      <c r="M647" s="49"/>
      <c r="N647" s="49"/>
      <c r="O647" s="49"/>
      <c r="P647" s="49"/>
      <c r="Q647" s="49"/>
      <c r="R647" s="49"/>
      <c r="S647" s="49"/>
      <c r="T647" s="49"/>
      <c r="U647" s="49"/>
      <c r="V647" s="49"/>
      <c r="W647" s="49"/>
      <c r="X647" s="49"/>
      <c r="Y647" s="49"/>
      <c r="Z647" s="49"/>
      <c r="AA647" s="49"/>
    </row>
    <row r="648" spans="1:27" x14ac:dyDescent="0.25">
      <c r="A648" s="207"/>
      <c r="B648" s="641"/>
      <c r="C648" s="711" t="s">
        <v>98</v>
      </c>
      <c r="D648" s="276" t="s">
        <v>98</v>
      </c>
      <c r="E648" s="191" t="s">
        <v>599</v>
      </c>
      <c r="F648" s="641" t="s">
        <v>356</v>
      </c>
      <c r="G648" s="106"/>
      <c r="H648" s="5"/>
      <c r="I648" s="198"/>
      <c r="J648" s="5">
        <f>J638+J641+J643</f>
        <v>445575.72</v>
      </c>
      <c r="K648" s="49"/>
      <c r="L648" s="49"/>
      <c r="M648" s="49"/>
      <c r="N648" s="49"/>
      <c r="O648" s="49"/>
      <c r="P648" s="49"/>
      <c r="Q648" s="49"/>
      <c r="R648" s="49"/>
      <c r="S648" s="49"/>
      <c r="T648" s="49"/>
      <c r="U648" s="49"/>
      <c r="V648" s="49"/>
      <c r="W648" s="49"/>
      <c r="X648" s="49"/>
      <c r="Y648" s="49"/>
      <c r="Z648" s="49"/>
      <c r="AA648" s="49"/>
    </row>
    <row r="649" spans="1:27" x14ac:dyDescent="0.25">
      <c r="A649" s="207"/>
      <c r="B649" s="641"/>
      <c r="C649" s="711" t="s">
        <v>98</v>
      </c>
      <c r="D649" s="276" t="s">
        <v>98</v>
      </c>
      <c r="E649" s="191" t="s">
        <v>265</v>
      </c>
      <c r="F649" s="641" t="s">
        <v>653</v>
      </c>
      <c r="G649" s="307">
        <f>'Thông tin'!E67</f>
        <v>7.2999999999999995E-2</v>
      </c>
      <c r="H649" s="5"/>
      <c r="I649" s="198"/>
      <c r="J649" s="5">
        <f>(J648)*G649</f>
        <v>32527.027559999995</v>
      </c>
      <c r="K649" s="49"/>
      <c r="L649" s="49"/>
      <c r="M649" s="49"/>
      <c r="N649" s="49"/>
      <c r="O649" s="49"/>
      <c r="P649" s="49"/>
      <c r="Q649" s="49"/>
      <c r="R649" s="49"/>
      <c r="S649" s="49"/>
      <c r="T649" s="49"/>
      <c r="U649" s="49"/>
      <c r="V649" s="49"/>
      <c r="W649" s="49"/>
      <c r="X649" s="49"/>
      <c r="Y649" s="49"/>
      <c r="Z649" s="49"/>
      <c r="AA649" s="49"/>
    </row>
    <row r="650" spans="1:27" x14ac:dyDescent="0.25">
      <c r="A650" s="207"/>
      <c r="B650" s="641"/>
      <c r="C650" s="711" t="s">
        <v>98</v>
      </c>
      <c r="D650" s="276" t="s">
        <v>98</v>
      </c>
      <c r="E650" s="191" t="s">
        <v>765</v>
      </c>
      <c r="F650" s="641" t="s">
        <v>602</v>
      </c>
      <c r="G650" s="307">
        <f>'Thông tin'!E60</f>
        <v>1.1000000000000001E-2</v>
      </c>
      <c r="H650" s="5"/>
      <c r="I650" s="198"/>
      <c r="J650" s="5">
        <f>(J648)*G650</f>
        <v>4901.3329199999998</v>
      </c>
      <c r="K650" s="49"/>
      <c r="L650" s="49"/>
      <c r="M650" s="49"/>
      <c r="N650" s="49"/>
      <c r="O650" s="49"/>
      <c r="P650" s="49"/>
      <c r="Q650" s="49"/>
      <c r="R650" s="49"/>
      <c r="S650" s="49"/>
      <c r="T650" s="49"/>
      <c r="U650" s="49"/>
      <c r="V650" s="49"/>
      <c r="W650" s="49"/>
      <c r="X650" s="49"/>
      <c r="Y650" s="49"/>
      <c r="Z650" s="49"/>
      <c r="AA650" s="49"/>
    </row>
    <row r="651" spans="1:27" ht="30" x14ac:dyDescent="0.25">
      <c r="A651" s="207"/>
      <c r="B651" s="641"/>
      <c r="C651" s="711" t="s">
        <v>98</v>
      </c>
      <c r="D651" s="276" t="s">
        <v>98</v>
      </c>
      <c r="E651" s="191" t="s">
        <v>457</v>
      </c>
      <c r="F651" s="641" t="s">
        <v>881</v>
      </c>
      <c r="G651" s="307">
        <f>'Thông tin'!E65</f>
        <v>2.5000000000000001E-2</v>
      </c>
      <c r="H651" s="5"/>
      <c r="I651" s="198"/>
      <c r="J651" s="5">
        <f>(J648)*G651</f>
        <v>11139.393</v>
      </c>
      <c r="K651" s="49"/>
      <c r="L651" s="49"/>
      <c r="M651" s="49"/>
      <c r="N651" s="49"/>
      <c r="O651" s="49"/>
      <c r="P651" s="49"/>
      <c r="Q651" s="49"/>
      <c r="R651" s="49"/>
      <c r="S651" s="49"/>
      <c r="T651" s="49"/>
      <c r="U651" s="49"/>
      <c r="V651" s="49"/>
      <c r="W651" s="49"/>
      <c r="X651" s="49"/>
      <c r="Y651" s="49"/>
      <c r="Z651" s="49"/>
      <c r="AA651" s="49"/>
    </row>
    <row r="652" spans="1:27" x14ac:dyDescent="0.25">
      <c r="A652" s="207"/>
      <c r="B652" s="641"/>
      <c r="C652" s="711" t="s">
        <v>98</v>
      </c>
      <c r="D652" s="276" t="s">
        <v>98</v>
      </c>
      <c r="E652" s="191" t="s">
        <v>1244</v>
      </c>
      <c r="F652" s="641" t="s">
        <v>1032</v>
      </c>
      <c r="G652" s="106"/>
      <c r="H652" s="5"/>
      <c r="I652" s="198"/>
      <c r="J652" s="5">
        <f>J649+J650+J651</f>
        <v>48567.753479999999</v>
      </c>
      <c r="K652" s="49"/>
      <c r="L652" s="49"/>
      <c r="M652" s="49"/>
      <c r="N652" s="49"/>
      <c r="O652" s="49"/>
      <c r="P652" s="49"/>
      <c r="Q652" s="49"/>
      <c r="R652" s="49"/>
      <c r="S652" s="49"/>
      <c r="T652" s="49"/>
      <c r="U652" s="49"/>
      <c r="V652" s="49"/>
      <c r="W652" s="49"/>
      <c r="X652" s="49"/>
      <c r="Y652" s="49"/>
      <c r="Z652" s="49"/>
      <c r="AA652" s="49"/>
    </row>
    <row r="653" spans="1:27" x14ac:dyDescent="0.25">
      <c r="A653" s="207"/>
      <c r="B653" s="641"/>
      <c r="C653" s="711" t="s">
        <v>98</v>
      </c>
      <c r="D653" s="276" t="s">
        <v>98</v>
      </c>
      <c r="E653" s="191" t="s">
        <v>990</v>
      </c>
      <c r="F653" s="641" t="s">
        <v>307</v>
      </c>
      <c r="G653" s="307">
        <f>'Thông tin'!E63</f>
        <v>5.5E-2</v>
      </c>
      <c r="H653" s="5"/>
      <c r="I653" s="198"/>
      <c r="J653" s="5">
        <f>(J648+J652)*G653</f>
        <v>27177.891041399998</v>
      </c>
      <c r="K653" s="49"/>
      <c r="L653" s="49"/>
      <c r="M653" s="49"/>
      <c r="N653" s="49"/>
      <c r="O653" s="49"/>
      <c r="P653" s="49"/>
      <c r="Q653" s="49"/>
      <c r="R653" s="49"/>
      <c r="S653" s="49"/>
      <c r="T653" s="49"/>
      <c r="U653" s="49"/>
      <c r="V653" s="49"/>
      <c r="W653" s="49"/>
      <c r="X653" s="49"/>
      <c r="Y653" s="49"/>
      <c r="Z653" s="49"/>
      <c r="AA653" s="49"/>
    </row>
    <row r="654" spans="1:27" x14ac:dyDescent="0.25">
      <c r="A654" s="207"/>
      <c r="B654" s="641"/>
      <c r="C654" s="711" t="s">
        <v>98</v>
      </c>
      <c r="D654" s="276" t="s">
        <v>98</v>
      </c>
      <c r="E654" s="7" t="s">
        <v>142</v>
      </c>
      <c r="F654" s="499" t="s">
        <v>286</v>
      </c>
      <c r="G654" s="106"/>
      <c r="H654" s="5"/>
      <c r="I654" s="198"/>
      <c r="J654" s="620">
        <f>J648+J652+J653</f>
        <v>521321.36452139996</v>
      </c>
      <c r="K654" s="49"/>
      <c r="L654" s="49"/>
      <c r="M654" s="49"/>
      <c r="N654" s="49"/>
      <c r="O654" s="49"/>
      <c r="P654" s="49"/>
      <c r="Q654" s="49"/>
      <c r="R654" s="49"/>
      <c r="S654" s="49"/>
      <c r="T654" s="49"/>
      <c r="U654" s="49"/>
      <c r="V654" s="49"/>
      <c r="W654" s="49"/>
      <c r="X654" s="49"/>
      <c r="Y654" s="49"/>
      <c r="Z654" s="49"/>
      <c r="AA654" s="49"/>
    </row>
    <row r="655" spans="1:27" x14ac:dyDescent="0.25">
      <c r="A655" s="207"/>
      <c r="B655" s="641"/>
      <c r="C655" s="711" t="s">
        <v>98</v>
      </c>
      <c r="D655" s="276" t="s">
        <v>98</v>
      </c>
      <c r="E655" s="191" t="s">
        <v>762</v>
      </c>
      <c r="F655" s="641" t="s">
        <v>830</v>
      </c>
      <c r="G655" s="705">
        <f>'Thông tin'!E61</f>
        <v>0.08</v>
      </c>
      <c r="H655" s="5"/>
      <c r="I655" s="198"/>
      <c r="J655" s="5">
        <f>(J654)*G655</f>
        <v>41705.709161711995</v>
      </c>
      <c r="K655" s="49"/>
      <c r="L655" s="49"/>
      <c r="M655" s="49"/>
      <c r="N655" s="49"/>
      <c r="O655" s="49"/>
      <c r="P655" s="49"/>
      <c r="Q655" s="49"/>
      <c r="R655" s="49"/>
      <c r="S655" s="49"/>
      <c r="T655" s="49"/>
      <c r="U655" s="49"/>
      <c r="V655" s="49"/>
      <c r="W655" s="49"/>
      <c r="X655" s="49"/>
      <c r="Y655" s="49"/>
      <c r="Z655" s="49"/>
      <c r="AA655" s="49"/>
    </row>
    <row r="656" spans="1:27" x14ac:dyDescent="0.25">
      <c r="A656" s="122"/>
      <c r="B656" s="581"/>
      <c r="C656" s="636" t="s">
        <v>98</v>
      </c>
      <c r="D656" s="196" t="s">
        <v>98</v>
      </c>
      <c r="E656" s="728" t="s">
        <v>953</v>
      </c>
      <c r="F656" s="429" t="s">
        <v>1108</v>
      </c>
      <c r="G656" s="29"/>
      <c r="H656" s="704"/>
      <c r="I656" s="113"/>
      <c r="J656" s="657">
        <f>J654+J655</f>
        <v>563027.07368311193</v>
      </c>
      <c r="K656" s="49"/>
      <c r="L656" s="49"/>
      <c r="M656" s="49"/>
      <c r="N656" s="49"/>
      <c r="O656" s="49"/>
      <c r="P656" s="49"/>
      <c r="Q656" s="49"/>
      <c r="R656" s="49"/>
      <c r="S656" s="49"/>
      <c r="T656" s="49"/>
      <c r="U656" s="49"/>
      <c r="V656" s="49"/>
      <c r="W656" s="49"/>
      <c r="X656" s="49"/>
      <c r="Y656" s="49"/>
      <c r="Z656" s="49"/>
      <c r="AA656" s="49"/>
    </row>
    <row r="657" spans="1:27" x14ac:dyDescent="0.25">
      <c r="A657" s="458"/>
      <c r="B657" s="130">
        <v>33</v>
      </c>
      <c r="C657" s="234" t="str">
        <f>'Du toan chi tiet'!C42</f>
        <v>AB.31134</v>
      </c>
      <c r="D657" s="234" t="str">
        <f>'Du toan chi tiet'!C42</f>
        <v>AB.31134</v>
      </c>
      <c r="E657" s="730" t="str">
        <f>'Du toan chi tiet'!D42</f>
        <v xml:space="preserve">Đào kết cấu mặt đường hiện có </v>
      </c>
      <c r="F657" s="130" t="str">
        <f>'Du toan chi tiet'!E42</f>
        <v>m3</v>
      </c>
      <c r="G657" s="664"/>
      <c r="H657" s="282"/>
      <c r="I657" s="450"/>
      <c r="J657" s="282"/>
      <c r="K657" s="49"/>
      <c r="L657" s="49"/>
      <c r="M657" s="49"/>
      <c r="N657" s="49"/>
      <c r="O657" s="49"/>
      <c r="P657" s="49"/>
      <c r="Q657" s="49"/>
      <c r="R657" s="49"/>
      <c r="S657" s="49"/>
      <c r="T657" s="49"/>
      <c r="U657" s="49"/>
      <c r="V657" s="49"/>
      <c r="W657" s="49"/>
      <c r="X657" s="49"/>
      <c r="Y657" s="49"/>
      <c r="Z657" s="49"/>
      <c r="AA657" s="49"/>
    </row>
    <row r="658" spans="1:27" x14ac:dyDescent="0.25">
      <c r="A658" s="261"/>
      <c r="B658" s="690"/>
      <c r="C658" s="745" t="s">
        <v>98</v>
      </c>
      <c r="D658" s="745" t="s">
        <v>98</v>
      </c>
      <c r="E658" s="247" t="s">
        <v>547</v>
      </c>
      <c r="F658" s="690" t="s">
        <v>962</v>
      </c>
      <c r="G658" s="133"/>
      <c r="H658" s="44"/>
      <c r="I658" s="233"/>
      <c r="J658" s="44">
        <v>0</v>
      </c>
      <c r="K658" s="49"/>
      <c r="L658" s="49"/>
      <c r="M658" s="49"/>
      <c r="N658" s="49"/>
      <c r="O658" s="49"/>
      <c r="P658" s="49"/>
      <c r="Q658" s="49"/>
      <c r="R658" s="49"/>
      <c r="S658" s="49"/>
      <c r="T658" s="49"/>
      <c r="U658" s="49"/>
      <c r="V658" s="49"/>
      <c r="W658" s="49"/>
      <c r="X658" s="49"/>
      <c r="Y658" s="49"/>
      <c r="Z658" s="49"/>
      <c r="AA658" s="49"/>
    </row>
    <row r="659" spans="1:27" x14ac:dyDescent="0.25">
      <c r="A659" s="261"/>
      <c r="B659" s="690"/>
      <c r="C659" s="745" t="s">
        <v>98</v>
      </c>
      <c r="D659" s="745" t="s">
        <v>98</v>
      </c>
      <c r="E659" s="247" t="s">
        <v>301</v>
      </c>
      <c r="F659" s="690" t="s">
        <v>1018</v>
      </c>
      <c r="G659" s="133"/>
      <c r="H659" s="44"/>
      <c r="I659" s="233"/>
      <c r="J659" s="44">
        <f>SUM(J660:J660)</f>
        <v>10512.687899999999</v>
      </c>
      <c r="K659" s="49"/>
      <c r="L659" s="49"/>
      <c r="M659" s="49"/>
      <c r="N659" s="49"/>
      <c r="O659" s="49"/>
      <c r="P659" s="49"/>
      <c r="Q659" s="49"/>
      <c r="R659" s="49"/>
      <c r="S659" s="49"/>
      <c r="T659" s="49"/>
      <c r="U659" s="49"/>
      <c r="V659" s="49"/>
      <c r="W659" s="49"/>
      <c r="X659" s="49"/>
      <c r="Y659" s="49"/>
      <c r="Z659" s="49"/>
      <c r="AA659" s="49"/>
    </row>
    <row r="660" spans="1:27" x14ac:dyDescent="0.25">
      <c r="A660" s="207"/>
      <c r="B660" s="641"/>
      <c r="C660" s="711" t="s">
        <v>98</v>
      </c>
      <c r="D660" s="276" t="s">
        <v>475</v>
      </c>
      <c r="E660" s="191" t="str">
        <f>" - " &amp; 'Giá NC'!E5</f>
        <v xml:space="preserve"> - Nhân công bậc 3,0/7 - Nhóm 1</v>
      </c>
      <c r="F660" s="641" t="str">
        <f>'Giá NC'!F5</f>
        <v>công</v>
      </c>
      <c r="G660" s="67">
        <f>'Phan tich don gia'!G273</f>
        <v>4.8099999999999997E-2</v>
      </c>
      <c r="H660" s="5">
        <f>'Giá NC'!K5</f>
        <v>218559</v>
      </c>
      <c r="I660" s="198">
        <f>'Du toan chi tiet'!W42</f>
        <v>1</v>
      </c>
      <c r="J660" s="5">
        <f>PRODUCT(G660,H660,I660)</f>
        <v>10512.687899999999</v>
      </c>
      <c r="K660" s="49"/>
      <c r="L660" s="49"/>
      <c r="M660" s="49"/>
      <c r="N660" s="49"/>
      <c r="O660" s="49"/>
      <c r="P660" s="49"/>
      <c r="Q660" s="49"/>
      <c r="R660" s="49"/>
      <c r="S660" s="49"/>
      <c r="T660" s="49"/>
      <c r="U660" s="49"/>
      <c r="V660" s="49"/>
      <c r="W660" s="49"/>
      <c r="X660" s="49"/>
      <c r="Y660" s="49"/>
      <c r="Z660" s="49"/>
      <c r="AA660" s="49"/>
    </row>
    <row r="661" spans="1:27" x14ac:dyDescent="0.25">
      <c r="A661" s="261"/>
      <c r="B661" s="690"/>
      <c r="C661" s="745" t="s">
        <v>98</v>
      </c>
      <c r="D661" s="745" t="s">
        <v>98</v>
      </c>
      <c r="E661" s="247" t="s">
        <v>1175</v>
      </c>
      <c r="F661" s="690" t="s">
        <v>138</v>
      </c>
      <c r="G661" s="133"/>
      <c r="H661" s="44"/>
      <c r="I661" s="233"/>
      <c r="J661" s="44">
        <f>SUM(J662:J664)</f>
        <v>17065.200121999998</v>
      </c>
      <c r="K661" s="49"/>
      <c r="L661" s="49"/>
      <c r="M661" s="49"/>
      <c r="N661" s="49"/>
      <c r="O661" s="49"/>
      <c r="P661" s="49"/>
      <c r="Q661" s="49"/>
      <c r="R661" s="49"/>
      <c r="S661" s="49"/>
      <c r="T661" s="49"/>
      <c r="U661" s="49"/>
      <c r="V661" s="49"/>
      <c r="W661" s="49"/>
      <c r="X661" s="49"/>
      <c r="Y661" s="49"/>
      <c r="Z661" s="49"/>
      <c r="AA661" s="49"/>
    </row>
    <row r="662" spans="1:27" x14ac:dyDescent="0.25">
      <c r="A662" s="207"/>
      <c r="B662" s="641"/>
      <c r="C662" s="711" t="s">
        <v>98</v>
      </c>
      <c r="D662" s="276" t="s">
        <v>759</v>
      </c>
      <c r="E662" s="191" t="str">
        <f>" - " &amp; 'Giá Máy'!E14</f>
        <v xml:space="preserve"> - Máy đào 1,25m3</v>
      </c>
      <c r="F662" s="641" t="str">
        <f>'Giá Máy'!F14</f>
        <v>ca</v>
      </c>
      <c r="G662" s="67">
        <f>'Phan tich don gia'!G275</f>
        <v>4.2399999999999998E-3</v>
      </c>
      <c r="H662" s="5">
        <f>'Giá Máy'!J14</f>
        <v>3756595.3</v>
      </c>
      <c r="I662" s="198">
        <f>'Du toan chi tiet'!X42</f>
        <v>1</v>
      </c>
      <c r="J662" s="5">
        <f t="shared" ref="J662:J663" si="38">PRODUCT(G662,H662,I662)</f>
        <v>15927.964071999999</v>
      </c>
      <c r="K662" s="49"/>
      <c r="L662" s="49"/>
      <c r="M662" s="49"/>
      <c r="N662" s="49"/>
      <c r="O662" s="49"/>
      <c r="P662" s="49"/>
      <c r="Q662" s="49"/>
      <c r="R662" s="49"/>
      <c r="S662" s="49"/>
      <c r="T662" s="49"/>
      <c r="U662" s="49"/>
      <c r="V662" s="49"/>
      <c r="W662" s="49"/>
      <c r="X662" s="49"/>
      <c r="Y662" s="49"/>
      <c r="Z662" s="49"/>
      <c r="AA662" s="49"/>
    </row>
    <row r="663" spans="1:27" x14ac:dyDescent="0.25">
      <c r="A663" s="207"/>
      <c r="B663" s="641"/>
      <c r="C663" s="711" t="s">
        <v>98</v>
      </c>
      <c r="D663" s="276" t="s">
        <v>1055</v>
      </c>
      <c r="E663" s="191" t="str">
        <f>" - " &amp; 'Giá Máy'!E21</f>
        <v xml:space="preserve"> - Máy ủi 110CV</v>
      </c>
      <c r="F663" s="641" t="str">
        <f>'Giá Máy'!F21</f>
        <v>ca</v>
      </c>
      <c r="G663" s="67">
        <f>'Phan tich don gia'!G276</f>
        <v>5.8E-4</v>
      </c>
      <c r="H663" s="5">
        <f>'Giá Máy'!J21</f>
        <v>1960743.5</v>
      </c>
      <c r="I663" s="198">
        <f>'Du toan chi tiet'!X42</f>
        <v>1</v>
      </c>
      <c r="J663" s="5">
        <f t="shared" si="38"/>
        <v>1137.2312300000001</v>
      </c>
      <c r="K663" s="49"/>
      <c r="L663" s="49"/>
      <c r="M663" s="49"/>
      <c r="N663" s="49"/>
      <c r="O663" s="49"/>
      <c r="P663" s="49"/>
      <c r="Q663" s="49"/>
      <c r="R663" s="49"/>
      <c r="S663" s="49"/>
      <c r="T663" s="49"/>
      <c r="U663" s="49"/>
      <c r="V663" s="49"/>
      <c r="W663" s="49"/>
      <c r="X663" s="49"/>
      <c r="Y663" s="49"/>
      <c r="Z663" s="49"/>
      <c r="AA663" s="49"/>
    </row>
    <row r="664" spans="1:27" x14ac:dyDescent="0.25">
      <c r="A664" s="207"/>
      <c r="B664" s="641"/>
      <c r="C664" s="711" t="s">
        <v>98</v>
      </c>
      <c r="D664" s="276" t="s">
        <v>98</v>
      </c>
      <c r="E664" s="191" t="s">
        <v>1230</v>
      </c>
      <c r="F664" s="641"/>
      <c r="G664" s="106"/>
      <c r="H664" s="5"/>
      <c r="I664" s="198"/>
      <c r="J664" s="5">
        <f>SUM(J665:J666)</f>
        <v>4.8199999999999996E-3</v>
      </c>
      <c r="K664" s="49"/>
      <c r="L664" s="49"/>
      <c r="M664" s="49"/>
      <c r="N664" s="49"/>
      <c r="O664" s="49"/>
      <c r="P664" s="49"/>
      <c r="Q664" s="49"/>
      <c r="R664" s="49"/>
      <c r="S664" s="49"/>
      <c r="T664" s="49"/>
      <c r="U664" s="49"/>
      <c r="V664" s="49"/>
      <c r="W664" s="49"/>
      <c r="X664" s="49"/>
      <c r="Y664" s="49"/>
      <c r="Z664" s="49"/>
      <c r="AA664" s="49"/>
    </row>
    <row r="665" spans="1:27" x14ac:dyDescent="0.25">
      <c r="A665" s="207"/>
      <c r="B665" s="641"/>
      <c r="C665" s="711" t="s">
        <v>98</v>
      </c>
      <c r="D665" s="276" t="s">
        <v>98</v>
      </c>
      <c r="E665" s="191" t="s">
        <v>52</v>
      </c>
      <c r="F665" s="641"/>
      <c r="G665" s="106"/>
      <c r="H665" s="5"/>
      <c r="I665" s="198"/>
      <c r="J665" s="5">
        <f>PRODUCT(G662,I662,'Giá Máy'!L14)+PRODUCT(G663,I663,'Giá Máy'!L21)</f>
        <v>0</v>
      </c>
      <c r="K665" s="49"/>
      <c r="L665" s="49"/>
      <c r="M665" s="49"/>
      <c r="N665" s="49"/>
      <c r="O665" s="49"/>
      <c r="P665" s="49"/>
      <c r="Q665" s="49"/>
      <c r="R665" s="49"/>
      <c r="S665" s="49"/>
      <c r="T665" s="49"/>
      <c r="U665" s="49"/>
      <c r="V665" s="49"/>
      <c r="W665" s="49"/>
      <c r="X665" s="49"/>
      <c r="Y665" s="49"/>
      <c r="Z665" s="49"/>
      <c r="AA665" s="49"/>
    </row>
    <row r="666" spans="1:27" x14ac:dyDescent="0.25">
      <c r="A666" s="207"/>
      <c r="B666" s="641"/>
      <c r="C666" s="711" t="s">
        <v>98</v>
      </c>
      <c r="D666" s="276" t="s">
        <v>98</v>
      </c>
      <c r="E666" s="191" t="s">
        <v>597</v>
      </c>
      <c r="F666" s="641"/>
      <c r="G666" s="106"/>
      <c r="H666" s="5"/>
      <c r="I666" s="198"/>
      <c r="J666" s="5">
        <f>PRODUCT(G662,I662,'Giá Máy'!M14)+PRODUCT(G663,I663,'Giá Máy'!M21)</f>
        <v>4.8199999999999996E-3</v>
      </c>
      <c r="K666" s="49"/>
      <c r="L666" s="49"/>
      <c r="M666" s="49"/>
      <c r="N666" s="49"/>
      <c r="O666" s="49"/>
      <c r="P666" s="49"/>
      <c r="Q666" s="49"/>
      <c r="R666" s="49"/>
      <c r="S666" s="49"/>
      <c r="T666" s="49"/>
      <c r="U666" s="49"/>
      <c r="V666" s="49"/>
      <c r="W666" s="49"/>
      <c r="X666" s="49"/>
      <c r="Y666" s="49"/>
      <c r="Z666" s="49"/>
      <c r="AA666" s="49"/>
    </row>
    <row r="667" spans="1:27" x14ac:dyDescent="0.25">
      <c r="A667" s="207"/>
      <c r="B667" s="641"/>
      <c r="C667" s="711" t="s">
        <v>98</v>
      </c>
      <c r="D667" s="276" t="s">
        <v>98</v>
      </c>
      <c r="E667" s="191" t="s">
        <v>599</v>
      </c>
      <c r="F667" s="641" t="s">
        <v>356</v>
      </c>
      <c r="G667" s="106"/>
      <c r="H667" s="5"/>
      <c r="I667" s="198"/>
      <c r="J667" s="5">
        <f>J658+J659+J661</f>
        <v>27577.888021999999</v>
      </c>
      <c r="K667" s="49"/>
      <c r="L667" s="49"/>
      <c r="M667" s="49"/>
      <c r="N667" s="49"/>
      <c r="O667" s="49"/>
      <c r="P667" s="49"/>
      <c r="Q667" s="49"/>
      <c r="R667" s="49"/>
      <c r="S667" s="49"/>
      <c r="T667" s="49"/>
      <c r="U667" s="49"/>
      <c r="V667" s="49"/>
      <c r="W667" s="49"/>
      <c r="X667" s="49"/>
      <c r="Y667" s="49"/>
      <c r="Z667" s="49"/>
      <c r="AA667" s="49"/>
    </row>
    <row r="668" spans="1:27" x14ac:dyDescent="0.25">
      <c r="A668" s="207"/>
      <c r="B668" s="641"/>
      <c r="C668" s="711" t="s">
        <v>98</v>
      </c>
      <c r="D668" s="276" t="s">
        <v>98</v>
      </c>
      <c r="E668" s="191" t="s">
        <v>265</v>
      </c>
      <c r="F668" s="641" t="s">
        <v>653</v>
      </c>
      <c r="G668" s="307">
        <f>'Thông tin'!E67</f>
        <v>7.2999999999999995E-2</v>
      </c>
      <c r="H668" s="5"/>
      <c r="I668" s="198"/>
      <c r="J668" s="5">
        <f>(J667)*G668</f>
        <v>2013.1858256059998</v>
      </c>
      <c r="K668" s="49"/>
      <c r="L668" s="49"/>
      <c r="M668" s="49"/>
      <c r="N668" s="49"/>
      <c r="O668" s="49"/>
      <c r="P668" s="49"/>
      <c r="Q668" s="49"/>
      <c r="R668" s="49"/>
      <c r="S668" s="49"/>
      <c r="T668" s="49"/>
      <c r="U668" s="49"/>
      <c r="V668" s="49"/>
      <c r="W668" s="49"/>
      <c r="X668" s="49"/>
      <c r="Y668" s="49"/>
      <c r="Z668" s="49"/>
      <c r="AA668" s="49"/>
    </row>
    <row r="669" spans="1:27" x14ac:dyDescent="0.25">
      <c r="A669" s="207"/>
      <c r="B669" s="641"/>
      <c r="C669" s="711" t="s">
        <v>98</v>
      </c>
      <c r="D669" s="276" t="s">
        <v>98</v>
      </c>
      <c r="E669" s="191" t="s">
        <v>765</v>
      </c>
      <c r="F669" s="641" t="s">
        <v>602</v>
      </c>
      <c r="G669" s="307">
        <f>'Thông tin'!E60</f>
        <v>1.1000000000000001E-2</v>
      </c>
      <c r="H669" s="5"/>
      <c r="I669" s="198"/>
      <c r="J669" s="5">
        <f>(J667)*G669</f>
        <v>303.35676824200004</v>
      </c>
      <c r="K669" s="49"/>
      <c r="L669" s="49"/>
      <c r="M669" s="49"/>
      <c r="N669" s="49"/>
      <c r="O669" s="49"/>
      <c r="P669" s="49"/>
      <c r="Q669" s="49"/>
      <c r="R669" s="49"/>
      <c r="S669" s="49"/>
      <c r="T669" s="49"/>
      <c r="U669" s="49"/>
      <c r="V669" s="49"/>
      <c r="W669" s="49"/>
      <c r="X669" s="49"/>
      <c r="Y669" s="49"/>
      <c r="Z669" s="49"/>
      <c r="AA669" s="49"/>
    </row>
    <row r="670" spans="1:27" ht="30" x14ac:dyDescent="0.25">
      <c r="A670" s="207"/>
      <c r="B670" s="641"/>
      <c r="C670" s="711" t="s">
        <v>98</v>
      </c>
      <c r="D670" s="276" t="s">
        <v>98</v>
      </c>
      <c r="E670" s="191" t="s">
        <v>457</v>
      </c>
      <c r="F670" s="641" t="s">
        <v>881</v>
      </c>
      <c r="G670" s="307">
        <f>'Thông tin'!E65</f>
        <v>2.5000000000000001E-2</v>
      </c>
      <c r="H670" s="5"/>
      <c r="I670" s="198"/>
      <c r="J670" s="5">
        <f>(J667)*G670</f>
        <v>689.44720055000005</v>
      </c>
      <c r="K670" s="49"/>
      <c r="L670" s="49"/>
      <c r="M670" s="49"/>
      <c r="N670" s="49"/>
      <c r="O670" s="49"/>
      <c r="P670" s="49"/>
      <c r="Q670" s="49"/>
      <c r="R670" s="49"/>
      <c r="S670" s="49"/>
      <c r="T670" s="49"/>
      <c r="U670" s="49"/>
      <c r="V670" s="49"/>
      <c r="W670" s="49"/>
      <c r="X670" s="49"/>
      <c r="Y670" s="49"/>
      <c r="Z670" s="49"/>
      <c r="AA670" s="49"/>
    </row>
    <row r="671" spans="1:27" x14ac:dyDescent="0.25">
      <c r="A671" s="207"/>
      <c r="B671" s="641"/>
      <c r="C671" s="711" t="s">
        <v>98</v>
      </c>
      <c r="D671" s="276" t="s">
        <v>98</v>
      </c>
      <c r="E671" s="191" t="s">
        <v>1244</v>
      </c>
      <c r="F671" s="641" t="s">
        <v>1032</v>
      </c>
      <c r="G671" s="106"/>
      <c r="H671" s="5"/>
      <c r="I671" s="198"/>
      <c r="J671" s="5">
        <f>J668+J669+J670</f>
        <v>3005.989794398</v>
      </c>
      <c r="K671" s="49"/>
      <c r="L671" s="49"/>
      <c r="M671" s="49"/>
      <c r="N671" s="49"/>
      <c r="O671" s="49"/>
      <c r="P671" s="49"/>
      <c r="Q671" s="49"/>
      <c r="R671" s="49"/>
      <c r="S671" s="49"/>
      <c r="T671" s="49"/>
      <c r="U671" s="49"/>
      <c r="V671" s="49"/>
      <c r="W671" s="49"/>
      <c r="X671" s="49"/>
      <c r="Y671" s="49"/>
      <c r="Z671" s="49"/>
      <c r="AA671" s="49"/>
    </row>
    <row r="672" spans="1:27" x14ac:dyDescent="0.25">
      <c r="A672" s="207"/>
      <c r="B672" s="641"/>
      <c r="C672" s="711" t="s">
        <v>98</v>
      </c>
      <c r="D672" s="276" t="s">
        <v>98</v>
      </c>
      <c r="E672" s="191" t="s">
        <v>990</v>
      </c>
      <c r="F672" s="641" t="s">
        <v>307</v>
      </c>
      <c r="G672" s="307">
        <f>'Thông tin'!E63</f>
        <v>5.5E-2</v>
      </c>
      <c r="H672" s="5"/>
      <c r="I672" s="198"/>
      <c r="J672" s="5">
        <f>(J667+J671)*G672</f>
        <v>1682.1132799018899</v>
      </c>
      <c r="K672" s="49"/>
      <c r="L672" s="49"/>
      <c r="M672" s="49"/>
      <c r="N672" s="49"/>
      <c r="O672" s="49"/>
      <c r="P672" s="49"/>
      <c r="Q672" s="49"/>
      <c r="R672" s="49"/>
      <c r="S672" s="49"/>
      <c r="T672" s="49"/>
      <c r="U672" s="49"/>
      <c r="V672" s="49"/>
      <c r="W672" s="49"/>
      <c r="X672" s="49"/>
      <c r="Y672" s="49"/>
      <c r="Z672" s="49"/>
      <c r="AA672" s="49"/>
    </row>
    <row r="673" spans="1:27" x14ac:dyDescent="0.25">
      <c r="A673" s="207"/>
      <c r="B673" s="641"/>
      <c r="C673" s="711" t="s">
        <v>98</v>
      </c>
      <c r="D673" s="276" t="s">
        <v>98</v>
      </c>
      <c r="E673" s="7" t="s">
        <v>142</v>
      </c>
      <c r="F673" s="499" t="s">
        <v>286</v>
      </c>
      <c r="G673" s="106"/>
      <c r="H673" s="5"/>
      <c r="I673" s="198"/>
      <c r="J673" s="620">
        <f>J667+J671+J672</f>
        <v>32265.991096299887</v>
      </c>
      <c r="K673" s="49"/>
      <c r="L673" s="49"/>
      <c r="M673" s="49"/>
      <c r="N673" s="49"/>
      <c r="O673" s="49"/>
      <c r="P673" s="49"/>
      <c r="Q673" s="49"/>
      <c r="R673" s="49"/>
      <c r="S673" s="49"/>
      <c r="T673" s="49"/>
      <c r="U673" s="49"/>
      <c r="V673" s="49"/>
      <c r="W673" s="49"/>
      <c r="X673" s="49"/>
      <c r="Y673" s="49"/>
      <c r="Z673" s="49"/>
      <c r="AA673" s="49"/>
    </row>
    <row r="674" spans="1:27" x14ac:dyDescent="0.25">
      <c r="A674" s="207"/>
      <c r="B674" s="641"/>
      <c r="C674" s="711" t="s">
        <v>98</v>
      </c>
      <c r="D674" s="276" t="s">
        <v>98</v>
      </c>
      <c r="E674" s="191" t="s">
        <v>762</v>
      </c>
      <c r="F674" s="641" t="s">
        <v>830</v>
      </c>
      <c r="G674" s="705">
        <f>'Thông tin'!E61</f>
        <v>0.08</v>
      </c>
      <c r="H674" s="5"/>
      <c r="I674" s="198"/>
      <c r="J674" s="5">
        <f>(J673)*G674</f>
        <v>2581.279287703991</v>
      </c>
      <c r="K674" s="49"/>
      <c r="L674" s="49"/>
      <c r="M674" s="49"/>
      <c r="N674" s="49"/>
      <c r="O674" s="49"/>
      <c r="P674" s="49"/>
      <c r="Q674" s="49"/>
      <c r="R674" s="49"/>
      <c r="S674" s="49"/>
      <c r="T674" s="49"/>
      <c r="U674" s="49"/>
      <c r="V674" s="49"/>
      <c r="W674" s="49"/>
      <c r="X674" s="49"/>
      <c r="Y674" s="49"/>
      <c r="Z674" s="49"/>
      <c r="AA674" s="49"/>
    </row>
    <row r="675" spans="1:27" x14ac:dyDescent="0.25">
      <c r="A675" s="122"/>
      <c r="B675" s="581"/>
      <c r="C675" s="636" t="s">
        <v>98</v>
      </c>
      <c r="D675" s="196" t="s">
        <v>98</v>
      </c>
      <c r="E675" s="728" t="s">
        <v>953</v>
      </c>
      <c r="F675" s="429" t="s">
        <v>1108</v>
      </c>
      <c r="G675" s="29"/>
      <c r="H675" s="704"/>
      <c r="I675" s="113"/>
      <c r="J675" s="657">
        <f>J673+J674</f>
        <v>34847.270384003881</v>
      </c>
      <c r="K675" s="49"/>
      <c r="L675" s="49"/>
      <c r="M675" s="49"/>
      <c r="N675" s="49"/>
      <c r="O675" s="49"/>
      <c r="P675" s="49"/>
      <c r="Q675" s="49"/>
      <c r="R675" s="49"/>
      <c r="S675" s="49"/>
      <c r="T675" s="49"/>
      <c r="U675" s="49"/>
      <c r="V675" s="49"/>
      <c r="W675" s="49"/>
      <c r="X675" s="49"/>
      <c r="Y675" s="49"/>
      <c r="Z675" s="49"/>
      <c r="AA675" s="49"/>
    </row>
    <row r="676" spans="1:27" ht="30" x14ac:dyDescent="0.25">
      <c r="A676" s="458"/>
      <c r="B676" s="130">
        <v>34</v>
      </c>
      <c r="C676" s="234" t="str">
        <f>'Du toan chi tiet'!C43</f>
        <v>AB.25103</v>
      </c>
      <c r="D676" s="234" t="str">
        <f>'Du toan chi tiet'!C43</f>
        <v>AB.25103</v>
      </c>
      <c r="E676" s="730" t="str">
        <f>'Du toan chi tiet'!D43</f>
        <v>Đào móng bằng máy đào 0,4m3, chiều rộng móng ≤6m - Cấp đất III</v>
      </c>
      <c r="F676" s="130" t="str">
        <f>'Du toan chi tiet'!E43</f>
        <v>m3</v>
      </c>
      <c r="G676" s="664"/>
      <c r="H676" s="282"/>
      <c r="I676" s="450"/>
      <c r="J676" s="282"/>
      <c r="K676" s="49"/>
      <c r="L676" s="49"/>
      <c r="M676" s="49"/>
      <c r="N676" s="49"/>
      <c r="O676" s="49"/>
      <c r="P676" s="49"/>
      <c r="Q676" s="49"/>
      <c r="R676" s="49"/>
      <c r="S676" s="49"/>
      <c r="T676" s="49"/>
      <c r="U676" s="49"/>
      <c r="V676" s="49"/>
      <c r="W676" s="49"/>
      <c r="X676" s="49"/>
      <c r="Y676" s="49"/>
      <c r="Z676" s="49"/>
      <c r="AA676" s="49"/>
    </row>
    <row r="677" spans="1:27" x14ac:dyDescent="0.25">
      <c r="A677" s="261"/>
      <c r="B677" s="690"/>
      <c r="C677" s="745" t="s">
        <v>98</v>
      </c>
      <c r="D677" s="745" t="s">
        <v>98</v>
      </c>
      <c r="E677" s="247" t="s">
        <v>547</v>
      </c>
      <c r="F677" s="690" t="s">
        <v>962</v>
      </c>
      <c r="G677" s="133"/>
      <c r="H677" s="44"/>
      <c r="I677" s="233"/>
      <c r="J677" s="44">
        <v>0</v>
      </c>
      <c r="K677" s="49"/>
      <c r="L677" s="49"/>
      <c r="M677" s="49"/>
      <c r="N677" s="49"/>
      <c r="O677" s="49"/>
      <c r="P677" s="49"/>
      <c r="Q677" s="49"/>
      <c r="R677" s="49"/>
      <c r="S677" s="49"/>
      <c r="T677" s="49"/>
      <c r="U677" s="49"/>
      <c r="V677" s="49"/>
      <c r="W677" s="49"/>
      <c r="X677" s="49"/>
      <c r="Y677" s="49"/>
      <c r="Z677" s="49"/>
      <c r="AA677" s="49"/>
    </row>
    <row r="678" spans="1:27" x14ac:dyDescent="0.25">
      <c r="A678" s="261"/>
      <c r="B678" s="690"/>
      <c r="C678" s="745" t="s">
        <v>98</v>
      </c>
      <c r="D678" s="745" t="s">
        <v>98</v>
      </c>
      <c r="E678" s="247" t="s">
        <v>301</v>
      </c>
      <c r="F678" s="690" t="s">
        <v>1018</v>
      </c>
      <c r="G678" s="133"/>
      <c r="H678" s="44"/>
      <c r="I678" s="233"/>
      <c r="J678" s="44">
        <f>SUM(J679:J679)</f>
        <v>10075.5699</v>
      </c>
      <c r="K678" s="49"/>
      <c r="L678" s="49"/>
      <c r="M678" s="49"/>
      <c r="N678" s="49"/>
      <c r="O678" s="49"/>
      <c r="P678" s="49"/>
      <c r="Q678" s="49"/>
      <c r="R678" s="49"/>
      <c r="S678" s="49"/>
      <c r="T678" s="49"/>
      <c r="U678" s="49"/>
      <c r="V678" s="49"/>
      <c r="W678" s="49"/>
      <c r="X678" s="49"/>
      <c r="Y678" s="49"/>
      <c r="Z678" s="49"/>
      <c r="AA678" s="49"/>
    </row>
    <row r="679" spans="1:27" x14ac:dyDescent="0.25">
      <c r="A679" s="207"/>
      <c r="B679" s="641"/>
      <c r="C679" s="711" t="s">
        <v>98</v>
      </c>
      <c r="D679" s="276" t="s">
        <v>475</v>
      </c>
      <c r="E679" s="191" t="str">
        <f>" - " &amp; 'Giá NC'!E5</f>
        <v xml:space="preserve"> - Nhân công bậc 3,0/7 - Nhóm 1</v>
      </c>
      <c r="F679" s="641" t="str">
        <f>'Giá NC'!F5</f>
        <v>công</v>
      </c>
      <c r="G679" s="67">
        <f>'Phan tich don gia'!G279</f>
        <v>4.6100000000000002E-2</v>
      </c>
      <c r="H679" s="5">
        <f>'Giá NC'!K5</f>
        <v>218559</v>
      </c>
      <c r="I679" s="198">
        <f>'Du toan chi tiet'!W43</f>
        <v>1</v>
      </c>
      <c r="J679" s="5">
        <f>PRODUCT(G679,H679,I679)</f>
        <v>10075.5699</v>
      </c>
      <c r="K679" s="49"/>
      <c r="L679" s="49"/>
      <c r="M679" s="49"/>
      <c r="N679" s="49"/>
      <c r="O679" s="49"/>
      <c r="P679" s="49"/>
      <c r="Q679" s="49"/>
      <c r="R679" s="49"/>
      <c r="S679" s="49"/>
      <c r="T679" s="49"/>
      <c r="U679" s="49"/>
      <c r="V679" s="49"/>
      <c r="W679" s="49"/>
      <c r="X679" s="49"/>
      <c r="Y679" s="49"/>
      <c r="Z679" s="49"/>
      <c r="AA679" s="49"/>
    </row>
    <row r="680" spans="1:27" x14ac:dyDescent="0.25">
      <c r="A680" s="261"/>
      <c r="B680" s="690"/>
      <c r="C680" s="745" t="s">
        <v>98</v>
      </c>
      <c r="D680" s="745" t="s">
        <v>98</v>
      </c>
      <c r="E680" s="247" t="s">
        <v>1175</v>
      </c>
      <c r="F680" s="690" t="s">
        <v>138</v>
      </c>
      <c r="G680" s="133"/>
      <c r="H680" s="44"/>
      <c r="I680" s="233"/>
      <c r="J680" s="44">
        <f>SUM(J681:J682)</f>
        <v>17413.826976</v>
      </c>
      <c r="K680" s="49"/>
      <c r="L680" s="49"/>
      <c r="M680" s="49"/>
      <c r="N680" s="49"/>
      <c r="O680" s="49"/>
      <c r="P680" s="49"/>
      <c r="Q680" s="49"/>
      <c r="R680" s="49"/>
      <c r="S680" s="49"/>
      <c r="T680" s="49"/>
      <c r="U680" s="49"/>
      <c r="V680" s="49"/>
      <c r="W680" s="49"/>
      <c r="X680" s="49"/>
      <c r="Y680" s="49"/>
      <c r="Z680" s="49"/>
      <c r="AA680" s="49"/>
    </row>
    <row r="681" spans="1:27" x14ac:dyDescent="0.25">
      <c r="A681" s="207"/>
      <c r="B681" s="641"/>
      <c r="C681" s="711" t="s">
        <v>98</v>
      </c>
      <c r="D681" s="276" t="s">
        <v>1126</v>
      </c>
      <c r="E681" s="191" t="str">
        <f>" - " &amp; 'Giá Máy'!E13</f>
        <v xml:space="preserve"> - Máy đào 0,4m3</v>
      </c>
      <c r="F681" s="641" t="str">
        <f>'Giá Máy'!F13</f>
        <v>ca</v>
      </c>
      <c r="G681" s="67">
        <f>'Phan tich don gia'!G281</f>
        <v>8.9700000000000005E-3</v>
      </c>
      <c r="H681" s="5">
        <f>'Giá Máy'!J13</f>
        <v>1941339.8</v>
      </c>
      <c r="I681" s="198">
        <f>'Du toan chi tiet'!X43</f>
        <v>1</v>
      </c>
      <c r="J681" s="5">
        <f>PRODUCT(G681,H681,I681)</f>
        <v>17413.818006000001</v>
      </c>
      <c r="K681" s="49"/>
      <c r="L681" s="49"/>
      <c r="M681" s="49"/>
      <c r="N681" s="49"/>
      <c r="O681" s="49"/>
      <c r="P681" s="49"/>
      <c r="Q681" s="49"/>
      <c r="R681" s="49"/>
      <c r="S681" s="49"/>
      <c r="T681" s="49"/>
      <c r="U681" s="49"/>
      <c r="V681" s="49"/>
      <c r="W681" s="49"/>
      <c r="X681" s="49"/>
      <c r="Y681" s="49"/>
      <c r="Z681" s="49"/>
      <c r="AA681" s="49"/>
    </row>
    <row r="682" spans="1:27" x14ac:dyDescent="0.25">
      <c r="A682" s="207"/>
      <c r="B682" s="641"/>
      <c r="C682" s="711" t="s">
        <v>98</v>
      </c>
      <c r="D682" s="276" t="s">
        <v>98</v>
      </c>
      <c r="E682" s="191" t="s">
        <v>1230</v>
      </c>
      <c r="F682" s="641"/>
      <c r="G682" s="106"/>
      <c r="H682" s="5"/>
      <c r="I682" s="198"/>
      <c r="J682" s="5">
        <f>SUM(J683:J684)</f>
        <v>8.9700000000000005E-3</v>
      </c>
      <c r="K682" s="49"/>
      <c r="L682" s="49"/>
      <c r="M682" s="49"/>
      <c r="N682" s="49"/>
      <c r="O682" s="49"/>
      <c r="P682" s="49"/>
      <c r="Q682" s="49"/>
      <c r="R682" s="49"/>
      <c r="S682" s="49"/>
      <c r="T682" s="49"/>
      <c r="U682" s="49"/>
      <c r="V682" s="49"/>
      <c r="W682" s="49"/>
      <c r="X682" s="49"/>
      <c r="Y682" s="49"/>
      <c r="Z682" s="49"/>
      <c r="AA682" s="49"/>
    </row>
    <row r="683" spans="1:27" x14ac:dyDescent="0.25">
      <c r="A683" s="207"/>
      <c r="B683" s="641"/>
      <c r="C683" s="711" t="s">
        <v>98</v>
      </c>
      <c r="D683" s="276" t="s">
        <v>98</v>
      </c>
      <c r="E683" s="191" t="s">
        <v>52</v>
      </c>
      <c r="F683" s="641"/>
      <c r="G683" s="106"/>
      <c r="H683" s="5"/>
      <c r="I683" s="198"/>
      <c r="J683" s="5">
        <f>PRODUCT(G681,I681,'Giá Máy'!L13)</f>
        <v>0</v>
      </c>
      <c r="K683" s="49"/>
      <c r="L683" s="49"/>
      <c r="M683" s="49"/>
      <c r="N683" s="49"/>
      <c r="O683" s="49"/>
      <c r="P683" s="49"/>
      <c r="Q683" s="49"/>
      <c r="R683" s="49"/>
      <c r="S683" s="49"/>
      <c r="T683" s="49"/>
      <c r="U683" s="49"/>
      <c r="V683" s="49"/>
      <c r="W683" s="49"/>
      <c r="X683" s="49"/>
      <c r="Y683" s="49"/>
      <c r="Z683" s="49"/>
      <c r="AA683" s="49"/>
    </row>
    <row r="684" spans="1:27" x14ac:dyDescent="0.25">
      <c r="A684" s="207"/>
      <c r="B684" s="641"/>
      <c r="C684" s="711" t="s">
        <v>98</v>
      </c>
      <c r="D684" s="276" t="s">
        <v>98</v>
      </c>
      <c r="E684" s="191" t="s">
        <v>597</v>
      </c>
      <c r="F684" s="641"/>
      <c r="G684" s="106"/>
      <c r="H684" s="5"/>
      <c r="I684" s="198"/>
      <c r="J684" s="5">
        <f>PRODUCT(G681,I681,'Giá Máy'!M13)</f>
        <v>8.9700000000000005E-3</v>
      </c>
      <c r="K684" s="49"/>
      <c r="L684" s="49"/>
      <c r="M684" s="49"/>
      <c r="N684" s="49"/>
      <c r="O684" s="49"/>
      <c r="P684" s="49"/>
      <c r="Q684" s="49"/>
      <c r="R684" s="49"/>
      <c r="S684" s="49"/>
      <c r="T684" s="49"/>
      <c r="U684" s="49"/>
      <c r="V684" s="49"/>
      <c r="W684" s="49"/>
      <c r="X684" s="49"/>
      <c r="Y684" s="49"/>
      <c r="Z684" s="49"/>
      <c r="AA684" s="49"/>
    </row>
    <row r="685" spans="1:27" x14ac:dyDescent="0.25">
      <c r="A685" s="207"/>
      <c r="B685" s="641"/>
      <c r="C685" s="711" t="s">
        <v>98</v>
      </c>
      <c r="D685" s="276" t="s">
        <v>98</v>
      </c>
      <c r="E685" s="191" t="s">
        <v>599</v>
      </c>
      <c r="F685" s="641" t="s">
        <v>356</v>
      </c>
      <c r="G685" s="106"/>
      <c r="H685" s="5"/>
      <c r="I685" s="198"/>
      <c r="J685" s="5">
        <f>J677+J678+J680</f>
        <v>27489.396875999999</v>
      </c>
      <c r="K685" s="49"/>
      <c r="L685" s="49"/>
      <c r="M685" s="49"/>
      <c r="N685" s="49"/>
      <c r="O685" s="49"/>
      <c r="P685" s="49"/>
      <c r="Q685" s="49"/>
      <c r="R685" s="49"/>
      <c r="S685" s="49"/>
      <c r="T685" s="49"/>
      <c r="U685" s="49"/>
      <c r="V685" s="49"/>
      <c r="W685" s="49"/>
      <c r="X685" s="49"/>
      <c r="Y685" s="49"/>
      <c r="Z685" s="49"/>
      <c r="AA685" s="49"/>
    </row>
    <row r="686" spans="1:27" x14ac:dyDescent="0.25">
      <c r="A686" s="207"/>
      <c r="B686" s="641"/>
      <c r="C686" s="711" t="s">
        <v>98</v>
      </c>
      <c r="D686" s="276" t="s">
        <v>98</v>
      </c>
      <c r="E686" s="191" t="s">
        <v>265</v>
      </c>
      <c r="F686" s="641" t="s">
        <v>653</v>
      </c>
      <c r="G686" s="307">
        <f>'Thông tin'!E67</f>
        <v>7.2999999999999995E-2</v>
      </c>
      <c r="H686" s="5"/>
      <c r="I686" s="198"/>
      <c r="J686" s="5">
        <f>(J685)*G686</f>
        <v>2006.7259719479998</v>
      </c>
      <c r="K686" s="49"/>
      <c r="L686" s="49"/>
      <c r="M686" s="49"/>
      <c r="N686" s="49"/>
      <c r="O686" s="49"/>
      <c r="P686" s="49"/>
      <c r="Q686" s="49"/>
      <c r="R686" s="49"/>
      <c r="S686" s="49"/>
      <c r="T686" s="49"/>
      <c r="U686" s="49"/>
      <c r="V686" s="49"/>
      <c r="W686" s="49"/>
      <c r="X686" s="49"/>
      <c r="Y686" s="49"/>
      <c r="Z686" s="49"/>
      <c r="AA686" s="49"/>
    </row>
    <row r="687" spans="1:27" x14ac:dyDescent="0.25">
      <c r="A687" s="207"/>
      <c r="B687" s="641"/>
      <c r="C687" s="711" t="s">
        <v>98</v>
      </c>
      <c r="D687" s="276" t="s">
        <v>98</v>
      </c>
      <c r="E687" s="191" t="s">
        <v>765</v>
      </c>
      <c r="F687" s="641" t="s">
        <v>602</v>
      </c>
      <c r="G687" s="307">
        <f>'Thông tin'!E60</f>
        <v>1.1000000000000001E-2</v>
      </c>
      <c r="H687" s="5"/>
      <c r="I687" s="198"/>
      <c r="J687" s="5">
        <f>(J685)*G687</f>
        <v>302.38336563600001</v>
      </c>
      <c r="K687" s="49"/>
      <c r="L687" s="49"/>
      <c r="M687" s="49"/>
      <c r="N687" s="49"/>
      <c r="O687" s="49"/>
      <c r="P687" s="49"/>
      <c r="Q687" s="49"/>
      <c r="R687" s="49"/>
      <c r="S687" s="49"/>
      <c r="T687" s="49"/>
      <c r="U687" s="49"/>
      <c r="V687" s="49"/>
      <c r="W687" s="49"/>
      <c r="X687" s="49"/>
      <c r="Y687" s="49"/>
      <c r="Z687" s="49"/>
      <c r="AA687" s="49"/>
    </row>
    <row r="688" spans="1:27" ht="30" x14ac:dyDescent="0.25">
      <c r="A688" s="207"/>
      <c r="B688" s="641"/>
      <c r="C688" s="711" t="s">
        <v>98</v>
      </c>
      <c r="D688" s="276" t="s">
        <v>98</v>
      </c>
      <c r="E688" s="191" t="s">
        <v>457</v>
      </c>
      <c r="F688" s="641" t="s">
        <v>881</v>
      </c>
      <c r="G688" s="307">
        <f>'Thông tin'!E65</f>
        <v>2.5000000000000001E-2</v>
      </c>
      <c r="H688" s="5"/>
      <c r="I688" s="198"/>
      <c r="J688" s="5">
        <f>(J685)*G688</f>
        <v>687.23492190000002</v>
      </c>
      <c r="K688" s="49"/>
      <c r="L688" s="49"/>
      <c r="M688" s="49"/>
      <c r="N688" s="49"/>
      <c r="O688" s="49"/>
      <c r="P688" s="49"/>
      <c r="Q688" s="49"/>
      <c r="R688" s="49"/>
      <c r="S688" s="49"/>
      <c r="T688" s="49"/>
      <c r="U688" s="49"/>
      <c r="V688" s="49"/>
      <c r="W688" s="49"/>
      <c r="X688" s="49"/>
      <c r="Y688" s="49"/>
      <c r="Z688" s="49"/>
      <c r="AA688" s="49"/>
    </row>
    <row r="689" spans="1:27" x14ac:dyDescent="0.25">
      <c r="A689" s="207"/>
      <c r="B689" s="641"/>
      <c r="C689" s="711" t="s">
        <v>98</v>
      </c>
      <c r="D689" s="276" t="s">
        <v>98</v>
      </c>
      <c r="E689" s="191" t="s">
        <v>1244</v>
      </c>
      <c r="F689" s="641" t="s">
        <v>1032</v>
      </c>
      <c r="G689" s="106"/>
      <c r="H689" s="5"/>
      <c r="I689" s="198"/>
      <c r="J689" s="5">
        <f>J686+J687+J688</f>
        <v>2996.3442594839998</v>
      </c>
      <c r="K689" s="49"/>
      <c r="L689" s="49"/>
      <c r="M689" s="49"/>
      <c r="N689" s="49"/>
      <c r="O689" s="49"/>
      <c r="P689" s="49"/>
      <c r="Q689" s="49"/>
      <c r="R689" s="49"/>
      <c r="S689" s="49"/>
      <c r="T689" s="49"/>
      <c r="U689" s="49"/>
      <c r="V689" s="49"/>
      <c r="W689" s="49"/>
      <c r="X689" s="49"/>
      <c r="Y689" s="49"/>
      <c r="Z689" s="49"/>
      <c r="AA689" s="49"/>
    </row>
    <row r="690" spans="1:27" x14ac:dyDescent="0.25">
      <c r="A690" s="207"/>
      <c r="B690" s="641"/>
      <c r="C690" s="711" t="s">
        <v>98</v>
      </c>
      <c r="D690" s="276" t="s">
        <v>98</v>
      </c>
      <c r="E690" s="191" t="s">
        <v>990</v>
      </c>
      <c r="F690" s="641" t="s">
        <v>307</v>
      </c>
      <c r="G690" s="307">
        <f>'Thông tin'!E63</f>
        <v>5.5E-2</v>
      </c>
      <c r="H690" s="5"/>
      <c r="I690" s="198"/>
      <c r="J690" s="5">
        <f>(J685+J689)*G690</f>
        <v>1676.7157624516201</v>
      </c>
      <c r="K690" s="49"/>
      <c r="L690" s="49"/>
      <c r="M690" s="49"/>
      <c r="N690" s="49"/>
      <c r="O690" s="49"/>
      <c r="P690" s="49"/>
      <c r="Q690" s="49"/>
      <c r="R690" s="49"/>
      <c r="S690" s="49"/>
      <c r="T690" s="49"/>
      <c r="U690" s="49"/>
      <c r="V690" s="49"/>
      <c r="W690" s="49"/>
      <c r="X690" s="49"/>
      <c r="Y690" s="49"/>
      <c r="Z690" s="49"/>
      <c r="AA690" s="49"/>
    </row>
    <row r="691" spans="1:27" x14ac:dyDescent="0.25">
      <c r="A691" s="207"/>
      <c r="B691" s="641"/>
      <c r="C691" s="711" t="s">
        <v>98</v>
      </c>
      <c r="D691" s="276" t="s">
        <v>98</v>
      </c>
      <c r="E691" s="7" t="s">
        <v>142</v>
      </c>
      <c r="F691" s="499" t="s">
        <v>286</v>
      </c>
      <c r="G691" s="106"/>
      <c r="H691" s="5"/>
      <c r="I691" s="198"/>
      <c r="J691" s="620">
        <f>J685+J689+J690</f>
        <v>32162.456897935619</v>
      </c>
      <c r="K691" s="49"/>
      <c r="L691" s="49"/>
      <c r="M691" s="49"/>
      <c r="N691" s="49"/>
      <c r="O691" s="49"/>
      <c r="P691" s="49"/>
      <c r="Q691" s="49"/>
      <c r="R691" s="49"/>
      <c r="S691" s="49"/>
      <c r="T691" s="49"/>
      <c r="U691" s="49"/>
      <c r="V691" s="49"/>
      <c r="W691" s="49"/>
      <c r="X691" s="49"/>
      <c r="Y691" s="49"/>
      <c r="Z691" s="49"/>
      <c r="AA691" s="49"/>
    </row>
    <row r="692" spans="1:27" x14ac:dyDescent="0.25">
      <c r="A692" s="207"/>
      <c r="B692" s="641"/>
      <c r="C692" s="711" t="s">
        <v>98</v>
      </c>
      <c r="D692" s="276" t="s">
        <v>98</v>
      </c>
      <c r="E692" s="191" t="s">
        <v>762</v>
      </c>
      <c r="F692" s="641" t="s">
        <v>830</v>
      </c>
      <c r="G692" s="705">
        <f>'Thông tin'!E61</f>
        <v>0.08</v>
      </c>
      <c r="H692" s="5"/>
      <c r="I692" s="198"/>
      <c r="J692" s="5">
        <f>(J691)*G692</f>
        <v>2572.9965518348495</v>
      </c>
      <c r="K692" s="49"/>
      <c r="L692" s="49"/>
      <c r="M692" s="49"/>
      <c r="N692" s="49"/>
      <c r="O692" s="49"/>
      <c r="P692" s="49"/>
      <c r="Q692" s="49"/>
      <c r="R692" s="49"/>
      <c r="S692" s="49"/>
      <c r="T692" s="49"/>
      <c r="U692" s="49"/>
      <c r="V692" s="49"/>
      <c r="W692" s="49"/>
      <c r="X692" s="49"/>
      <c r="Y692" s="49"/>
      <c r="Z692" s="49"/>
      <c r="AA692" s="49"/>
    </row>
    <row r="693" spans="1:27" x14ac:dyDescent="0.25">
      <c r="A693" s="122"/>
      <c r="B693" s="581"/>
      <c r="C693" s="636" t="s">
        <v>98</v>
      </c>
      <c r="D693" s="196" t="s">
        <v>98</v>
      </c>
      <c r="E693" s="728" t="s">
        <v>953</v>
      </c>
      <c r="F693" s="429" t="s">
        <v>1108</v>
      </c>
      <c r="G693" s="29"/>
      <c r="H693" s="704"/>
      <c r="I693" s="113"/>
      <c r="J693" s="657">
        <f>J691+J692</f>
        <v>34735.453449770466</v>
      </c>
      <c r="K693" s="49"/>
      <c r="L693" s="49"/>
      <c r="M693" s="49"/>
      <c r="N693" s="49"/>
      <c r="O693" s="49"/>
      <c r="P693" s="49"/>
      <c r="Q693" s="49"/>
      <c r="R693" s="49"/>
      <c r="S693" s="49"/>
      <c r="T693" s="49"/>
      <c r="U693" s="49"/>
      <c r="V693" s="49"/>
      <c r="W693" s="49"/>
      <c r="X693" s="49"/>
      <c r="Y693" s="49"/>
      <c r="Z693" s="49"/>
      <c r="AA693" s="49"/>
    </row>
    <row r="694" spans="1:27" ht="30" x14ac:dyDescent="0.25">
      <c r="A694" s="458"/>
      <c r="B694" s="130">
        <v>35</v>
      </c>
      <c r="C694" s="234" t="str">
        <f>'Du toan chi tiet'!C44</f>
        <v>AB.65130</v>
      </c>
      <c r="D694" s="234" t="str">
        <f>'Du toan chi tiet'!C44</f>
        <v>AB.65130</v>
      </c>
      <c r="E694" s="730" t="str">
        <f>'Du toan chi tiet'!D44</f>
        <v>Đắp đất bằng đầm đất cầm tay 70kg, độ chặt Y/C K = 0,95</v>
      </c>
      <c r="F694" s="130" t="str">
        <f>'Du toan chi tiet'!E44</f>
        <v>m3</v>
      </c>
      <c r="G694" s="664"/>
      <c r="H694" s="282"/>
      <c r="I694" s="450"/>
      <c r="J694" s="282"/>
      <c r="K694" s="49"/>
      <c r="L694" s="49"/>
      <c r="M694" s="49"/>
      <c r="N694" s="49"/>
      <c r="O694" s="49"/>
      <c r="P694" s="49"/>
      <c r="Q694" s="49"/>
      <c r="R694" s="49"/>
      <c r="S694" s="49"/>
      <c r="T694" s="49"/>
      <c r="U694" s="49"/>
      <c r="V694" s="49"/>
      <c r="W694" s="49"/>
      <c r="X694" s="49"/>
      <c r="Y694" s="49"/>
      <c r="Z694" s="49"/>
      <c r="AA694" s="49"/>
    </row>
    <row r="695" spans="1:27" x14ac:dyDescent="0.25">
      <c r="A695" s="261"/>
      <c r="B695" s="690"/>
      <c r="C695" s="745" t="s">
        <v>98</v>
      </c>
      <c r="D695" s="745" t="s">
        <v>98</v>
      </c>
      <c r="E695" s="247" t="s">
        <v>547</v>
      </c>
      <c r="F695" s="690" t="s">
        <v>962</v>
      </c>
      <c r="G695" s="133"/>
      <c r="H695" s="44"/>
      <c r="I695" s="233"/>
      <c r="J695" s="44">
        <v>0</v>
      </c>
      <c r="K695" s="49"/>
      <c r="L695" s="49"/>
      <c r="M695" s="49"/>
      <c r="N695" s="49"/>
      <c r="O695" s="49"/>
      <c r="P695" s="49"/>
      <c r="Q695" s="49"/>
      <c r="R695" s="49"/>
      <c r="S695" s="49"/>
      <c r="T695" s="49"/>
      <c r="U695" s="49"/>
      <c r="V695" s="49"/>
      <c r="W695" s="49"/>
      <c r="X695" s="49"/>
      <c r="Y695" s="49"/>
      <c r="Z695" s="49"/>
      <c r="AA695" s="49"/>
    </row>
    <row r="696" spans="1:27" x14ac:dyDescent="0.25">
      <c r="A696" s="261"/>
      <c r="B696" s="690"/>
      <c r="C696" s="745" t="s">
        <v>98</v>
      </c>
      <c r="D696" s="745" t="s">
        <v>98</v>
      </c>
      <c r="E696" s="247" t="s">
        <v>301</v>
      </c>
      <c r="F696" s="690" t="s">
        <v>1018</v>
      </c>
      <c r="G696" s="133"/>
      <c r="H696" s="44"/>
      <c r="I696" s="233"/>
      <c r="J696" s="44">
        <f>SUM(J697:J697)</f>
        <v>15583.2567</v>
      </c>
      <c r="K696" s="49"/>
      <c r="L696" s="49"/>
      <c r="M696" s="49"/>
      <c r="N696" s="49"/>
      <c r="O696" s="49"/>
      <c r="P696" s="49"/>
      <c r="Q696" s="49"/>
      <c r="R696" s="49"/>
      <c r="S696" s="49"/>
      <c r="T696" s="49"/>
      <c r="U696" s="49"/>
      <c r="V696" s="49"/>
      <c r="W696" s="49"/>
      <c r="X696" s="49"/>
      <c r="Y696" s="49"/>
      <c r="Z696" s="49"/>
      <c r="AA696" s="49"/>
    </row>
    <row r="697" spans="1:27" x14ac:dyDescent="0.25">
      <c r="A697" s="207"/>
      <c r="B697" s="641"/>
      <c r="C697" s="711" t="s">
        <v>98</v>
      </c>
      <c r="D697" s="276" t="s">
        <v>475</v>
      </c>
      <c r="E697" s="191" t="str">
        <f>" - " &amp; 'Giá NC'!E5</f>
        <v xml:space="preserve"> - Nhân công bậc 3,0/7 - Nhóm 1</v>
      </c>
      <c r="F697" s="641" t="str">
        <f>'Giá NC'!F5</f>
        <v>công</v>
      </c>
      <c r="G697" s="67">
        <f>'Phan tich don gia'!G284</f>
        <v>7.1300000000000002E-2</v>
      </c>
      <c r="H697" s="5">
        <f>'Giá NC'!K5</f>
        <v>218559</v>
      </c>
      <c r="I697" s="198">
        <f>'Du toan chi tiet'!W44</f>
        <v>1</v>
      </c>
      <c r="J697" s="5">
        <f>PRODUCT(G697,H697,I697)</f>
        <v>15583.2567</v>
      </c>
      <c r="K697" s="49"/>
      <c r="L697" s="49"/>
      <c r="M697" s="49"/>
      <c r="N697" s="49"/>
      <c r="O697" s="49"/>
      <c r="P697" s="49"/>
      <c r="Q697" s="49"/>
      <c r="R697" s="49"/>
      <c r="S697" s="49"/>
      <c r="T697" s="49"/>
      <c r="U697" s="49"/>
      <c r="V697" s="49"/>
      <c r="W697" s="49"/>
      <c r="X697" s="49"/>
      <c r="Y697" s="49"/>
      <c r="Z697" s="49"/>
      <c r="AA697" s="49"/>
    </row>
    <row r="698" spans="1:27" x14ac:dyDescent="0.25">
      <c r="A698" s="261"/>
      <c r="B698" s="690"/>
      <c r="C698" s="745" t="s">
        <v>98</v>
      </c>
      <c r="D698" s="745" t="s">
        <v>98</v>
      </c>
      <c r="E698" s="247" t="s">
        <v>1175</v>
      </c>
      <c r="F698" s="690" t="s">
        <v>138</v>
      </c>
      <c r="G698" s="133"/>
      <c r="H698" s="44"/>
      <c r="I698" s="233"/>
      <c r="J698" s="44">
        <f>SUM(J699:J700)</f>
        <v>16868.554559999997</v>
      </c>
      <c r="K698" s="49"/>
      <c r="L698" s="49"/>
      <c r="M698" s="49"/>
      <c r="N698" s="49"/>
      <c r="O698" s="49"/>
      <c r="P698" s="49"/>
      <c r="Q698" s="49"/>
      <c r="R698" s="49"/>
      <c r="S698" s="49"/>
      <c r="T698" s="49"/>
      <c r="U698" s="49"/>
      <c r="V698" s="49"/>
      <c r="W698" s="49"/>
      <c r="X698" s="49"/>
      <c r="Y698" s="49"/>
      <c r="Z698" s="49"/>
      <c r="AA698" s="49"/>
    </row>
    <row r="699" spans="1:27" x14ac:dyDescent="0.25">
      <c r="A699" s="207"/>
      <c r="B699" s="641"/>
      <c r="C699" s="711" t="s">
        <v>98</v>
      </c>
      <c r="D699" s="276" t="s">
        <v>551</v>
      </c>
      <c r="E699" s="191" t="str">
        <f>" - " &amp; 'Giá Máy'!E11</f>
        <v xml:space="preserve"> - Máy đầm đất cầm tay 70kg</v>
      </c>
      <c r="F699" s="641" t="str">
        <f>'Giá Máy'!F11</f>
        <v>ca</v>
      </c>
      <c r="G699" s="67">
        <f>'Phan tich don gia'!G286</f>
        <v>4.428E-2</v>
      </c>
      <c r="H699" s="5">
        <f>'Giá Máy'!J11</f>
        <v>380951</v>
      </c>
      <c r="I699" s="198">
        <f>'Du toan chi tiet'!X44</f>
        <v>1</v>
      </c>
      <c r="J699" s="5">
        <f>PRODUCT(G699,H699,I699)</f>
        <v>16868.510279999999</v>
      </c>
      <c r="K699" s="49"/>
      <c r="L699" s="49"/>
      <c r="M699" s="49"/>
      <c r="N699" s="49"/>
      <c r="O699" s="49"/>
      <c r="P699" s="49"/>
      <c r="Q699" s="49"/>
      <c r="R699" s="49"/>
      <c r="S699" s="49"/>
      <c r="T699" s="49"/>
      <c r="U699" s="49"/>
      <c r="V699" s="49"/>
      <c r="W699" s="49"/>
      <c r="X699" s="49"/>
      <c r="Y699" s="49"/>
      <c r="Z699" s="49"/>
      <c r="AA699" s="49"/>
    </row>
    <row r="700" spans="1:27" x14ac:dyDescent="0.25">
      <c r="A700" s="207"/>
      <c r="B700" s="641"/>
      <c r="C700" s="711" t="s">
        <v>98</v>
      </c>
      <c r="D700" s="276" t="s">
        <v>98</v>
      </c>
      <c r="E700" s="191" t="s">
        <v>1230</v>
      </c>
      <c r="F700" s="641"/>
      <c r="G700" s="106"/>
      <c r="H700" s="5"/>
      <c r="I700" s="198"/>
      <c r="J700" s="5">
        <f>SUM(J701:J702)</f>
        <v>4.428E-2</v>
      </c>
      <c r="K700" s="49"/>
      <c r="L700" s="49"/>
      <c r="M700" s="49"/>
      <c r="N700" s="49"/>
      <c r="O700" s="49"/>
      <c r="P700" s="49"/>
      <c r="Q700" s="49"/>
      <c r="R700" s="49"/>
      <c r="S700" s="49"/>
      <c r="T700" s="49"/>
      <c r="U700" s="49"/>
      <c r="V700" s="49"/>
      <c r="W700" s="49"/>
      <c r="X700" s="49"/>
      <c r="Y700" s="49"/>
      <c r="Z700" s="49"/>
      <c r="AA700" s="49"/>
    </row>
    <row r="701" spans="1:27" x14ac:dyDescent="0.25">
      <c r="A701" s="207"/>
      <c r="B701" s="641"/>
      <c r="C701" s="711" t="s">
        <v>98</v>
      </c>
      <c r="D701" s="276" t="s">
        <v>98</v>
      </c>
      <c r="E701" s="191" t="s">
        <v>52</v>
      </c>
      <c r="F701" s="641"/>
      <c r="G701" s="106"/>
      <c r="H701" s="5"/>
      <c r="I701" s="198"/>
      <c r="J701" s="5">
        <f>PRODUCT(G699,I699,'Giá Máy'!L11)</f>
        <v>0</v>
      </c>
      <c r="K701" s="49"/>
      <c r="L701" s="49"/>
      <c r="M701" s="49"/>
      <c r="N701" s="49"/>
      <c r="O701" s="49"/>
      <c r="P701" s="49"/>
      <c r="Q701" s="49"/>
      <c r="R701" s="49"/>
      <c r="S701" s="49"/>
      <c r="T701" s="49"/>
      <c r="U701" s="49"/>
      <c r="V701" s="49"/>
      <c r="W701" s="49"/>
      <c r="X701" s="49"/>
      <c r="Y701" s="49"/>
      <c r="Z701" s="49"/>
      <c r="AA701" s="49"/>
    </row>
    <row r="702" spans="1:27" x14ac:dyDescent="0.25">
      <c r="A702" s="207"/>
      <c r="B702" s="641"/>
      <c r="C702" s="711" t="s">
        <v>98</v>
      </c>
      <c r="D702" s="276" t="s">
        <v>98</v>
      </c>
      <c r="E702" s="191" t="s">
        <v>597</v>
      </c>
      <c r="F702" s="641"/>
      <c r="G702" s="106"/>
      <c r="H702" s="5"/>
      <c r="I702" s="198"/>
      <c r="J702" s="5">
        <f>PRODUCT(G699,I699,'Giá Máy'!M11)</f>
        <v>4.428E-2</v>
      </c>
      <c r="K702" s="49"/>
      <c r="L702" s="49"/>
      <c r="M702" s="49"/>
      <c r="N702" s="49"/>
      <c r="O702" s="49"/>
      <c r="P702" s="49"/>
      <c r="Q702" s="49"/>
      <c r="R702" s="49"/>
      <c r="S702" s="49"/>
      <c r="T702" s="49"/>
      <c r="U702" s="49"/>
      <c r="V702" s="49"/>
      <c r="W702" s="49"/>
      <c r="X702" s="49"/>
      <c r="Y702" s="49"/>
      <c r="Z702" s="49"/>
      <c r="AA702" s="49"/>
    </row>
    <row r="703" spans="1:27" x14ac:dyDescent="0.25">
      <c r="A703" s="207"/>
      <c r="B703" s="641"/>
      <c r="C703" s="711" t="s">
        <v>98</v>
      </c>
      <c r="D703" s="276" t="s">
        <v>98</v>
      </c>
      <c r="E703" s="191" t="s">
        <v>599</v>
      </c>
      <c r="F703" s="641" t="s">
        <v>356</v>
      </c>
      <c r="G703" s="106"/>
      <c r="H703" s="5"/>
      <c r="I703" s="198"/>
      <c r="J703" s="5">
        <f>J695+J696+J698</f>
        <v>32451.811259999995</v>
      </c>
      <c r="K703" s="49"/>
      <c r="L703" s="49"/>
      <c r="M703" s="49"/>
      <c r="N703" s="49"/>
      <c r="O703" s="49"/>
      <c r="P703" s="49"/>
      <c r="Q703" s="49"/>
      <c r="R703" s="49"/>
      <c r="S703" s="49"/>
      <c r="T703" s="49"/>
      <c r="U703" s="49"/>
      <c r="V703" s="49"/>
      <c r="W703" s="49"/>
      <c r="X703" s="49"/>
      <c r="Y703" s="49"/>
      <c r="Z703" s="49"/>
      <c r="AA703" s="49"/>
    </row>
    <row r="704" spans="1:27" x14ac:dyDescent="0.25">
      <c r="A704" s="207"/>
      <c r="B704" s="641"/>
      <c r="C704" s="711" t="s">
        <v>98</v>
      </c>
      <c r="D704" s="276" t="s">
        <v>98</v>
      </c>
      <c r="E704" s="191" t="s">
        <v>265</v>
      </c>
      <c r="F704" s="641" t="s">
        <v>653</v>
      </c>
      <c r="G704" s="307">
        <f>'Thông tin'!E67</f>
        <v>7.2999999999999995E-2</v>
      </c>
      <c r="H704" s="5"/>
      <c r="I704" s="198"/>
      <c r="J704" s="5">
        <f>(J703)*G704</f>
        <v>2368.9822219799994</v>
      </c>
      <c r="K704" s="49"/>
      <c r="L704" s="49"/>
      <c r="M704" s="49"/>
      <c r="N704" s="49"/>
      <c r="O704" s="49"/>
      <c r="P704" s="49"/>
      <c r="Q704" s="49"/>
      <c r="R704" s="49"/>
      <c r="S704" s="49"/>
      <c r="T704" s="49"/>
      <c r="U704" s="49"/>
      <c r="V704" s="49"/>
      <c r="W704" s="49"/>
      <c r="X704" s="49"/>
      <c r="Y704" s="49"/>
      <c r="Z704" s="49"/>
      <c r="AA704" s="49"/>
    </row>
    <row r="705" spans="1:27" x14ac:dyDescent="0.25">
      <c r="A705" s="207"/>
      <c r="B705" s="641"/>
      <c r="C705" s="711" t="s">
        <v>98</v>
      </c>
      <c r="D705" s="276" t="s">
        <v>98</v>
      </c>
      <c r="E705" s="191" t="s">
        <v>765</v>
      </c>
      <c r="F705" s="641" t="s">
        <v>602</v>
      </c>
      <c r="G705" s="307">
        <f>'Thông tin'!E60</f>
        <v>1.1000000000000001E-2</v>
      </c>
      <c r="H705" s="5"/>
      <c r="I705" s="198"/>
      <c r="J705" s="5">
        <f>(J703)*G705</f>
        <v>356.96992385999999</v>
      </c>
      <c r="K705" s="49"/>
      <c r="L705" s="49"/>
      <c r="M705" s="49"/>
      <c r="N705" s="49"/>
      <c r="O705" s="49"/>
      <c r="P705" s="49"/>
      <c r="Q705" s="49"/>
      <c r="R705" s="49"/>
      <c r="S705" s="49"/>
      <c r="T705" s="49"/>
      <c r="U705" s="49"/>
      <c r="V705" s="49"/>
      <c r="W705" s="49"/>
      <c r="X705" s="49"/>
      <c r="Y705" s="49"/>
      <c r="Z705" s="49"/>
      <c r="AA705" s="49"/>
    </row>
    <row r="706" spans="1:27" ht="30" x14ac:dyDescent="0.25">
      <c r="A706" s="207"/>
      <c r="B706" s="641"/>
      <c r="C706" s="711" t="s">
        <v>98</v>
      </c>
      <c r="D706" s="276" t="s">
        <v>98</v>
      </c>
      <c r="E706" s="191" t="s">
        <v>457</v>
      </c>
      <c r="F706" s="641" t="s">
        <v>881</v>
      </c>
      <c r="G706" s="307">
        <f>'Thông tin'!E65</f>
        <v>2.5000000000000001E-2</v>
      </c>
      <c r="H706" s="5"/>
      <c r="I706" s="198"/>
      <c r="J706" s="5">
        <f>(J703)*G706</f>
        <v>811.29528149999987</v>
      </c>
      <c r="K706" s="49"/>
      <c r="L706" s="49"/>
      <c r="M706" s="49"/>
      <c r="N706" s="49"/>
      <c r="O706" s="49"/>
      <c r="P706" s="49"/>
      <c r="Q706" s="49"/>
      <c r="R706" s="49"/>
      <c r="S706" s="49"/>
      <c r="T706" s="49"/>
      <c r="U706" s="49"/>
      <c r="V706" s="49"/>
      <c r="W706" s="49"/>
      <c r="X706" s="49"/>
      <c r="Y706" s="49"/>
      <c r="Z706" s="49"/>
      <c r="AA706" s="49"/>
    </row>
    <row r="707" spans="1:27" x14ac:dyDescent="0.25">
      <c r="A707" s="207"/>
      <c r="B707" s="641"/>
      <c r="C707" s="711" t="s">
        <v>98</v>
      </c>
      <c r="D707" s="276" t="s">
        <v>98</v>
      </c>
      <c r="E707" s="191" t="s">
        <v>1244</v>
      </c>
      <c r="F707" s="641" t="s">
        <v>1032</v>
      </c>
      <c r="G707" s="106"/>
      <c r="H707" s="5"/>
      <c r="I707" s="198"/>
      <c r="J707" s="5">
        <f>J704+J705+J706</f>
        <v>3537.2474273399994</v>
      </c>
      <c r="K707" s="49"/>
      <c r="L707" s="49"/>
      <c r="M707" s="49"/>
      <c r="N707" s="49"/>
      <c r="O707" s="49"/>
      <c r="P707" s="49"/>
      <c r="Q707" s="49"/>
      <c r="R707" s="49"/>
      <c r="S707" s="49"/>
      <c r="T707" s="49"/>
      <c r="U707" s="49"/>
      <c r="V707" s="49"/>
      <c r="W707" s="49"/>
      <c r="X707" s="49"/>
      <c r="Y707" s="49"/>
      <c r="Z707" s="49"/>
      <c r="AA707" s="49"/>
    </row>
    <row r="708" spans="1:27" x14ac:dyDescent="0.25">
      <c r="A708" s="207"/>
      <c r="B708" s="641"/>
      <c r="C708" s="711" t="s">
        <v>98</v>
      </c>
      <c r="D708" s="276" t="s">
        <v>98</v>
      </c>
      <c r="E708" s="191" t="s">
        <v>990</v>
      </c>
      <c r="F708" s="641" t="s">
        <v>307</v>
      </c>
      <c r="G708" s="307">
        <f>'Thông tin'!E63</f>
        <v>5.5E-2</v>
      </c>
      <c r="H708" s="5"/>
      <c r="I708" s="198"/>
      <c r="J708" s="5">
        <f>(J703+J707)*G708</f>
        <v>1979.3982278036997</v>
      </c>
      <c r="K708" s="49"/>
      <c r="L708" s="49"/>
      <c r="M708" s="49"/>
      <c r="N708" s="49"/>
      <c r="O708" s="49"/>
      <c r="P708" s="49"/>
      <c r="Q708" s="49"/>
      <c r="R708" s="49"/>
      <c r="S708" s="49"/>
      <c r="T708" s="49"/>
      <c r="U708" s="49"/>
      <c r="V708" s="49"/>
      <c r="W708" s="49"/>
      <c r="X708" s="49"/>
      <c r="Y708" s="49"/>
      <c r="Z708" s="49"/>
      <c r="AA708" s="49"/>
    </row>
    <row r="709" spans="1:27" x14ac:dyDescent="0.25">
      <c r="A709" s="207"/>
      <c r="B709" s="641"/>
      <c r="C709" s="711" t="s">
        <v>98</v>
      </c>
      <c r="D709" s="276" t="s">
        <v>98</v>
      </c>
      <c r="E709" s="7" t="s">
        <v>142</v>
      </c>
      <c r="F709" s="499" t="s">
        <v>286</v>
      </c>
      <c r="G709" s="106"/>
      <c r="H709" s="5"/>
      <c r="I709" s="198"/>
      <c r="J709" s="620">
        <f>J703+J707+J708</f>
        <v>37968.456915143695</v>
      </c>
      <c r="K709" s="49"/>
      <c r="L709" s="49"/>
      <c r="M709" s="49"/>
      <c r="N709" s="49"/>
      <c r="O709" s="49"/>
      <c r="P709" s="49"/>
      <c r="Q709" s="49"/>
      <c r="R709" s="49"/>
      <c r="S709" s="49"/>
      <c r="T709" s="49"/>
      <c r="U709" s="49"/>
      <c r="V709" s="49"/>
      <c r="W709" s="49"/>
      <c r="X709" s="49"/>
      <c r="Y709" s="49"/>
      <c r="Z709" s="49"/>
      <c r="AA709" s="49"/>
    </row>
    <row r="710" spans="1:27" x14ac:dyDescent="0.25">
      <c r="A710" s="207"/>
      <c r="B710" s="641"/>
      <c r="C710" s="711" t="s">
        <v>98</v>
      </c>
      <c r="D710" s="276" t="s">
        <v>98</v>
      </c>
      <c r="E710" s="191" t="s">
        <v>762</v>
      </c>
      <c r="F710" s="641" t="s">
        <v>830</v>
      </c>
      <c r="G710" s="705">
        <f>'Thông tin'!E61</f>
        <v>0.08</v>
      </c>
      <c r="H710" s="5"/>
      <c r="I710" s="198"/>
      <c r="J710" s="5">
        <f>(J709)*G710</f>
        <v>3037.4765532114957</v>
      </c>
      <c r="K710" s="49"/>
      <c r="L710" s="49"/>
      <c r="M710" s="49"/>
      <c r="N710" s="49"/>
      <c r="O710" s="49"/>
      <c r="P710" s="49"/>
      <c r="Q710" s="49"/>
      <c r="R710" s="49"/>
      <c r="S710" s="49"/>
      <c r="T710" s="49"/>
      <c r="U710" s="49"/>
      <c r="V710" s="49"/>
      <c r="W710" s="49"/>
      <c r="X710" s="49"/>
      <c r="Y710" s="49"/>
      <c r="Z710" s="49"/>
      <c r="AA710" s="49"/>
    </row>
    <row r="711" spans="1:27" x14ac:dyDescent="0.25">
      <c r="A711" s="122"/>
      <c r="B711" s="581"/>
      <c r="C711" s="636" t="s">
        <v>98</v>
      </c>
      <c r="D711" s="196" t="s">
        <v>98</v>
      </c>
      <c r="E711" s="728" t="s">
        <v>953</v>
      </c>
      <c r="F711" s="429" t="s">
        <v>1108</v>
      </c>
      <c r="G711" s="29"/>
      <c r="H711" s="704"/>
      <c r="I711" s="113"/>
      <c r="J711" s="657">
        <f>J709+J710</f>
        <v>41005.933468355193</v>
      </c>
      <c r="K711" s="49"/>
      <c r="L711" s="49"/>
      <c r="M711" s="49"/>
      <c r="N711" s="49"/>
      <c r="O711" s="49"/>
      <c r="P711" s="49"/>
      <c r="Q711" s="49"/>
      <c r="R711" s="49"/>
      <c r="S711" s="49"/>
      <c r="T711" s="49"/>
      <c r="U711" s="49"/>
      <c r="V711" s="49"/>
      <c r="W711" s="49"/>
      <c r="X711" s="49"/>
      <c r="Y711" s="49"/>
      <c r="Z711" s="49"/>
      <c r="AA711" s="49"/>
    </row>
    <row r="712" spans="1:27" ht="45" x14ac:dyDescent="0.25">
      <c r="A712" s="458"/>
      <c r="B712" s="130">
        <v>36</v>
      </c>
      <c r="C712" s="234" t="str">
        <f>'Du toan chi tiet'!C45</f>
        <v>AF.15433</v>
      </c>
      <c r="D712" s="234" t="str">
        <f>'Du toan chi tiet'!C45</f>
        <v>AF.15433</v>
      </c>
      <c r="E712" s="730" t="str">
        <f>'Du toan chi tiet'!D45</f>
        <v>Bê tông thương phẩm, bê tông hoàn trả mặt đường dày mặt đường ≤25cm, bê tông M250, đá 2x4, PCB40</v>
      </c>
      <c r="F712" s="130" t="str">
        <f>'Du toan chi tiet'!E45</f>
        <v>m3</v>
      </c>
      <c r="G712" s="664"/>
      <c r="H712" s="282"/>
      <c r="I712" s="450"/>
      <c r="J712" s="282"/>
      <c r="K712" s="49"/>
      <c r="L712" s="49"/>
      <c r="M712" s="49"/>
      <c r="N712" s="49"/>
      <c r="O712" s="49"/>
      <c r="P712" s="49"/>
      <c r="Q712" s="49"/>
      <c r="R712" s="49"/>
      <c r="S712" s="49"/>
      <c r="T712" s="49"/>
      <c r="U712" s="49"/>
      <c r="V712" s="49"/>
      <c r="W712" s="49"/>
      <c r="X712" s="49"/>
      <c r="Y712" s="49"/>
      <c r="Z712" s="49"/>
      <c r="AA712" s="49"/>
    </row>
    <row r="713" spans="1:27" x14ac:dyDescent="0.25">
      <c r="A713" s="261"/>
      <c r="B713" s="690"/>
      <c r="C713" s="745" t="s">
        <v>98</v>
      </c>
      <c r="D713" s="745" t="s">
        <v>98</v>
      </c>
      <c r="E713" s="247" t="s">
        <v>547</v>
      </c>
      <c r="F713" s="690" t="s">
        <v>962</v>
      </c>
      <c r="G713" s="133"/>
      <c r="H713" s="44"/>
      <c r="I713" s="233"/>
      <c r="J713" s="44" t="e">
        <f>SUM(J714:J720)</f>
        <v>#REF!</v>
      </c>
      <c r="K713" s="49"/>
      <c r="L713" s="49"/>
      <c r="M713" s="49"/>
      <c r="N713" s="49"/>
      <c r="O713" s="49"/>
      <c r="P713" s="49"/>
      <c r="Q713" s="49"/>
      <c r="R713" s="49"/>
      <c r="S713" s="49"/>
      <c r="T713" s="49"/>
      <c r="U713" s="49"/>
      <c r="V713" s="49"/>
      <c r="W713" s="49"/>
      <c r="X713" s="49"/>
      <c r="Y713" s="49"/>
      <c r="Z713" s="49"/>
      <c r="AA713" s="49"/>
    </row>
    <row r="714" spans="1:27" x14ac:dyDescent="0.25">
      <c r="A714" s="207"/>
      <c r="B714" s="641"/>
      <c r="C714" s="711" t="s">
        <v>98</v>
      </c>
      <c r="D714" s="276" t="s">
        <v>235</v>
      </c>
      <c r="E714" s="191" t="str">
        <f>" - " &amp; 'Giá VL'!E37</f>
        <v xml:space="preserve"> - Xi măng PCB40</v>
      </c>
      <c r="F714" s="641" t="str">
        <f>'Giá VL'!F37</f>
        <v>kg</v>
      </c>
      <c r="G714" s="67" t="e">
        <f>'Phan tich don gia'!#REF!</f>
        <v>#REF!</v>
      </c>
      <c r="H714" s="5">
        <f>'Giá VL'!V37</f>
        <v>1587.7239999999999</v>
      </c>
      <c r="I714" s="198">
        <f>'Du toan chi tiet'!V45</f>
        <v>1</v>
      </c>
      <c r="J714" s="5" t="e">
        <f t="shared" ref="J714:J720" si="39">PRODUCT(G714,H714,I714)</f>
        <v>#REF!</v>
      </c>
      <c r="K714" s="49"/>
      <c r="L714" s="49"/>
      <c r="M714" s="49"/>
      <c r="N714" s="49"/>
      <c r="O714" s="49"/>
      <c r="P714" s="49"/>
      <c r="Q714" s="49"/>
      <c r="R714" s="49"/>
      <c r="S714" s="49"/>
      <c r="T714" s="49"/>
      <c r="U714" s="49"/>
      <c r="V714" s="49"/>
      <c r="W714" s="49"/>
      <c r="X714" s="49"/>
      <c r="Y714" s="49"/>
      <c r="Z714" s="49"/>
      <c r="AA714" s="49"/>
    </row>
    <row r="715" spans="1:27" x14ac:dyDescent="0.25">
      <c r="A715" s="207"/>
      <c r="B715" s="641"/>
      <c r="C715" s="711" t="s">
        <v>98</v>
      </c>
      <c r="D715" s="276" t="s">
        <v>523</v>
      </c>
      <c r="E715" s="191" t="str">
        <f>" - " &amp; 'Giá VL'!E9</f>
        <v xml:space="preserve"> - Cát vàng</v>
      </c>
      <c r="F715" s="641" t="str">
        <f>'Giá VL'!F9</f>
        <v>m3</v>
      </c>
      <c r="G715" s="67" t="e">
        <f>'Phan tich don gia'!#REF!</f>
        <v>#REF!</v>
      </c>
      <c r="H715" s="5">
        <f>'Giá VL'!V9</f>
        <v>345317.29174999997</v>
      </c>
      <c r="I715" s="198">
        <f>'Du toan chi tiet'!V45</f>
        <v>1</v>
      </c>
      <c r="J715" s="5" t="e">
        <f t="shared" si="39"/>
        <v>#REF!</v>
      </c>
      <c r="K715" s="49"/>
      <c r="L715" s="49"/>
      <c r="M715" s="49"/>
      <c r="N715" s="49"/>
      <c r="O715" s="49"/>
      <c r="P715" s="49"/>
      <c r="Q715" s="49"/>
      <c r="R715" s="49"/>
      <c r="S715" s="49"/>
      <c r="T715" s="49"/>
      <c r="U715" s="49"/>
      <c r="V715" s="49"/>
      <c r="W715" s="49"/>
      <c r="X715" s="49"/>
      <c r="Y715" s="49"/>
      <c r="Z715" s="49"/>
      <c r="AA715" s="49"/>
    </row>
    <row r="716" spans="1:27" x14ac:dyDescent="0.25">
      <c r="A716" s="207"/>
      <c r="B716" s="641"/>
      <c r="C716" s="711" t="s">
        <v>98</v>
      </c>
      <c r="D716" s="276" t="s">
        <v>485</v>
      </c>
      <c r="E716" s="191" t="str">
        <f>" - " &amp; 'Giá VL'!E12</f>
        <v xml:space="preserve"> - Đá 2x4</v>
      </c>
      <c r="F716" s="641" t="str">
        <f>'Giá VL'!F12</f>
        <v>m3</v>
      </c>
      <c r="G716" s="67" t="e">
        <f>'Phan tich don gia'!#REF!</f>
        <v>#REF!</v>
      </c>
      <c r="H716" s="5">
        <f>'Giá VL'!V12</f>
        <v>316313.14456500002</v>
      </c>
      <c r="I716" s="198">
        <f>'Du toan chi tiet'!V45</f>
        <v>1</v>
      </c>
      <c r="J716" s="5" t="e">
        <f t="shared" si="39"/>
        <v>#REF!</v>
      </c>
      <c r="K716" s="49"/>
      <c r="L716" s="49"/>
      <c r="M716" s="49"/>
      <c r="N716" s="49"/>
      <c r="O716" s="49"/>
      <c r="P716" s="49"/>
      <c r="Q716" s="49"/>
      <c r="R716" s="49"/>
      <c r="S716" s="49"/>
      <c r="T716" s="49"/>
      <c r="U716" s="49"/>
      <c r="V716" s="49"/>
      <c r="W716" s="49"/>
      <c r="X716" s="49"/>
      <c r="Y716" s="49"/>
      <c r="Z716" s="49"/>
      <c r="AA716" s="49"/>
    </row>
    <row r="717" spans="1:27" x14ac:dyDescent="0.25">
      <c r="A717" s="207"/>
      <c r="B717" s="641"/>
      <c r="C717" s="711" t="s">
        <v>98</v>
      </c>
      <c r="D717" s="276" t="s">
        <v>956</v>
      </c>
      <c r="E717" s="191" t="str">
        <f>" - " &amp; 'Giá VL'!E23</f>
        <v xml:space="preserve"> - Nước</v>
      </c>
      <c r="F717" s="641" t="str">
        <f>'Giá VL'!F23</f>
        <v>lít</v>
      </c>
      <c r="G717" s="67">
        <f>'Phan tich don gia'!G289</f>
        <v>1.0249999999999999</v>
      </c>
      <c r="H717" s="5">
        <f>'Giá VL'!V23</f>
        <v>10</v>
      </c>
      <c r="I717" s="198">
        <f>'Du toan chi tiet'!V45</f>
        <v>1</v>
      </c>
      <c r="J717" s="5">
        <f t="shared" si="39"/>
        <v>10.25</v>
      </c>
      <c r="K717" s="49"/>
      <c r="L717" s="49"/>
      <c r="M717" s="49"/>
      <c r="N717" s="49"/>
      <c r="O717" s="49"/>
      <c r="P717" s="49"/>
      <c r="Q717" s="49"/>
      <c r="R717" s="49"/>
      <c r="S717" s="49"/>
      <c r="T717" s="49"/>
      <c r="U717" s="49"/>
      <c r="V717" s="49"/>
      <c r="W717" s="49"/>
      <c r="X717" s="49"/>
      <c r="Y717" s="49"/>
      <c r="Z717" s="49"/>
      <c r="AA717" s="49"/>
    </row>
    <row r="718" spans="1:27" x14ac:dyDescent="0.25">
      <c r="A718" s="207"/>
      <c r="B718" s="641"/>
      <c r="C718" s="711" t="s">
        <v>98</v>
      </c>
      <c r="D718" s="276" t="s">
        <v>103</v>
      </c>
      <c r="E718" s="191" t="str">
        <f>" - " &amp; 'Giá VL'!E17</f>
        <v xml:space="preserve"> - Gỗ làm khe co dãn</v>
      </c>
      <c r="F718" s="641" t="str">
        <f>'Giá VL'!F17</f>
        <v>m3</v>
      </c>
      <c r="G718" s="67">
        <f>'Phan tich don gia'!G290</f>
        <v>1.4E-2</v>
      </c>
      <c r="H718" s="5">
        <f>'Giá VL'!V17</f>
        <v>4123452.631914</v>
      </c>
      <c r="I718" s="198">
        <f>'Du toan chi tiet'!V45</f>
        <v>1</v>
      </c>
      <c r="J718" s="5">
        <f t="shared" si="39"/>
        <v>57728.336846796003</v>
      </c>
      <c r="K718" s="49"/>
      <c r="L718" s="49"/>
      <c r="M718" s="49"/>
      <c r="N718" s="49"/>
      <c r="O718" s="49"/>
      <c r="P718" s="49"/>
      <c r="Q718" s="49"/>
      <c r="R718" s="49"/>
      <c r="S718" s="49"/>
      <c r="T718" s="49"/>
      <c r="U718" s="49"/>
      <c r="V718" s="49"/>
      <c r="W718" s="49"/>
      <c r="X718" s="49"/>
      <c r="Y718" s="49"/>
      <c r="Z718" s="49"/>
      <c r="AA718" s="49"/>
    </row>
    <row r="719" spans="1:27" x14ac:dyDescent="0.25">
      <c r="A719" s="207"/>
      <c r="B719" s="641"/>
      <c r="C719" s="711" t="s">
        <v>98</v>
      </c>
      <c r="D719" s="276" t="s">
        <v>104</v>
      </c>
      <c r="E719" s="191" t="str">
        <f>" - " &amp; 'Giá VL'!E22</f>
        <v xml:space="preserve"> - Nhựa đường</v>
      </c>
      <c r="F719" s="641" t="str">
        <f>'Giá VL'!F22</f>
        <v>kg</v>
      </c>
      <c r="G719" s="67">
        <f>'Phan tich don gia'!G291</f>
        <v>3.5</v>
      </c>
      <c r="H719" s="5">
        <f>'Giá VL'!V22</f>
        <v>16818</v>
      </c>
      <c r="I719" s="198">
        <f>'Du toan chi tiet'!V45</f>
        <v>1</v>
      </c>
      <c r="J719" s="5">
        <f t="shared" si="39"/>
        <v>58863</v>
      </c>
      <c r="K719" s="49"/>
      <c r="L719" s="49"/>
      <c r="M719" s="49"/>
      <c r="N719" s="49"/>
      <c r="O719" s="49"/>
      <c r="P719" s="49"/>
      <c r="Q719" s="49"/>
      <c r="R719" s="49"/>
      <c r="S719" s="49"/>
      <c r="T719" s="49"/>
      <c r="U719" s="49"/>
      <c r="V719" s="49"/>
      <c r="W719" s="49"/>
      <c r="X719" s="49"/>
      <c r="Y719" s="49"/>
      <c r="Z719" s="49"/>
      <c r="AA719" s="49"/>
    </row>
    <row r="720" spans="1:27" x14ac:dyDescent="0.25">
      <c r="A720" s="207"/>
      <c r="B720" s="641"/>
      <c r="C720" s="711" t="s">
        <v>98</v>
      </c>
      <c r="D720" s="276" t="s">
        <v>667</v>
      </c>
      <c r="E720" s="191" t="s">
        <v>238</v>
      </c>
      <c r="F720" s="641" t="s">
        <v>1113</v>
      </c>
      <c r="G720" s="67">
        <f>'Phan tich don gia'!G292</f>
        <v>2</v>
      </c>
      <c r="H720" s="5" t="e">
        <f>IF('Du toan chi tiet'!V45&lt;&gt;0,SUM(J714:J719)/100/'Du toan chi tiet'!V45,0)</f>
        <v>#REF!</v>
      </c>
      <c r="I720" s="198">
        <f>'Du toan chi tiet'!V45</f>
        <v>1</v>
      </c>
      <c r="J720" s="5" t="e">
        <f t="shared" si="39"/>
        <v>#REF!</v>
      </c>
      <c r="K720" s="49"/>
      <c r="L720" s="49"/>
      <c r="M720" s="49"/>
      <c r="N720" s="49"/>
      <c r="O720" s="49"/>
      <c r="P720" s="49"/>
      <c r="Q720" s="49"/>
      <c r="R720" s="49"/>
      <c r="S720" s="49"/>
      <c r="T720" s="49"/>
      <c r="U720" s="49"/>
      <c r="V720" s="49"/>
      <c r="W720" s="49"/>
      <c r="X720" s="49"/>
      <c r="Y720" s="49"/>
      <c r="Z720" s="49"/>
      <c r="AA720" s="49"/>
    </row>
    <row r="721" spans="1:27" x14ac:dyDescent="0.25">
      <c r="A721" s="261"/>
      <c r="B721" s="690"/>
      <c r="C721" s="745" t="s">
        <v>98</v>
      </c>
      <c r="D721" s="745" t="s">
        <v>98</v>
      </c>
      <c r="E721" s="247" t="s">
        <v>301</v>
      </c>
      <c r="F721" s="690" t="s">
        <v>1018</v>
      </c>
      <c r="G721" s="133"/>
      <c r="H721" s="44"/>
      <c r="I721" s="233"/>
      <c r="J721" s="44">
        <f>SUM(J722:J722)</f>
        <v>156364</v>
      </c>
      <c r="K721" s="49"/>
      <c r="L721" s="49"/>
      <c r="M721" s="49"/>
      <c r="N721" s="49"/>
      <c r="O721" s="49"/>
      <c r="P721" s="49"/>
      <c r="Q721" s="49"/>
      <c r="R721" s="49"/>
      <c r="S721" s="49"/>
      <c r="T721" s="49"/>
      <c r="U721" s="49"/>
      <c r="V721" s="49"/>
      <c r="W721" s="49"/>
      <c r="X721" s="49"/>
      <c r="Y721" s="49"/>
      <c r="Z721" s="49"/>
      <c r="AA721" s="49"/>
    </row>
    <row r="722" spans="1:27" x14ac:dyDescent="0.25">
      <c r="A722" s="207"/>
      <c r="B722" s="641"/>
      <c r="C722" s="711" t="s">
        <v>98</v>
      </c>
      <c r="D722" s="276" t="s">
        <v>706</v>
      </c>
      <c r="E722" s="191" t="str">
        <f>" - " &amp; 'Giá NC'!E8</f>
        <v xml:space="preserve"> - Nhân công bậc 3,5/7 - Nhóm 2</v>
      </c>
      <c r="F722" s="641" t="str">
        <f>'Giá NC'!F8</f>
        <v>công</v>
      </c>
      <c r="G722" s="67">
        <f>'Phan tich don gia'!G294</f>
        <v>0.62</v>
      </c>
      <c r="H722" s="5">
        <f>'Giá NC'!K8</f>
        <v>252200</v>
      </c>
      <c r="I722" s="198">
        <f>'Du toan chi tiet'!W45</f>
        <v>1</v>
      </c>
      <c r="J722" s="5">
        <f>PRODUCT(G722,H722,I722)</f>
        <v>156364</v>
      </c>
      <c r="K722" s="49"/>
      <c r="L722" s="49"/>
      <c r="M722" s="49"/>
      <c r="N722" s="49"/>
      <c r="O722" s="49"/>
      <c r="P722" s="49"/>
      <c r="Q722" s="49"/>
      <c r="R722" s="49"/>
      <c r="S722" s="49"/>
      <c r="T722" s="49"/>
      <c r="U722" s="49"/>
      <c r="V722" s="49"/>
      <c r="W722" s="49"/>
      <c r="X722" s="49"/>
      <c r="Y722" s="49"/>
      <c r="Z722" s="49"/>
      <c r="AA722" s="49"/>
    </row>
    <row r="723" spans="1:27" x14ac:dyDescent="0.25">
      <c r="A723" s="261"/>
      <c r="B723" s="690"/>
      <c r="C723" s="745" t="s">
        <v>98</v>
      </c>
      <c r="D723" s="745" t="s">
        <v>98</v>
      </c>
      <c r="E723" s="247" t="s">
        <v>1175</v>
      </c>
      <c r="F723" s="690" t="s">
        <v>138</v>
      </c>
      <c r="G723" s="133"/>
      <c r="H723" s="44"/>
      <c r="I723" s="233"/>
      <c r="J723" s="44" t="e">
        <f>SUM(J724:J728)</f>
        <v>#REF!</v>
      </c>
      <c r="K723" s="49"/>
      <c r="L723" s="49"/>
      <c r="M723" s="49"/>
      <c r="N723" s="49"/>
      <c r="O723" s="49"/>
      <c r="P723" s="49"/>
      <c r="Q723" s="49"/>
      <c r="R723" s="49"/>
      <c r="S723" s="49"/>
      <c r="T723" s="49"/>
      <c r="U723" s="49"/>
      <c r="V723" s="49"/>
      <c r="W723" s="49"/>
      <c r="X723" s="49"/>
      <c r="Y723" s="49"/>
      <c r="Z723" s="49"/>
      <c r="AA723" s="49"/>
    </row>
    <row r="724" spans="1:27" x14ac:dyDescent="0.25">
      <c r="A724" s="207"/>
      <c r="B724" s="641"/>
      <c r="C724" s="711" t="s">
        <v>98</v>
      </c>
      <c r="D724" s="276" t="s">
        <v>113</v>
      </c>
      <c r="E724" s="191" t="str">
        <f>" - " &amp; 'Giá Máy'!E20</f>
        <v xml:space="preserve"> - Máy trộn bê tông 250 lít</v>
      </c>
      <c r="F724" s="641" t="str">
        <f>'Giá Máy'!F20</f>
        <v>ca</v>
      </c>
      <c r="G724" s="67" t="e">
        <f>'Phan tich don gia'!#REF!</f>
        <v>#REF!</v>
      </c>
      <c r="H724" s="5">
        <f>'Giá Máy'!J20</f>
        <v>317242</v>
      </c>
      <c r="I724" s="198">
        <f>'Du toan chi tiet'!X45</f>
        <v>1</v>
      </c>
      <c r="J724" s="5" t="e">
        <f t="shared" ref="J724:J727" si="40">PRODUCT(G724,H724,I724)</f>
        <v>#REF!</v>
      </c>
      <c r="K724" s="49"/>
      <c r="L724" s="49"/>
      <c r="M724" s="49"/>
      <c r="N724" s="49"/>
      <c r="O724" s="49"/>
      <c r="P724" s="49"/>
      <c r="Q724" s="49"/>
      <c r="R724" s="49"/>
      <c r="S724" s="49"/>
      <c r="T724" s="49"/>
      <c r="U724" s="49"/>
      <c r="V724" s="49"/>
      <c r="W724" s="49"/>
      <c r="X724" s="49"/>
      <c r="Y724" s="49"/>
      <c r="Z724" s="49"/>
      <c r="AA724" s="49"/>
    </row>
    <row r="725" spans="1:27" x14ac:dyDescent="0.25">
      <c r="A725" s="207"/>
      <c r="B725" s="641"/>
      <c r="C725" s="711" t="s">
        <v>98</v>
      </c>
      <c r="D725" s="276" t="s">
        <v>201</v>
      </c>
      <c r="E725" s="191" t="str">
        <f>" - " &amp; 'Giá Máy'!E10</f>
        <v xml:space="preserve"> - Máy đầm bàn 1kW</v>
      </c>
      <c r="F725" s="641" t="str">
        <f>'Giá Máy'!F10</f>
        <v>ca</v>
      </c>
      <c r="G725" s="67">
        <f>'Phan tich don gia'!G296</f>
        <v>8.8999999999999996E-2</v>
      </c>
      <c r="H725" s="5">
        <f>'Giá Máy'!J10</f>
        <v>257212</v>
      </c>
      <c r="I725" s="198">
        <f>'Du toan chi tiet'!X45</f>
        <v>1</v>
      </c>
      <c r="J725" s="5">
        <f t="shared" si="40"/>
        <v>22891.867999999999</v>
      </c>
      <c r="K725" s="49"/>
      <c r="L725" s="49"/>
      <c r="M725" s="49"/>
      <c r="N725" s="49"/>
      <c r="O725" s="49"/>
      <c r="P725" s="49"/>
      <c r="Q725" s="49"/>
      <c r="R725" s="49"/>
      <c r="S725" s="49"/>
      <c r="T725" s="49"/>
      <c r="U725" s="49"/>
      <c r="V725" s="49"/>
      <c r="W725" s="49"/>
      <c r="X725" s="49"/>
      <c r="Y725" s="49"/>
      <c r="Z725" s="49"/>
      <c r="AA725" s="49"/>
    </row>
    <row r="726" spans="1:27" x14ac:dyDescent="0.25">
      <c r="A726" s="207"/>
      <c r="B726" s="641"/>
      <c r="C726" s="711" t="s">
        <v>98</v>
      </c>
      <c r="D726" s="276" t="s">
        <v>194</v>
      </c>
      <c r="E726" s="191" t="str">
        <f>" - " &amp; 'Giá Máy'!E12</f>
        <v xml:space="preserve"> - Máy đầm dùi 1,5kW</v>
      </c>
      <c r="F726" s="641" t="str">
        <f>'Giá Máy'!F12</f>
        <v>ca</v>
      </c>
      <c r="G726" s="67">
        <f>'Phan tich don gia'!G297</f>
        <v>8.8999999999999996E-2</v>
      </c>
      <c r="H726" s="5">
        <f>'Giá Máy'!J12</f>
        <v>265153</v>
      </c>
      <c r="I726" s="198">
        <f>'Du toan chi tiet'!X45</f>
        <v>1</v>
      </c>
      <c r="J726" s="5">
        <f t="shared" si="40"/>
        <v>23598.616999999998</v>
      </c>
      <c r="K726" s="49"/>
      <c r="L726" s="49"/>
      <c r="M726" s="49"/>
      <c r="N726" s="49"/>
      <c r="O726" s="49"/>
      <c r="P726" s="49"/>
      <c r="Q726" s="49"/>
      <c r="R726" s="49"/>
      <c r="S726" s="49"/>
      <c r="T726" s="49"/>
      <c r="U726" s="49"/>
      <c r="V726" s="49"/>
      <c r="W726" s="49"/>
      <c r="X726" s="49"/>
      <c r="Y726" s="49"/>
      <c r="Z726" s="49"/>
      <c r="AA726" s="49"/>
    </row>
    <row r="727" spans="1:27" x14ac:dyDescent="0.25">
      <c r="A727" s="207"/>
      <c r="B727" s="641"/>
      <c r="C727" s="711" t="s">
        <v>98</v>
      </c>
      <c r="D727" s="276" t="s">
        <v>1162</v>
      </c>
      <c r="E727" s="191" t="s">
        <v>1080</v>
      </c>
      <c r="F727" s="641" t="s">
        <v>1113</v>
      </c>
      <c r="G727" s="67">
        <f>'Phan tich don gia'!G298</f>
        <v>2</v>
      </c>
      <c r="H727" s="5" t="e">
        <f>IF('Du toan chi tiet'!X45&lt;&gt;0,SUM(J724:J726)/100/'Du toan chi tiet'!X45,0)</f>
        <v>#REF!</v>
      </c>
      <c r="I727" s="198">
        <f>'Du toan chi tiet'!X45</f>
        <v>1</v>
      </c>
      <c r="J727" s="5" t="e">
        <f t="shared" si="40"/>
        <v>#REF!</v>
      </c>
      <c r="K727" s="49"/>
      <c r="L727" s="49"/>
      <c r="M727" s="49"/>
      <c r="N727" s="49"/>
      <c r="O727" s="49"/>
      <c r="P727" s="49"/>
      <c r="Q727" s="49"/>
      <c r="R727" s="49"/>
      <c r="S727" s="49"/>
      <c r="T727" s="49"/>
      <c r="U727" s="49"/>
      <c r="V727" s="49"/>
      <c r="W727" s="49"/>
      <c r="X727" s="49"/>
      <c r="Y727" s="49"/>
      <c r="Z727" s="49"/>
      <c r="AA727" s="49"/>
    </row>
    <row r="728" spans="1:27" x14ac:dyDescent="0.25">
      <c r="A728" s="207"/>
      <c r="B728" s="641"/>
      <c r="C728" s="711" t="s">
        <v>98</v>
      </c>
      <c r="D728" s="276" t="s">
        <v>98</v>
      </c>
      <c r="E728" s="191" t="s">
        <v>1230</v>
      </c>
      <c r="F728" s="641"/>
      <c r="G728" s="106"/>
      <c r="H728" s="5"/>
      <c r="I728" s="198"/>
      <c r="J728" s="5" t="e">
        <f>SUM(J729:J730)+PRODUCT(G727,I727,THM!X105-THM!R105)</f>
        <v>#REF!</v>
      </c>
      <c r="K728" s="49"/>
      <c r="L728" s="49"/>
      <c r="M728" s="49"/>
      <c r="N728" s="49"/>
      <c r="O728" s="49"/>
      <c r="P728" s="49"/>
      <c r="Q728" s="49"/>
      <c r="R728" s="49"/>
      <c r="S728" s="49"/>
      <c r="T728" s="49"/>
      <c r="U728" s="49"/>
      <c r="V728" s="49"/>
      <c r="W728" s="49"/>
      <c r="X728" s="49"/>
      <c r="Y728" s="49"/>
      <c r="Z728" s="49"/>
      <c r="AA728" s="49"/>
    </row>
    <row r="729" spans="1:27" x14ac:dyDescent="0.25">
      <c r="A729" s="207"/>
      <c r="B729" s="641"/>
      <c r="C729" s="711" t="s">
        <v>98</v>
      </c>
      <c r="D729" s="276" t="s">
        <v>98</v>
      </c>
      <c r="E729" s="191" t="s">
        <v>52</v>
      </c>
      <c r="F729" s="641"/>
      <c r="G729" s="106"/>
      <c r="H729" s="5"/>
      <c r="I729" s="198"/>
      <c r="J729" s="5" t="e">
        <f>PRODUCT(G724,I724,'Giá Máy'!L20)+PRODUCT(G725,I725,'Giá Máy'!L10)+PRODUCT(G726,I726,'Giá Máy'!L12)</f>
        <v>#REF!</v>
      </c>
      <c r="K729" s="49"/>
      <c r="L729" s="49"/>
      <c r="M729" s="49"/>
      <c r="N729" s="49"/>
      <c r="O729" s="49"/>
      <c r="P729" s="49"/>
      <c r="Q729" s="49"/>
      <c r="R729" s="49"/>
      <c r="S729" s="49"/>
      <c r="T729" s="49"/>
      <c r="U729" s="49"/>
      <c r="V729" s="49"/>
      <c r="W729" s="49"/>
      <c r="X729" s="49"/>
      <c r="Y729" s="49"/>
      <c r="Z729" s="49"/>
      <c r="AA729" s="49"/>
    </row>
    <row r="730" spans="1:27" x14ac:dyDescent="0.25">
      <c r="A730" s="207"/>
      <c r="B730" s="641"/>
      <c r="C730" s="711" t="s">
        <v>98</v>
      </c>
      <c r="D730" s="276" t="s">
        <v>98</v>
      </c>
      <c r="E730" s="191" t="s">
        <v>597</v>
      </c>
      <c r="F730" s="641"/>
      <c r="G730" s="106"/>
      <c r="H730" s="5"/>
      <c r="I730" s="198"/>
      <c r="J730" s="5" t="e">
        <f>PRODUCT(G724,I724,'Giá Máy'!M20)+PRODUCT(G725,I725,'Giá Máy'!M10)+PRODUCT(G726,I726,'Giá Máy'!M12)</f>
        <v>#REF!</v>
      </c>
      <c r="K730" s="49"/>
      <c r="L730" s="49"/>
      <c r="M730" s="49"/>
      <c r="N730" s="49"/>
      <c r="O730" s="49"/>
      <c r="P730" s="49"/>
      <c r="Q730" s="49"/>
      <c r="R730" s="49"/>
      <c r="S730" s="49"/>
      <c r="T730" s="49"/>
      <c r="U730" s="49"/>
      <c r="V730" s="49"/>
      <c r="W730" s="49"/>
      <c r="X730" s="49"/>
      <c r="Y730" s="49"/>
      <c r="Z730" s="49"/>
      <c r="AA730" s="49"/>
    </row>
    <row r="731" spans="1:27" x14ac:dyDescent="0.25">
      <c r="A731" s="207"/>
      <c r="B731" s="641"/>
      <c r="C731" s="711" t="s">
        <v>98</v>
      </c>
      <c r="D731" s="276" t="s">
        <v>98</v>
      </c>
      <c r="E731" s="191" t="s">
        <v>599</v>
      </c>
      <c r="F731" s="641" t="s">
        <v>356</v>
      </c>
      <c r="G731" s="106"/>
      <c r="H731" s="5"/>
      <c r="I731" s="198"/>
      <c r="J731" s="5" t="e">
        <f>J713+J721+J723</f>
        <v>#REF!</v>
      </c>
      <c r="K731" s="49"/>
      <c r="L731" s="49"/>
      <c r="M731" s="49"/>
      <c r="N731" s="49"/>
      <c r="O731" s="49"/>
      <c r="P731" s="49"/>
      <c r="Q731" s="49"/>
      <c r="R731" s="49"/>
      <c r="S731" s="49"/>
      <c r="T731" s="49"/>
      <c r="U731" s="49"/>
      <c r="V731" s="49"/>
      <c r="W731" s="49"/>
      <c r="X731" s="49"/>
      <c r="Y731" s="49"/>
      <c r="Z731" s="49"/>
      <c r="AA731" s="49"/>
    </row>
    <row r="732" spans="1:27" x14ac:dyDescent="0.25">
      <c r="A732" s="207"/>
      <c r="B732" s="641"/>
      <c r="C732" s="711" t="s">
        <v>98</v>
      </c>
      <c r="D732" s="276" t="s">
        <v>98</v>
      </c>
      <c r="E732" s="191" t="s">
        <v>265</v>
      </c>
      <c r="F732" s="641" t="s">
        <v>653</v>
      </c>
      <c r="G732" s="307">
        <f>'Thông tin'!E67</f>
        <v>7.2999999999999995E-2</v>
      </c>
      <c r="H732" s="5"/>
      <c r="I732" s="198"/>
      <c r="J732" s="5" t="e">
        <f>(J731)*G732</f>
        <v>#REF!</v>
      </c>
      <c r="K732" s="49"/>
      <c r="L732" s="49"/>
      <c r="M732" s="49"/>
      <c r="N732" s="49"/>
      <c r="O732" s="49"/>
      <c r="P732" s="49"/>
      <c r="Q732" s="49"/>
      <c r="R732" s="49"/>
      <c r="S732" s="49"/>
      <c r="T732" s="49"/>
      <c r="U732" s="49"/>
      <c r="V732" s="49"/>
      <c r="W732" s="49"/>
      <c r="X732" s="49"/>
      <c r="Y732" s="49"/>
      <c r="Z732" s="49"/>
      <c r="AA732" s="49"/>
    </row>
    <row r="733" spans="1:27" x14ac:dyDescent="0.25">
      <c r="A733" s="207"/>
      <c r="B733" s="641"/>
      <c r="C733" s="711" t="s">
        <v>98</v>
      </c>
      <c r="D733" s="276" t="s">
        <v>98</v>
      </c>
      <c r="E733" s="191" t="s">
        <v>765</v>
      </c>
      <c r="F733" s="641" t="s">
        <v>602</v>
      </c>
      <c r="G733" s="307">
        <f>'Thông tin'!E60</f>
        <v>1.1000000000000001E-2</v>
      </c>
      <c r="H733" s="5"/>
      <c r="I733" s="198"/>
      <c r="J733" s="5" t="e">
        <f>(J731)*G733</f>
        <v>#REF!</v>
      </c>
      <c r="K733" s="49"/>
      <c r="L733" s="49"/>
      <c r="M733" s="49"/>
      <c r="N733" s="49"/>
      <c r="O733" s="49"/>
      <c r="P733" s="49"/>
      <c r="Q733" s="49"/>
      <c r="R733" s="49"/>
      <c r="S733" s="49"/>
      <c r="T733" s="49"/>
      <c r="U733" s="49"/>
      <c r="V733" s="49"/>
      <c r="W733" s="49"/>
      <c r="X733" s="49"/>
      <c r="Y733" s="49"/>
      <c r="Z733" s="49"/>
      <c r="AA733" s="49"/>
    </row>
    <row r="734" spans="1:27" ht="30" x14ac:dyDescent="0.25">
      <c r="A734" s="207"/>
      <c r="B734" s="641"/>
      <c r="C734" s="711" t="s">
        <v>98</v>
      </c>
      <c r="D734" s="276" t="s">
        <v>98</v>
      </c>
      <c r="E734" s="191" t="s">
        <v>457</v>
      </c>
      <c r="F734" s="641" t="s">
        <v>881</v>
      </c>
      <c r="G734" s="307">
        <f>'Thông tin'!E65</f>
        <v>2.5000000000000001E-2</v>
      </c>
      <c r="H734" s="5"/>
      <c r="I734" s="198"/>
      <c r="J734" s="5" t="e">
        <f>(J731)*G734</f>
        <v>#REF!</v>
      </c>
      <c r="K734" s="49"/>
      <c r="L734" s="49"/>
      <c r="M734" s="49"/>
      <c r="N734" s="49"/>
      <c r="O734" s="49"/>
      <c r="P734" s="49"/>
      <c r="Q734" s="49"/>
      <c r="R734" s="49"/>
      <c r="S734" s="49"/>
      <c r="T734" s="49"/>
      <c r="U734" s="49"/>
      <c r="V734" s="49"/>
      <c r="W734" s="49"/>
      <c r="X734" s="49"/>
      <c r="Y734" s="49"/>
      <c r="Z734" s="49"/>
      <c r="AA734" s="49"/>
    </row>
    <row r="735" spans="1:27" x14ac:dyDescent="0.25">
      <c r="A735" s="207"/>
      <c r="B735" s="641"/>
      <c r="C735" s="711" t="s">
        <v>98</v>
      </c>
      <c r="D735" s="276" t="s">
        <v>98</v>
      </c>
      <c r="E735" s="191" t="s">
        <v>1244</v>
      </c>
      <c r="F735" s="641" t="s">
        <v>1032</v>
      </c>
      <c r="G735" s="106"/>
      <c r="H735" s="5"/>
      <c r="I735" s="198"/>
      <c r="J735" s="5" t="e">
        <f>J732+J733+J734</f>
        <v>#REF!</v>
      </c>
      <c r="K735" s="49"/>
      <c r="L735" s="49"/>
      <c r="M735" s="49"/>
      <c r="N735" s="49"/>
      <c r="O735" s="49"/>
      <c r="P735" s="49"/>
      <c r="Q735" s="49"/>
      <c r="R735" s="49"/>
      <c r="S735" s="49"/>
      <c r="T735" s="49"/>
      <c r="U735" s="49"/>
      <c r="V735" s="49"/>
      <c r="W735" s="49"/>
      <c r="X735" s="49"/>
      <c r="Y735" s="49"/>
      <c r="Z735" s="49"/>
      <c r="AA735" s="49"/>
    </row>
    <row r="736" spans="1:27" x14ac:dyDescent="0.25">
      <c r="A736" s="207"/>
      <c r="B736" s="641"/>
      <c r="C736" s="711" t="s">
        <v>98</v>
      </c>
      <c r="D736" s="276" t="s">
        <v>98</v>
      </c>
      <c r="E736" s="191" t="s">
        <v>990</v>
      </c>
      <c r="F736" s="641" t="s">
        <v>307</v>
      </c>
      <c r="G736" s="307">
        <f>'Thông tin'!E63</f>
        <v>5.5E-2</v>
      </c>
      <c r="H736" s="5"/>
      <c r="I736" s="198"/>
      <c r="J736" s="5" t="e">
        <f>(J731+J735)*G736</f>
        <v>#REF!</v>
      </c>
      <c r="K736" s="49"/>
      <c r="L736" s="49"/>
      <c r="M736" s="49"/>
      <c r="N736" s="49"/>
      <c r="O736" s="49"/>
      <c r="P736" s="49"/>
      <c r="Q736" s="49"/>
      <c r="R736" s="49"/>
      <c r="S736" s="49"/>
      <c r="T736" s="49"/>
      <c r="U736" s="49"/>
      <c r="V736" s="49"/>
      <c r="W736" s="49"/>
      <c r="X736" s="49"/>
      <c r="Y736" s="49"/>
      <c r="Z736" s="49"/>
      <c r="AA736" s="49"/>
    </row>
    <row r="737" spans="1:27" x14ac:dyDescent="0.25">
      <c r="A737" s="207"/>
      <c r="B737" s="641"/>
      <c r="C737" s="711" t="s">
        <v>98</v>
      </c>
      <c r="D737" s="276" t="s">
        <v>98</v>
      </c>
      <c r="E737" s="7" t="s">
        <v>142</v>
      </c>
      <c r="F737" s="499" t="s">
        <v>286</v>
      </c>
      <c r="G737" s="106"/>
      <c r="H737" s="5"/>
      <c r="I737" s="198"/>
      <c r="J737" s="620" t="e">
        <f>J731+J735+J736</f>
        <v>#REF!</v>
      </c>
      <c r="K737" s="49"/>
      <c r="L737" s="49"/>
      <c r="M737" s="49"/>
      <c r="N737" s="49"/>
      <c r="O737" s="49"/>
      <c r="P737" s="49"/>
      <c r="Q737" s="49"/>
      <c r="R737" s="49"/>
      <c r="S737" s="49"/>
      <c r="T737" s="49"/>
      <c r="U737" s="49"/>
      <c r="V737" s="49"/>
      <c r="W737" s="49"/>
      <c r="X737" s="49"/>
      <c r="Y737" s="49"/>
      <c r="Z737" s="49"/>
      <c r="AA737" s="49"/>
    </row>
    <row r="738" spans="1:27" x14ac:dyDescent="0.25">
      <c r="A738" s="207"/>
      <c r="B738" s="641"/>
      <c r="C738" s="711" t="s">
        <v>98</v>
      </c>
      <c r="D738" s="276" t="s">
        <v>98</v>
      </c>
      <c r="E738" s="191" t="s">
        <v>762</v>
      </c>
      <c r="F738" s="641" t="s">
        <v>830</v>
      </c>
      <c r="G738" s="705">
        <f>'Thông tin'!E61</f>
        <v>0.08</v>
      </c>
      <c r="H738" s="5"/>
      <c r="I738" s="198"/>
      <c r="J738" s="5" t="e">
        <f>(J737)*G738</f>
        <v>#REF!</v>
      </c>
      <c r="K738" s="49"/>
      <c r="L738" s="49"/>
      <c r="M738" s="49"/>
      <c r="N738" s="49"/>
      <c r="O738" s="49"/>
      <c r="P738" s="49"/>
      <c r="Q738" s="49"/>
      <c r="R738" s="49"/>
      <c r="S738" s="49"/>
      <c r="T738" s="49"/>
      <c r="U738" s="49"/>
      <c r="V738" s="49"/>
      <c r="W738" s="49"/>
      <c r="X738" s="49"/>
      <c r="Y738" s="49"/>
      <c r="Z738" s="49"/>
      <c r="AA738" s="49"/>
    </row>
    <row r="739" spans="1:27" x14ac:dyDescent="0.25">
      <c r="A739" s="122"/>
      <c r="B739" s="581"/>
      <c r="C739" s="636" t="s">
        <v>98</v>
      </c>
      <c r="D739" s="196" t="s">
        <v>98</v>
      </c>
      <c r="E739" s="728" t="s">
        <v>953</v>
      </c>
      <c r="F739" s="429" t="s">
        <v>1108</v>
      </c>
      <c r="G739" s="29"/>
      <c r="H739" s="704"/>
      <c r="I739" s="113"/>
      <c r="J739" s="657" t="e">
        <f>J737+J738</f>
        <v>#REF!</v>
      </c>
      <c r="K739" s="49"/>
      <c r="L739" s="49"/>
      <c r="M739" s="49"/>
      <c r="N739" s="49"/>
      <c r="O739" s="49"/>
      <c r="P739" s="49"/>
      <c r="Q739" s="49"/>
      <c r="R739" s="49"/>
      <c r="S739" s="49"/>
      <c r="T739" s="49"/>
      <c r="U739" s="49"/>
      <c r="V739" s="49"/>
      <c r="W739" s="49"/>
      <c r="X739" s="49"/>
      <c r="Y739" s="49"/>
      <c r="Z739" s="49"/>
      <c r="AA739" s="49"/>
    </row>
    <row r="740" spans="1:27" x14ac:dyDescent="0.25">
      <c r="A740" s="458"/>
      <c r="B740" s="130">
        <v>37</v>
      </c>
      <c r="C740" s="234" t="str">
        <f>'Du toan chi tiet'!C46</f>
        <v>AB.66141</v>
      </c>
      <c r="D740" s="234" t="str">
        <f>'Du toan chi tiet'!C46</f>
        <v>AB.66141</v>
      </c>
      <c r="E740" s="730" t="str">
        <f>'Du toan chi tiet'!D46</f>
        <v>Đắpbột đáy dày 5cm</v>
      </c>
      <c r="F740" s="130" t="str">
        <f>'Du toan chi tiet'!E46</f>
        <v>m3</v>
      </c>
      <c r="G740" s="664"/>
      <c r="H740" s="282"/>
      <c r="I740" s="450"/>
      <c r="J740" s="282"/>
      <c r="K740" s="49"/>
      <c r="L740" s="49"/>
      <c r="M740" s="49"/>
      <c r="N740" s="49"/>
      <c r="O740" s="49"/>
      <c r="P740" s="49"/>
      <c r="Q740" s="49"/>
      <c r="R740" s="49"/>
      <c r="S740" s="49"/>
      <c r="T740" s="49"/>
      <c r="U740" s="49"/>
      <c r="V740" s="49"/>
      <c r="W740" s="49"/>
      <c r="X740" s="49"/>
      <c r="Y740" s="49"/>
      <c r="Z740" s="49"/>
      <c r="AA740" s="49"/>
    </row>
    <row r="741" spans="1:27" x14ac:dyDescent="0.25">
      <c r="A741" s="261"/>
      <c r="B741" s="690"/>
      <c r="C741" s="745" t="s">
        <v>98</v>
      </c>
      <c r="D741" s="745" t="s">
        <v>98</v>
      </c>
      <c r="E741" s="247" t="s">
        <v>547</v>
      </c>
      <c r="F741" s="690" t="s">
        <v>962</v>
      </c>
      <c r="G741" s="133"/>
      <c r="H741" s="44"/>
      <c r="I741" s="233"/>
      <c r="J741" s="44">
        <f>SUM(J742:J742)</f>
        <v>173936.85111923999</v>
      </c>
      <c r="K741" s="49"/>
      <c r="L741" s="49"/>
      <c r="M741" s="49"/>
      <c r="N741" s="49"/>
      <c r="O741" s="49"/>
      <c r="P741" s="49"/>
      <c r="Q741" s="49"/>
      <c r="R741" s="49"/>
      <c r="S741" s="49"/>
      <c r="T741" s="49"/>
      <c r="U741" s="49"/>
      <c r="V741" s="49"/>
      <c r="W741" s="49"/>
      <c r="X741" s="49"/>
      <c r="Y741" s="49"/>
      <c r="Z741" s="49"/>
      <c r="AA741" s="49"/>
    </row>
    <row r="742" spans="1:27" x14ac:dyDescent="0.25">
      <c r="A742" s="207"/>
      <c r="B742" s="641"/>
      <c r="C742" s="711" t="s">
        <v>98</v>
      </c>
      <c r="D742" s="276" t="s">
        <v>99</v>
      </c>
      <c r="E742" s="191" t="str">
        <f>" - " &amp; 'Giá VL'!E8</f>
        <v xml:space="preserve"> - Bột đá</v>
      </c>
      <c r="F742" s="641" t="str">
        <f>'Giá VL'!F8</f>
        <v>m3</v>
      </c>
      <c r="G742" s="67">
        <f>'Phan tich don gia'!G301</f>
        <v>1.22</v>
      </c>
      <c r="H742" s="5">
        <f>'Giá VL'!V8</f>
        <v>142571.189442</v>
      </c>
      <c r="I742" s="198">
        <f>'Du toan chi tiet'!V46</f>
        <v>1</v>
      </c>
      <c r="J742" s="5">
        <f>PRODUCT(G742,H742,I742)</f>
        <v>173936.85111923999</v>
      </c>
      <c r="K742" s="49"/>
      <c r="L742" s="49"/>
      <c r="M742" s="49"/>
      <c r="N742" s="49"/>
      <c r="O742" s="49"/>
      <c r="P742" s="49"/>
      <c r="Q742" s="49"/>
      <c r="R742" s="49"/>
      <c r="S742" s="49"/>
      <c r="T742" s="49"/>
      <c r="U742" s="49"/>
      <c r="V742" s="49"/>
      <c r="W742" s="49"/>
      <c r="X742" s="49"/>
      <c r="Y742" s="49"/>
      <c r="Z742" s="49"/>
      <c r="AA742" s="49"/>
    </row>
    <row r="743" spans="1:27" x14ac:dyDescent="0.25">
      <c r="A743" s="261"/>
      <c r="B743" s="690"/>
      <c r="C743" s="745" t="s">
        <v>98</v>
      </c>
      <c r="D743" s="745" t="s">
        <v>98</v>
      </c>
      <c r="E743" s="247" t="s">
        <v>301</v>
      </c>
      <c r="F743" s="690" t="s">
        <v>1018</v>
      </c>
      <c r="G743" s="133"/>
      <c r="H743" s="44"/>
      <c r="I743" s="233"/>
      <c r="J743" s="44">
        <f>SUM(J744:J744)</f>
        <v>8501.945099999999</v>
      </c>
      <c r="K743" s="49"/>
      <c r="L743" s="49"/>
      <c r="M743" s="49"/>
      <c r="N743" s="49"/>
      <c r="O743" s="49"/>
      <c r="P743" s="49"/>
      <c r="Q743" s="49"/>
      <c r="R743" s="49"/>
      <c r="S743" s="49"/>
      <c r="T743" s="49"/>
      <c r="U743" s="49"/>
      <c r="V743" s="49"/>
      <c r="W743" s="49"/>
      <c r="X743" s="49"/>
      <c r="Y743" s="49"/>
      <c r="Z743" s="49"/>
      <c r="AA743" s="49"/>
    </row>
    <row r="744" spans="1:27" x14ac:dyDescent="0.25">
      <c r="A744" s="207"/>
      <c r="B744" s="641"/>
      <c r="C744" s="711" t="s">
        <v>98</v>
      </c>
      <c r="D744" s="276" t="s">
        <v>475</v>
      </c>
      <c r="E744" s="191" t="str">
        <f>" - " &amp; 'Giá NC'!E5</f>
        <v xml:space="preserve"> - Nhân công bậc 3,0/7 - Nhóm 1</v>
      </c>
      <c r="F744" s="641" t="str">
        <f>'Giá NC'!F5</f>
        <v>công</v>
      </c>
      <c r="G744" s="67">
        <f>'Phan tich don gia'!G303</f>
        <v>3.8899999999999997E-2</v>
      </c>
      <c r="H744" s="5">
        <f>'Giá NC'!K5</f>
        <v>218559</v>
      </c>
      <c r="I744" s="198">
        <f>'Du toan chi tiet'!W46</f>
        <v>1</v>
      </c>
      <c r="J744" s="5">
        <f>PRODUCT(G744,H744,I744)</f>
        <v>8501.945099999999</v>
      </c>
      <c r="K744" s="49"/>
      <c r="L744" s="49"/>
      <c r="M744" s="49"/>
      <c r="N744" s="49"/>
      <c r="O744" s="49"/>
      <c r="P744" s="49"/>
      <c r="Q744" s="49"/>
      <c r="R744" s="49"/>
      <c r="S744" s="49"/>
      <c r="T744" s="49"/>
      <c r="U744" s="49"/>
      <c r="V744" s="49"/>
      <c r="W744" s="49"/>
      <c r="X744" s="49"/>
      <c r="Y744" s="49"/>
      <c r="Z744" s="49"/>
      <c r="AA744" s="49"/>
    </row>
    <row r="745" spans="1:27" x14ac:dyDescent="0.25">
      <c r="A745" s="261"/>
      <c r="B745" s="690"/>
      <c r="C745" s="745" t="s">
        <v>98</v>
      </c>
      <c r="D745" s="745" t="s">
        <v>98</v>
      </c>
      <c r="E745" s="247" t="s">
        <v>1175</v>
      </c>
      <c r="F745" s="690" t="s">
        <v>138</v>
      </c>
      <c r="G745" s="133"/>
      <c r="H745" s="44"/>
      <c r="I745" s="233"/>
      <c r="J745" s="44">
        <f>SUM(J746:J748)</f>
        <v>7382.8493799999997</v>
      </c>
      <c r="K745" s="49"/>
      <c r="L745" s="49"/>
      <c r="M745" s="49"/>
      <c r="N745" s="49"/>
      <c r="O745" s="49"/>
      <c r="P745" s="49"/>
      <c r="Q745" s="49"/>
      <c r="R745" s="49"/>
      <c r="S745" s="49"/>
      <c r="T745" s="49"/>
      <c r="U745" s="49"/>
      <c r="V745" s="49"/>
      <c r="W745" s="49"/>
      <c r="X745" s="49"/>
      <c r="Y745" s="49"/>
      <c r="Z745" s="49"/>
      <c r="AA745" s="49"/>
    </row>
    <row r="746" spans="1:27" x14ac:dyDescent="0.25">
      <c r="A746" s="207"/>
      <c r="B746" s="641"/>
      <c r="C746" s="711" t="s">
        <v>98</v>
      </c>
      <c r="D746" s="276" t="s">
        <v>551</v>
      </c>
      <c r="E746" s="191" t="str">
        <f>" - " &amp; 'Giá Máy'!E11</f>
        <v xml:space="preserve"> - Máy đầm đất cầm tay 70kg</v>
      </c>
      <c r="F746" s="641" t="str">
        <f>'Giá Máy'!F11</f>
        <v>ca</v>
      </c>
      <c r="G746" s="67">
        <f>'Phan tich don gia'!G305</f>
        <v>1.9E-2</v>
      </c>
      <c r="H746" s="5">
        <f>'Giá Máy'!J11</f>
        <v>380951</v>
      </c>
      <c r="I746" s="198">
        <f>'Du toan chi tiet'!X46</f>
        <v>1</v>
      </c>
      <c r="J746" s="5">
        <f t="shared" ref="J746:J747" si="41">PRODUCT(G746,H746,I746)</f>
        <v>7238.0689999999995</v>
      </c>
      <c r="K746" s="49"/>
      <c r="L746" s="49"/>
      <c r="M746" s="49"/>
      <c r="N746" s="49"/>
      <c r="O746" s="49"/>
      <c r="P746" s="49"/>
      <c r="Q746" s="49"/>
      <c r="R746" s="49"/>
      <c r="S746" s="49"/>
      <c r="T746" s="49"/>
      <c r="U746" s="49"/>
      <c r="V746" s="49"/>
      <c r="W746" s="49"/>
      <c r="X746" s="49"/>
      <c r="Y746" s="49"/>
      <c r="Z746" s="49"/>
      <c r="AA746" s="49"/>
    </row>
    <row r="747" spans="1:27" x14ac:dyDescent="0.25">
      <c r="A747" s="207"/>
      <c r="B747" s="641"/>
      <c r="C747" s="711" t="s">
        <v>98</v>
      </c>
      <c r="D747" s="276" t="s">
        <v>1162</v>
      </c>
      <c r="E747" s="191" t="s">
        <v>1080</v>
      </c>
      <c r="F747" s="641" t="s">
        <v>1113</v>
      </c>
      <c r="G747" s="67">
        <f>'Phan tich don gia'!G306</f>
        <v>2</v>
      </c>
      <c r="H747" s="5">
        <f>IF('Du toan chi tiet'!X46&lt;&gt;0,SUM(J746:J746)/100/'Du toan chi tiet'!X46,0)</f>
        <v>72.380690000000001</v>
      </c>
      <c r="I747" s="198">
        <f>'Du toan chi tiet'!X46</f>
        <v>1</v>
      </c>
      <c r="J747" s="5">
        <f t="shared" si="41"/>
        <v>144.76138</v>
      </c>
      <c r="K747" s="49"/>
      <c r="L747" s="49"/>
      <c r="M747" s="49"/>
      <c r="N747" s="49"/>
      <c r="O747" s="49"/>
      <c r="P747" s="49"/>
      <c r="Q747" s="49"/>
      <c r="R747" s="49"/>
      <c r="S747" s="49"/>
      <c r="T747" s="49"/>
      <c r="U747" s="49"/>
      <c r="V747" s="49"/>
      <c r="W747" s="49"/>
      <c r="X747" s="49"/>
      <c r="Y747" s="49"/>
      <c r="Z747" s="49"/>
      <c r="AA747" s="49"/>
    </row>
    <row r="748" spans="1:27" x14ac:dyDescent="0.25">
      <c r="A748" s="207"/>
      <c r="B748" s="641"/>
      <c r="C748" s="711" t="s">
        <v>98</v>
      </c>
      <c r="D748" s="276" t="s">
        <v>98</v>
      </c>
      <c r="E748" s="191" t="s">
        <v>1230</v>
      </c>
      <c r="F748" s="641"/>
      <c r="G748" s="106"/>
      <c r="H748" s="5"/>
      <c r="I748" s="198"/>
      <c r="J748" s="5">
        <f>SUM(J749:J750)+PRODUCT(G747,I747,THM!X100-THM!R100)</f>
        <v>1.9E-2</v>
      </c>
      <c r="K748" s="49"/>
      <c r="L748" s="49"/>
      <c r="M748" s="49"/>
      <c r="N748" s="49"/>
      <c r="O748" s="49"/>
      <c r="P748" s="49"/>
      <c r="Q748" s="49"/>
      <c r="R748" s="49"/>
      <c r="S748" s="49"/>
      <c r="T748" s="49"/>
      <c r="U748" s="49"/>
      <c r="V748" s="49"/>
      <c r="W748" s="49"/>
      <c r="X748" s="49"/>
      <c r="Y748" s="49"/>
      <c r="Z748" s="49"/>
      <c r="AA748" s="49"/>
    </row>
    <row r="749" spans="1:27" x14ac:dyDescent="0.25">
      <c r="A749" s="207"/>
      <c r="B749" s="641"/>
      <c r="C749" s="711" t="s">
        <v>98</v>
      </c>
      <c r="D749" s="276" t="s">
        <v>98</v>
      </c>
      <c r="E749" s="191" t="s">
        <v>52</v>
      </c>
      <c r="F749" s="641"/>
      <c r="G749" s="106"/>
      <c r="H749" s="5"/>
      <c r="I749" s="198"/>
      <c r="J749" s="5">
        <f>PRODUCT(G746,I746,'Giá Máy'!L11)</f>
        <v>0</v>
      </c>
      <c r="K749" s="49"/>
      <c r="L749" s="49"/>
      <c r="M749" s="49"/>
      <c r="N749" s="49"/>
      <c r="O749" s="49"/>
      <c r="P749" s="49"/>
      <c r="Q749" s="49"/>
      <c r="R749" s="49"/>
      <c r="S749" s="49"/>
      <c r="T749" s="49"/>
      <c r="U749" s="49"/>
      <c r="V749" s="49"/>
      <c r="W749" s="49"/>
      <c r="X749" s="49"/>
      <c r="Y749" s="49"/>
      <c r="Z749" s="49"/>
      <c r="AA749" s="49"/>
    </row>
    <row r="750" spans="1:27" x14ac:dyDescent="0.25">
      <c r="A750" s="207"/>
      <c r="B750" s="641"/>
      <c r="C750" s="711" t="s">
        <v>98</v>
      </c>
      <c r="D750" s="276" t="s">
        <v>98</v>
      </c>
      <c r="E750" s="191" t="s">
        <v>597</v>
      </c>
      <c r="F750" s="641"/>
      <c r="G750" s="106"/>
      <c r="H750" s="5"/>
      <c r="I750" s="198"/>
      <c r="J750" s="5">
        <f>PRODUCT(G746,I746,'Giá Máy'!M11)</f>
        <v>1.9E-2</v>
      </c>
      <c r="K750" s="49"/>
      <c r="L750" s="49"/>
      <c r="M750" s="49"/>
      <c r="N750" s="49"/>
      <c r="O750" s="49"/>
      <c r="P750" s="49"/>
      <c r="Q750" s="49"/>
      <c r="R750" s="49"/>
      <c r="S750" s="49"/>
      <c r="T750" s="49"/>
      <c r="U750" s="49"/>
      <c r="V750" s="49"/>
      <c r="W750" s="49"/>
      <c r="X750" s="49"/>
      <c r="Y750" s="49"/>
      <c r="Z750" s="49"/>
      <c r="AA750" s="49"/>
    </row>
    <row r="751" spans="1:27" x14ac:dyDescent="0.25">
      <c r="A751" s="207"/>
      <c r="B751" s="641"/>
      <c r="C751" s="711" t="s">
        <v>98</v>
      </c>
      <c r="D751" s="276" t="s">
        <v>98</v>
      </c>
      <c r="E751" s="191" t="s">
        <v>599</v>
      </c>
      <c r="F751" s="641" t="s">
        <v>356</v>
      </c>
      <c r="G751" s="106"/>
      <c r="H751" s="5"/>
      <c r="I751" s="198"/>
      <c r="J751" s="5">
        <f>J741+J743+J745</f>
        <v>189821.64559924</v>
      </c>
      <c r="K751" s="49"/>
      <c r="L751" s="49"/>
      <c r="M751" s="49"/>
      <c r="N751" s="49"/>
      <c r="O751" s="49"/>
      <c r="P751" s="49"/>
      <c r="Q751" s="49"/>
      <c r="R751" s="49"/>
      <c r="S751" s="49"/>
      <c r="T751" s="49"/>
      <c r="U751" s="49"/>
      <c r="V751" s="49"/>
      <c r="W751" s="49"/>
      <c r="X751" s="49"/>
      <c r="Y751" s="49"/>
      <c r="Z751" s="49"/>
      <c r="AA751" s="49"/>
    </row>
    <row r="752" spans="1:27" x14ac:dyDescent="0.25">
      <c r="A752" s="207"/>
      <c r="B752" s="641"/>
      <c r="C752" s="711" t="s">
        <v>98</v>
      </c>
      <c r="D752" s="276" t="s">
        <v>98</v>
      </c>
      <c r="E752" s="191" t="s">
        <v>265</v>
      </c>
      <c r="F752" s="641" t="s">
        <v>653</v>
      </c>
      <c r="G752" s="307">
        <f>'Thông tin'!E67</f>
        <v>7.2999999999999995E-2</v>
      </c>
      <c r="H752" s="5"/>
      <c r="I752" s="198"/>
      <c r="J752" s="5">
        <f>(J751)*G752</f>
        <v>13856.980128744519</v>
      </c>
      <c r="K752" s="49"/>
      <c r="L752" s="49"/>
      <c r="M752" s="49"/>
      <c r="N752" s="49"/>
      <c r="O752" s="49"/>
      <c r="P752" s="49"/>
      <c r="Q752" s="49"/>
      <c r="R752" s="49"/>
      <c r="S752" s="49"/>
      <c r="T752" s="49"/>
      <c r="U752" s="49"/>
      <c r="V752" s="49"/>
      <c r="W752" s="49"/>
      <c r="X752" s="49"/>
      <c r="Y752" s="49"/>
      <c r="Z752" s="49"/>
      <c r="AA752" s="49"/>
    </row>
    <row r="753" spans="1:27" x14ac:dyDescent="0.25">
      <c r="A753" s="207"/>
      <c r="B753" s="641"/>
      <c r="C753" s="711" t="s">
        <v>98</v>
      </c>
      <c r="D753" s="276" t="s">
        <v>98</v>
      </c>
      <c r="E753" s="191" t="s">
        <v>765</v>
      </c>
      <c r="F753" s="641" t="s">
        <v>602</v>
      </c>
      <c r="G753" s="307">
        <f>'Thông tin'!E60</f>
        <v>1.1000000000000001E-2</v>
      </c>
      <c r="H753" s="5"/>
      <c r="I753" s="198"/>
      <c r="J753" s="5">
        <f>(J751)*G753</f>
        <v>2088.03810159164</v>
      </c>
      <c r="K753" s="49"/>
      <c r="L753" s="49"/>
      <c r="M753" s="49"/>
      <c r="N753" s="49"/>
      <c r="O753" s="49"/>
      <c r="P753" s="49"/>
      <c r="Q753" s="49"/>
      <c r="R753" s="49"/>
      <c r="S753" s="49"/>
      <c r="T753" s="49"/>
      <c r="U753" s="49"/>
      <c r="V753" s="49"/>
      <c r="W753" s="49"/>
      <c r="X753" s="49"/>
      <c r="Y753" s="49"/>
      <c r="Z753" s="49"/>
      <c r="AA753" s="49"/>
    </row>
    <row r="754" spans="1:27" ht="30" x14ac:dyDescent="0.25">
      <c r="A754" s="207"/>
      <c r="B754" s="641"/>
      <c r="C754" s="711" t="s">
        <v>98</v>
      </c>
      <c r="D754" s="276" t="s">
        <v>98</v>
      </c>
      <c r="E754" s="191" t="s">
        <v>457</v>
      </c>
      <c r="F754" s="641" t="s">
        <v>881</v>
      </c>
      <c r="G754" s="307">
        <f>'Thông tin'!E65</f>
        <v>2.5000000000000001E-2</v>
      </c>
      <c r="H754" s="5"/>
      <c r="I754" s="198"/>
      <c r="J754" s="5">
        <f>(J751)*G754</f>
        <v>4745.541139981</v>
      </c>
      <c r="K754" s="49"/>
      <c r="L754" s="49"/>
      <c r="M754" s="49"/>
      <c r="N754" s="49"/>
      <c r="O754" s="49"/>
      <c r="P754" s="49"/>
      <c r="Q754" s="49"/>
      <c r="R754" s="49"/>
      <c r="S754" s="49"/>
      <c r="T754" s="49"/>
      <c r="U754" s="49"/>
      <c r="V754" s="49"/>
      <c r="W754" s="49"/>
      <c r="X754" s="49"/>
      <c r="Y754" s="49"/>
      <c r="Z754" s="49"/>
      <c r="AA754" s="49"/>
    </row>
    <row r="755" spans="1:27" x14ac:dyDescent="0.25">
      <c r="A755" s="207"/>
      <c r="B755" s="641"/>
      <c r="C755" s="711" t="s">
        <v>98</v>
      </c>
      <c r="D755" s="276" t="s">
        <v>98</v>
      </c>
      <c r="E755" s="191" t="s">
        <v>1244</v>
      </c>
      <c r="F755" s="641" t="s">
        <v>1032</v>
      </c>
      <c r="G755" s="106"/>
      <c r="H755" s="5"/>
      <c r="I755" s="198"/>
      <c r="J755" s="5">
        <f>J752+J753+J754</f>
        <v>20690.559370317158</v>
      </c>
      <c r="K755" s="49"/>
      <c r="L755" s="49"/>
      <c r="M755" s="49"/>
      <c r="N755" s="49"/>
      <c r="O755" s="49"/>
      <c r="P755" s="49"/>
      <c r="Q755" s="49"/>
      <c r="R755" s="49"/>
      <c r="S755" s="49"/>
      <c r="T755" s="49"/>
      <c r="U755" s="49"/>
      <c r="V755" s="49"/>
      <c r="W755" s="49"/>
      <c r="X755" s="49"/>
      <c r="Y755" s="49"/>
      <c r="Z755" s="49"/>
      <c r="AA755" s="49"/>
    </row>
    <row r="756" spans="1:27" x14ac:dyDescent="0.25">
      <c r="A756" s="207"/>
      <c r="B756" s="641"/>
      <c r="C756" s="711" t="s">
        <v>98</v>
      </c>
      <c r="D756" s="276" t="s">
        <v>98</v>
      </c>
      <c r="E756" s="191" t="s">
        <v>990</v>
      </c>
      <c r="F756" s="641" t="s">
        <v>307</v>
      </c>
      <c r="G756" s="307">
        <f>'Thông tin'!E63</f>
        <v>5.5E-2</v>
      </c>
      <c r="H756" s="5"/>
      <c r="I756" s="198"/>
      <c r="J756" s="5">
        <f>(J751+J755)*G756</f>
        <v>11578.171273325643</v>
      </c>
      <c r="K756" s="49"/>
      <c r="L756" s="49"/>
      <c r="M756" s="49"/>
      <c r="N756" s="49"/>
      <c r="O756" s="49"/>
      <c r="P756" s="49"/>
      <c r="Q756" s="49"/>
      <c r="R756" s="49"/>
      <c r="S756" s="49"/>
      <c r="T756" s="49"/>
      <c r="U756" s="49"/>
      <c r="V756" s="49"/>
      <c r="W756" s="49"/>
      <c r="X756" s="49"/>
      <c r="Y756" s="49"/>
      <c r="Z756" s="49"/>
      <c r="AA756" s="49"/>
    </row>
    <row r="757" spans="1:27" x14ac:dyDescent="0.25">
      <c r="A757" s="207"/>
      <c r="B757" s="641"/>
      <c r="C757" s="711" t="s">
        <v>98</v>
      </c>
      <c r="D757" s="276" t="s">
        <v>98</v>
      </c>
      <c r="E757" s="7" t="s">
        <v>142</v>
      </c>
      <c r="F757" s="499" t="s">
        <v>286</v>
      </c>
      <c r="G757" s="106"/>
      <c r="H757" s="5"/>
      <c r="I757" s="198"/>
      <c r="J757" s="620">
        <f>J751+J755+J756</f>
        <v>222090.3762428828</v>
      </c>
      <c r="K757" s="49"/>
      <c r="L757" s="49"/>
      <c r="M757" s="49"/>
      <c r="N757" s="49"/>
      <c r="O757" s="49"/>
      <c r="P757" s="49"/>
      <c r="Q757" s="49"/>
      <c r="R757" s="49"/>
      <c r="S757" s="49"/>
      <c r="T757" s="49"/>
      <c r="U757" s="49"/>
      <c r="V757" s="49"/>
      <c r="W757" s="49"/>
      <c r="X757" s="49"/>
      <c r="Y757" s="49"/>
      <c r="Z757" s="49"/>
      <c r="AA757" s="49"/>
    </row>
    <row r="758" spans="1:27" x14ac:dyDescent="0.25">
      <c r="A758" s="207"/>
      <c r="B758" s="641"/>
      <c r="C758" s="711" t="s">
        <v>98</v>
      </c>
      <c r="D758" s="276" t="s">
        <v>98</v>
      </c>
      <c r="E758" s="191" t="s">
        <v>762</v>
      </c>
      <c r="F758" s="641" t="s">
        <v>830</v>
      </c>
      <c r="G758" s="705">
        <f>'Thông tin'!E61</f>
        <v>0.08</v>
      </c>
      <c r="H758" s="5"/>
      <c r="I758" s="198"/>
      <c r="J758" s="5">
        <f>(J757)*G758</f>
        <v>17767.230099430624</v>
      </c>
      <c r="K758" s="49"/>
      <c r="L758" s="49"/>
      <c r="M758" s="49"/>
      <c r="N758" s="49"/>
      <c r="O758" s="49"/>
      <c r="P758" s="49"/>
      <c r="Q758" s="49"/>
      <c r="R758" s="49"/>
      <c r="S758" s="49"/>
      <c r="T758" s="49"/>
      <c r="U758" s="49"/>
      <c r="V758" s="49"/>
      <c r="W758" s="49"/>
      <c r="X758" s="49"/>
      <c r="Y758" s="49"/>
      <c r="Z758" s="49"/>
      <c r="AA758" s="49"/>
    </row>
    <row r="759" spans="1:27" x14ac:dyDescent="0.25">
      <c r="A759" s="122"/>
      <c r="B759" s="581"/>
      <c r="C759" s="636" t="s">
        <v>98</v>
      </c>
      <c r="D759" s="196" t="s">
        <v>98</v>
      </c>
      <c r="E759" s="728" t="s">
        <v>953</v>
      </c>
      <c r="F759" s="429" t="s">
        <v>1108</v>
      </c>
      <c r="G759" s="29"/>
      <c r="H759" s="704"/>
      <c r="I759" s="113"/>
      <c r="J759" s="657">
        <f>J757+J758</f>
        <v>239857.60634231343</v>
      </c>
      <c r="K759" s="49"/>
      <c r="L759" s="49"/>
      <c r="M759" s="49"/>
      <c r="N759" s="49"/>
      <c r="O759" s="49"/>
      <c r="P759" s="49"/>
      <c r="Q759" s="49"/>
      <c r="R759" s="49"/>
      <c r="S759" s="49"/>
      <c r="T759" s="49"/>
      <c r="U759" s="49"/>
      <c r="V759" s="49"/>
      <c r="W759" s="49"/>
      <c r="X759" s="49"/>
      <c r="Y759" s="49"/>
      <c r="Z759" s="49"/>
      <c r="AA759" s="49"/>
    </row>
    <row r="760" spans="1:27" x14ac:dyDescent="0.25">
      <c r="A760" s="458"/>
      <c r="B760" s="130">
        <v>38</v>
      </c>
      <c r="C760" s="234" t="str">
        <f>'Du toan chi tiet'!C47</f>
        <v>AL.16201</v>
      </c>
      <c r="D760" s="234" t="str">
        <f>'Du toan chi tiet'!C47</f>
        <v>AL.16201</v>
      </c>
      <c r="E760" s="730" t="str">
        <f>'Du toan chi tiet'!D47</f>
        <v>Lót bạc nilong sọc xanh đỏ</v>
      </c>
      <c r="F760" s="130" t="str">
        <f>'Du toan chi tiet'!E47</f>
        <v>m2</v>
      </c>
      <c r="G760" s="664"/>
      <c r="H760" s="282"/>
      <c r="I760" s="450"/>
      <c r="J760" s="282"/>
      <c r="K760" s="49"/>
      <c r="L760" s="49"/>
      <c r="M760" s="49"/>
      <c r="N760" s="49"/>
      <c r="O760" s="49"/>
      <c r="P760" s="49"/>
      <c r="Q760" s="49"/>
      <c r="R760" s="49"/>
      <c r="S760" s="49"/>
      <c r="T760" s="49"/>
      <c r="U760" s="49"/>
      <c r="V760" s="49"/>
      <c r="W760" s="49"/>
      <c r="X760" s="49"/>
      <c r="Y760" s="49"/>
      <c r="Z760" s="49"/>
      <c r="AA760" s="49"/>
    </row>
    <row r="761" spans="1:27" x14ac:dyDescent="0.25">
      <c r="A761" s="261"/>
      <c r="B761" s="690"/>
      <c r="C761" s="745" t="s">
        <v>98</v>
      </c>
      <c r="D761" s="745" t="s">
        <v>98</v>
      </c>
      <c r="E761" s="247" t="s">
        <v>547</v>
      </c>
      <c r="F761" s="690" t="s">
        <v>962</v>
      </c>
      <c r="G761" s="133"/>
      <c r="H761" s="44"/>
      <c r="I761" s="233"/>
      <c r="J761" s="44">
        <f>SUM(J762:J763)</f>
        <v>5610</v>
      </c>
      <c r="K761" s="49"/>
      <c r="L761" s="49"/>
      <c r="M761" s="49"/>
      <c r="N761" s="49"/>
      <c r="O761" s="49"/>
      <c r="P761" s="49"/>
      <c r="Q761" s="49"/>
      <c r="R761" s="49"/>
      <c r="S761" s="49"/>
      <c r="T761" s="49"/>
      <c r="U761" s="49"/>
      <c r="V761" s="49"/>
      <c r="W761" s="49"/>
      <c r="X761" s="49"/>
      <c r="Y761" s="49"/>
      <c r="Z761" s="49"/>
      <c r="AA761" s="49"/>
    </row>
    <row r="762" spans="1:27" x14ac:dyDescent="0.25">
      <c r="A762" s="207"/>
      <c r="B762" s="641"/>
      <c r="C762" s="711" t="s">
        <v>98</v>
      </c>
      <c r="D762" s="276" t="s">
        <v>580</v>
      </c>
      <c r="E762" s="191" t="str">
        <f>" - " &amp; 'Giá VL'!E16</f>
        <v xml:space="preserve"> - Bạc sọc xanh trắng</v>
      </c>
      <c r="F762" s="641" t="str">
        <f>'Giá VL'!F16</f>
        <v>m2</v>
      </c>
      <c r="G762" s="67">
        <f>'Phan tich don gia'!G309</f>
        <v>1.1000000000000001</v>
      </c>
      <c r="H762" s="5">
        <f>'Giá VL'!V16</f>
        <v>5000</v>
      </c>
      <c r="I762" s="198">
        <f>'Du toan chi tiet'!V47</f>
        <v>1</v>
      </c>
      <c r="J762" s="5">
        <f t="shared" ref="J762:J763" si="42">PRODUCT(G762,H762,I762)</f>
        <v>5500</v>
      </c>
      <c r="K762" s="49"/>
      <c r="L762" s="49"/>
      <c r="M762" s="49"/>
      <c r="N762" s="49"/>
      <c r="O762" s="49"/>
      <c r="P762" s="49"/>
      <c r="Q762" s="49"/>
      <c r="R762" s="49"/>
      <c r="S762" s="49"/>
      <c r="T762" s="49"/>
      <c r="U762" s="49"/>
      <c r="V762" s="49"/>
      <c r="W762" s="49"/>
      <c r="X762" s="49"/>
      <c r="Y762" s="49"/>
      <c r="Z762" s="49"/>
      <c r="AA762" s="49"/>
    </row>
    <row r="763" spans="1:27" x14ac:dyDescent="0.25">
      <c r="A763" s="207"/>
      <c r="B763" s="641"/>
      <c r="C763" s="711" t="s">
        <v>98</v>
      </c>
      <c r="D763" s="276" t="s">
        <v>667</v>
      </c>
      <c r="E763" s="191" t="s">
        <v>238</v>
      </c>
      <c r="F763" s="641" t="s">
        <v>1113</v>
      </c>
      <c r="G763" s="67">
        <f>'Phan tich don gia'!G310</f>
        <v>2</v>
      </c>
      <c r="H763" s="5">
        <f>IF('Du toan chi tiet'!V47&lt;&gt;0,SUM(J762:J762)/100/'Du toan chi tiet'!V47,0)</f>
        <v>55</v>
      </c>
      <c r="I763" s="198">
        <f>'Du toan chi tiet'!V47</f>
        <v>1</v>
      </c>
      <c r="J763" s="5">
        <f t="shared" si="42"/>
        <v>110</v>
      </c>
      <c r="K763" s="49"/>
      <c r="L763" s="49"/>
      <c r="M763" s="49"/>
      <c r="N763" s="49"/>
      <c r="O763" s="49"/>
      <c r="P763" s="49"/>
      <c r="Q763" s="49"/>
      <c r="R763" s="49"/>
      <c r="S763" s="49"/>
      <c r="T763" s="49"/>
      <c r="U763" s="49"/>
      <c r="V763" s="49"/>
      <c r="W763" s="49"/>
      <c r="X763" s="49"/>
      <c r="Y763" s="49"/>
      <c r="Z763" s="49"/>
      <c r="AA763" s="49"/>
    </row>
    <row r="764" spans="1:27" x14ac:dyDescent="0.25">
      <c r="A764" s="261"/>
      <c r="B764" s="690"/>
      <c r="C764" s="745" t="s">
        <v>98</v>
      </c>
      <c r="D764" s="745" t="s">
        <v>98</v>
      </c>
      <c r="E764" s="247" t="s">
        <v>301</v>
      </c>
      <c r="F764" s="690" t="s">
        <v>1018</v>
      </c>
      <c r="G764" s="133"/>
      <c r="H764" s="44"/>
      <c r="I764" s="233"/>
      <c r="J764" s="44">
        <f>SUM(J765:J765)</f>
        <v>378.3</v>
      </c>
      <c r="K764" s="49"/>
      <c r="L764" s="49"/>
      <c r="M764" s="49"/>
      <c r="N764" s="49"/>
      <c r="O764" s="49"/>
      <c r="P764" s="49"/>
      <c r="Q764" s="49"/>
      <c r="R764" s="49"/>
      <c r="S764" s="49"/>
      <c r="T764" s="49"/>
      <c r="U764" s="49"/>
      <c r="V764" s="49"/>
      <c r="W764" s="49"/>
      <c r="X764" s="49"/>
      <c r="Y764" s="49"/>
      <c r="Z764" s="49"/>
      <c r="AA764" s="49"/>
    </row>
    <row r="765" spans="1:27" x14ac:dyDescent="0.25">
      <c r="A765" s="207"/>
      <c r="B765" s="641"/>
      <c r="C765" s="711" t="s">
        <v>98</v>
      </c>
      <c r="D765" s="276" t="s">
        <v>706</v>
      </c>
      <c r="E765" s="191" t="str">
        <f>" - " &amp; 'Giá NC'!E8</f>
        <v xml:space="preserve"> - Nhân công bậc 3,5/7 - Nhóm 2</v>
      </c>
      <c r="F765" s="641" t="str">
        <f>'Giá NC'!F8</f>
        <v>công</v>
      </c>
      <c r="G765" s="67">
        <f>'Phan tich don gia'!G312</f>
        <v>1.5E-3</v>
      </c>
      <c r="H765" s="5">
        <f>'Giá NC'!K8</f>
        <v>252200</v>
      </c>
      <c r="I765" s="198">
        <f>'Du toan chi tiet'!W47</f>
        <v>1</v>
      </c>
      <c r="J765" s="5">
        <f>PRODUCT(G765,H765,I765)</f>
        <v>378.3</v>
      </c>
      <c r="K765" s="49"/>
      <c r="L765" s="49"/>
      <c r="M765" s="49"/>
      <c r="N765" s="49"/>
      <c r="O765" s="49"/>
      <c r="P765" s="49"/>
      <c r="Q765" s="49"/>
      <c r="R765" s="49"/>
      <c r="S765" s="49"/>
      <c r="T765" s="49"/>
      <c r="U765" s="49"/>
      <c r="V765" s="49"/>
      <c r="W765" s="49"/>
      <c r="X765" s="49"/>
      <c r="Y765" s="49"/>
      <c r="Z765" s="49"/>
      <c r="AA765" s="49"/>
    </row>
    <row r="766" spans="1:27" x14ac:dyDescent="0.25">
      <c r="A766" s="261"/>
      <c r="B766" s="690"/>
      <c r="C766" s="745" t="s">
        <v>98</v>
      </c>
      <c r="D766" s="745" t="s">
        <v>98</v>
      </c>
      <c r="E766" s="247" t="s">
        <v>1175</v>
      </c>
      <c r="F766" s="690" t="s">
        <v>138</v>
      </c>
      <c r="G766" s="133"/>
      <c r="H766" s="44"/>
      <c r="I766" s="233"/>
      <c r="J766" s="44">
        <v>0</v>
      </c>
      <c r="K766" s="49"/>
      <c r="L766" s="49"/>
      <c r="M766" s="49"/>
      <c r="N766" s="49"/>
      <c r="O766" s="49"/>
      <c r="P766" s="49"/>
      <c r="Q766" s="49"/>
      <c r="R766" s="49"/>
      <c r="S766" s="49"/>
      <c r="T766" s="49"/>
      <c r="U766" s="49"/>
      <c r="V766" s="49"/>
      <c r="W766" s="49"/>
      <c r="X766" s="49"/>
      <c r="Y766" s="49"/>
      <c r="Z766" s="49"/>
      <c r="AA766" s="49"/>
    </row>
    <row r="767" spans="1:27" x14ac:dyDescent="0.25">
      <c r="A767" s="207"/>
      <c r="B767" s="641"/>
      <c r="C767" s="711" t="s">
        <v>98</v>
      </c>
      <c r="D767" s="276" t="s">
        <v>98</v>
      </c>
      <c r="E767" s="191" t="s">
        <v>599</v>
      </c>
      <c r="F767" s="641" t="s">
        <v>356</v>
      </c>
      <c r="G767" s="106"/>
      <c r="H767" s="5"/>
      <c r="I767" s="198"/>
      <c r="J767" s="5">
        <f>J761+J764+J766</f>
        <v>5988.3</v>
      </c>
      <c r="K767" s="49"/>
      <c r="L767" s="49"/>
      <c r="M767" s="49"/>
      <c r="N767" s="49"/>
      <c r="O767" s="49"/>
      <c r="P767" s="49"/>
      <c r="Q767" s="49"/>
      <c r="R767" s="49"/>
      <c r="S767" s="49"/>
      <c r="T767" s="49"/>
      <c r="U767" s="49"/>
      <c r="V767" s="49"/>
      <c r="W767" s="49"/>
      <c r="X767" s="49"/>
      <c r="Y767" s="49"/>
      <c r="Z767" s="49"/>
      <c r="AA767" s="49"/>
    </row>
    <row r="768" spans="1:27" x14ac:dyDescent="0.25">
      <c r="A768" s="207"/>
      <c r="B768" s="641"/>
      <c r="C768" s="711" t="s">
        <v>98</v>
      </c>
      <c r="D768" s="276" t="s">
        <v>98</v>
      </c>
      <c r="E768" s="191" t="s">
        <v>265</v>
      </c>
      <c r="F768" s="641" t="s">
        <v>653</v>
      </c>
      <c r="G768" s="307">
        <f>'Thông tin'!E67</f>
        <v>7.2999999999999995E-2</v>
      </c>
      <c r="H768" s="5"/>
      <c r="I768" s="198"/>
      <c r="J768" s="5">
        <f>(J767)*G768</f>
        <v>437.14589999999998</v>
      </c>
      <c r="K768" s="49"/>
      <c r="L768" s="49"/>
      <c r="M768" s="49"/>
      <c r="N768" s="49"/>
      <c r="O768" s="49"/>
      <c r="P768" s="49"/>
      <c r="Q768" s="49"/>
      <c r="R768" s="49"/>
      <c r="S768" s="49"/>
      <c r="T768" s="49"/>
      <c r="U768" s="49"/>
      <c r="V768" s="49"/>
      <c r="W768" s="49"/>
      <c r="X768" s="49"/>
      <c r="Y768" s="49"/>
      <c r="Z768" s="49"/>
      <c r="AA768" s="49"/>
    </row>
    <row r="769" spans="1:27" x14ac:dyDescent="0.25">
      <c r="A769" s="207"/>
      <c r="B769" s="641"/>
      <c r="C769" s="711" t="s">
        <v>98</v>
      </c>
      <c r="D769" s="276" t="s">
        <v>98</v>
      </c>
      <c r="E769" s="191" t="s">
        <v>765</v>
      </c>
      <c r="F769" s="641" t="s">
        <v>602</v>
      </c>
      <c r="G769" s="307">
        <f>'Thông tin'!E60</f>
        <v>1.1000000000000001E-2</v>
      </c>
      <c r="H769" s="5"/>
      <c r="I769" s="198"/>
      <c r="J769" s="5">
        <f>(J767)*G769</f>
        <v>65.871300000000005</v>
      </c>
      <c r="K769" s="49"/>
      <c r="L769" s="49"/>
      <c r="M769" s="49"/>
      <c r="N769" s="49"/>
      <c r="O769" s="49"/>
      <c r="P769" s="49"/>
      <c r="Q769" s="49"/>
      <c r="R769" s="49"/>
      <c r="S769" s="49"/>
      <c r="T769" s="49"/>
      <c r="U769" s="49"/>
      <c r="V769" s="49"/>
      <c r="W769" s="49"/>
      <c r="X769" s="49"/>
      <c r="Y769" s="49"/>
      <c r="Z769" s="49"/>
      <c r="AA769" s="49"/>
    </row>
    <row r="770" spans="1:27" ht="30" x14ac:dyDescent="0.25">
      <c r="A770" s="207"/>
      <c r="B770" s="641"/>
      <c r="C770" s="711" t="s">
        <v>98</v>
      </c>
      <c r="D770" s="276" t="s">
        <v>98</v>
      </c>
      <c r="E770" s="191" t="s">
        <v>457</v>
      </c>
      <c r="F770" s="641" t="s">
        <v>881</v>
      </c>
      <c r="G770" s="307">
        <f>'Thông tin'!E65</f>
        <v>2.5000000000000001E-2</v>
      </c>
      <c r="H770" s="5"/>
      <c r="I770" s="198"/>
      <c r="J770" s="5">
        <f>(J767)*G770</f>
        <v>149.70750000000001</v>
      </c>
      <c r="K770" s="49"/>
      <c r="L770" s="49"/>
      <c r="M770" s="49"/>
      <c r="N770" s="49"/>
      <c r="O770" s="49"/>
      <c r="P770" s="49"/>
      <c r="Q770" s="49"/>
      <c r="R770" s="49"/>
      <c r="S770" s="49"/>
      <c r="T770" s="49"/>
      <c r="U770" s="49"/>
      <c r="V770" s="49"/>
      <c r="W770" s="49"/>
      <c r="X770" s="49"/>
      <c r="Y770" s="49"/>
      <c r="Z770" s="49"/>
      <c r="AA770" s="49"/>
    </row>
    <row r="771" spans="1:27" x14ac:dyDescent="0.25">
      <c r="A771" s="207"/>
      <c r="B771" s="641"/>
      <c r="C771" s="711" t="s">
        <v>98</v>
      </c>
      <c r="D771" s="276" t="s">
        <v>98</v>
      </c>
      <c r="E771" s="191" t="s">
        <v>1244</v>
      </c>
      <c r="F771" s="641" t="s">
        <v>1032</v>
      </c>
      <c r="G771" s="106"/>
      <c r="H771" s="5"/>
      <c r="I771" s="198"/>
      <c r="J771" s="5">
        <f>J768+J769+J770</f>
        <v>652.72469999999998</v>
      </c>
      <c r="K771" s="49"/>
      <c r="L771" s="49"/>
      <c r="M771" s="49"/>
      <c r="N771" s="49"/>
      <c r="O771" s="49"/>
      <c r="P771" s="49"/>
      <c r="Q771" s="49"/>
      <c r="R771" s="49"/>
      <c r="S771" s="49"/>
      <c r="T771" s="49"/>
      <c r="U771" s="49"/>
      <c r="V771" s="49"/>
      <c r="W771" s="49"/>
      <c r="X771" s="49"/>
      <c r="Y771" s="49"/>
      <c r="Z771" s="49"/>
      <c r="AA771" s="49"/>
    </row>
    <row r="772" spans="1:27" x14ac:dyDescent="0.25">
      <c r="A772" s="207"/>
      <c r="B772" s="641"/>
      <c r="C772" s="711" t="s">
        <v>98</v>
      </c>
      <c r="D772" s="276" t="s">
        <v>98</v>
      </c>
      <c r="E772" s="191" t="s">
        <v>990</v>
      </c>
      <c r="F772" s="641" t="s">
        <v>307</v>
      </c>
      <c r="G772" s="307">
        <f>'Thông tin'!E63</f>
        <v>5.5E-2</v>
      </c>
      <c r="H772" s="5"/>
      <c r="I772" s="198"/>
      <c r="J772" s="5">
        <f>(J767+J771)*G772</f>
        <v>365.25635849999998</v>
      </c>
      <c r="K772" s="49"/>
      <c r="L772" s="49"/>
      <c r="M772" s="49"/>
      <c r="N772" s="49"/>
      <c r="O772" s="49"/>
      <c r="P772" s="49"/>
      <c r="Q772" s="49"/>
      <c r="R772" s="49"/>
      <c r="S772" s="49"/>
      <c r="T772" s="49"/>
      <c r="U772" s="49"/>
      <c r="V772" s="49"/>
      <c r="W772" s="49"/>
      <c r="X772" s="49"/>
      <c r="Y772" s="49"/>
      <c r="Z772" s="49"/>
      <c r="AA772" s="49"/>
    </row>
    <row r="773" spans="1:27" x14ac:dyDescent="0.25">
      <c r="A773" s="207"/>
      <c r="B773" s="641"/>
      <c r="C773" s="711" t="s">
        <v>98</v>
      </c>
      <c r="D773" s="276" t="s">
        <v>98</v>
      </c>
      <c r="E773" s="7" t="s">
        <v>142</v>
      </c>
      <c r="F773" s="499" t="s">
        <v>286</v>
      </c>
      <c r="G773" s="106"/>
      <c r="H773" s="5"/>
      <c r="I773" s="198"/>
      <c r="J773" s="620">
        <f>J767+J771+J772</f>
        <v>7006.2810584999997</v>
      </c>
      <c r="K773" s="49"/>
      <c r="L773" s="49"/>
      <c r="M773" s="49"/>
      <c r="N773" s="49"/>
      <c r="O773" s="49"/>
      <c r="P773" s="49"/>
      <c r="Q773" s="49"/>
      <c r="R773" s="49"/>
      <c r="S773" s="49"/>
      <c r="T773" s="49"/>
      <c r="U773" s="49"/>
      <c r="V773" s="49"/>
      <c r="W773" s="49"/>
      <c r="X773" s="49"/>
      <c r="Y773" s="49"/>
      <c r="Z773" s="49"/>
      <c r="AA773" s="49"/>
    </row>
    <row r="774" spans="1:27" x14ac:dyDescent="0.25">
      <c r="A774" s="207"/>
      <c r="B774" s="641"/>
      <c r="C774" s="711" t="s">
        <v>98</v>
      </c>
      <c r="D774" s="276" t="s">
        <v>98</v>
      </c>
      <c r="E774" s="191" t="s">
        <v>762</v>
      </c>
      <c r="F774" s="641" t="s">
        <v>830</v>
      </c>
      <c r="G774" s="705">
        <f>'Thông tin'!E61</f>
        <v>0.08</v>
      </c>
      <c r="H774" s="5"/>
      <c r="I774" s="198"/>
      <c r="J774" s="5">
        <f>(J773)*G774</f>
        <v>560.50248467999995</v>
      </c>
      <c r="K774" s="49"/>
      <c r="L774" s="49"/>
      <c r="M774" s="49"/>
      <c r="N774" s="49"/>
      <c r="O774" s="49"/>
      <c r="P774" s="49"/>
      <c r="Q774" s="49"/>
      <c r="R774" s="49"/>
      <c r="S774" s="49"/>
      <c r="T774" s="49"/>
      <c r="U774" s="49"/>
      <c r="V774" s="49"/>
      <c r="W774" s="49"/>
      <c r="X774" s="49"/>
      <c r="Y774" s="49"/>
      <c r="Z774" s="49"/>
      <c r="AA774" s="49"/>
    </row>
    <row r="775" spans="1:27" x14ac:dyDescent="0.25">
      <c r="A775" s="122"/>
      <c r="B775" s="581"/>
      <c r="C775" s="636" t="s">
        <v>98</v>
      </c>
      <c r="D775" s="196" t="s">
        <v>98</v>
      </c>
      <c r="E775" s="728" t="s">
        <v>953</v>
      </c>
      <c r="F775" s="429" t="s">
        <v>1108</v>
      </c>
      <c r="G775" s="29"/>
      <c r="H775" s="704"/>
      <c r="I775" s="113"/>
      <c r="J775" s="657">
        <f>J773+J774</f>
        <v>7566.7835431799995</v>
      </c>
      <c r="K775" s="49"/>
      <c r="L775" s="49"/>
      <c r="M775" s="49"/>
      <c r="N775" s="49"/>
      <c r="O775" s="49"/>
      <c r="P775" s="49"/>
      <c r="Q775" s="49"/>
      <c r="R775" s="49"/>
      <c r="S775" s="49"/>
      <c r="T775" s="49"/>
      <c r="U775" s="49"/>
      <c r="V775" s="49"/>
      <c r="W775" s="49"/>
      <c r="X775" s="49"/>
      <c r="Y775" s="49"/>
      <c r="Z775" s="49"/>
      <c r="AA775" s="49"/>
    </row>
    <row r="776" spans="1:27" x14ac:dyDescent="0.25">
      <c r="A776" s="458"/>
      <c r="B776" s="130">
        <v>39</v>
      </c>
      <c r="C776" s="234" t="str">
        <f>'Du toan chi tiet'!C48</f>
        <v>AF.82411</v>
      </c>
      <c r="D776" s="234" t="str">
        <f>'Du toan chi tiet'!C48</f>
        <v>AF.82411</v>
      </c>
      <c r="E776" s="730" t="str">
        <f>'Du toan chi tiet'!D48</f>
        <v>Ván khuôn thép mặt đường bê tông</v>
      </c>
      <c r="F776" s="130" t="str">
        <f>'Du toan chi tiet'!E48</f>
        <v>m2</v>
      </c>
      <c r="G776" s="664"/>
      <c r="H776" s="282"/>
      <c r="I776" s="450"/>
      <c r="J776" s="282"/>
      <c r="K776" s="49"/>
      <c r="L776" s="49"/>
      <c r="M776" s="49"/>
      <c r="N776" s="49"/>
      <c r="O776" s="49"/>
      <c r="P776" s="49"/>
      <c r="Q776" s="49"/>
      <c r="R776" s="49"/>
      <c r="S776" s="49"/>
      <c r="T776" s="49"/>
      <c r="U776" s="49"/>
      <c r="V776" s="49"/>
      <c r="W776" s="49"/>
      <c r="X776" s="49"/>
      <c r="Y776" s="49"/>
      <c r="Z776" s="49"/>
      <c r="AA776" s="49"/>
    </row>
    <row r="777" spans="1:27" x14ac:dyDescent="0.25">
      <c r="A777" s="261"/>
      <c r="B777" s="690"/>
      <c r="C777" s="745" t="s">
        <v>98</v>
      </c>
      <c r="D777" s="745" t="s">
        <v>98</v>
      </c>
      <c r="E777" s="247" t="s">
        <v>547</v>
      </c>
      <c r="F777" s="690" t="s">
        <v>962</v>
      </c>
      <c r="G777" s="133"/>
      <c r="H777" s="44"/>
      <c r="I777" s="233"/>
      <c r="J777" s="44">
        <f>SUM(J778:J780)</f>
        <v>6608.9745113801073</v>
      </c>
      <c r="K777" s="49"/>
      <c r="L777" s="49"/>
      <c r="M777" s="49"/>
      <c r="N777" s="49"/>
      <c r="O777" s="49"/>
      <c r="P777" s="49"/>
      <c r="Q777" s="49"/>
      <c r="R777" s="49"/>
      <c r="S777" s="49"/>
      <c r="T777" s="49"/>
      <c r="U777" s="49"/>
      <c r="V777" s="49"/>
      <c r="W777" s="49"/>
      <c r="X777" s="49"/>
      <c r="Y777" s="49"/>
      <c r="Z777" s="49"/>
      <c r="AA777" s="49"/>
    </row>
    <row r="778" spans="1:27" x14ac:dyDescent="0.25">
      <c r="A778" s="207"/>
      <c r="B778" s="641"/>
      <c r="C778" s="711" t="s">
        <v>98</v>
      </c>
      <c r="D778" s="276" t="s">
        <v>649</v>
      </c>
      <c r="E778" s="191" t="str">
        <f>" - " &amp; 'Giá VL'!E30</f>
        <v xml:space="preserve"> - Thép hình, thép tấm</v>
      </c>
      <c r="F778" s="641" t="str">
        <f>'Giá VL'!F30</f>
        <v>kg</v>
      </c>
      <c r="G778" s="67">
        <f>'Phan tich don gia'!G315</f>
        <v>0.315</v>
      </c>
      <c r="H778" s="5">
        <f>'Giá VL'!V30</f>
        <v>19657.495796390001</v>
      </c>
      <c r="I778" s="198">
        <f>'Du toan chi tiet'!V48</f>
        <v>1</v>
      </c>
      <c r="J778" s="5">
        <f t="shared" ref="J778:J780" si="43">PRODUCT(G778,H778,I778)</f>
        <v>6192.1111758628504</v>
      </c>
      <c r="K778" s="49"/>
      <c r="L778" s="49"/>
      <c r="M778" s="49"/>
      <c r="N778" s="49"/>
      <c r="O778" s="49"/>
      <c r="P778" s="49"/>
      <c r="Q778" s="49"/>
      <c r="R778" s="49"/>
      <c r="S778" s="49"/>
      <c r="T778" s="49"/>
      <c r="U778" s="49"/>
      <c r="V778" s="49"/>
      <c r="W778" s="49"/>
      <c r="X778" s="49"/>
      <c r="Y778" s="49"/>
      <c r="Z778" s="49"/>
      <c r="AA778" s="49"/>
    </row>
    <row r="779" spans="1:27" x14ac:dyDescent="0.25">
      <c r="A779" s="207"/>
      <c r="B779" s="641"/>
      <c r="C779" s="711" t="s">
        <v>98</v>
      </c>
      <c r="D779" s="276" t="s">
        <v>919</v>
      </c>
      <c r="E779" s="191" t="str">
        <f>" - " &amp; 'Giá VL'!E25</f>
        <v xml:space="preserve"> - Que hàn</v>
      </c>
      <c r="F779" s="641" t="str">
        <f>'Giá VL'!F25</f>
        <v>kg</v>
      </c>
      <c r="G779" s="67">
        <f>'Phan tich don gia'!G316</f>
        <v>1.5800000000000002E-2</v>
      </c>
      <c r="H779" s="5">
        <f>'Giá VL'!V25</f>
        <v>18182</v>
      </c>
      <c r="I779" s="198">
        <f>'Du toan chi tiet'!V48</f>
        <v>1</v>
      </c>
      <c r="J779" s="5">
        <f t="shared" si="43"/>
        <v>287.27560000000005</v>
      </c>
      <c r="K779" s="49"/>
      <c r="L779" s="49"/>
      <c r="M779" s="49"/>
      <c r="N779" s="49"/>
      <c r="O779" s="49"/>
      <c r="P779" s="49"/>
      <c r="Q779" s="49"/>
      <c r="R779" s="49"/>
      <c r="S779" s="49"/>
      <c r="T779" s="49"/>
      <c r="U779" s="49"/>
      <c r="V779" s="49"/>
      <c r="W779" s="49"/>
      <c r="X779" s="49"/>
      <c r="Y779" s="49"/>
      <c r="Z779" s="49"/>
      <c r="AA779" s="49"/>
    </row>
    <row r="780" spans="1:27" x14ac:dyDescent="0.25">
      <c r="A780" s="207"/>
      <c r="B780" s="641"/>
      <c r="C780" s="711" t="s">
        <v>98</v>
      </c>
      <c r="D780" s="276" t="s">
        <v>667</v>
      </c>
      <c r="E780" s="191" t="s">
        <v>238</v>
      </c>
      <c r="F780" s="641" t="s">
        <v>1113</v>
      </c>
      <c r="G780" s="67">
        <f>'Phan tich don gia'!G317</f>
        <v>2</v>
      </c>
      <c r="H780" s="5">
        <f>IF('Du toan chi tiet'!V48&lt;&gt;0,SUM(J778:J779)/100/'Du toan chi tiet'!V48,0)</f>
        <v>64.793867758628508</v>
      </c>
      <c r="I780" s="198">
        <f>'Du toan chi tiet'!V48</f>
        <v>1</v>
      </c>
      <c r="J780" s="5">
        <f t="shared" si="43"/>
        <v>129.58773551725702</v>
      </c>
      <c r="K780" s="49"/>
      <c r="L780" s="49"/>
      <c r="M780" s="49"/>
      <c r="N780" s="49"/>
      <c r="O780" s="49"/>
      <c r="P780" s="49"/>
      <c r="Q780" s="49"/>
      <c r="R780" s="49"/>
      <c r="S780" s="49"/>
      <c r="T780" s="49"/>
      <c r="U780" s="49"/>
      <c r="V780" s="49"/>
      <c r="W780" s="49"/>
      <c r="X780" s="49"/>
      <c r="Y780" s="49"/>
      <c r="Z780" s="49"/>
      <c r="AA780" s="49"/>
    </row>
    <row r="781" spans="1:27" x14ac:dyDescent="0.25">
      <c r="A781" s="261"/>
      <c r="B781" s="690"/>
      <c r="C781" s="745" t="s">
        <v>98</v>
      </c>
      <c r="D781" s="745" t="s">
        <v>98</v>
      </c>
      <c r="E781" s="247" t="s">
        <v>301</v>
      </c>
      <c r="F781" s="690" t="s">
        <v>1018</v>
      </c>
      <c r="G781" s="133"/>
      <c r="H781" s="44"/>
      <c r="I781" s="233"/>
      <c r="J781" s="44">
        <f>SUM(J782:J782)</f>
        <v>31483.550000000003</v>
      </c>
      <c r="K781" s="49"/>
      <c r="L781" s="49"/>
      <c r="M781" s="49"/>
      <c r="N781" s="49"/>
      <c r="O781" s="49"/>
      <c r="P781" s="49"/>
      <c r="Q781" s="49"/>
      <c r="R781" s="49"/>
      <c r="S781" s="49"/>
      <c r="T781" s="49"/>
      <c r="U781" s="49"/>
      <c r="V781" s="49"/>
      <c r="W781" s="49"/>
      <c r="X781" s="49"/>
      <c r="Y781" s="49"/>
      <c r="Z781" s="49"/>
      <c r="AA781" s="49"/>
    </row>
    <row r="782" spans="1:27" x14ac:dyDescent="0.25">
      <c r="A782" s="207"/>
      <c r="B782" s="641"/>
      <c r="C782" s="711" t="s">
        <v>98</v>
      </c>
      <c r="D782" s="276" t="s">
        <v>169</v>
      </c>
      <c r="E782" s="191" t="str">
        <f>" - " &amp; 'Giá NC'!E9</f>
        <v xml:space="preserve"> - Nhân công bậc 4,0/7 - Nhóm 2</v>
      </c>
      <c r="F782" s="641" t="str">
        <f>'Giá NC'!F9</f>
        <v>công</v>
      </c>
      <c r="G782" s="67">
        <f>'Phan tich don gia'!G319</f>
        <v>0.115</v>
      </c>
      <c r="H782" s="5">
        <f>'Giá NC'!K9</f>
        <v>273770</v>
      </c>
      <c r="I782" s="198">
        <f>'Du toan chi tiet'!W48</f>
        <v>1</v>
      </c>
      <c r="J782" s="5">
        <f>PRODUCT(G782,H782,I782)</f>
        <v>31483.550000000003</v>
      </c>
      <c r="K782" s="49"/>
      <c r="L782" s="49"/>
      <c r="M782" s="49"/>
      <c r="N782" s="49"/>
      <c r="O782" s="49"/>
      <c r="P782" s="49"/>
      <c r="Q782" s="49"/>
      <c r="R782" s="49"/>
      <c r="S782" s="49"/>
      <c r="T782" s="49"/>
      <c r="U782" s="49"/>
      <c r="V782" s="49"/>
      <c r="W782" s="49"/>
      <c r="X782" s="49"/>
      <c r="Y782" s="49"/>
      <c r="Z782" s="49"/>
      <c r="AA782" s="49"/>
    </row>
    <row r="783" spans="1:27" x14ac:dyDescent="0.25">
      <c r="A783" s="261"/>
      <c r="B783" s="690"/>
      <c r="C783" s="745" t="s">
        <v>98</v>
      </c>
      <c r="D783" s="745" t="s">
        <v>98</v>
      </c>
      <c r="E783" s="247" t="s">
        <v>1175</v>
      </c>
      <c r="F783" s="690" t="s">
        <v>138</v>
      </c>
      <c r="G783" s="133"/>
      <c r="H783" s="44"/>
      <c r="I783" s="233"/>
      <c r="J783" s="44">
        <f>SUM(J784:J786)</f>
        <v>2047.4434679999999</v>
      </c>
      <c r="K783" s="49"/>
      <c r="L783" s="49"/>
      <c r="M783" s="49"/>
      <c r="N783" s="49"/>
      <c r="O783" s="49"/>
      <c r="P783" s="49"/>
      <c r="Q783" s="49"/>
      <c r="R783" s="49"/>
      <c r="S783" s="49"/>
      <c r="T783" s="49"/>
      <c r="U783" s="49"/>
      <c r="V783" s="49"/>
      <c r="W783" s="49"/>
      <c r="X783" s="49"/>
      <c r="Y783" s="49"/>
      <c r="Z783" s="49"/>
      <c r="AA783" s="49"/>
    </row>
    <row r="784" spans="1:27" x14ac:dyDescent="0.25">
      <c r="A784" s="207"/>
      <c r="B784" s="641"/>
      <c r="C784" s="711" t="s">
        <v>98</v>
      </c>
      <c r="D784" s="276" t="s">
        <v>82</v>
      </c>
      <c r="E784" s="191" t="str">
        <f>" - " &amp; 'Giá Máy'!E15</f>
        <v xml:space="preserve"> - Máy hàn điện 23kW</v>
      </c>
      <c r="F784" s="641" t="str">
        <f>'Giá Máy'!F15</f>
        <v>ca</v>
      </c>
      <c r="G784" s="67">
        <f>'Phan tich don gia'!G321</f>
        <v>4.1999999999999997E-3</v>
      </c>
      <c r="H784" s="5">
        <f>'Giá Máy'!J15</f>
        <v>477927</v>
      </c>
      <c r="I784" s="198">
        <f>'Du toan chi tiet'!X48</f>
        <v>1</v>
      </c>
      <c r="J784" s="5">
        <f t="shared" ref="J784:J785" si="44">PRODUCT(G784,H784,I784)</f>
        <v>2007.2933999999998</v>
      </c>
      <c r="K784" s="49"/>
      <c r="L784" s="49"/>
      <c r="M784" s="49"/>
      <c r="N784" s="49"/>
      <c r="O784" s="49"/>
      <c r="P784" s="49"/>
      <c r="Q784" s="49"/>
      <c r="R784" s="49"/>
      <c r="S784" s="49"/>
      <c r="T784" s="49"/>
      <c r="U784" s="49"/>
      <c r="V784" s="49"/>
      <c r="W784" s="49"/>
      <c r="X784" s="49"/>
      <c r="Y784" s="49"/>
      <c r="Z784" s="49"/>
      <c r="AA784" s="49"/>
    </row>
    <row r="785" spans="1:27" x14ac:dyDescent="0.25">
      <c r="A785" s="207"/>
      <c r="B785" s="641"/>
      <c r="C785" s="711" t="s">
        <v>98</v>
      </c>
      <c r="D785" s="276" t="s">
        <v>1162</v>
      </c>
      <c r="E785" s="191" t="s">
        <v>1080</v>
      </c>
      <c r="F785" s="641" t="s">
        <v>1113</v>
      </c>
      <c r="G785" s="67">
        <f>'Phan tich don gia'!G322</f>
        <v>2</v>
      </c>
      <c r="H785" s="5">
        <f>IF('Du toan chi tiet'!X48&lt;&gt;0,SUM(J784:J784)/100/'Du toan chi tiet'!X48,0)</f>
        <v>20.072933999999997</v>
      </c>
      <c r="I785" s="198">
        <f>'Du toan chi tiet'!X48</f>
        <v>1</v>
      </c>
      <c r="J785" s="5">
        <f t="shared" si="44"/>
        <v>40.145867999999993</v>
      </c>
      <c r="K785" s="49"/>
      <c r="L785" s="49"/>
      <c r="M785" s="49"/>
      <c r="N785" s="49"/>
      <c r="O785" s="49"/>
      <c r="P785" s="49"/>
      <c r="Q785" s="49"/>
      <c r="R785" s="49"/>
      <c r="S785" s="49"/>
      <c r="T785" s="49"/>
      <c r="U785" s="49"/>
      <c r="V785" s="49"/>
      <c r="W785" s="49"/>
      <c r="X785" s="49"/>
      <c r="Y785" s="49"/>
      <c r="Z785" s="49"/>
      <c r="AA785" s="49"/>
    </row>
    <row r="786" spans="1:27" x14ac:dyDescent="0.25">
      <c r="A786" s="207"/>
      <c r="B786" s="641"/>
      <c r="C786" s="711" t="s">
        <v>98</v>
      </c>
      <c r="D786" s="276" t="s">
        <v>98</v>
      </c>
      <c r="E786" s="191" t="s">
        <v>1230</v>
      </c>
      <c r="F786" s="641"/>
      <c r="G786" s="106"/>
      <c r="H786" s="5"/>
      <c r="I786" s="198"/>
      <c r="J786" s="5">
        <f>SUM(J787:J788)+PRODUCT(G785,I785,THM!X95-THM!R95)</f>
        <v>4.1999999999999997E-3</v>
      </c>
      <c r="K786" s="49"/>
      <c r="L786" s="49"/>
      <c r="M786" s="49"/>
      <c r="N786" s="49"/>
      <c r="O786" s="49"/>
      <c r="P786" s="49"/>
      <c r="Q786" s="49"/>
      <c r="R786" s="49"/>
      <c r="S786" s="49"/>
      <c r="T786" s="49"/>
      <c r="U786" s="49"/>
      <c r="V786" s="49"/>
      <c r="W786" s="49"/>
      <c r="X786" s="49"/>
      <c r="Y786" s="49"/>
      <c r="Z786" s="49"/>
      <c r="AA786" s="49"/>
    </row>
    <row r="787" spans="1:27" x14ac:dyDescent="0.25">
      <c r="A787" s="207"/>
      <c r="B787" s="641"/>
      <c r="C787" s="711" t="s">
        <v>98</v>
      </c>
      <c r="D787" s="276" t="s">
        <v>98</v>
      </c>
      <c r="E787" s="191" t="s">
        <v>52</v>
      </c>
      <c r="F787" s="641"/>
      <c r="G787" s="106"/>
      <c r="H787" s="5"/>
      <c r="I787" s="198"/>
      <c r="J787" s="5">
        <f>PRODUCT(G784,I784,'Giá Máy'!L15)</f>
        <v>0</v>
      </c>
      <c r="K787" s="49"/>
      <c r="L787" s="49"/>
      <c r="M787" s="49"/>
      <c r="N787" s="49"/>
      <c r="O787" s="49"/>
      <c r="P787" s="49"/>
      <c r="Q787" s="49"/>
      <c r="R787" s="49"/>
      <c r="S787" s="49"/>
      <c r="T787" s="49"/>
      <c r="U787" s="49"/>
      <c r="V787" s="49"/>
      <c r="W787" s="49"/>
      <c r="X787" s="49"/>
      <c r="Y787" s="49"/>
      <c r="Z787" s="49"/>
      <c r="AA787" s="49"/>
    </row>
    <row r="788" spans="1:27" x14ac:dyDescent="0.25">
      <c r="A788" s="207"/>
      <c r="B788" s="641"/>
      <c r="C788" s="711" t="s">
        <v>98</v>
      </c>
      <c r="D788" s="276" t="s">
        <v>98</v>
      </c>
      <c r="E788" s="191" t="s">
        <v>597</v>
      </c>
      <c r="F788" s="641"/>
      <c r="G788" s="106"/>
      <c r="H788" s="5"/>
      <c r="I788" s="198"/>
      <c r="J788" s="5">
        <f>PRODUCT(G784,I784,'Giá Máy'!M15)</f>
        <v>4.1999999999999997E-3</v>
      </c>
      <c r="K788" s="49"/>
      <c r="L788" s="49"/>
      <c r="M788" s="49"/>
      <c r="N788" s="49"/>
      <c r="O788" s="49"/>
      <c r="P788" s="49"/>
      <c r="Q788" s="49"/>
      <c r="R788" s="49"/>
      <c r="S788" s="49"/>
      <c r="T788" s="49"/>
      <c r="U788" s="49"/>
      <c r="V788" s="49"/>
      <c r="W788" s="49"/>
      <c r="X788" s="49"/>
      <c r="Y788" s="49"/>
      <c r="Z788" s="49"/>
      <c r="AA788" s="49"/>
    </row>
    <row r="789" spans="1:27" x14ac:dyDescent="0.25">
      <c r="A789" s="207"/>
      <c r="B789" s="641"/>
      <c r="C789" s="711" t="s">
        <v>98</v>
      </c>
      <c r="D789" s="276" t="s">
        <v>98</v>
      </c>
      <c r="E789" s="191" t="s">
        <v>599</v>
      </c>
      <c r="F789" s="641" t="s">
        <v>356</v>
      </c>
      <c r="G789" s="106"/>
      <c r="H789" s="5"/>
      <c r="I789" s="198"/>
      <c r="J789" s="5">
        <f>J777+J781+J783</f>
        <v>40139.967979380104</v>
      </c>
      <c r="K789" s="49"/>
      <c r="L789" s="49"/>
      <c r="M789" s="49"/>
      <c r="N789" s="49"/>
      <c r="O789" s="49"/>
      <c r="P789" s="49"/>
      <c r="Q789" s="49"/>
      <c r="R789" s="49"/>
      <c r="S789" s="49"/>
      <c r="T789" s="49"/>
      <c r="U789" s="49"/>
      <c r="V789" s="49"/>
      <c r="W789" s="49"/>
      <c r="X789" s="49"/>
      <c r="Y789" s="49"/>
      <c r="Z789" s="49"/>
      <c r="AA789" s="49"/>
    </row>
    <row r="790" spans="1:27" x14ac:dyDescent="0.25">
      <c r="A790" s="207"/>
      <c r="B790" s="641"/>
      <c r="C790" s="711" t="s">
        <v>98</v>
      </c>
      <c r="D790" s="276" t="s">
        <v>98</v>
      </c>
      <c r="E790" s="191" t="s">
        <v>265</v>
      </c>
      <c r="F790" s="641" t="s">
        <v>653</v>
      </c>
      <c r="G790" s="307">
        <f>'Thông tin'!E67</f>
        <v>7.2999999999999995E-2</v>
      </c>
      <c r="H790" s="5"/>
      <c r="I790" s="198"/>
      <c r="J790" s="5">
        <f>(J789)*G790</f>
        <v>2930.2176624947474</v>
      </c>
      <c r="K790" s="49"/>
      <c r="L790" s="49"/>
      <c r="M790" s="49"/>
      <c r="N790" s="49"/>
      <c r="O790" s="49"/>
      <c r="P790" s="49"/>
      <c r="Q790" s="49"/>
      <c r="R790" s="49"/>
      <c r="S790" s="49"/>
      <c r="T790" s="49"/>
      <c r="U790" s="49"/>
      <c r="V790" s="49"/>
      <c r="W790" s="49"/>
      <c r="X790" s="49"/>
      <c r="Y790" s="49"/>
      <c r="Z790" s="49"/>
      <c r="AA790" s="49"/>
    </row>
    <row r="791" spans="1:27" x14ac:dyDescent="0.25">
      <c r="A791" s="207"/>
      <c r="B791" s="641"/>
      <c r="C791" s="711" t="s">
        <v>98</v>
      </c>
      <c r="D791" s="276" t="s">
        <v>98</v>
      </c>
      <c r="E791" s="191" t="s">
        <v>765</v>
      </c>
      <c r="F791" s="641" t="s">
        <v>602</v>
      </c>
      <c r="G791" s="307">
        <f>'Thông tin'!E60</f>
        <v>1.1000000000000001E-2</v>
      </c>
      <c r="H791" s="5"/>
      <c r="I791" s="198"/>
      <c r="J791" s="5">
        <f>(J789)*G791</f>
        <v>441.53964777318117</v>
      </c>
      <c r="K791" s="49"/>
      <c r="L791" s="49"/>
      <c r="M791" s="49"/>
      <c r="N791" s="49"/>
      <c r="O791" s="49"/>
      <c r="P791" s="49"/>
      <c r="Q791" s="49"/>
      <c r="R791" s="49"/>
      <c r="S791" s="49"/>
      <c r="T791" s="49"/>
      <c r="U791" s="49"/>
      <c r="V791" s="49"/>
      <c r="W791" s="49"/>
      <c r="X791" s="49"/>
      <c r="Y791" s="49"/>
      <c r="Z791" s="49"/>
      <c r="AA791" s="49"/>
    </row>
    <row r="792" spans="1:27" ht="30" x14ac:dyDescent="0.25">
      <c r="A792" s="207"/>
      <c r="B792" s="641"/>
      <c r="C792" s="711" t="s">
        <v>98</v>
      </c>
      <c r="D792" s="276" t="s">
        <v>98</v>
      </c>
      <c r="E792" s="191" t="s">
        <v>457</v>
      </c>
      <c r="F792" s="641" t="s">
        <v>881</v>
      </c>
      <c r="G792" s="307">
        <f>'Thông tin'!E65</f>
        <v>2.5000000000000001E-2</v>
      </c>
      <c r="H792" s="5"/>
      <c r="I792" s="198"/>
      <c r="J792" s="5">
        <f>(J789)*G792</f>
        <v>1003.4991994845027</v>
      </c>
      <c r="K792" s="49"/>
      <c r="L792" s="49"/>
      <c r="M792" s="49"/>
      <c r="N792" s="49"/>
      <c r="O792" s="49"/>
      <c r="P792" s="49"/>
      <c r="Q792" s="49"/>
      <c r="R792" s="49"/>
      <c r="S792" s="49"/>
      <c r="T792" s="49"/>
      <c r="U792" s="49"/>
      <c r="V792" s="49"/>
      <c r="W792" s="49"/>
      <c r="X792" s="49"/>
      <c r="Y792" s="49"/>
      <c r="Z792" s="49"/>
      <c r="AA792" s="49"/>
    </row>
    <row r="793" spans="1:27" x14ac:dyDescent="0.25">
      <c r="A793" s="207"/>
      <c r="B793" s="641"/>
      <c r="C793" s="711" t="s">
        <v>98</v>
      </c>
      <c r="D793" s="276" t="s">
        <v>98</v>
      </c>
      <c r="E793" s="191" t="s">
        <v>1244</v>
      </c>
      <c r="F793" s="641" t="s">
        <v>1032</v>
      </c>
      <c r="G793" s="106"/>
      <c r="H793" s="5"/>
      <c r="I793" s="198"/>
      <c r="J793" s="5">
        <f>J790+J791+J792</f>
        <v>4375.2565097524312</v>
      </c>
      <c r="K793" s="49"/>
      <c r="L793" s="49"/>
      <c r="M793" s="49"/>
      <c r="N793" s="49"/>
      <c r="O793" s="49"/>
      <c r="P793" s="49"/>
      <c r="Q793" s="49"/>
      <c r="R793" s="49"/>
      <c r="S793" s="49"/>
      <c r="T793" s="49"/>
      <c r="U793" s="49"/>
      <c r="V793" s="49"/>
      <c r="W793" s="49"/>
      <c r="X793" s="49"/>
      <c r="Y793" s="49"/>
      <c r="Z793" s="49"/>
      <c r="AA793" s="49"/>
    </row>
    <row r="794" spans="1:27" x14ac:dyDescent="0.25">
      <c r="A794" s="207"/>
      <c r="B794" s="641"/>
      <c r="C794" s="711" t="s">
        <v>98</v>
      </c>
      <c r="D794" s="276" t="s">
        <v>98</v>
      </c>
      <c r="E794" s="191" t="s">
        <v>990</v>
      </c>
      <c r="F794" s="641" t="s">
        <v>307</v>
      </c>
      <c r="G794" s="307">
        <f>'Thông tin'!E63</f>
        <v>5.5E-2</v>
      </c>
      <c r="H794" s="5"/>
      <c r="I794" s="198"/>
      <c r="J794" s="5">
        <f>(J789+J793)*G794</f>
        <v>2448.3373469022895</v>
      </c>
      <c r="K794" s="49"/>
      <c r="L794" s="49"/>
      <c r="M794" s="49"/>
      <c r="N794" s="49"/>
      <c r="O794" s="49"/>
      <c r="P794" s="49"/>
      <c r="Q794" s="49"/>
      <c r="R794" s="49"/>
      <c r="S794" s="49"/>
      <c r="T794" s="49"/>
      <c r="U794" s="49"/>
      <c r="V794" s="49"/>
      <c r="W794" s="49"/>
      <c r="X794" s="49"/>
      <c r="Y794" s="49"/>
      <c r="Z794" s="49"/>
      <c r="AA794" s="49"/>
    </row>
    <row r="795" spans="1:27" x14ac:dyDescent="0.25">
      <c r="A795" s="207"/>
      <c r="B795" s="641"/>
      <c r="C795" s="711" t="s">
        <v>98</v>
      </c>
      <c r="D795" s="276" t="s">
        <v>98</v>
      </c>
      <c r="E795" s="7" t="s">
        <v>142</v>
      </c>
      <c r="F795" s="499" t="s">
        <v>286</v>
      </c>
      <c r="G795" s="106"/>
      <c r="H795" s="5"/>
      <c r="I795" s="198"/>
      <c r="J795" s="620">
        <f>J789+J793+J794</f>
        <v>46963.561836034831</v>
      </c>
      <c r="K795" s="49"/>
      <c r="L795" s="49"/>
      <c r="M795" s="49"/>
      <c r="N795" s="49"/>
      <c r="O795" s="49"/>
      <c r="P795" s="49"/>
      <c r="Q795" s="49"/>
      <c r="R795" s="49"/>
      <c r="S795" s="49"/>
      <c r="T795" s="49"/>
      <c r="U795" s="49"/>
      <c r="V795" s="49"/>
      <c r="W795" s="49"/>
      <c r="X795" s="49"/>
      <c r="Y795" s="49"/>
      <c r="Z795" s="49"/>
      <c r="AA795" s="49"/>
    </row>
    <row r="796" spans="1:27" x14ac:dyDescent="0.25">
      <c r="A796" s="207"/>
      <c r="B796" s="641"/>
      <c r="C796" s="711" t="s">
        <v>98</v>
      </c>
      <c r="D796" s="276" t="s">
        <v>98</v>
      </c>
      <c r="E796" s="191" t="s">
        <v>762</v>
      </c>
      <c r="F796" s="641" t="s">
        <v>830</v>
      </c>
      <c r="G796" s="705">
        <f>'Thông tin'!E61</f>
        <v>0.08</v>
      </c>
      <c r="H796" s="5"/>
      <c r="I796" s="198"/>
      <c r="J796" s="5">
        <f>(J795)*G796</f>
        <v>3757.0849468827864</v>
      </c>
      <c r="K796" s="49"/>
      <c r="L796" s="49"/>
      <c r="M796" s="49"/>
      <c r="N796" s="49"/>
      <c r="O796" s="49"/>
      <c r="P796" s="49"/>
      <c r="Q796" s="49"/>
      <c r="R796" s="49"/>
      <c r="S796" s="49"/>
      <c r="T796" s="49"/>
      <c r="U796" s="49"/>
      <c r="V796" s="49"/>
      <c r="W796" s="49"/>
      <c r="X796" s="49"/>
      <c r="Y796" s="49"/>
      <c r="Z796" s="49"/>
      <c r="AA796" s="49"/>
    </row>
    <row r="797" spans="1:27" x14ac:dyDescent="0.25">
      <c r="A797" s="122"/>
      <c r="B797" s="581"/>
      <c r="C797" s="636" t="s">
        <v>98</v>
      </c>
      <c r="D797" s="196" t="s">
        <v>98</v>
      </c>
      <c r="E797" s="728" t="s">
        <v>953</v>
      </c>
      <c r="F797" s="429" t="s">
        <v>1108</v>
      </c>
      <c r="G797" s="29"/>
      <c r="H797" s="704"/>
      <c r="I797" s="113"/>
      <c r="J797" s="657">
        <f>J795+J796</f>
        <v>50720.646782917618</v>
      </c>
      <c r="K797" s="49"/>
      <c r="L797" s="49"/>
      <c r="M797" s="49"/>
      <c r="N797" s="49"/>
      <c r="O797" s="49"/>
      <c r="P797" s="49"/>
      <c r="Q797" s="49"/>
      <c r="R797" s="49"/>
      <c r="S797" s="49"/>
      <c r="T797" s="49"/>
      <c r="U797" s="49"/>
      <c r="V797" s="49"/>
      <c r="W797" s="49"/>
      <c r="X797" s="49"/>
      <c r="Y797" s="49"/>
      <c r="Z797" s="49"/>
      <c r="AA797" s="49"/>
    </row>
    <row r="798" spans="1:27" ht="45" x14ac:dyDescent="0.25">
      <c r="A798" s="458"/>
      <c r="B798" s="130">
        <v>40</v>
      </c>
      <c r="C798" s="234" t="str">
        <f>'Du toan chi tiet'!C49</f>
        <v>AD.23263</v>
      </c>
      <c r="D798" s="234" t="str">
        <f>'Du toan chi tiet'!C49</f>
        <v>AD.23263</v>
      </c>
      <c r="E798" s="730" t="str">
        <f>'Du toan chi tiet'!D49</f>
        <v>Rải thảm mặt đường Carboncor Asphalt, bằng phương pháp thủ cơ giới, chiều dày mặt đường đã lèn ép 3cm</v>
      </c>
      <c r="F798" s="130" t="str">
        <f>'Du toan chi tiet'!E49</f>
        <v>m2</v>
      </c>
      <c r="G798" s="664"/>
      <c r="H798" s="282"/>
      <c r="I798" s="450"/>
      <c r="J798" s="282"/>
      <c r="K798" s="49"/>
      <c r="L798" s="49"/>
      <c r="M798" s="49"/>
      <c r="N798" s="49"/>
      <c r="O798" s="49"/>
      <c r="P798" s="49"/>
      <c r="Q798" s="49"/>
      <c r="R798" s="49"/>
      <c r="S798" s="49"/>
      <c r="T798" s="49"/>
      <c r="U798" s="49"/>
      <c r="V798" s="49"/>
      <c r="W798" s="49"/>
      <c r="X798" s="49"/>
      <c r="Y798" s="49"/>
      <c r="Z798" s="49"/>
      <c r="AA798" s="49"/>
    </row>
    <row r="799" spans="1:27" x14ac:dyDescent="0.25">
      <c r="A799" s="261"/>
      <c r="B799" s="690"/>
      <c r="C799" s="745" t="s">
        <v>98</v>
      </c>
      <c r="D799" s="745" t="s">
        <v>98</v>
      </c>
      <c r="E799" s="247" t="s">
        <v>547</v>
      </c>
      <c r="F799" s="690" t="s">
        <v>962</v>
      </c>
      <c r="G799" s="133"/>
      <c r="H799" s="44"/>
      <c r="I799" s="233"/>
      <c r="J799" s="44">
        <f>SUM(J800:J801)</f>
        <v>222467.38400000002</v>
      </c>
      <c r="K799" s="49"/>
      <c r="L799" s="49"/>
      <c r="M799" s="49"/>
      <c r="N799" s="49"/>
      <c r="O799" s="49"/>
      <c r="P799" s="49"/>
      <c r="Q799" s="49"/>
      <c r="R799" s="49"/>
      <c r="S799" s="49"/>
      <c r="T799" s="49"/>
      <c r="U799" s="49"/>
      <c r="V799" s="49"/>
      <c r="W799" s="49"/>
      <c r="X799" s="49"/>
      <c r="Y799" s="49"/>
      <c r="Z799" s="49"/>
      <c r="AA799" s="49"/>
    </row>
    <row r="800" spans="1:27" x14ac:dyDescent="0.25">
      <c r="A800" s="207"/>
      <c r="B800" s="641"/>
      <c r="C800" s="711" t="s">
        <v>98</v>
      </c>
      <c r="D800" s="276" t="s">
        <v>1256</v>
      </c>
      <c r="E800" s="191" t="str">
        <f>" - " &amp; 'Giá VL'!E6</f>
        <v xml:space="preserve"> - Carboncor Asphalt (loại CA 9,5)</v>
      </c>
      <c r="F800" s="641" t="str">
        <f>'Giá VL'!F6</f>
        <v>tấn</v>
      </c>
      <c r="G800" s="67">
        <f>'Phan tich don gia'!G325</f>
        <v>5.8200000000000002E-2</v>
      </c>
      <c r="H800" s="5">
        <f>'Giá VL'!V6</f>
        <v>3822120</v>
      </c>
      <c r="I800" s="198">
        <f>'Du toan chi tiet'!V49</f>
        <v>1</v>
      </c>
      <c r="J800" s="5">
        <f t="shared" ref="J800:J801" si="45">PRODUCT(G800,H800,I800)</f>
        <v>222447.38400000002</v>
      </c>
      <c r="K800" s="49"/>
      <c r="L800" s="49"/>
      <c r="M800" s="49"/>
      <c r="N800" s="49"/>
      <c r="O800" s="49"/>
      <c r="P800" s="49"/>
      <c r="Q800" s="49"/>
      <c r="R800" s="49"/>
      <c r="S800" s="49"/>
      <c r="T800" s="49"/>
      <c r="U800" s="49"/>
      <c r="V800" s="49"/>
      <c r="W800" s="49"/>
      <c r="X800" s="49"/>
      <c r="Y800" s="49"/>
      <c r="Z800" s="49"/>
      <c r="AA800" s="49"/>
    </row>
    <row r="801" spans="1:27" x14ac:dyDescent="0.25">
      <c r="A801" s="207"/>
      <c r="B801" s="641"/>
      <c r="C801" s="711" t="s">
        <v>98</v>
      </c>
      <c r="D801" s="276" t="s">
        <v>956</v>
      </c>
      <c r="E801" s="191" t="str">
        <f>" - " &amp; 'Giá VL'!E23</f>
        <v xml:space="preserve"> - Nước</v>
      </c>
      <c r="F801" s="641" t="str">
        <f>'Giá VL'!F23</f>
        <v>lít</v>
      </c>
      <c r="G801" s="67">
        <f>'Phan tich don gia'!G326</f>
        <v>2</v>
      </c>
      <c r="H801" s="5">
        <f>'Giá VL'!V23</f>
        <v>10</v>
      </c>
      <c r="I801" s="198">
        <f>'Du toan chi tiet'!V49</f>
        <v>1</v>
      </c>
      <c r="J801" s="5">
        <f t="shared" si="45"/>
        <v>20</v>
      </c>
      <c r="K801" s="49"/>
      <c r="L801" s="49"/>
      <c r="M801" s="49"/>
      <c r="N801" s="49"/>
      <c r="O801" s="49"/>
      <c r="P801" s="49"/>
      <c r="Q801" s="49"/>
      <c r="R801" s="49"/>
      <c r="S801" s="49"/>
      <c r="T801" s="49"/>
      <c r="U801" s="49"/>
      <c r="V801" s="49"/>
      <c r="W801" s="49"/>
      <c r="X801" s="49"/>
      <c r="Y801" s="49"/>
      <c r="Z801" s="49"/>
      <c r="AA801" s="49"/>
    </row>
    <row r="802" spans="1:27" x14ac:dyDescent="0.25">
      <c r="A802" s="261"/>
      <c r="B802" s="690"/>
      <c r="C802" s="745" t="s">
        <v>98</v>
      </c>
      <c r="D802" s="745" t="s">
        <v>98</v>
      </c>
      <c r="E802" s="247" t="s">
        <v>301</v>
      </c>
      <c r="F802" s="690" t="s">
        <v>1018</v>
      </c>
      <c r="G802" s="133"/>
      <c r="H802" s="44"/>
      <c r="I802" s="233"/>
      <c r="J802" s="44">
        <f>SUM(J803:J803)</f>
        <v>2017.6000000000001</v>
      </c>
      <c r="K802" s="49"/>
      <c r="L802" s="49"/>
      <c r="M802" s="49"/>
      <c r="N802" s="49"/>
      <c r="O802" s="49"/>
      <c r="P802" s="49"/>
      <c r="Q802" s="49"/>
      <c r="R802" s="49"/>
      <c r="S802" s="49"/>
      <c r="T802" s="49"/>
      <c r="U802" s="49"/>
      <c r="V802" s="49"/>
      <c r="W802" s="49"/>
      <c r="X802" s="49"/>
      <c r="Y802" s="49"/>
      <c r="Z802" s="49"/>
      <c r="AA802" s="49"/>
    </row>
    <row r="803" spans="1:27" x14ac:dyDescent="0.25">
      <c r="A803" s="207"/>
      <c r="B803" s="641"/>
      <c r="C803" s="711" t="s">
        <v>98</v>
      </c>
      <c r="D803" s="276" t="s">
        <v>706</v>
      </c>
      <c r="E803" s="191" t="str">
        <f>" - " &amp; 'Giá NC'!E8</f>
        <v xml:space="preserve"> - Nhân công bậc 3,5/7 - Nhóm 2</v>
      </c>
      <c r="F803" s="641" t="str">
        <f>'Giá NC'!F8</f>
        <v>công</v>
      </c>
      <c r="G803" s="67">
        <f>'Phan tich don gia'!G328</f>
        <v>8.0000000000000002E-3</v>
      </c>
      <c r="H803" s="5">
        <f>'Giá NC'!K8</f>
        <v>252200</v>
      </c>
      <c r="I803" s="198">
        <f>'Du toan chi tiet'!W49</f>
        <v>1</v>
      </c>
      <c r="J803" s="5">
        <f>PRODUCT(G803,H803,I803)</f>
        <v>2017.6000000000001</v>
      </c>
      <c r="K803" s="49"/>
      <c r="L803" s="49"/>
      <c r="M803" s="49"/>
      <c r="N803" s="49"/>
      <c r="O803" s="49"/>
      <c r="P803" s="49"/>
      <c r="Q803" s="49"/>
      <c r="R803" s="49"/>
      <c r="S803" s="49"/>
      <c r="T803" s="49"/>
      <c r="U803" s="49"/>
      <c r="V803" s="49"/>
      <c r="W803" s="49"/>
      <c r="X803" s="49"/>
      <c r="Y803" s="49"/>
      <c r="Z803" s="49"/>
      <c r="AA803" s="49"/>
    </row>
    <row r="804" spans="1:27" x14ac:dyDescent="0.25">
      <c r="A804" s="261"/>
      <c r="B804" s="690"/>
      <c r="C804" s="745" t="s">
        <v>98</v>
      </c>
      <c r="D804" s="745" t="s">
        <v>98</v>
      </c>
      <c r="E804" s="247" t="s">
        <v>1175</v>
      </c>
      <c r="F804" s="690" t="s">
        <v>138</v>
      </c>
      <c r="G804" s="133"/>
      <c r="H804" s="44"/>
      <c r="I804" s="233"/>
      <c r="J804" s="44">
        <f>SUM(J805:J809)</f>
        <v>3181.718715</v>
      </c>
      <c r="K804" s="49"/>
      <c r="L804" s="49"/>
      <c r="M804" s="49"/>
      <c r="N804" s="49"/>
      <c r="O804" s="49"/>
      <c r="P804" s="49"/>
      <c r="Q804" s="49"/>
      <c r="R804" s="49"/>
      <c r="S804" s="49"/>
      <c r="T804" s="49"/>
      <c r="U804" s="49"/>
      <c r="V804" s="49"/>
      <c r="W804" s="49"/>
      <c r="X804" s="49"/>
      <c r="Y804" s="49"/>
      <c r="Z804" s="49"/>
      <c r="AA804" s="49"/>
    </row>
    <row r="805" spans="1:27" ht="30" x14ac:dyDescent="0.25">
      <c r="A805" s="207"/>
      <c r="B805" s="641"/>
      <c r="C805" s="711" t="s">
        <v>98</v>
      </c>
      <c r="D805" s="276" t="s">
        <v>1248</v>
      </c>
      <c r="E805" s="191" t="str">
        <f>" - " &amp; 'Giá Máy'!E19</f>
        <v xml:space="preserve"> - Máy rải hỗn hợp bê tông nhựa 130 - 140CV</v>
      </c>
      <c r="F805" s="641" t="str">
        <f>'Giá Máy'!F19</f>
        <v>ca</v>
      </c>
      <c r="G805" s="67">
        <f>'Phan tich don gia'!G330</f>
        <v>3.3E-4</v>
      </c>
      <c r="H805" s="5">
        <f>'Giá Máy'!J19</f>
        <v>5455372</v>
      </c>
      <c r="I805" s="198">
        <f>'Du toan chi tiet'!X49</f>
        <v>1</v>
      </c>
      <c r="J805" s="5">
        <f t="shared" ref="J805:J808" si="46">PRODUCT(G805,H805,I805)</f>
        <v>1800.2727600000001</v>
      </c>
      <c r="K805" s="49"/>
      <c r="L805" s="49"/>
      <c r="M805" s="49"/>
      <c r="N805" s="49"/>
      <c r="O805" s="49"/>
      <c r="P805" s="49"/>
      <c r="Q805" s="49"/>
      <c r="R805" s="49"/>
      <c r="S805" s="49"/>
      <c r="T805" s="49"/>
      <c r="U805" s="49"/>
      <c r="V805" s="49"/>
      <c r="W805" s="49"/>
      <c r="X805" s="49"/>
      <c r="Y805" s="49"/>
      <c r="Z805" s="49"/>
      <c r="AA805" s="49"/>
    </row>
    <row r="806" spans="1:27" x14ac:dyDescent="0.25">
      <c r="A806" s="207"/>
      <c r="B806" s="641"/>
      <c r="C806" s="711" t="s">
        <v>98</v>
      </c>
      <c r="D806" s="276" t="s">
        <v>798</v>
      </c>
      <c r="E806" s="191" t="str">
        <f>" - " &amp; 'Giá Máy'!E25</f>
        <v xml:space="preserve"> - Máy lu bánh thép 6T</v>
      </c>
      <c r="F806" s="641" t="str">
        <f>'Giá Máy'!F25</f>
        <v>ca</v>
      </c>
      <c r="G806" s="67">
        <f>'Phan tich don gia'!G331</f>
        <v>6.3000000000000003E-4</v>
      </c>
      <c r="H806" s="5">
        <f>'Giá Máy'!J25</f>
        <v>953819</v>
      </c>
      <c r="I806" s="198">
        <f>'Du toan chi tiet'!X49</f>
        <v>1</v>
      </c>
      <c r="J806" s="5">
        <f t="shared" si="46"/>
        <v>600.90597000000002</v>
      </c>
      <c r="K806" s="49"/>
      <c r="L806" s="49"/>
      <c r="M806" s="49"/>
      <c r="N806" s="49"/>
      <c r="O806" s="49"/>
      <c r="P806" s="49"/>
      <c r="Q806" s="49"/>
      <c r="R806" s="49"/>
      <c r="S806" s="49"/>
      <c r="T806" s="49"/>
      <c r="U806" s="49"/>
      <c r="V806" s="49"/>
      <c r="W806" s="49"/>
      <c r="X806" s="49"/>
      <c r="Y806" s="49"/>
      <c r="Z806" s="49"/>
      <c r="AA806" s="49"/>
    </row>
    <row r="807" spans="1:27" x14ac:dyDescent="0.25">
      <c r="A807" s="207"/>
      <c r="B807" s="641"/>
      <c r="C807" s="711" t="s">
        <v>98</v>
      </c>
      <c r="D807" s="276" t="s">
        <v>970</v>
      </c>
      <c r="E807" s="191" t="str">
        <f>" - " &amp; 'Giá Máy'!E23</f>
        <v xml:space="preserve"> - Ô tô tưới nước 5m3</v>
      </c>
      <c r="F807" s="641" t="str">
        <f>'Giá Máy'!F23</f>
        <v>ca</v>
      </c>
      <c r="G807" s="67">
        <f>'Phan tich don gia'!G332</f>
        <v>2.1000000000000001E-4</v>
      </c>
      <c r="H807" s="5">
        <f>'Giá Máy'!J23</f>
        <v>1202488</v>
      </c>
      <c r="I807" s="198">
        <f>'Du toan chi tiet'!X49</f>
        <v>1</v>
      </c>
      <c r="J807" s="5">
        <f t="shared" si="46"/>
        <v>252.52248</v>
      </c>
      <c r="K807" s="49"/>
      <c r="L807" s="49"/>
      <c r="M807" s="49"/>
      <c r="N807" s="49"/>
      <c r="O807" s="49"/>
      <c r="P807" s="49"/>
      <c r="Q807" s="49"/>
      <c r="R807" s="49"/>
      <c r="S807" s="49"/>
      <c r="T807" s="49"/>
      <c r="U807" s="49"/>
      <c r="V807" s="49"/>
      <c r="W807" s="49"/>
      <c r="X807" s="49"/>
      <c r="Y807" s="49"/>
      <c r="Z807" s="49"/>
      <c r="AA807" s="49"/>
    </row>
    <row r="808" spans="1:27" x14ac:dyDescent="0.25">
      <c r="A808" s="207"/>
      <c r="B808" s="641"/>
      <c r="C808" s="711" t="s">
        <v>98</v>
      </c>
      <c r="D808" s="276" t="s">
        <v>1089</v>
      </c>
      <c r="E808" s="191" t="str">
        <f>" - " &amp; 'Giá Máy'!E18</f>
        <v xml:space="preserve"> - Máy nén khí diezel 600m3/h</v>
      </c>
      <c r="F808" s="641" t="str">
        <f>'Giá Máy'!F18</f>
        <v>ca</v>
      </c>
      <c r="G808" s="67">
        <f>'Phan tich don gia'!G333</f>
        <v>3.1E-4</v>
      </c>
      <c r="H808" s="5">
        <f>'Giá Máy'!J18</f>
        <v>1703277.5</v>
      </c>
      <c r="I808" s="198">
        <f>'Du toan chi tiet'!X49</f>
        <v>1</v>
      </c>
      <c r="J808" s="5">
        <f t="shared" si="46"/>
        <v>528.01602500000001</v>
      </c>
      <c r="K808" s="49"/>
      <c r="L808" s="49"/>
      <c r="M808" s="49"/>
      <c r="N808" s="49"/>
      <c r="O808" s="49"/>
      <c r="P808" s="49"/>
      <c r="Q808" s="49"/>
      <c r="R808" s="49"/>
      <c r="S808" s="49"/>
      <c r="T808" s="49"/>
      <c r="U808" s="49"/>
      <c r="V808" s="49"/>
      <c r="W808" s="49"/>
      <c r="X808" s="49"/>
      <c r="Y808" s="49"/>
      <c r="Z808" s="49"/>
      <c r="AA808" s="49"/>
    </row>
    <row r="809" spans="1:27" x14ac:dyDescent="0.25">
      <c r="A809" s="207"/>
      <c r="B809" s="641"/>
      <c r="C809" s="711" t="s">
        <v>98</v>
      </c>
      <c r="D809" s="276" t="s">
        <v>98</v>
      </c>
      <c r="E809" s="191" t="s">
        <v>1230</v>
      </c>
      <c r="F809" s="641"/>
      <c r="G809" s="106"/>
      <c r="H809" s="5"/>
      <c r="I809" s="198"/>
      <c r="J809" s="5">
        <f>SUM(J810:J811)</f>
        <v>1.48E-3</v>
      </c>
      <c r="K809" s="49"/>
      <c r="L809" s="49"/>
      <c r="M809" s="49"/>
      <c r="N809" s="49"/>
      <c r="O809" s="49"/>
      <c r="P809" s="49"/>
      <c r="Q809" s="49"/>
      <c r="R809" s="49"/>
      <c r="S809" s="49"/>
      <c r="T809" s="49"/>
      <c r="U809" s="49"/>
      <c r="V809" s="49"/>
      <c r="W809" s="49"/>
      <c r="X809" s="49"/>
      <c r="Y809" s="49"/>
      <c r="Z809" s="49"/>
      <c r="AA809" s="49"/>
    </row>
    <row r="810" spans="1:27" x14ac:dyDescent="0.25">
      <c r="A810" s="207"/>
      <c r="B810" s="641"/>
      <c r="C810" s="711" t="s">
        <v>98</v>
      </c>
      <c r="D810" s="276" t="s">
        <v>98</v>
      </c>
      <c r="E810" s="191" t="s">
        <v>52</v>
      </c>
      <c r="F810" s="641"/>
      <c r="G810" s="106"/>
      <c r="H810" s="5"/>
      <c r="I810" s="198"/>
      <c r="J810" s="5">
        <f>PRODUCT(G805,I805,'Giá Máy'!L19)+PRODUCT(G806,I806,'Giá Máy'!L25)+PRODUCT(G807,I807,'Giá Máy'!L23)+PRODUCT(G808,I808,'Giá Máy'!L18)</f>
        <v>0</v>
      </c>
      <c r="K810" s="49"/>
      <c r="L810" s="49"/>
      <c r="M810" s="49"/>
      <c r="N810" s="49"/>
      <c r="O810" s="49"/>
      <c r="P810" s="49"/>
      <c r="Q810" s="49"/>
      <c r="R810" s="49"/>
      <c r="S810" s="49"/>
      <c r="T810" s="49"/>
      <c r="U810" s="49"/>
      <c r="V810" s="49"/>
      <c r="W810" s="49"/>
      <c r="X810" s="49"/>
      <c r="Y810" s="49"/>
      <c r="Z810" s="49"/>
      <c r="AA810" s="49"/>
    </row>
    <row r="811" spans="1:27" x14ac:dyDescent="0.25">
      <c r="A811" s="207"/>
      <c r="B811" s="641"/>
      <c r="C811" s="711" t="s">
        <v>98</v>
      </c>
      <c r="D811" s="276" t="s">
        <v>98</v>
      </c>
      <c r="E811" s="191" t="s">
        <v>597</v>
      </c>
      <c r="F811" s="641"/>
      <c r="G811" s="106"/>
      <c r="H811" s="5"/>
      <c r="I811" s="198"/>
      <c r="J811" s="5">
        <f>PRODUCT(G805,I805,'Giá Máy'!M19)+PRODUCT(G806,I806,'Giá Máy'!M25)+PRODUCT(G807,I807,'Giá Máy'!M23)+PRODUCT(G808,I808,'Giá Máy'!M18)</f>
        <v>1.48E-3</v>
      </c>
      <c r="K811" s="49"/>
      <c r="L811" s="49"/>
      <c r="M811" s="49"/>
      <c r="N811" s="49"/>
      <c r="O811" s="49"/>
      <c r="P811" s="49"/>
      <c r="Q811" s="49"/>
      <c r="R811" s="49"/>
      <c r="S811" s="49"/>
      <c r="T811" s="49"/>
      <c r="U811" s="49"/>
      <c r="V811" s="49"/>
      <c r="W811" s="49"/>
      <c r="X811" s="49"/>
      <c r="Y811" s="49"/>
      <c r="Z811" s="49"/>
      <c r="AA811" s="49"/>
    </row>
    <row r="812" spans="1:27" x14ac:dyDescent="0.25">
      <c r="A812" s="207"/>
      <c r="B812" s="641"/>
      <c r="C812" s="711" t="s">
        <v>98</v>
      </c>
      <c r="D812" s="276" t="s">
        <v>98</v>
      </c>
      <c r="E812" s="191" t="s">
        <v>599</v>
      </c>
      <c r="F812" s="641" t="s">
        <v>356</v>
      </c>
      <c r="G812" s="106"/>
      <c r="H812" s="5"/>
      <c r="I812" s="198"/>
      <c r="J812" s="5">
        <f>J799+J802+J804</f>
        <v>227666.70271500002</v>
      </c>
      <c r="K812" s="49"/>
      <c r="L812" s="49"/>
      <c r="M812" s="49"/>
      <c r="N812" s="49"/>
      <c r="O812" s="49"/>
      <c r="P812" s="49"/>
      <c r="Q812" s="49"/>
      <c r="R812" s="49"/>
      <c r="S812" s="49"/>
      <c r="T812" s="49"/>
      <c r="U812" s="49"/>
      <c r="V812" s="49"/>
      <c r="W812" s="49"/>
      <c r="X812" s="49"/>
      <c r="Y812" s="49"/>
      <c r="Z812" s="49"/>
      <c r="AA812" s="49"/>
    </row>
    <row r="813" spans="1:27" x14ac:dyDescent="0.25">
      <c r="A813" s="207"/>
      <c r="B813" s="641"/>
      <c r="C813" s="711" t="s">
        <v>98</v>
      </c>
      <c r="D813" s="276" t="s">
        <v>98</v>
      </c>
      <c r="E813" s="191" t="s">
        <v>265</v>
      </c>
      <c r="F813" s="641" t="s">
        <v>653</v>
      </c>
      <c r="G813" s="307">
        <f>'Thông tin'!E67</f>
        <v>7.2999999999999995E-2</v>
      </c>
      <c r="H813" s="5"/>
      <c r="I813" s="198"/>
      <c r="J813" s="5">
        <f>(J812)*G813</f>
        <v>16619.669298195</v>
      </c>
      <c r="K813" s="49"/>
      <c r="L813" s="49"/>
      <c r="M813" s="49"/>
      <c r="N813" s="49"/>
      <c r="O813" s="49"/>
      <c r="P813" s="49"/>
      <c r="Q813" s="49"/>
      <c r="R813" s="49"/>
      <c r="S813" s="49"/>
      <c r="T813" s="49"/>
      <c r="U813" s="49"/>
      <c r="V813" s="49"/>
      <c r="W813" s="49"/>
      <c r="X813" s="49"/>
      <c r="Y813" s="49"/>
      <c r="Z813" s="49"/>
      <c r="AA813" s="49"/>
    </row>
    <row r="814" spans="1:27" x14ac:dyDescent="0.25">
      <c r="A814" s="207"/>
      <c r="B814" s="641"/>
      <c r="C814" s="711" t="s">
        <v>98</v>
      </c>
      <c r="D814" s="276" t="s">
        <v>98</v>
      </c>
      <c r="E814" s="191" t="s">
        <v>765</v>
      </c>
      <c r="F814" s="641" t="s">
        <v>602</v>
      </c>
      <c r="G814" s="307">
        <f>'Thông tin'!E60</f>
        <v>1.1000000000000001E-2</v>
      </c>
      <c r="H814" s="5"/>
      <c r="I814" s="198"/>
      <c r="J814" s="5">
        <f>(J812)*G814</f>
        <v>2504.3337298650004</v>
      </c>
      <c r="K814" s="49"/>
      <c r="L814" s="49"/>
      <c r="M814" s="49"/>
      <c r="N814" s="49"/>
      <c r="O814" s="49"/>
      <c r="P814" s="49"/>
      <c r="Q814" s="49"/>
      <c r="R814" s="49"/>
      <c r="S814" s="49"/>
      <c r="T814" s="49"/>
      <c r="U814" s="49"/>
      <c r="V814" s="49"/>
      <c r="W814" s="49"/>
      <c r="X814" s="49"/>
      <c r="Y814" s="49"/>
      <c r="Z814" s="49"/>
      <c r="AA814" s="49"/>
    </row>
    <row r="815" spans="1:27" ht="30" x14ac:dyDescent="0.25">
      <c r="A815" s="207"/>
      <c r="B815" s="641"/>
      <c r="C815" s="711" t="s">
        <v>98</v>
      </c>
      <c r="D815" s="276" t="s">
        <v>98</v>
      </c>
      <c r="E815" s="191" t="s">
        <v>457</v>
      </c>
      <c r="F815" s="641" t="s">
        <v>881</v>
      </c>
      <c r="G815" s="307">
        <f>'Thông tin'!E65</f>
        <v>2.5000000000000001E-2</v>
      </c>
      <c r="H815" s="5"/>
      <c r="I815" s="198"/>
      <c r="J815" s="5">
        <f>(J812)*G815</f>
        <v>5691.6675678750007</v>
      </c>
      <c r="K815" s="49"/>
      <c r="L815" s="49"/>
      <c r="M815" s="49"/>
      <c r="N815" s="49"/>
      <c r="O815" s="49"/>
      <c r="P815" s="49"/>
      <c r="Q815" s="49"/>
      <c r="R815" s="49"/>
      <c r="S815" s="49"/>
      <c r="T815" s="49"/>
      <c r="U815" s="49"/>
      <c r="V815" s="49"/>
      <c r="W815" s="49"/>
      <c r="X815" s="49"/>
      <c r="Y815" s="49"/>
      <c r="Z815" s="49"/>
      <c r="AA815" s="49"/>
    </row>
    <row r="816" spans="1:27" x14ac:dyDescent="0.25">
      <c r="A816" s="207"/>
      <c r="B816" s="641"/>
      <c r="C816" s="711" t="s">
        <v>98</v>
      </c>
      <c r="D816" s="276" t="s">
        <v>98</v>
      </c>
      <c r="E816" s="191" t="s">
        <v>1244</v>
      </c>
      <c r="F816" s="641" t="s">
        <v>1032</v>
      </c>
      <c r="G816" s="106"/>
      <c r="H816" s="5"/>
      <c r="I816" s="198"/>
      <c r="J816" s="5">
        <f>J813+J814+J815</f>
        <v>24815.670595935</v>
      </c>
      <c r="K816" s="49"/>
      <c r="L816" s="49"/>
      <c r="M816" s="49"/>
      <c r="N816" s="49"/>
      <c r="O816" s="49"/>
      <c r="P816" s="49"/>
      <c r="Q816" s="49"/>
      <c r="R816" s="49"/>
      <c r="S816" s="49"/>
      <c r="T816" s="49"/>
      <c r="U816" s="49"/>
      <c r="V816" s="49"/>
      <c r="W816" s="49"/>
      <c r="X816" s="49"/>
      <c r="Y816" s="49"/>
      <c r="Z816" s="49"/>
      <c r="AA816" s="49"/>
    </row>
    <row r="817" spans="1:27" x14ac:dyDescent="0.25">
      <c r="A817" s="207"/>
      <c r="B817" s="641"/>
      <c r="C817" s="711" t="s">
        <v>98</v>
      </c>
      <c r="D817" s="276" t="s">
        <v>98</v>
      </c>
      <c r="E817" s="191" t="s">
        <v>990</v>
      </c>
      <c r="F817" s="641" t="s">
        <v>307</v>
      </c>
      <c r="G817" s="307">
        <f>'Thông tin'!E63</f>
        <v>5.5E-2</v>
      </c>
      <c r="H817" s="5"/>
      <c r="I817" s="198"/>
      <c r="J817" s="5">
        <f>(J812+J816)*G817</f>
        <v>13886.530532101426</v>
      </c>
      <c r="K817" s="49"/>
      <c r="L817" s="49"/>
      <c r="M817" s="49"/>
      <c r="N817" s="49"/>
      <c r="O817" s="49"/>
      <c r="P817" s="49"/>
      <c r="Q817" s="49"/>
      <c r="R817" s="49"/>
      <c r="S817" s="49"/>
      <c r="T817" s="49"/>
      <c r="U817" s="49"/>
      <c r="V817" s="49"/>
      <c r="W817" s="49"/>
      <c r="X817" s="49"/>
      <c r="Y817" s="49"/>
      <c r="Z817" s="49"/>
      <c r="AA817" s="49"/>
    </row>
    <row r="818" spans="1:27" x14ac:dyDescent="0.25">
      <c r="A818" s="207"/>
      <c r="B818" s="641"/>
      <c r="C818" s="711" t="s">
        <v>98</v>
      </c>
      <c r="D818" s="276" t="s">
        <v>98</v>
      </c>
      <c r="E818" s="7" t="s">
        <v>142</v>
      </c>
      <c r="F818" s="499" t="s">
        <v>286</v>
      </c>
      <c r="G818" s="106"/>
      <c r="H818" s="5"/>
      <c r="I818" s="198"/>
      <c r="J818" s="620">
        <f>J812+J816+J817</f>
        <v>266368.90384303645</v>
      </c>
      <c r="K818" s="49"/>
      <c r="L818" s="49"/>
      <c r="M818" s="49"/>
      <c r="N818" s="49"/>
      <c r="O818" s="49"/>
      <c r="P818" s="49"/>
      <c r="Q818" s="49"/>
      <c r="R818" s="49"/>
      <c r="S818" s="49"/>
      <c r="T818" s="49"/>
      <c r="U818" s="49"/>
      <c r="V818" s="49"/>
      <c r="W818" s="49"/>
      <c r="X818" s="49"/>
      <c r="Y818" s="49"/>
      <c r="Z818" s="49"/>
      <c r="AA818" s="49"/>
    </row>
    <row r="819" spans="1:27" x14ac:dyDescent="0.25">
      <c r="A819" s="207"/>
      <c r="B819" s="641"/>
      <c r="C819" s="711" t="s">
        <v>98</v>
      </c>
      <c r="D819" s="276" t="s">
        <v>98</v>
      </c>
      <c r="E819" s="191" t="s">
        <v>762</v>
      </c>
      <c r="F819" s="641" t="s">
        <v>830</v>
      </c>
      <c r="G819" s="705">
        <f>'Thông tin'!E61</f>
        <v>0.08</v>
      </c>
      <c r="H819" s="5"/>
      <c r="I819" s="198"/>
      <c r="J819" s="5">
        <f>(J818)*G819</f>
        <v>21309.512307442918</v>
      </c>
      <c r="K819" s="49"/>
      <c r="L819" s="49"/>
      <c r="M819" s="49"/>
      <c r="N819" s="49"/>
      <c r="O819" s="49"/>
      <c r="P819" s="49"/>
      <c r="Q819" s="49"/>
      <c r="R819" s="49"/>
      <c r="S819" s="49"/>
      <c r="T819" s="49"/>
      <c r="U819" s="49"/>
      <c r="V819" s="49"/>
      <c r="W819" s="49"/>
      <c r="X819" s="49"/>
      <c r="Y819" s="49"/>
      <c r="Z819" s="49"/>
      <c r="AA819" s="49"/>
    </row>
    <row r="820" spans="1:27" x14ac:dyDescent="0.25">
      <c r="A820" s="122"/>
      <c r="B820" s="581"/>
      <c r="C820" s="636" t="s">
        <v>98</v>
      </c>
      <c r="D820" s="196" t="s">
        <v>98</v>
      </c>
      <c r="E820" s="728" t="s">
        <v>953</v>
      </c>
      <c r="F820" s="429" t="s">
        <v>1108</v>
      </c>
      <c r="G820" s="29"/>
      <c r="H820" s="704"/>
      <c r="I820" s="113"/>
      <c r="J820" s="657">
        <f>J818+J819</f>
        <v>287678.41615047934</v>
      </c>
      <c r="K820" s="49"/>
      <c r="L820" s="49"/>
      <c r="M820" s="49"/>
      <c r="N820" s="49"/>
      <c r="O820" s="49"/>
      <c r="P820" s="49"/>
      <c r="Q820" s="49"/>
      <c r="R820" s="49"/>
      <c r="S820" s="49"/>
      <c r="T820" s="49"/>
      <c r="U820" s="49"/>
      <c r="V820" s="49"/>
      <c r="W820" s="49"/>
      <c r="X820" s="49"/>
      <c r="Y820" s="49"/>
      <c r="Z820" s="49"/>
      <c r="AA820" s="49"/>
    </row>
    <row r="821" spans="1:27" x14ac:dyDescent="0.25">
      <c r="A821" s="458"/>
      <c r="B821" s="130">
        <v>41</v>
      </c>
      <c r="C821" s="234" t="e">
        <f>'Du toan chi tiet'!#REF!</f>
        <v>#REF!</v>
      </c>
      <c r="D821" s="234" t="e">
        <f>'Du toan chi tiet'!#REF!</f>
        <v>#REF!</v>
      </c>
      <c r="E821" s="730" t="e">
        <f>'Du toan chi tiet'!#REF!</f>
        <v>#REF!</v>
      </c>
      <c r="F821" s="130" t="e">
        <f>'Du toan chi tiet'!#REF!</f>
        <v>#REF!</v>
      </c>
      <c r="G821" s="664"/>
      <c r="H821" s="282"/>
      <c r="I821" s="450"/>
      <c r="J821" s="282"/>
      <c r="K821" s="49"/>
      <c r="L821" s="49"/>
      <c r="M821" s="49"/>
      <c r="N821" s="49"/>
      <c r="O821" s="49"/>
      <c r="P821" s="49"/>
      <c r="Q821" s="49"/>
      <c r="R821" s="49"/>
      <c r="S821" s="49"/>
      <c r="T821" s="49"/>
      <c r="U821" s="49"/>
      <c r="V821" s="49"/>
      <c r="W821" s="49"/>
      <c r="X821" s="49"/>
      <c r="Y821" s="49"/>
      <c r="Z821" s="49"/>
      <c r="AA821" s="49"/>
    </row>
    <row r="822" spans="1:27" x14ac:dyDescent="0.25">
      <c r="A822" s="261"/>
      <c r="B822" s="690"/>
      <c r="C822" s="745" t="s">
        <v>98</v>
      </c>
      <c r="D822" s="745" t="s">
        <v>98</v>
      </c>
      <c r="E822" s="247" t="s">
        <v>547</v>
      </c>
      <c r="F822" s="690" t="s">
        <v>962</v>
      </c>
      <c r="G822" s="133"/>
      <c r="H822" s="44"/>
      <c r="I822" s="233"/>
      <c r="J822" s="44" t="e">
        <f>SUM(J823:J823)</f>
        <v>#REF!</v>
      </c>
      <c r="K822" s="49"/>
      <c r="L822" s="49"/>
      <c r="M822" s="49"/>
      <c r="N822" s="49"/>
      <c r="O822" s="49"/>
      <c r="P822" s="49"/>
      <c r="Q822" s="49"/>
      <c r="R822" s="49"/>
      <c r="S822" s="49"/>
      <c r="T822" s="49"/>
      <c r="U822" s="49"/>
      <c r="V822" s="49"/>
      <c r="W822" s="49"/>
      <c r="X822" s="49"/>
      <c r="Y822" s="49"/>
      <c r="Z822" s="49"/>
      <c r="AA822" s="49"/>
    </row>
    <row r="823" spans="1:27" x14ac:dyDescent="0.25">
      <c r="A823" s="207"/>
      <c r="B823" s="641"/>
      <c r="C823" s="711" t="s">
        <v>98</v>
      </c>
      <c r="D823" s="276" t="s">
        <v>316</v>
      </c>
      <c r="E823" s="191" t="e">
        <f>" - " &amp; 'Giá VL'!#REF!</f>
        <v>#REF!</v>
      </c>
      <c r="F823" s="641" t="e">
        <f>'Giá VL'!#REF!</f>
        <v>#REF!</v>
      </c>
      <c r="G823" s="67" t="e">
        <f>'Phan tich don gia'!#REF!</f>
        <v>#REF!</v>
      </c>
      <c r="H823" s="5" t="e">
        <f>'Giá VL'!#REF!</f>
        <v>#REF!</v>
      </c>
      <c r="I823" s="198" t="e">
        <f>'Du toan chi tiet'!#REF!</f>
        <v>#REF!</v>
      </c>
      <c r="J823" s="5" t="e">
        <f>PRODUCT(G823,H823,I823)</f>
        <v>#REF!</v>
      </c>
      <c r="K823" s="49"/>
      <c r="L823" s="49"/>
      <c r="M823" s="49"/>
      <c r="N823" s="49"/>
      <c r="O823" s="49"/>
      <c r="P823" s="49"/>
      <c r="Q823" s="49"/>
      <c r="R823" s="49"/>
      <c r="S823" s="49"/>
      <c r="T823" s="49"/>
      <c r="U823" s="49"/>
      <c r="V823" s="49"/>
      <c r="W823" s="49"/>
      <c r="X823" s="49"/>
      <c r="Y823" s="49"/>
      <c r="Z823" s="49"/>
      <c r="AA823" s="49"/>
    </row>
    <row r="824" spans="1:27" x14ac:dyDescent="0.25">
      <c r="A824" s="261"/>
      <c r="B824" s="690"/>
      <c r="C824" s="745" t="s">
        <v>98</v>
      </c>
      <c r="D824" s="745" t="s">
        <v>98</v>
      </c>
      <c r="E824" s="247" t="s">
        <v>301</v>
      </c>
      <c r="F824" s="690" t="s">
        <v>1018</v>
      </c>
      <c r="G824" s="133"/>
      <c r="H824" s="44"/>
      <c r="I824" s="233"/>
      <c r="J824" s="44" t="e">
        <f>SUM(J825:J825)</f>
        <v>#REF!</v>
      </c>
      <c r="K824" s="49"/>
      <c r="L824" s="49"/>
      <c r="M824" s="49"/>
      <c r="N824" s="49"/>
      <c r="O824" s="49"/>
      <c r="P824" s="49"/>
      <c r="Q824" s="49"/>
      <c r="R824" s="49"/>
      <c r="S824" s="49"/>
      <c r="T824" s="49"/>
      <c r="U824" s="49"/>
      <c r="V824" s="49"/>
      <c r="W824" s="49"/>
      <c r="X824" s="49"/>
      <c r="Y824" s="49"/>
      <c r="Z824" s="49"/>
      <c r="AA824" s="49"/>
    </row>
    <row r="825" spans="1:27" x14ac:dyDescent="0.25">
      <c r="A825" s="207"/>
      <c r="B825" s="641"/>
      <c r="C825" s="711" t="s">
        <v>98</v>
      </c>
      <c r="D825" s="276" t="s">
        <v>706</v>
      </c>
      <c r="E825" s="191" t="str">
        <f>" - " &amp; 'Giá NC'!E8</f>
        <v xml:space="preserve"> - Nhân công bậc 3,5/7 - Nhóm 2</v>
      </c>
      <c r="F825" s="641" t="str">
        <f>'Giá NC'!F8</f>
        <v>công</v>
      </c>
      <c r="G825" s="67" t="e">
        <f>'Phan tich don gia'!#REF!</f>
        <v>#REF!</v>
      </c>
      <c r="H825" s="5">
        <f>'Giá NC'!K8</f>
        <v>252200</v>
      </c>
      <c r="I825" s="198" t="e">
        <f>'Du toan chi tiet'!#REF!</f>
        <v>#REF!</v>
      </c>
      <c r="J825" s="5" t="e">
        <f>PRODUCT(G825,H825,I825)</f>
        <v>#REF!</v>
      </c>
      <c r="K825" s="49"/>
      <c r="L825" s="49"/>
      <c r="M825" s="49"/>
      <c r="N825" s="49"/>
      <c r="O825" s="49"/>
      <c r="P825" s="49"/>
      <c r="Q825" s="49"/>
      <c r="R825" s="49"/>
      <c r="S825" s="49"/>
      <c r="T825" s="49"/>
      <c r="U825" s="49"/>
      <c r="V825" s="49"/>
      <c r="W825" s="49"/>
      <c r="X825" s="49"/>
      <c r="Y825" s="49"/>
      <c r="Z825" s="49"/>
      <c r="AA825" s="49"/>
    </row>
    <row r="826" spans="1:27" x14ac:dyDescent="0.25">
      <c r="A826" s="261"/>
      <c r="B826" s="690"/>
      <c r="C826" s="745" t="s">
        <v>98</v>
      </c>
      <c r="D826" s="745" t="s">
        <v>98</v>
      </c>
      <c r="E826" s="247" t="s">
        <v>1175</v>
      </c>
      <c r="F826" s="690" t="s">
        <v>138</v>
      </c>
      <c r="G826" s="133"/>
      <c r="H826" s="44"/>
      <c r="I826" s="233"/>
      <c r="J826" s="44" t="e">
        <f>SUM(J827:J830)</f>
        <v>#REF!</v>
      </c>
      <c r="K826" s="49"/>
      <c r="L826" s="49"/>
      <c r="M826" s="49"/>
      <c r="N826" s="49"/>
      <c r="O826" s="49"/>
      <c r="P826" s="49"/>
      <c r="Q826" s="49"/>
      <c r="R826" s="49"/>
      <c r="S826" s="49"/>
      <c r="T826" s="49"/>
      <c r="U826" s="49"/>
      <c r="V826" s="49"/>
      <c r="W826" s="49"/>
      <c r="X826" s="49"/>
      <c r="Y826" s="49"/>
      <c r="Z826" s="49"/>
      <c r="AA826" s="49"/>
    </row>
    <row r="827" spans="1:27" x14ac:dyDescent="0.25">
      <c r="A827" s="207"/>
      <c r="B827" s="641"/>
      <c r="C827" s="711" t="s">
        <v>98</v>
      </c>
      <c r="D827" s="276" t="s">
        <v>811</v>
      </c>
      <c r="E827" s="191" t="e">
        <f>" - " &amp; 'Giá Máy'!#REF!</f>
        <v>#REF!</v>
      </c>
      <c r="F827" s="641" t="e">
        <f>'Giá Máy'!#REF!</f>
        <v>#REF!</v>
      </c>
      <c r="G827" s="67" t="e">
        <f>'Phan tich don gia'!#REF!</f>
        <v>#REF!</v>
      </c>
      <c r="H827" s="5" t="e">
        <f>'Giá Máy'!#REF!</f>
        <v>#REF!</v>
      </c>
      <c r="I827" s="198" t="e">
        <f>'Du toan chi tiet'!#REF!</f>
        <v>#REF!</v>
      </c>
      <c r="J827" s="5" t="e">
        <f t="shared" ref="J827:J829" si="47">PRODUCT(G827,H827,I827)</f>
        <v>#REF!</v>
      </c>
      <c r="K827" s="49"/>
      <c r="L827" s="49"/>
      <c r="M827" s="49"/>
      <c r="N827" s="49"/>
      <c r="O827" s="49"/>
      <c r="P827" s="49"/>
      <c r="Q827" s="49"/>
      <c r="R827" s="49"/>
      <c r="S827" s="49"/>
      <c r="T827" s="49"/>
      <c r="U827" s="49"/>
      <c r="V827" s="49"/>
      <c r="W827" s="49"/>
      <c r="X827" s="49"/>
      <c r="Y827" s="49"/>
      <c r="Z827" s="49"/>
      <c r="AA827" s="49"/>
    </row>
    <row r="828" spans="1:27" x14ac:dyDescent="0.25">
      <c r="A828" s="207"/>
      <c r="B828" s="641"/>
      <c r="C828" s="711" t="s">
        <v>98</v>
      </c>
      <c r="D828" s="276" t="s">
        <v>1089</v>
      </c>
      <c r="E828" s="191" t="str">
        <f>" - " &amp; 'Giá Máy'!E18</f>
        <v xml:space="preserve"> - Máy nén khí diezel 600m3/h</v>
      </c>
      <c r="F828" s="641" t="str">
        <f>'Giá Máy'!F18</f>
        <v>ca</v>
      </c>
      <c r="G828" s="67" t="e">
        <f>'Phan tich don gia'!#REF!</f>
        <v>#REF!</v>
      </c>
      <c r="H828" s="5">
        <f>'Giá Máy'!J18</f>
        <v>1703277.5</v>
      </c>
      <c r="I828" s="198" t="e">
        <f>'Du toan chi tiet'!#REF!</f>
        <v>#REF!</v>
      </c>
      <c r="J828" s="5" t="e">
        <f t="shared" si="47"/>
        <v>#REF!</v>
      </c>
      <c r="K828" s="49"/>
      <c r="L828" s="49"/>
      <c r="M828" s="49"/>
      <c r="N828" s="49"/>
      <c r="O828" s="49"/>
      <c r="P828" s="49"/>
      <c r="Q828" s="49"/>
      <c r="R828" s="49"/>
      <c r="S828" s="49"/>
      <c r="T828" s="49"/>
      <c r="U828" s="49"/>
      <c r="V828" s="49"/>
      <c r="W828" s="49"/>
      <c r="X828" s="49"/>
      <c r="Y828" s="49"/>
      <c r="Z828" s="49"/>
      <c r="AA828" s="49"/>
    </row>
    <row r="829" spans="1:27" x14ac:dyDescent="0.25">
      <c r="A829" s="207"/>
      <c r="B829" s="641"/>
      <c r="C829" s="711" t="s">
        <v>98</v>
      </c>
      <c r="D829" s="276" t="s">
        <v>1162</v>
      </c>
      <c r="E829" s="191" t="s">
        <v>1080</v>
      </c>
      <c r="F829" s="641" t="s">
        <v>1113</v>
      </c>
      <c r="G829" s="67" t="e">
        <f>'Phan tich don gia'!#REF!</f>
        <v>#REF!</v>
      </c>
      <c r="H829" s="5" t="e">
        <f>IF('Du toan chi tiet'!#REF!&lt;&gt;0,SUM(J827:J828)/100/'Du toan chi tiet'!#REF!,0)</f>
        <v>#REF!</v>
      </c>
      <c r="I829" s="198" t="e">
        <f>'Du toan chi tiet'!#REF!</f>
        <v>#REF!</v>
      </c>
      <c r="J829" s="5" t="e">
        <f t="shared" si="47"/>
        <v>#REF!</v>
      </c>
      <c r="K829" s="49"/>
      <c r="L829" s="49"/>
      <c r="M829" s="49"/>
      <c r="N829" s="49"/>
      <c r="O829" s="49"/>
      <c r="P829" s="49"/>
      <c r="Q829" s="49"/>
      <c r="R829" s="49"/>
      <c r="S829" s="49"/>
      <c r="T829" s="49"/>
      <c r="U829" s="49"/>
      <c r="V829" s="49"/>
      <c r="W829" s="49"/>
      <c r="X829" s="49"/>
      <c r="Y829" s="49"/>
      <c r="Z829" s="49"/>
      <c r="AA829" s="49"/>
    </row>
    <row r="830" spans="1:27" x14ac:dyDescent="0.25">
      <c r="A830" s="207"/>
      <c r="B830" s="641"/>
      <c r="C830" s="711" t="s">
        <v>98</v>
      </c>
      <c r="D830" s="276" t="s">
        <v>98</v>
      </c>
      <c r="E830" s="191" t="s">
        <v>1230</v>
      </c>
      <c r="F830" s="641"/>
      <c r="G830" s="106"/>
      <c r="H830" s="5"/>
      <c r="I830" s="198"/>
      <c r="J830" s="5" t="e">
        <f>SUM(J831:J832)+PRODUCT(G829,I829,THM!X97-THM!R97)</f>
        <v>#REF!</v>
      </c>
      <c r="K830" s="49"/>
      <c r="L830" s="49"/>
      <c r="M830" s="49"/>
      <c r="N830" s="49"/>
      <c r="O830" s="49"/>
      <c r="P830" s="49"/>
      <c r="Q830" s="49"/>
      <c r="R830" s="49"/>
      <c r="S830" s="49"/>
      <c r="T830" s="49"/>
      <c r="U830" s="49"/>
      <c r="V830" s="49"/>
      <c r="W830" s="49"/>
      <c r="X830" s="49"/>
      <c r="Y830" s="49"/>
      <c r="Z830" s="49"/>
      <c r="AA830" s="49"/>
    </row>
    <row r="831" spans="1:27" x14ac:dyDescent="0.25">
      <c r="A831" s="207"/>
      <c r="B831" s="641"/>
      <c r="C831" s="711" t="s">
        <v>98</v>
      </c>
      <c r="D831" s="276" t="s">
        <v>98</v>
      </c>
      <c r="E831" s="191" t="s">
        <v>52</v>
      </c>
      <c r="F831" s="641"/>
      <c r="G831" s="106"/>
      <c r="H831" s="5"/>
      <c r="I831" s="198"/>
      <c r="J831" s="5" t="e">
        <f>PRODUCT(G827,I827,'Giá Máy'!#REF!)+PRODUCT(G828,I828,'Giá Máy'!L18)</f>
        <v>#REF!</v>
      </c>
      <c r="K831" s="49"/>
      <c r="L831" s="49"/>
      <c r="M831" s="49"/>
      <c r="N831" s="49"/>
      <c r="O831" s="49"/>
      <c r="P831" s="49"/>
      <c r="Q831" s="49"/>
      <c r="R831" s="49"/>
      <c r="S831" s="49"/>
      <c r="T831" s="49"/>
      <c r="U831" s="49"/>
      <c r="V831" s="49"/>
      <c r="W831" s="49"/>
      <c r="X831" s="49"/>
      <c r="Y831" s="49"/>
      <c r="Z831" s="49"/>
      <c r="AA831" s="49"/>
    </row>
    <row r="832" spans="1:27" x14ac:dyDescent="0.25">
      <c r="A832" s="207"/>
      <c r="B832" s="641"/>
      <c r="C832" s="711" t="s">
        <v>98</v>
      </c>
      <c r="D832" s="276" t="s">
        <v>98</v>
      </c>
      <c r="E832" s="191" t="s">
        <v>597</v>
      </c>
      <c r="F832" s="641"/>
      <c r="G832" s="106"/>
      <c r="H832" s="5"/>
      <c r="I832" s="198"/>
      <c r="J832" s="5" t="e">
        <f>PRODUCT(G827,I827,'Giá Máy'!#REF!)+PRODUCT(G828,I828,'Giá Máy'!M18)</f>
        <v>#REF!</v>
      </c>
      <c r="K832" s="49"/>
      <c r="L832" s="49"/>
      <c r="M832" s="49"/>
      <c r="N832" s="49"/>
      <c r="O832" s="49"/>
      <c r="P832" s="49"/>
      <c r="Q832" s="49"/>
      <c r="R832" s="49"/>
      <c r="S832" s="49"/>
      <c r="T832" s="49"/>
      <c r="U832" s="49"/>
      <c r="V832" s="49"/>
      <c r="W832" s="49"/>
      <c r="X832" s="49"/>
      <c r="Y832" s="49"/>
      <c r="Z832" s="49"/>
      <c r="AA832" s="49"/>
    </row>
    <row r="833" spans="1:27" x14ac:dyDescent="0.25">
      <c r="A833" s="207"/>
      <c r="B833" s="641"/>
      <c r="C833" s="711" t="s">
        <v>98</v>
      </c>
      <c r="D833" s="276" t="s">
        <v>98</v>
      </c>
      <c r="E833" s="191" t="s">
        <v>599</v>
      </c>
      <c r="F833" s="641" t="s">
        <v>356</v>
      </c>
      <c r="G833" s="106"/>
      <c r="H833" s="5"/>
      <c r="I833" s="198"/>
      <c r="J833" s="5" t="e">
        <f>J822+J824+J826</f>
        <v>#REF!</v>
      </c>
      <c r="K833" s="49"/>
      <c r="L833" s="49"/>
      <c r="M833" s="49"/>
      <c r="N833" s="49"/>
      <c r="O833" s="49"/>
      <c r="P833" s="49"/>
      <c r="Q833" s="49"/>
      <c r="R833" s="49"/>
      <c r="S833" s="49"/>
      <c r="T833" s="49"/>
      <c r="U833" s="49"/>
      <c r="V833" s="49"/>
      <c r="W833" s="49"/>
      <c r="X833" s="49"/>
      <c r="Y833" s="49"/>
      <c r="Z833" s="49"/>
      <c r="AA833" s="49"/>
    </row>
    <row r="834" spans="1:27" x14ac:dyDescent="0.25">
      <c r="A834" s="207"/>
      <c r="B834" s="641"/>
      <c r="C834" s="711" t="s">
        <v>98</v>
      </c>
      <c r="D834" s="276" t="s">
        <v>98</v>
      </c>
      <c r="E834" s="191" t="s">
        <v>265</v>
      </c>
      <c r="F834" s="641" t="s">
        <v>653</v>
      </c>
      <c r="G834" s="307">
        <f>'Thông tin'!E67</f>
        <v>7.2999999999999995E-2</v>
      </c>
      <c r="H834" s="5"/>
      <c r="I834" s="198"/>
      <c r="J834" s="5" t="e">
        <f>(J833)*G834</f>
        <v>#REF!</v>
      </c>
      <c r="K834" s="49"/>
      <c r="L834" s="49"/>
      <c r="M834" s="49"/>
      <c r="N834" s="49"/>
      <c r="O834" s="49"/>
      <c r="P834" s="49"/>
      <c r="Q834" s="49"/>
      <c r="R834" s="49"/>
      <c r="S834" s="49"/>
      <c r="T834" s="49"/>
      <c r="U834" s="49"/>
      <c r="V834" s="49"/>
      <c r="W834" s="49"/>
      <c r="X834" s="49"/>
      <c r="Y834" s="49"/>
      <c r="Z834" s="49"/>
      <c r="AA834" s="49"/>
    </row>
    <row r="835" spans="1:27" x14ac:dyDescent="0.25">
      <c r="A835" s="207"/>
      <c r="B835" s="641"/>
      <c r="C835" s="711" t="s">
        <v>98</v>
      </c>
      <c r="D835" s="276" t="s">
        <v>98</v>
      </c>
      <c r="E835" s="191" t="s">
        <v>765</v>
      </c>
      <c r="F835" s="641" t="s">
        <v>602</v>
      </c>
      <c r="G835" s="307">
        <f>'Thông tin'!E60</f>
        <v>1.1000000000000001E-2</v>
      </c>
      <c r="H835" s="5"/>
      <c r="I835" s="198"/>
      <c r="J835" s="5" t="e">
        <f>(J833)*G835</f>
        <v>#REF!</v>
      </c>
      <c r="K835" s="49"/>
      <c r="L835" s="49"/>
      <c r="M835" s="49"/>
      <c r="N835" s="49"/>
      <c r="O835" s="49"/>
      <c r="P835" s="49"/>
      <c r="Q835" s="49"/>
      <c r="R835" s="49"/>
      <c r="S835" s="49"/>
      <c r="T835" s="49"/>
      <c r="U835" s="49"/>
      <c r="V835" s="49"/>
      <c r="W835" s="49"/>
      <c r="X835" s="49"/>
      <c r="Y835" s="49"/>
      <c r="Z835" s="49"/>
      <c r="AA835" s="49"/>
    </row>
    <row r="836" spans="1:27" ht="30" x14ac:dyDescent="0.25">
      <c r="A836" s="207"/>
      <c r="B836" s="641"/>
      <c r="C836" s="711" t="s">
        <v>98</v>
      </c>
      <c r="D836" s="276" t="s">
        <v>98</v>
      </c>
      <c r="E836" s="191" t="s">
        <v>457</v>
      </c>
      <c r="F836" s="641" t="s">
        <v>881</v>
      </c>
      <c r="G836" s="307">
        <f>'Thông tin'!E65</f>
        <v>2.5000000000000001E-2</v>
      </c>
      <c r="H836" s="5"/>
      <c r="I836" s="198"/>
      <c r="J836" s="5" t="e">
        <f>(J833)*G836</f>
        <v>#REF!</v>
      </c>
      <c r="K836" s="49"/>
      <c r="L836" s="49"/>
      <c r="M836" s="49"/>
      <c r="N836" s="49"/>
      <c r="O836" s="49"/>
      <c r="P836" s="49"/>
      <c r="Q836" s="49"/>
      <c r="R836" s="49"/>
      <c r="S836" s="49"/>
      <c r="T836" s="49"/>
      <c r="U836" s="49"/>
      <c r="V836" s="49"/>
      <c r="W836" s="49"/>
      <c r="X836" s="49"/>
      <c r="Y836" s="49"/>
      <c r="Z836" s="49"/>
      <c r="AA836" s="49"/>
    </row>
    <row r="837" spans="1:27" x14ac:dyDescent="0.25">
      <c r="A837" s="207"/>
      <c r="B837" s="641"/>
      <c r="C837" s="711" t="s">
        <v>98</v>
      </c>
      <c r="D837" s="276" t="s">
        <v>98</v>
      </c>
      <c r="E837" s="191" t="s">
        <v>1244</v>
      </c>
      <c r="F837" s="641" t="s">
        <v>1032</v>
      </c>
      <c r="G837" s="106"/>
      <c r="H837" s="5"/>
      <c r="I837" s="198"/>
      <c r="J837" s="5" t="e">
        <f>J834+J835+J836</f>
        <v>#REF!</v>
      </c>
      <c r="K837" s="49"/>
      <c r="L837" s="49"/>
      <c r="M837" s="49"/>
      <c r="N837" s="49"/>
      <c r="O837" s="49"/>
      <c r="P837" s="49"/>
      <c r="Q837" s="49"/>
      <c r="R837" s="49"/>
      <c r="S837" s="49"/>
      <c r="T837" s="49"/>
      <c r="U837" s="49"/>
      <c r="V837" s="49"/>
      <c r="W837" s="49"/>
      <c r="X837" s="49"/>
      <c r="Y837" s="49"/>
      <c r="Z837" s="49"/>
      <c r="AA837" s="49"/>
    </row>
    <row r="838" spans="1:27" x14ac:dyDescent="0.25">
      <c r="A838" s="207"/>
      <c r="B838" s="641"/>
      <c r="C838" s="711" t="s">
        <v>98</v>
      </c>
      <c r="D838" s="276" t="s">
        <v>98</v>
      </c>
      <c r="E838" s="191" t="s">
        <v>990</v>
      </c>
      <c r="F838" s="641" t="s">
        <v>307</v>
      </c>
      <c r="G838" s="307">
        <f>'Thông tin'!E63</f>
        <v>5.5E-2</v>
      </c>
      <c r="H838" s="5"/>
      <c r="I838" s="198"/>
      <c r="J838" s="5" t="e">
        <f>(J833+J837)*G838</f>
        <v>#REF!</v>
      </c>
      <c r="K838" s="49"/>
      <c r="L838" s="49"/>
      <c r="M838" s="49"/>
      <c r="N838" s="49"/>
      <c r="O838" s="49"/>
      <c r="P838" s="49"/>
      <c r="Q838" s="49"/>
      <c r="R838" s="49"/>
      <c r="S838" s="49"/>
      <c r="T838" s="49"/>
      <c r="U838" s="49"/>
      <c r="V838" s="49"/>
      <c r="W838" s="49"/>
      <c r="X838" s="49"/>
      <c r="Y838" s="49"/>
      <c r="Z838" s="49"/>
      <c r="AA838" s="49"/>
    </row>
    <row r="839" spans="1:27" x14ac:dyDescent="0.25">
      <c r="A839" s="207"/>
      <c r="B839" s="641"/>
      <c r="C839" s="711" t="s">
        <v>98</v>
      </c>
      <c r="D839" s="276" t="s">
        <v>98</v>
      </c>
      <c r="E839" s="7" t="s">
        <v>142</v>
      </c>
      <c r="F839" s="499" t="s">
        <v>286</v>
      </c>
      <c r="G839" s="106"/>
      <c r="H839" s="5"/>
      <c r="I839" s="198"/>
      <c r="J839" s="620" t="e">
        <f>J833+J837+J838</f>
        <v>#REF!</v>
      </c>
      <c r="K839" s="49"/>
      <c r="L839" s="49"/>
      <c r="M839" s="49"/>
      <c r="N839" s="49"/>
      <c r="O839" s="49"/>
      <c r="P839" s="49"/>
      <c r="Q839" s="49"/>
      <c r="R839" s="49"/>
      <c r="S839" s="49"/>
      <c r="T839" s="49"/>
      <c r="U839" s="49"/>
      <c r="V839" s="49"/>
      <c r="W839" s="49"/>
      <c r="X839" s="49"/>
      <c r="Y839" s="49"/>
      <c r="Z839" s="49"/>
      <c r="AA839" s="49"/>
    </row>
    <row r="840" spans="1:27" x14ac:dyDescent="0.25">
      <c r="A840" s="207"/>
      <c r="B840" s="641"/>
      <c r="C840" s="711" t="s">
        <v>98</v>
      </c>
      <c r="D840" s="276" t="s">
        <v>98</v>
      </c>
      <c r="E840" s="191" t="s">
        <v>762</v>
      </c>
      <c r="F840" s="641" t="s">
        <v>830</v>
      </c>
      <c r="G840" s="705">
        <f>'Thông tin'!E61</f>
        <v>0.08</v>
      </c>
      <c r="H840" s="5"/>
      <c r="I840" s="198"/>
      <c r="J840" s="5" t="e">
        <f>(J839)*G840</f>
        <v>#REF!</v>
      </c>
      <c r="K840" s="49"/>
      <c r="L840" s="49"/>
      <c r="M840" s="49"/>
      <c r="N840" s="49"/>
      <c r="O840" s="49"/>
      <c r="P840" s="49"/>
      <c r="Q840" s="49"/>
      <c r="R840" s="49"/>
      <c r="S840" s="49"/>
      <c r="T840" s="49"/>
      <c r="U840" s="49"/>
      <c r="V840" s="49"/>
      <c r="W840" s="49"/>
      <c r="X840" s="49"/>
      <c r="Y840" s="49"/>
      <c r="Z840" s="49"/>
      <c r="AA840" s="49"/>
    </row>
    <row r="841" spans="1:27" x14ac:dyDescent="0.25">
      <c r="A841" s="122"/>
      <c r="B841" s="581"/>
      <c r="C841" s="636" t="s">
        <v>98</v>
      </c>
      <c r="D841" s="196" t="s">
        <v>98</v>
      </c>
      <c r="E841" s="728" t="s">
        <v>953</v>
      </c>
      <c r="F841" s="429" t="s">
        <v>1108</v>
      </c>
      <c r="G841" s="29"/>
      <c r="H841" s="704"/>
      <c r="I841" s="113"/>
      <c r="J841" s="657" t="e">
        <f>J839+J840</f>
        <v>#REF!</v>
      </c>
      <c r="K841" s="49"/>
      <c r="L841" s="49"/>
      <c r="M841" s="49"/>
      <c r="N841" s="49"/>
      <c r="O841" s="49"/>
      <c r="P841" s="49"/>
      <c r="Q841" s="49"/>
      <c r="R841" s="49"/>
      <c r="S841" s="49"/>
      <c r="T841" s="49"/>
      <c r="U841" s="49"/>
      <c r="V841" s="49"/>
      <c r="W841" s="49"/>
      <c r="X841" s="49"/>
      <c r="Y841" s="49"/>
      <c r="Z841" s="49"/>
      <c r="AA841" s="49"/>
    </row>
    <row r="842" spans="1:27" x14ac:dyDescent="0.25">
      <c r="B842" s="49"/>
      <c r="C842" s="549"/>
      <c r="D842" s="5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row>
    <row r="843" spans="1:27" x14ac:dyDescent="0.25">
      <c r="B843" s="49"/>
      <c r="C843" s="549"/>
      <c r="D843" s="5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row>
    <row r="844" spans="1:27" x14ac:dyDescent="0.25">
      <c r="B844" s="49"/>
      <c r="C844" s="549"/>
      <c r="D844" s="5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row>
  </sheetData>
  <mergeCells count="4">
    <mergeCell ref="A1:J1"/>
    <mergeCell ref="A2:J2"/>
    <mergeCell ref="A3:J3"/>
    <mergeCell ref="A4:J4"/>
  </mergeCells>
  <conditionalFormatting sqref="I1:I844">
    <cfRule type="cellIs" dxfId="1" priority="1" stopIfTrue="1" operator="equal">
      <formula>1</formula>
    </cfRule>
  </conditionalFormatting>
  <pageMargins left="0.60000000000000009" right="0.60000000000000009" top="0.79" bottom="0.79" header="0.3" footer="0.3"/>
  <pageSetup paperSize="9" scale="90" orientation="portrait" useFirstPageNumber="1" horizontalDpi="65532"/>
  <headerFooter>
    <oddFooter>&amp;CTrang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50"/>
  <sheetViews>
    <sheetView showZeros="0" topLeftCell="B1" workbookViewId="0">
      <selection activeCell="E12" sqref="E12"/>
    </sheetView>
  </sheetViews>
  <sheetFormatPr defaultColWidth="9.140625" defaultRowHeight="15" x14ac:dyDescent="0.25"/>
  <cols>
    <col min="1" max="1" width="9.140625" style="751" hidden="1" customWidth="1"/>
    <col min="2" max="2" width="4.7109375" style="751" bestFit="1" customWidth="1"/>
    <col min="3" max="3" width="9.28515625" style="751" bestFit="1" customWidth="1"/>
    <col min="4" max="4" width="55.42578125" style="751" customWidth="1"/>
    <col min="5" max="5" width="10.85546875" style="751" customWidth="1"/>
    <col min="6" max="7" width="14.140625" style="751" customWidth="1"/>
    <col min="8" max="8" width="17.85546875" style="751" customWidth="1"/>
    <col min="9" max="9" width="9.140625" style="751" customWidth="1"/>
    <col min="10" max="16384" width="9.140625" style="751"/>
  </cols>
  <sheetData>
    <row r="1" spans="1:27" ht="18.75" x14ac:dyDescent="0.25">
      <c r="A1" s="1082" t="s">
        <v>48</v>
      </c>
      <c r="B1" s="1082"/>
      <c r="C1" s="1082"/>
      <c r="D1" s="1083"/>
      <c r="E1" s="1082"/>
      <c r="F1" s="1084"/>
      <c r="G1" s="1085"/>
      <c r="H1" s="1085"/>
      <c r="I1" s="749"/>
      <c r="J1" s="749"/>
      <c r="K1" s="749"/>
      <c r="L1" s="749"/>
    </row>
    <row r="2" spans="1:27" x14ac:dyDescent="0.25">
      <c r="A2" s="1086" t="s">
        <v>315</v>
      </c>
      <c r="B2" s="1086"/>
      <c r="C2" s="1086"/>
      <c r="D2" s="1087"/>
      <c r="E2" s="1086"/>
      <c r="F2" s="1088"/>
      <c r="G2" s="1089"/>
      <c r="H2" s="1089"/>
      <c r="I2" s="749"/>
      <c r="J2" s="749"/>
      <c r="K2" s="749"/>
      <c r="L2" s="749"/>
    </row>
    <row r="3" spans="1:27" x14ac:dyDescent="0.25">
      <c r="A3" s="1086" t="s">
        <v>284</v>
      </c>
      <c r="B3" s="1086"/>
      <c r="C3" s="1086"/>
      <c r="D3" s="1087"/>
      <c r="E3" s="1086"/>
      <c r="F3" s="1088"/>
      <c r="G3" s="1089"/>
      <c r="H3" s="1089"/>
      <c r="I3" s="749"/>
      <c r="J3" s="749"/>
      <c r="K3" s="749"/>
      <c r="L3" s="749"/>
    </row>
    <row r="4" spans="1:27" x14ac:dyDescent="0.25">
      <c r="A4" s="1086"/>
      <c r="B4" s="1090"/>
      <c r="C4" s="1090"/>
      <c r="D4" s="1091"/>
      <c r="E4" s="1090"/>
      <c r="F4" s="1092"/>
      <c r="G4" s="1093"/>
      <c r="H4" s="1093"/>
      <c r="I4" s="45"/>
      <c r="J4" s="45"/>
      <c r="K4" s="45"/>
      <c r="L4" s="45"/>
      <c r="M4" s="49"/>
      <c r="N4" s="49"/>
      <c r="O4" s="49"/>
      <c r="P4" s="49"/>
      <c r="Q4" s="49"/>
      <c r="R4" s="49"/>
      <c r="S4" s="49"/>
      <c r="T4" s="49"/>
      <c r="U4" s="49"/>
      <c r="V4" s="49"/>
      <c r="W4" s="49"/>
      <c r="X4" s="49"/>
      <c r="Y4" s="49"/>
      <c r="Z4" s="49"/>
      <c r="AA4" s="49"/>
    </row>
    <row r="5" spans="1:27" x14ac:dyDescent="0.25">
      <c r="A5" s="220" t="s">
        <v>1114</v>
      </c>
      <c r="B5" s="172" t="s">
        <v>386</v>
      </c>
      <c r="C5" s="172" t="s">
        <v>217</v>
      </c>
      <c r="D5" s="675" t="s">
        <v>1172</v>
      </c>
      <c r="E5" s="172" t="s">
        <v>1136</v>
      </c>
      <c r="F5" s="157" t="s">
        <v>449</v>
      </c>
      <c r="G5" s="519" t="s">
        <v>822</v>
      </c>
      <c r="H5" s="519" t="s">
        <v>120</v>
      </c>
      <c r="I5" s="45"/>
      <c r="J5" s="45"/>
      <c r="K5" s="45"/>
      <c r="L5" s="45"/>
      <c r="M5" s="49"/>
      <c r="N5" s="49"/>
      <c r="O5" s="49"/>
      <c r="P5" s="49"/>
      <c r="Q5" s="49"/>
      <c r="R5" s="49"/>
      <c r="S5" s="49"/>
      <c r="T5" s="49"/>
      <c r="U5" s="49"/>
      <c r="V5" s="49"/>
      <c r="W5" s="49"/>
      <c r="X5" s="49"/>
      <c r="Y5" s="49"/>
      <c r="Z5" s="49"/>
      <c r="AA5" s="49"/>
    </row>
    <row r="6" spans="1:27" ht="30" x14ac:dyDescent="0.25">
      <c r="A6" s="421"/>
      <c r="B6" s="140">
        <v>1</v>
      </c>
      <c r="C6" s="465" t="str">
        <f>'Du toan chi tiet'!C8</f>
        <v>AD.23263</v>
      </c>
      <c r="D6" s="227" t="str">
        <f>'Du toan chi tiet'!D8</f>
        <v>Rải thảm mặt đường Carboncor Asphalt, bằng phương pháp thủ cơ giới, chiều dày mặt đường đã lèn ép 3cm</v>
      </c>
      <c r="E6" s="140" t="str">
        <f>'Du toan chi tiet'!E8</f>
        <v>m2</v>
      </c>
      <c r="F6" s="455">
        <f>'Du toan chi tiet'!M8</f>
        <v>1631.42</v>
      </c>
      <c r="G6" s="24">
        <f>'Chiết tính'!J28</f>
        <v>287678.41615047934</v>
      </c>
      <c r="H6" s="24">
        <f t="shared" ref="H6:H46" si="0">F6*G6</f>
        <v>469324321.67621505</v>
      </c>
      <c r="I6" s="45"/>
      <c r="J6" s="45"/>
      <c r="K6" s="45"/>
      <c r="L6" s="45"/>
      <c r="M6" s="49"/>
      <c r="N6" s="49"/>
      <c r="O6" s="49"/>
      <c r="P6" s="49"/>
      <c r="Q6" s="49"/>
      <c r="R6" s="49"/>
      <c r="S6" s="49"/>
      <c r="T6" s="49"/>
      <c r="U6" s="49"/>
      <c r="V6" s="49"/>
      <c r="W6" s="49"/>
      <c r="X6" s="49"/>
      <c r="Y6" s="49"/>
      <c r="Z6" s="49"/>
      <c r="AA6" s="49"/>
    </row>
    <row r="7" spans="1:27" ht="30" x14ac:dyDescent="0.25">
      <c r="A7" s="159"/>
      <c r="B7" s="649">
        <v>2</v>
      </c>
      <c r="C7" s="214" t="str">
        <f>'Du toan chi tiet'!C9</f>
        <v>AD.23261vd</v>
      </c>
      <c r="D7" s="720" t="str">
        <f>'Du toan chi tiet'!D9</f>
        <v>Rải thảm mặt đường Carboncor Asphalt, bằng phương pháp thủ cơ giới, chiều dày mặt đường đã lèn ép 1cm</v>
      </c>
      <c r="E7" s="649" t="str">
        <f>'Du toan chi tiet'!E9</f>
        <v>m2</v>
      </c>
      <c r="F7" s="176">
        <f>'Du toan chi tiet'!M9</f>
        <v>856.71</v>
      </c>
      <c r="G7" s="526">
        <f>'Chiết tính'!J51</f>
        <v>99304.94086159725</v>
      </c>
      <c r="H7" s="526">
        <f t="shared" si="0"/>
        <v>85075535.88553898</v>
      </c>
      <c r="I7" s="45"/>
      <c r="J7" s="45"/>
      <c r="K7" s="45"/>
      <c r="L7" s="45"/>
      <c r="M7" s="49"/>
      <c r="N7" s="49"/>
      <c r="O7" s="49"/>
      <c r="P7" s="49"/>
      <c r="Q7" s="49"/>
      <c r="R7" s="49"/>
      <c r="S7" s="49"/>
      <c r="T7" s="49"/>
      <c r="U7" s="49"/>
      <c r="V7" s="49"/>
      <c r="W7" s="49"/>
      <c r="X7" s="49"/>
      <c r="Y7" s="49"/>
      <c r="Z7" s="49"/>
      <c r="AA7" s="49"/>
    </row>
    <row r="8" spans="1:27" x14ac:dyDescent="0.25">
      <c r="A8" s="159"/>
      <c r="B8" s="649">
        <v>3</v>
      </c>
      <c r="C8" s="214" t="e">
        <f>'Du toan chi tiet'!#REF!</f>
        <v>#REF!</v>
      </c>
      <c r="D8" s="720" t="e">
        <f>'Du toan chi tiet'!#REF!</f>
        <v>#REF!</v>
      </c>
      <c r="E8" s="649" t="e">
        <f>'Du toan chi tiet'!#REF!</f>
        <v>#REF!</v>
      </c>
      <c r="F8" s="176" t="e">
        <f>'Du toan chi tiet'!#REF!</f>
        <v>#REF!</v>
      </c>
      <c r="G8" s="526" t="e">
        <f>'Chiết tính'!J72</f>
        <v>#REF!</v>
      </c>
      <c r="H8" s="526" t="e">
        <f t="shared" si="0"/>
        <v>#REF!</v>
      </c>
      <c r="I8" s="45"/>
      <c r="J8" s="45"/>
      <c r="K8" s="45"/>
      <c r="L8" s="45"/>
      <c r="M8" s="49"/>
      <c r="N8" s="49"/>
      <c r="O8" s="49"/>
      <c r="P8" s="49"/>
      <c r="Q8" s="49"/>
      <c r="R8" s="49"/>
      <c r="S8" s="49"/>
      <c r="T8" s="49"/>
      <c r="U8" s="49"/>
      <c r="V8" s="49"/>
      <c r="W8" s="49"/>
      <c r="X8" s="49"/>
      <c r="Y8" s="49"/>
      <c r="Z8" s="49"/>
      <c r="AA8" s="49"/>
    </row>
    <row r="9" spans="1:27" ht="30" x14ac:dyDescent="0.25">
      <c r="A9" s="159"/>
      <c r="B9" s="649">
        <v>4</v>
      </c>
      <c r="C9" s="214" t="str">
        <f>'Du toan chi tiet'!C10</f>
        <v>AF.15433</v>
      </c>
      <c r="D9" s="720" t="str">
        <f>'Du toan chi tiet'!D10</f>
        <v>Bê tông thương phẩm, bê tông mặt đường dày mặt đường ≤25cm, bê tông M300, đá 2x4</v>
      </c>
      <c r="E9" s="649" t="str">
        <f>'Du toan chi tiet'!E10</f>
        <v>m3</v>
      </c>
      <c r="F9" s="176">
        <f>'Du toan chi tiet'!M10</f>
        <v>133.84</v>
      </c>
      <c r="G9" s="526" t="e">
        <f>'Chiết tính'!J100</f>
        <v>#REF!</v>
      </c>
      <c r="H9" s="526" t="e">
        <f t="shared" si="0"/>
        <v>#REF!</v>
      </c>
      <c r="I9" s="45"/>
      <c r="J9" s="45"/>
      <c r="K9" s="45"/>
      <c r="L9" s="45"/>
      <c r="M9" s="49"/>
      <c r="N9" s="49"/>
      <c r="O9" s="49"/>
      <c r="P9" s="49"/>
      <c r="Q9" s="49"/>
      <c r="R9" s="49"/>
      <c r="S9" s="49"/>
      <c r="T9" s="49"/>
      <c r="U9" s="49"/>
      <c r="V9" s="49"/>
      <c r="W9" s="49"/>
      <c r="X9" s="49"/>
      <c r="Y9" s="49"/>
      <c r="Z9" s="49"/>
      <c r="AA9" s="49"/>
    </row>
    <row r="10" spans="1:27" x14ac:dyDescent="0.25">
      <c r="A10" s="159"/>
      <c r="B10" s="649">
        <v>5</v>
      </c>
      <c r="C10" s="214" t="str">
        <f>'Du toan chi tiet'!C11</f>
        <v>AB.66141</v>
      </c>
      <c r="D10" s="720" t="str">
        <f>'Du toan chi tiet'!D11</f>
        <v>Đắp bột đá công trình dày 5cm</v>
      </c>
      <c r="E10" s="649" t="str">
        <f>'Du toan chi tiet'!E11</f>
        <v>m3</v>
      </c>
      <c r="F10" s="176">
        <f>'Du toan chi tiet'!M11</f>
        <v>39.97</v>
      </c>
      <c r="G10" s="526">
        <f>'Chiết tính'!J120</f>
        <v>239857.60634231343</v>
      </c>
      <c r="H10" s="526">
        <f t="shared" si="0"/>
        <v>9587108.5255022682</v>
      </c>
      <c r="I10" s="45"/>
      <c r="J10" s="45"/>
      <c r="K10" s="45"/>
      <c r="L10" s="45"/>
      <c r="M10" s="49"/>
      <c r="N10" s="49"/>
      <c r="O10" s="49"/>
      <c r="P10" s="49"/>
      <c r="Q10" s="49"/>
      <c r="R10" s="49"/>
      <c r="S10" s="49"/>
      <c r="T10" s="49"/>
      <c r="U10" s="49"/>
      <c r="V10" s="49"/>
      <c r="W10" s="49"/>
      <c r="X10" s="49"/>
      <c r="Y10" s="49"/>
      <c r="Z10" s="49"/>
      <c r="AA10" s="49"/>
    </row>
    <row r="11" spans="1:27" x14ac:dyDescent="0.25">
      <c r="A11" s="159"/>
      <c r="B11" s="649">
        <v>6</v>
      </c>
      <c r="C11" s="214" t="str">
        <f>'Du toan chi tiet'!C12</f>
        <v>AL.16201</v>
      </c>
      <c r="D11" s="720" t="str">
        <f>'Du toan chi tiet'!D12</f>
        <v>Lót bạc nilong sọc xanh đỏ</v>
      </c>
      <c r="E11" s="649" t="str">
        <f>'Du toan chi tiet'!E12</f>
        <v>m2</v>
      </c>
      <c r="F11" s="176">
        <f>'Du toan chi tiet'!M12</f>
        <v>763.11</v>
      </c>
      <c r="G11" s="526">
        <f>'Chiết tính'!J136</f>
        <v>7566.7835431799995</v>
      </c>
      <c r="H11" s="526">
        <f t="shared" si="0"/>
        <v>5774288.1896360898</v>
      </c>
      <c r="I11" s="45"/>
      <c r="J11" s="45"/>
      <c r="K11" s="45"/>
      <c r="L11" s="45"/>
      <c r="M11" s="49"/>
      <c r="N11" s="49"/>
      <c r="O11" s="49"/>
      <c r="P11" s="49"/>
      <c r="Q11" s="49"/>
      <c r="R11" s="49"/>
      <c r="S11" s="49"/>
      <c r="T11" s="49"/>
      <c r="U11" s="49"/>
      <c r="V11" s="49"/>
      <c r="W11" s="49"/>
      <c r="X11" s="49"/>
      <c r="Y11" s="49"/>
      <c r="Z11" s="49"/>
      <c r="AA11" s="49"/>
    </row>
    <row r="12" spans="1:27" x14ac:dyDescent="0.25">
      <c r="A12" s="159"/>
      <c r="B12" s="649">
        <v>7</v>
      </c>
      <c r="C12" s="214" t="str">
        <f>'Du toan chi tiet'!C13</f>
        <v>AF.82411</v>
      </c>
      <c r="D12" s="720" t="str">
        <f>'Du toan chi tiet'!D13</f>
        <v>Ván khuôn thép mặt đường bê tông</v>
      </c>
      <c r="E12" s="649" t="str">
        <f>'Du toan chi tiet'!E13</f>
        <v>m2</v>
      </c>
      <c r="F12" s="176">
        <f>'Du toan chi tiet'!M13</f>
        <v>105.49</v>
      </c>
      <c r="G12" s="526">
        <f>'Chiết tính'!J158</f>
        <v>50720.646782917618</v>
      </c>
      <c r="H12" s="526">
        <f t="shared" si="0"/>
        <v>5350521.0291299792</v>
      </c>
      <c r="I12" s="45"/>
      <c r="J12" s="45"/>
      <c r="K12" s="45"/>
      <c r="L12" s="45"/>
      <c r="M12" s="49"/>
      <c r="N12" s="49"/>
      <c r="O12" s="49"/>
      <c r="P12" s="49"/>
      <c r="Q12" s="49"/>
      <c r="R12" s="49"/>
      <c r="S12" s="49"/>
      <c r="T12" s="49"/>
      <c r="U12" s="49"/>
      <c r="V12" s="49"/>
      <c r="W12" s="49"/>
      <c r="X12" s="49"/>
      <c r="Y12" s="49"/>
      <c r="Z12" s="49"/>
      <c r="AA12" s="49"/>
    </row>
    <row r="13" spans="1:27" x14ac:dyDescent="0.25">
      <c r="A13" s="159"/>
      <c r="B13" s="649">
        <v>8</v>
      </c>
      <c r="C13" s="214" t="str">
        <f>'Du toan chi tiet'!C14</f>
        <v>SE.11211</v>
      </c>
      <c r="D13" s="720" t="str">
        <f>'Du toan chi tiet'!D14</f>
        <v>Cắt mặt đường bê tông Asphalt chiều dày lớp cắt ≤ 5cm</v>
      </c>
      <c r="E13" s="649" t="str">
        <f>'Du toan chi tiet'!E14</f>
        <v>m</v>
      </c>
      <c r="F13" s="176">
        <f>'Du toan chi tiet'!M14</f>
        <v>25</v>
      </c>
      <c r="G13" s="526">
        <f>'Chiết tính'!J178</f>
        <v>11757.926854898604</v>
      </c>
      <c r="H13" s="526">
        <f t="shared" si="0"/>
        <v>293948.17137246509</v>
      </c>
      <c r="I13" s="45"/>
      <c r="J13" s="45"/>
      <c r="K13" s="45"/>
      <c r="L13" s="45"/>
      <c r="M13" s="49"/>
      <c r="N13" s="49"/>
      <c r="O13" s="49"/>
      <c r="P13" s="49"/>
      <c r="Q13" s="49"/>
      <c r="R13" s="49"/>
      <c r="S13" s="49"/>
      <c r="T13" s="49"/>
      <c r="U13" s="49"/>
      <c r="V13" s="49"/>
      <c r="W13" s="49"/>
      <c r="X13" s="49"/>
      <c r="Y13" s="49"/>
      <c r="Z13" s="49"/>
      <c r="AA13" s="49"/>
    </row>
    <row r="14" spans="1:27" x14ac:dyDescent="0.25">
      <c r="A14" s="159"/>
      <c r="B14" s="649">
        <v>9</v>
      </c>
      <c r="C14" s="214" t="str">
        <f>'Du toan chi tiet'!C15</f>
        <v>AL.22112</v>
      </c>
      <c r="D14" s="720" t="str">
        <f>'Du toan chi tiet'!D15</f>
        <v>Cắt mặt đường bê tông hiện có</v>
      </c>
      <c r="E14" s="649" t="str">
        <f>'Du toan chi tiet'!E15</f>
        <v>10m</v>
      </c>
      <c r="F14" s="176">
        <f>'Du toan chi tiet'!M15</f>
        <v>0.6</v>
      </c>
      <c r="G14" s="526">
        <f>'Chiết tính'!J198</f>
        <v>563027.07368311193</v>
      </c>
      <c r="H14" s="526">
        <f t="shared" si="0"/>
        <v>337816.24420986715</v>
      </c>
      <c r="I14" s="45"/>
      <c r="J14" s="45"/>
      <c r="K14" s="45"/>
      <c r="L14" s="45"/>
      <c r="M14" s="49"/>
      <c r="N14" s="49"/>
      <c r="O14" s="49"/>
      <c r="P14" s="49"/>
      <c r="Q14" s="49"/>
      <c r="R14" s="49"/>
      <c r="S14" s="49"/>
      <c r="T14" s="49"/>
      <c r="U14" s="49"/>
      <c r="V14" s="49"/>
      <c r="W14" s="49"/>
      <c r="X14" s="49"/>
      <c r="Y14" s="49"/>
      <c r="Z14" s="49"/>
      <c r="AA14" s="49"/>
    </row>
    <row r="15" spans="1:27" ht="30" x14ac:dyDescent="0.25">
      <c r="A15" s="159"/>
      <c r="B15" s="649">
        <v>10</v>
      </c>
      <c r="C15" s="214" t="str">
        <f>'Du toan chi tiet'!C16</f>
        <v>SF.12112</v>
      </c>
      <c r="D15" s="720" t="str">
        <f>'Du toan chi tiet'!D16</f>
        <v>Bảo dưỡng khe co dãn mặt đường bê tông xi măng - Chiều dày mặt đường 25cm</v>
      </c>
      <c r="E15" s="649" t="str">
        <f>'Du toan chi tiet'!E16</f>
        <v>1m</v>
      </c>
      <c r="F15" s="176">
        <f>'Du toan chi tiet'!M16</f>
        <v>52.2</v>
      </c>
      <c r="G15" s="526">
        <f>'Chiết tính'!J217</f>
        <v>167929.3730649197</v>
      </c>
      <c r="H15" s="526">
        <f t="shared" si="0"/>
        <v>8765913.2739888094</v>
      </c>
      <c r="I15" s="45"/>
      <c r="J15" s="45"/>
      <c r="K15" s="45"/>
      <c r="L15" s="45"/>
      <c r="M15" s="49"/>
      <c r="N15" s="49"/>
      <c r="O15" s="49"/>
      <c r="P15" s="49"/>
      <c r="Q15" s="49"/>
      <c r="R15" s="49"/>
      <c r="S15" s="49"/>
      <c r="T15" s="49"/>
      <c r="U15" s="49"/>
      <c r="V15" s="49"/>
      <c r="W15" s="49"/>
      <c r="X15" s="49"/>
      <c r="Y15" s="49"/>
      <c r="Z15" s="49"/>
      <c r="AA15" s="49"/>
    </row>
    <row r="16" spans="1:27" x14ac:dyDescent="0.25">
      <c r="A16" s="159"/>
      <c r="B16" s="649">
        <v>11</v>
      </c>
      <c r="C16" s="214" t="str">
        <f>'Du toan chi tiet'!C17</f>
        <v>AB.31134</v>
      </c>
      <c r="D16" s="720" t="str">
        <f>'Du toan chi tiet'!D17</f>
        <v>Đào kết cấu mặt đường hiện có</v>
      </c>
      <c r="E16" s="649" t="str">
        <f>'Du toan chi tiet'!E17</f>
        <v>m3</v>
      </c>
      <c r="F16" s="176">
        <f>'Du toan chi tiet'!M17</f>
        <v>5.92</v>
      </c>
      <c r="G16" s="526">
        <f>'Chiết tính'!J236</f>
        <v>34847.270384003881</v>
      </c>
      <c r="H16" s="526">
        <f t="shared" si="0"/>
        <v>206295.84067330297</v>
      </c>
      <c r="I16" s="45"/>
      <c r="J16" s="45"/>
      <c r="K16" s="45"/>
      <c r="L16" s="45"/>
      <c r="M16" s="49"/>
      <c r="N16" s="49"/>
      <c r="O16" s="49"/>
      <c r="P16" s="49"/>
      <c r="Q16" s="49"/>
      <c r="R16" s="49"/>
      <c r="S16" s="49"/>
      <c r="T16" s="49"/>
      <c r="U16" s="49"/>
      <c r="V16" s="49"/>
      <c r="W16" s="49"/>
      <c r="X16" s="49"/>
      <c r="Y16" s="49"/>
      <c r="Z16" s="49"/>
      <c r="AA16" s="49"/>
    </row>
    <row r="17" spans="1:27" x14ac:dyDescent="0.25">
      <c r="A17" s="159"/>
      <c r="B17" s="649">
        <v>12</v>
      </c>
      <c r="C17" s="214" t="str">
        <f>'Du toan chi tiet'!C18</f>
        <v>AB.21132</v>
      </c>
      <c r="D17" s="720" t="str">
        <f>'Du toan chi tiet'!D18</f>
        <v>Đào đất hữu cơ bằng máy đào 1,25m3 - Cấp đất II</v>
      </c>
      <c r="E17" s="649" t="str">
        <f>'Du toan chi tiet'!E18</f>
        <v>m3</v>
      </c>
      <c r="F17" s="176">
        <f>'Du toan chi tiet'!M18</f>
        <v>185.83</v>
      </c>
      <c r="G17" s="526">
        <f>'Chiết tính'!J255</f>
        <v>12475.023107108009</v>
      </c>
      <c r="H17" s="526">
        <f t="shared" si="0"/>
        <v>2318233.5439938814</v>
      </c>
      <c r="I17" s="45"/>
      <c r="J17" s="45"/>
      <c r="K17" s="45"/>
      <c r="L17" s="45"/>
      <c r="M17" s="49"/>
      <c r="N17" s="49"/>
      <c r="O17" s="49"/>
      <c r="P17" s="49"/>
      <c r="Q17" s="49"/>
      <c r="R17" s="49"/>
      <c r="S17" s="49"/>
      <c r="T17" s="49"/>
      <c r="U17" s="49"/>
      <c r="V17" s="49"/>
      <c r="W17" s="49"/>
      <c r="X17" s="49"/>
      <c r="Y17" s="49"/>
      <c r="Z17" s="49"/>
      <c r="AA17" s="49"/>
    </row>
    <row r="18" spans="1:27" x14ac:dyDescent="0.25">
      <c r="A18" s="159"/>
      <c r="B18" s="649">
        <v>13</v>
      </c>
      <c r="C18" s="214" t="str">
        <f>'Du toan chi tiet'!C19</f>
        <v>AB.31132</v>
      </c>
      <c r="D18" s="720" t="str">
        <f>'Du toan chi tiet'!D19</f>
        <v>Đào đánh cấp bằng máy đào 1,25m3 - Cấp đất II</v>
      </c>
      <c r="E18" s="649" t="str">
        <f>'Du toan chi tiet'!E19</f>
        <v>m3</v>
      </c>
      <c r="F18" s="176">
        <f>'Du toan chi tiet'!M19</f>
        <v>18.11</v>
      </c>
      <c r="G18" s="526">
        <f>'Chiết tính'!J274</f>
        <v>22760.908283230699</v>
      </c>
      <c r="H18" s="526">
        <f t="shared" si="0"/>
        <v>412200.04900930793</v>
      </c>
      <c r="I18" s="45"/>
      <c r="J18" s="45"/>
      <c r="K18" s="45"/>
      <c r="L18" s="45"/>
      <c r="M18" s="49"/>
      <c r="N18" s="49"/>
      <c r="O18" s="49"/>
      <c r="P18" s="49"/>
      <c r="Q18" s="49"/>
      <c r="R18" s="49"/>
      <c r="S18" s="49"/>
      <c r="T18" s="49"/>
      <c r="U18" s="49"/>
      <c r="V18" s="49"/>
      <c r="W18" s="49"/>
      <c r="X18" s="49"/>
      <c r="Y18" s="49"/>
      <c r="Z18" s="49"/>
      <c r="AA18" s="49"/>
    </row>
    <row r="19" spans="1:27" ht="30" x14ac:dyDescent="0.25">
      <c r="A19" s="159"/>
      <c r="B19" s="649">
        <v>14</v>
      </c>
      <c r="C19" s="214" t="str">
        <f>'Du toan chi tiet'!C20</f>
        <v>AA.22112</v>
      </c>
      <c r="D19" s="720" t="str">
        <f>'Du toan chi tiet'!D20</f>
        <v>Phá dỡ kết cấu bê tông không cốt thép bằng búa căn khí nén 3m3/ph</v>
      </c>
      <c r="E19" s="649" t="str">
        <f>'Du toan chi tiet'!E20</f>
        <v>m3</v>
      </c>
      <c r="F19" s="176">
        <f>'Du toan chi tiet'!M20</f>
        <v>33.17</v>
      </c>
      <c r="G19" s="526">
        <f>'Chiết tính'!J293</f>
        <v>344493.89056759502</v>
      </c>
      <c r="H19" s="526">
        <f t="shared" si="0"/>
        <v>11426862.350127127</v>
      </c>
      <c r="I19" s="45"/>
      <c r="J19" s="45"/>
      <c r="K19" s="45"/>
      <c r="L19" s="45"/>
      <c r="M19" s="49"/>
      <c r="N19" s="49"/>
      <c r="O19" s="49"/>
      <c r="P19" s="49"/>
      <c r="Q19" s="49"/>
      <c r="R19" s="49"/>
      <c r="S19" s="49"/>
      <c r="T19" s="49"/>
      <c r="U19" s="49"/>
      <c r="V19" s="49"/>
      <c r="W19" s="49"/>
      <c r="X19" s="49"/>
      <c r="Y19" s="49"/>
      <c r="Z19" s="49"/>
      <c r="AA19" s="49"/>
    </row>
    <row r="20" spans="1:27" x14ac:dyDescent="0.25">
      <c r="A20" s="159"/>
      <c r="B20" s="649">
        <v>15</v>
      </c>
      <c r="C20" s="214" t="str">
        <f>'Du toan chi tiet'!C21</f>
        <v>AA.13221</v>
      </c>
      <c r="D20" s="720" t="str">
        <f>'Du toan chi tiet'!D21</f>
        <v>Đào bụi tre, đường kính bụi tre ≤50cm bằng thủ công</v>
      </c>
      <c r="E20" s="649" t="str">
        <f>'Du toan chi tiet'!E21</f>
        <v>bụi</v>
      </c>
      <c r="F20" s="176">
        <f>'Du toan chi tiet'!M21</f>
        <v>7</v>
      </c>
      <c r="G20" s="526">
        <f>'Chiết tính'!J307</f>
        <v>218174.27802330602</v>
      </c>
      <c r="H20" s="526">
        <f t="shared" si="0"/>
        <v>1527219.9461631421</v>
      </c>
      <c r="I20" s="45"/>
      <c r="J20" s="45"/>
      <c r="K20" s="45"/>
      <c r="L20" s="45"/>
      <c r="M20" s="49"/>
      <c r="N20" s="49"/>
      <c r="O20" s="49"/>
      <c r="P20" s="49"/>
      <c r="Q20" s="49"/>
      <c r="R20" s="49"/>
      <c r="S20" s="49"/>
      <c r="T20" s="49"/>
      <c r="U20" s="49"/>
      <c r="V20" s="49"/>
      <c r="W20" s="49"/>
      <c r="X20" s="49"/>
      <c r="Y20" s="49"/>
      <c r="Z20" s="49"/>
      <c r="AA20" s="49"/>
    </row>
    <row r="21" spans="1:27" x14ac:dyDescent="0.25">
      <c r="A21" s="159"/>
      <c r="B21" s="649">
        <v>16</v>
      </c>
      <c r="C21" s="214" t="str">
        <f>'Du toan chi tiet'!C24</f>
        <v>AK.91141vd</v>
      </c>
      <c r="D21" s="720" t="str">
        <f>'Du toan chi tiet'!D24</f>
        <v>Sơn kẻ đường bằng sơn dẻo nhiệt phản quang, dày sơn 6mm</v>
      </c>
      <c r="E21" s="649" t="str">
        <f>'Du toan chi tiet'!E24</f>
        <v>m2</v>
      </c>
      <c r="F21" s="176">
        <f>'Du toan chi tiet'!M24</f>
        <v>6.6</v>
      </c>
      <c r="G21" s="526">
        <f>'Chiết tính'!J332</f>
        <v>885884.9450641945</v>
      </c>
      <c r="H21" s="526">
        <f t="shared" si="0"/>
        <v>5846840.637423683</v>
      </c>
      <c r="I21" s="45"/>
      <c r="J21" s="45"/>
      <c r="K21" s="45"/>
      <c r="L21" s="45"/>
      <c r="M21" s="49"/>
      <c r="N21" s="49"/>
      <c r="O21" s="49"/>
      <c r="P21" s="49"/>
      <c r="Q21" s="49"/>
      <c r="R21" s="49"/>
      <c r="S21" s="49"/>
      <c r="T21" s="49"/>
      <c r="U21" s="49"/>
      <c r="V21" s="49"/>
      <c r="W21" s="49"/>
      <c r="X21" s="49"/>
      <c r="Y21" s="49"/>
      <c r="Z21" s="49"/>
      <c r="AA21" s="49"/>
    </row>
    <row r="22" spans="1:27" ht="30" x14ac:dyDescent="0.25">
      <c r="A22" s="159"/>
      <c r="B22" s="649">
        <v>17</v>
      </c>
      <c r="C22" s="214" t="str">
        <f>'Du toan chi tiet'!C25</f>
        <v>AA.22212</v>
      </c>
      <c r="D22" s="720" t="str">
        <f>'Du toan chi tiet'!D25</f>
        <v>Phá dỡ kết cấu bê tông không cốt thép bằng máy khoan bê tông 1,5kw cột biển báo</v>
      </c>
      <c r="E22" s="649" t="str">
        <f>'Du toan chi tiet'!E25</f>
        <v>m3</v>
      </c>
      <c r="F22" s="176">
        <f>'Du toan chi tiet'!M25</f>
        <v>0.2</v>
      </c>
      <c r="G22" s="526">
        <f>'Chiết tính'!J350</f>
        <v>550392.54290906398</v>
      </c>
      <c r="H22" s="526">
        <f t="shared" si="0"/>
        <v>110078.5085818128</v>
      </c>
      <c r="I22" s="45"/>
      <c r="J22" s="45"/>
      <c r="K22" s="45"/>
      <c r="L22" s="45"/>
      <c r="M22" s="49"/>
      <c r="N22" s="49"/>
      <c r="O22" s="49"/>
      <c r="P22" s="49"/>
      <c r="Q22" s="49"/>
      <c r="R22" s="49"/>
      <c r="S22" s="49"/>
      <c r="T22" s="49"/>
      <c r="U22" s="49"/>
      <c r="V22" s="49"/>
      <c r="W22" s="49"/>
      <c r="X22" s="49"/>
      <c r="Y22" s="49"/>
      <c r="Z22" s="49"/>
      <c r="AA22" s="49"/>
    </row>
    <row r="23" spans="1:27" x14ac:dyDescent="0.25">
      <c r="A23" s="159"/>
      <c r="B23" s="649">
        <v>18</v>
      </c>
      <c r="C23" s="214" t="str">
        <f>'Du toan chi tiet'!C26</f>
        <v>SE.31420</v>
      </c>
      <c r="D23" s="720" t="str">
        <f>'Du toan chi tiet'!D26</f>
        <v>Sơn biển báo, cột biển báo bằng thép - 3 nước</v>
      </c>
      <c r="E23" s="649" t="str">
        <f>'Du toan chi tiet'!E26</f>
        <v>m2</v>
      </c>
      <c r="F23" s="176">
        <f>'Du toan chi tiet'!M26</f>
        <v>1.1200000000000001</v>
      </c>
      <c r="G23" s="526">
        <f>'Chiết tính'!J366</f>
        <v>87875.925722507018</v>
      </c>
      <c r="H23" s="526">
        <f t="shared" si="0"/>
        <v>98421.036809207872</v>
      </c>
      <c r="I23" s="45"/>
      <c r="J23" s="45"/>
      <c r="K23" s="45"/>
      <c r="L23" s="45"/>
      <c r="M23" s="49"/>
      <c r="N23" s="49"/>
      <c r="O23" s="49"/>
      <c r="P23" s="49"/>
      <c r="Q23" s="49"/>
      <c r="R23" s="49"/>
      <c r="S23" s="49"/>
      <c r="T23" s="49"/>
      <c r="U23" s="49"/>
      <c r="V23" s="49"/>
      <c r="W23" s="49"/>
      <c r="X23" s="49"/>
      <c r="Y23" s="49"/>
      <c r="Z23" s="49"/>
      <c r="AA23" s="49"/>
    </row>
    <row r="24" spans="1:27" x14ac:dyDescent="0.25">
      <c r="A24" s="159"/>
      <c r="B24" s="649">
        <v>19</v>
      </c>
      <c r="C24" s="214" t="str">
        <f>'Du toan chi tiet'!C27</f>
        <v>SE.31330</v>
      </c>
      <c r="D24" s="720" t="str">
        <f>'Du toan chi tiet'!D27</f>
        <v>Dán màng phản quang đầu dải phân cách</v>
      </c>
      <c r="E24" s="649" t="str">
        <f>'Du toan chi tiet'!E27</f>
        <v>m2</v>
      </c>
      <c r="F24" s="176">
        <f>'Du toan chi tiet'!M27</f>
        <v>0.38</v>
      </c>
      <c r="G24" s="526">
        <f>'Chiết tính'!J381</f>
        <v>708254.88205679995</v>
      </c>
      <c r="H24" s="526">
        <f t="shared" si="0"/>
        <v>269136.85518158396</v>
      </c>
      <c r="I24" s="45"/>
      <c r="J24" s="45"/>
      <c r="K24" s="45"/>
      <c r="L24" s="45"/>
      <c r="M24" s="49"/>
      <c r="N24" s="49"/>
      <c r="O24" s="49"/>
      <c r="P24" s="49"/>
      <c r="Q24" s="49"/>
      <c r="R24" s="49"/>
      <c r="S24" s="49"/>
      <c r="T24" s="49"/>
      <c r="U24" s="49"/>
      <c r="V24" s="49"/>
      <c r="W24" s="49"/>
      <c r="X24" s="49"/>
      <c r="Y24" s="49"/>
      <c r="Z24" s="49"/>
      <c r="AA24" s="49"/>
    </row>
    <row r="25" spans="1:27" ht="30" x14ac:dyDescent="0.25">
      <c r="A25" s="159"/>
      <c r="B25" s="649">
        <v>20</v>
      </c>
      <c r="C25" s="214" t="str">
        <f>'Du toan chi tiet'!C28</f>
        <v>AD.32531</v>
      </c>
      <c r="D25" s="720" t="str">
        <f>'Du toan chi tiet'!D28</f>
        <v>Lắp đặt cột và biển báo phản quang - Loại biển báo phản quang: Biển tam giác cạnh 70cm</v>
      </c>
      <c r="E25" s="649" t="str">
        <f>'Du toan chi tiet'!E28</f>
        <v>cái</v>
      </c>
      <c r="F25" s="176">
        <f>'Du toan chi tiet'!M28</f>
        <v>1</v>
      </c>
      <c r="G25" s="526">
        <f>'Chiết tính'!J403</f>
        <v>329685.88860522199</v>
      </c>
      <c r="H25" s="526">
        <f t="shared" si="0"/>
        <v>329685.88860522199</v>
      </c>
      <c r="I25" s="45"/>
      <c r="J25" s="45"/>
      <c r="K25" s="45"/>
      <c r="L25" s="45"/>
      <c r="M25" s="49"/>
      <c r="N25" s="49"/>
      <c r="O25" s="49"/>
      <c r="P25" s="49"/>
      <c r="Q25" s="49"/>
      <c r="R25" s="49"/>
      <c r="S25" s="49"/>
      <c r="T25" s="49"/>
      <c r="U25" s="49"/>
      <c r="V25" s="49"/>
      <c r="W25" s="49"/>
      <c r="X25" s="49"/>
      <c r="Y25" s="49"/>
      <c r="Z25" s="49"/>
      <c r="AA25" s="49"/>
    </row>
    <row r="26" spans="1:27" ht="30" x14ac:dyDescent="0.25">
      <c r="A26" s="159"/>
      <c r="B26" s="649">
        <v>21</v>
      </c>
      <c r="C26" s="214" t="str">
        <f>'Du toan chi tiet'!C29</f>
        <v>AB.11413</v>
      </c>
      <c r="D26" s="720" t="str">
        <f>'Du toan chi tiet'!D29</f>
        <v>Đào móng cột, trụ, hố kiểm tra bằng thủ công, rộng ≤1m, sâu ≤1m - Cấp đất III</v>
      </c>
      <c r="E26" s="649" t="str">
        <f>'Du toan chi tiet'!E29</f>
        <v>1m3</v>
      </c>
      <c r="F26" s="176">
        <f>'Du toan chi tiet'!M29</f>
        <v>0.44</v>
      </c>
      <c r="G26" s="526">
        <f>'Chiết tính'!J417</f>
        <v>524722.94714465993</v>
      </c>
      <c r="H26" s="526">
        <f t="shared" si="0"/>
        <v>230878.09674365039</v>
      </c>
      <c r="I26" s="45"/>
      <c r="J26" s="45"/>
      <c r="K26" s="45"/>
      <c r="L26" s="45"/>
      <c r="M26" s="49"/>
      <c r="N26" s="49"/>
      <c r="O26" s="49"/>
      <c r="P26" s="49"/>
      <c r="Q26" s="49"/>
      <c r="R26" s="49"/>
      <c r="S26" s="49"/>
      <c r="T26" s="49"/>
      <c r="U26" s="49"/>
      <c r="V26" s="49"/>
      <c r="W26" s="49"/>
      <c r="X26" s="49"/>
      <c r="Y26" s="49"/>
      <c r="Z26" s="49"/>
      <c r="AA26" s="49"/>
    </row>
    <row r="27" spans="1:27" x14ac:dyDescent="0.25">
      <c r="A27" s="159"/>
      <c r="B27" s="649">
        <v>22</v>
      </c>
      <c r="C27" s="214" t="str">
        <f>'Du toan chi tiet'!C30</f>
        <v>AB.13111</v>
      </c>
      <c r="D27" s="720" t="str">
        <f>'Du toan chi tiet'!D30</f>
        <v>Đắp đất nền móng công trình, nền đường bằng thủ công</v>
      </c>
      <c r="E27" s="649" t="str">
        <f>'Du toan chi tiet'!E30</f>
        <v>m3</v>
      </c>
      <c r="F27" s="176">
        <f>'Du toan chi tiet'!M30</f>
        <v>0.25</v>
      </c>
      <c r="G27" s="526">
        <f>'Chiết tính'!J431</f>
        <v>154655.18442158398</v>
      </c>
      <c r="H27" s="526">
        <f t="shared" si="0"/>
        <v>38663.796105395995</v>
      </c>
      <c r="I27" s="45"/>
      <c r="J27" s="45"/>
      <c r="K27" s="45"/>
      <c r="L27" s="45"/>
      <c r="M27" s="49"/>
      <c r="N27" s="49"/>
      <c r="O27" s="49"/>
      <c r="P27" s="49"/>
      <c r="Q27" s="49"/>
      <c r="R27" s="49"/>
      <c r="S27" s="49"/>
      <c r="T27" s="49"/>
      <c r="U27" s="49"/>
      <c r="V27" s="49"/>
      <c r="W27" s="49"/>
      <c r="X27" s="49"/>
      <c r="Y27" s="49"/>
      <c r="Z27" s="49"/>
      <c r="AA27" s="49"/>
    </row>
    <row r="28" spans="1:27" ht="30" x14ac:dyDescent="0.25">
      <c r="A28" s="159"/>
      <c r="B28" s="649">
        <v>23</v>
      </c>
      <c r="C28" s="214" t="str">
        <f>'Du toan chi tiet'!C32</f>
        <v>AF.13413</v>
      </c>
      <c r="D28" s="720" t="str">
        <f>'Du toan chi tiet'!D32</f>
        <v>Bê tông ống cống hình hộp SX bằng máy trộn, đổ bằng thủ công, bê tông M250, đá 1x2, PCB40</v>
      </c>
      <c r="E28" s="649" t="str">
        <f>'Du toan chi tiet'!E32</f>
        <v>m3</v>
      </c>
      <c r="F28" s="176">
        <f>'Du toan chi tiet'!M32</f>
        <v>2.63</v>
      </c>
      <c r="G28" s="526">
        <f>'Chiết tính'!J455</f>
        <v>2010272.1110029214</v>
      </c>
      <c r="H28" s="526">
        <f t="shared" si="0"/>
        <v>5287015.6519376831</v>
      </c>
      <c r="I28" s="45"/>
      <c r="J28" s="45"/>
      <c r="K28" s="45"/>
      <c r="L28" s="45"/>
      <c r="M28" s="49"/>
      <c r="N28" s="49"/>
      <c r="O28" s="49"/>
      <c r="P28" s="49"/>
      <c r="Q28" s="49"/>
      <c r="R28" s="49"/>
      <c r="S28" s="49"/>
      <c r="T28" s="49"/>
      <c r="U28" s="49"/>
      <c r="V28" s="49"/>
      <c r="W28" s="49"/>
      <c r="X28" s="49"/>
      <c r="Y28" s="49"/>
      <c r="Z28" s="49"/>
      <c r="AA28" s="49"/>
    </row>
    <row r="29" spans="1:27" x14ac:dyDescent="0.25">
      <c r="A29" s="159"/>
      <c r="B29" s="649">
        <v>24</v>
      </c>
      <c r="C29" s="214" t="str">
        <f>'Du toan chi tiet'!C33</f>
        <v>AF.63310</v>
      </c>
      <c r="D29" s="720" t="str">
        <f>'Du toan chi tiet'!D33</f>
        <v>Lắp dựng cốt thép cống, ĐK ≤10mm</v>
      </c>
      <c r="E29" s="649" t="str">
        <f>'Du toan chi tiet'!E33</f>
        <v>tấn</v>
      </c>
      <c r="F29" s="176">
        <f>'Du toan chi tiet'!M33</f>
        <v>0.23899999999999999</v>
      </c>
      <c r="G29" s="526">
        <f>'Chiết tính'!J475</f>
        <v>24745637.797799189</v>
      </c>
      <c r="H29" s="526">
        <f t="shared" si="0"/>
        <v>5914207.4336740058</v>
      </c>
      <c r="I29" s="45"/>
      <c r="J29" s="45"/>
      <c r="K29" s="45"/>
      <c r="L29" s="45"/>
      <c r="M29" s="49"/>
      <c r="N29" s="49"/>
      <c r="O29" s="49"/>
      <c r="P29" s="49"/>
      <c r="Q29" s="49"/>
      <c r="R29" s="49"/>
      <c r="S29" s="49"/>
      <c r="T29" s="49"/>
      <c r="U29" s="49"/>
      <c r="V29" s="49"/>
      <c r="W29" s="49"/>
      <c r="X29" s="49"/>
      <c r="Y29" s="49"/>
      <c r="Z29" s="49"/>
      <c r="AA29" s="49"/>
    </row>
    <row r="30" spans="1:27" x14ac:dyDescent="0.25">
      <c r="A30" s="159"/>
      <c r="B30" s="649">
        <v>25</v>
      </c>
      <c r="C30" s="214" t="str">
        <f>'Du toan chi tiet'!C34</f>
        <v>AF.63320</v>
      </c>
      <c r="D30" s="720" t="str">
        <f>'Du toan chi tiet'!D34</f>
        <v>Lắp dựng cốt thép cống, ĐK ≤18mm</v>
      </c>
      <c r="E30" s="649" t="str">
        <f>'Du toan chi tiet'!E34</f>
        <v>tấn</v>
      </c>
      <c r="F30" s="176">
        <f>'Du toan chi tiet'!M34</f>
        <v>6.3E-2</v>
      </c>
      <c r="G30" s="526">
        <f>'Chiết tính'!J497</f>
        <v>25181992.895406622</v>
      </c>
      <c r="H30" s="526">
        <f t="shared" si="0"/>
        <v>1586465.5524106172</v>
      </c>
      <c r="I30" s="45"/>
      <c r="J30" s="45"/>
      <c r="K30" s="45"/>
      <c r="L30" s="45"/>
      <c r="M30" s="49"/>
      <c r="N30" s="49"/>
      <c r="O30" s="49"/>
      <c r="P30" s="49"/>
      <c r="Q30" s="49"/>
      <c r="R30" s="49"/>
      <c r="S30" s="49"/>
      <c r="T30" s="49"/>
      <c r="U30" s="49"/>
      <c r="V30" s="49"/>
      <c r="W30" s="49"/>
      <c r="X30" s="49"/>
      <c r="Y30" s="49"/>
      <c r="Z30" s="49"/>
      <c r="AA30" s="49"/>
    </row>
    <row r="31" spans="1:27" ht="30" x14ac:dyDescent="0.25">
      <c r="A31" s="159"/>
      <c r="B31" s="649">
        <v>26</v>
      </c>
      <c r="C31" s="214" t="str">
        <f>'Du toan chi tiet'!C35</f>
        <v>AF.86211</v>
      </c>
      <c r="D31" s="720" t="str">
        <f>'Du toan chi tiet'!D35</f>
        <v>Ván khuôn thép, khung xương, cột chống giáo ống, tường, chiều cao ≤28m</v>
      </c>
      <c r="E31" s="649" t="str">
        <f>'Du toan chi tiet'!E35</f>
        <v>m2</v>
      </c>
      <c r="F31" s="176">
        <f>'Du toan chi tiet'!M35</f>
        <v>21.33</v>
      </c>
      <c r="G31" s="526" t="e">
        <f>'Chiết tính'!J523</f>
        <v>#REF!</v>
      </c>
      <c r="H31" s="526" t="e">
        <f t="shared" si="0"/>
        <v>#REF!</v>
      </c>
      <c r="I31" s="45"/>
      <c r="J31" s="45"/>
      <c r="K31" s="45"/>
      <c r="L31" s="45"/>
      <c r="M31" s="49"/>
      <c r="N31" s="49"/>
      <c r="O31" s="49"/>
      <c r="P31" s="49"/>
      <c r="Q31" s="49"/>
      <c r="R31" s="49"/>
      <c r="S31" s="49"/>
      <c r="T31" s="49"/>
      <c r="U31" s="49"/>
      <c r="V31" s="49"/>
      <c r="W31" s="49"/>
      <c r="X31" s="49"/>
      <c r="Y31" s="49"/>
      <c r="Z31" s="49"/>
      <c r="AA31" s="49"/>
    </row>
    <row r="32" spans="1:27" ht="30" x14ac:dyDescent="0.25">
      <c r="A32" s="159"/>
      <c r="B32" s="649">
        <v>27</v>
      </c>
      <c r="C32" s="214" t="str">
        <f>'Du toan chi tiet'!C36</f>
        <v>AF.11231</v>
      </c>
      <c r="D32" s="720" t="str">
        <f>'Du toan chi tiet'!D36</f>
        <v>Bê tông móng tường cánh SX bằng máy trộn, đổ bằng thủ công, rộng ≤250cm, M150, đá 2x4, PCB40</v>
      </c>
      <c r="E32" s="649" t="str">
        <f>'Du toan chi tiet'!E36</f>
        <v>m3</v>
      </c>
      <c r="F32" s="176">
        <f>'Du toan chi tiet'!M36</f>
        <v>0.59</v>
      </c>
      <c r="G32" s="526">
        <f>'Chiết tính'!J547</f>
        <v>1480977.997349988</v>
      </c>
      <c r="H32" s="526">
        <f t="shared" si="0"/>
        <v>873777.01843649289</v>
      </c>
      <c r="I32" s="45"/>
      <c r="J32" s="45"/>
      <c r="K32" s="45"/>
      <c r="L32" s="45"/>
      <c r="M32" s="49"/>
      <c r="N32" s="49"/>
      <c r="O32" s="49"/>
      <c r="P32" s="49"/>
      <c r="Q32" s="49"/>
      <c r="R32" s="49"/>
      <c r="S32" s="49"/>
      <c r="T32" s="49"/>
      <c r="U32" s="49"/>
      <c r="V32" s="49"/>
      <c r="W32" s="49"/>
      <c r="X32" s="49"/>
      <c r="Y32" s="49"/>
      <c r="Z32" s="49"/>
      <c r="AA32" s="49"/>
    </row>
    <row r="33" spans="1:27" x14ac:dyDescent="0.25">
      <c r="A33" s="159"/>
      <c r="B33" s="649">
        <v>28</v>
      </c>
      <c r="C33" s="214" t="str">
        <f>'Du toan chi tiet'!C37</f>
        <v>AF.82511</v>
      </c>
      <c r="D33" s="720" t="str">
        <f>'Du toan chi tiet'!D37</f>
        <v>Ván khuôn móng dài</v>
      </c>
      <c r="E33" s="649" t="str">
        <f>'Du toan chi tiet'!E37</f>
        <v>m2</v>
      </c>
      <c r="F33" s="176">
        <f>'Du toan chi tiet'!M37</f>
        <v>1.78</v>
      </c>
      <c r="G33" s="526">
        <f>'Chiết tính'!J570</f>
        <v>69431.059495177382</v>
      </c>
      <c r="H33" s="526">
        <f t="shared" si="0"/>
        <v>123587.28590141574</v>
      </c>
      <c r="I33" s="45"/>
      <c r="J33" s="45"/>
      <c r="K33" s="45"/>
      <c r="L33" s="45"/>
      <c r="M33" s="49"/>
      <c r="N33" s="49"/>
      <c r="O33" s="49"/>
      <c r="P33" s="49"/>
      <c r="Q33" s="49"/>
      <c r="R33" s="49"/>
      <c r="S33" s="49"/>
      <c r="T33" s="49"/>
      <c r="U33" s="49"/>
      <c r="V33" s="49"/>
      <c r="W33" s="49"/>
      <c r="X33" s="49"/>
      <c r="Y33" s="49"/>
      <c r="Z33" s="49"/>
      <c r="AA33" s="49"/>
    </row>
    <row r="34" spans="1:27" ht="30" x14ac:dyDescent="0.25">
      <c r="A34" s="159"/>
      <c r="B34" s="649">
        <v>29</v>
      </c>
      <c r="C34" s="214" t="str">
        <f>'Du toan chi tiet'!C38</f>
        <v>AF.12151</v>
      </c>
      <c r="D34" s="720" t="str">
        <f>'Du toan chi tiet'!D38</f>
        <v>Bê tông tường cánh SX bằng máy trộn, đổ bằng thủ công - Chiều dày ≤45cm, chiều cao ≤6m, M150, đá 2x4, PCB40</v>
      </c>
      <c r="E34" s="649" t="str">
        <f>'Du toan chi tiet'!E38</f>
        <v>m3</v>
      </c>
      <c r="F34" s="176">
        <f>'Du toan chi tiet'!M38</f>
        <v>0.15</v>
      </c>
      <c r="G34" s="526">
        <f>'Chiết tính'!J594</f>
        <v>1946526.8270669724</v>
      </c>
      <c r="H34" s="526">
        <f t="shared" si="0"/>
        <v>291979.02406004583</v>
      </c>
      <c r="I34" s="45"/>
      <c r="J34" s="45"/>
      <c r="K34" s="45"/>
      <c r="L34" s="45"/>
      <c r="M34" s="49"/>
      <c r="N34" s="49"/>
      <c r="O34" s="49"/>
      <c r="P34" s="49"/>
      <c r="Q34" s="49"/>
      <c r="R34" s="49"/>
      <c r="S34" s="49"/>
      <c r="T34" s="49"/>
      <c r="U34" s="49"/>
      <c r="V34" s="49"/>
      <c r="W34" s="49"/>
      <c r="X34" s="49"/>
      <c r="Y34" s="49"/>
      <c r="Z34" s="49"/>
      <c r="AA34" s="49"/>
    </row>
    <row r="35" spans="1:27" ht="30" x14ac:dyDescent="0.25">
      <c r="A35" s="159"/>
      <c r="B35" s="649">
        <v>30</v>
      </c>
      <c r="C35" s="214" t="str">
        <f>'Du toan chi tiet'!C39</f>
        <v>AF.86211</v>
      </c>
      <c r="D35" s="720" t="str">
        <f>'Du toan chi tiet'!D39</f>
        <v>Ván khuôn thép, khung xương, cột chống giáo ống, tường cánh chiều cao ≤28m</v>
      </c>
      <c r="E35" s="649" t="str">
        <f>'Du toan chi tiet'!E39</f>
        <v>m2</v>
      </c>
      <c r="F35" s="176">
        <f>'Du toan chi tiet'!M39</f>
        <v>0.81</v>
      </c>
      <c r="G35" s="526" t="e">
        <f>'Chiết tính'!J620</f>
        <v>#REF!</v>
      </c>
      <c r="H35" s="526" t="e">
        <f t="shared" si="0"/>
        <v>#REF!</v>
      </c>
      <c r="I35" s="45"/>
      <c r="J35" s="45"/>
      <c r="K35" s="45"/>
      <c r="L35" s="45"/>
      <c r="M35" s="49"/>
      <c r="N35" s="49"/>
      <c r="O35" s="49"/>
      <c r="P35" s="49"/>
      <c r="Q35" s="49"/>
      <c r="R35" s="49"/>
      <c r="S35" s="49"/>
      <c r="T35" s="49"/>
      <c r="U35" s="49"/>
      <c r="V35" s="49"/>
      <c r="W35" s="49"/>
      <c r="X35" s="49"/>
      <c r="Y35" s="49"/>
      <c r="Z35" s="49"/>
      <c r="AA35" s="49"/>
    </row>
    <row r="36" spans="1:27" x14ac:dyDescent="0.25">
      <c r="A36" s="159"/>
      <c r="B36" s="649">
        <v>31</v>
      </c>
      <c r="C36" s="214" t="str">
        <f>'Du toan chi tiet'!C40</f>
        <v>AK.98110</v>
      </c>
      <c r="D36" s="720" t="str">
        <f>'Du toan chi tiet'!D40</f>
        <v>Thi công lớp đá đệm móng, đá dăm 2x4</v>
      </c>
      <c r="E36" s="649" t="str">
        <f>'Du toan chi tiet'!E40</f>
        <v>m3</v>
      </c>
      <c r="F36" s="176">
        <f>'Du toan chi tiet'!M40</f>
        <v>0.76</v>
      </c>
      <c r="G36" s="526" t="e">
        <f>'Chiết tính'!J636</f>
        <v>#REF!</v>
      </c>
      <c r="H36" s="526" t="e">
        <f t="shared" si="0"/>
        <v>#REF!</v>
      </c>
      <c r="I36" s="45"/>
      <c r="J36" s="45"/>
      <c r="K36" s="45"/>
      <c r="L36" s="45"/>
      <c r="M36" s="49"/>
      <c r="N36" s="49"/>
      <c r="O36" s="49"/>
      <c r="P36" s="49"/>
      <c r="Q36" s="49"/>
      <c r="R36" s="49"/>
      <c r="S36" s="49"/>
      <c r="T36" s="49"/>
      <c r="U36" s="49"/>
      <c r="V36" s="49"/>
      <c r="W36" s="49"/>
      <c r="X36" s="49"/>
      <c r="Y36" s="49"/>
      <c r="Z36" s="49"/>
      <c r="AA36" s="49"/>
    </row>
    <row r="37" spans="1:27" x14ac:dyDescent="0.25">
      <c r="A37" s="159"/>
      <c r="B37" s="649">
        <v>32</v>
      </c>
      <c r="C37" s="214" t="str">
        <f>'Du toan chi tiet'!C41</f>
        <v>AL.22112</v>
      </c>
      <c r="D37" s="720" t="str">
        <f>'Du toan chi tiet'!D41</f>
        <v>Cắt mặt đường bê tông hiện có</v>
      </c>
      <c r="E37" s="649" t="str">
        <f>'Du toan chi tiet'!E41</f>
        <v>10m</v>
      </c>
      <c r="F37" s="176">
        <f>'Du toan chi tiet'!M41</f>
        <v>0.6</v>
      </c>
      <c r="G37" s="526">
        <f>'Chiết tính'!J656</f>
        <v>563027.07368311193</v>
      </c>
      <c r="H37" s="526">
        <f t="shared" si="0"/>
        <v>337816.24420986715</v>
      </c>
      <c r="I37" s="45"/>
      <c r="J37" s="45"/>
      <c r="K37" s="45"/>
      <c r="L37" s="45"/>
      <c r="M37" s="49"/>
      <c r="N37" s="49"/>
      <c r="O37" s="49"/>
      <c r="P37" s="49"/>
      <c r="Q37" s="49"/>
      <c r="R37" s="49"/>
      <c r="S37" s="49"/>
      <c r="T37" s="49"/>
      <c r="U37" s="49"/>
      <c r="V37" s="49"/>
      <c r="W37" s="49"/>
      <c r="X37" s="49"/>
      <c r="Y37" s="49"/>
      <c r="Z37" s="49"/>
      <c r="AA37" s="49"/>
    </row>
    <row r="38" spans="1:27" x14ac:dyDescent="0.25">
      <c r="A38" s="159"/>
      <c r="B38" s="649">
        <v>33</v>
      </c>
      <c r="C38" s="214" t="str">
        <f>'Du toan chi tiet'!C42</f>
        <v>AB.31134</v>
      </c>
      <c r="D38" s="720" t="str">
        <f>'Du toan chi tiet'!D42</f>
        <v xml:space="preserve">Đào kết cấu mặt đường hiện có </v>
      </c>
      <c r="E38" s="649" t="str">
        <f>'Du toan chi tiet'!E42</f>
        <v>m3</v>
      </c>
      <c r="F38" s="176">
        <f>'Du toan chi tiet'!M42</f>
        <v>0.76</v>
      </c>
      <c r="G38" s="526">
        <f>'Chiết tính'!J675</f>
        <v>34847.270384003881</v>
      </c>
      <c r="H38" s="526">
        <f t="shared" si="0"/>
        <v>26483.925491842951</v>
      </c>
      <c r="I38" s="45"/>
      <c r="J38" s="45"/>
      <c r="K38" s="45"/>
      <c r="L38" s="45"/>
      <c r="M38" s="49"/>
      <c r="N38" s="49"/>
      <c r="O38" s="49"/>
      <c r="P38" s="49"/>
      <c r="Q38" s="49"/>
      <c r="R38" s="49"/>
      <c r="S38" s="49"/>
      <c r="T38" s="49"/>
      <c r="U38" s="49"/>
      <c r="V38" s="49"/>
      <c r="W38" s="49"/>
      <c r="X38" s="49"/>
      <c r="Y38" s="49"/>
      <c r="Z38" s="49"/>
      <c r="AA38" s="49"/>
    </row>
    <row r="39" spans="1:27" ht="30" x14ac:dyDescent="0.25">
      <c r="A39" s="159"/>
      <c r="B39" s="649">
        <v>34</v>
      </c>
      <c r="C39" s="214" t="str">
        <f>'Du toan chi tiet'!C43</f>
        <v>AB.25103</v>
      </c>
      <c r="D39" s="720" t="str">
        <f>'Du toan chi tiet'!D43</f>
        <v>Đào móng bằng máy đào 0,4m3, chiều rộng móng ≤6m - Cấp đất III</v>
      </c>
      <c r="E39" s="649" t="str">
        <f>'Du toan chi tiet'!E43</f>
        <v>m3</v>
      </c>
      <c r="F39" s="176">
        <f>'Du toan chi tiet'!M43</f>
        <v>11.4</v>
      </c>
      <c r="G39" s="526">
        <f>'Chiết tính'!J693</f>
        <v>34735.453449770466</v>
      </c>
      <c r="H39" s="526">
        <f t="shared" si="0"/>
        <v>395984.16932738334</v>
      </c>
      <c r="I39" s="45"/>
      <c r="J39" s="45"/>
      <c r="K39" s="45"/>
      <c r="L39" s="45"/>
      <c r="M39" s="49"/>
      <c r="N39" s="49"/>
      <c r="O39" s="49"/>
      <c r="P39" s="49"/>
      <c r="Q39" s="49"/>
      <c r="R39" s="49"/>
      <c r="S39" s="49"/>
      <c r="T39" s="49"/>
      <c r="U39" s="49"/>
      <c r="V39" s="49"/>
      <c r="W39" s="49"/>
      <c r="X39" s="49"/>
      <c r="Y39" s="49"/>
      <c r="Z39" s="49"/>
      <c r="AA39" s="49"/>
    </row>
    <row r="40" spans="1:27" x14ac:dyDescent="0.25">
      <c r="A40" s="159"/>
      <c r="B40" s="649">
        <v>35</v>
      </c>
      <c r="C40" s="214" t="str">
        <f>'Du toan chi tiet'!C44</f>
        <v>AB.65130</v>
      </c>
      <c r="D40" s="720" t="str">
        <f>'Du toan chi tiet'!D44</f>
        <v>Đắp đất bằng đầm đất cầm tay 70kg, độ chặt Y/C K = 0,95</v>
      </c>
      <c r="E40" s="649" t="str">
        <f>'Du toan chi tiet'!E44</f>
        <v>m3</v>
      </c>
      <c r="F40" s="176">
        <f>'Du toan chi tiet'!M44</f>
        <v>2.52</v>
      </c>
      <c r="G40" s="526">
        <f>'Chiết tính'!J711</f>
        <v>41005.933468355193</v>
      </c>
      <c r="H40" s="526">
        <f t="shared" si="0"/>
        <v>103334.95234025508</v>
      </c>
      <c r="I40" s="45"/>
      <c r="J40" s="45"/>
      <c r="K40" s="45"/>
      <c r="L40" s="45"/>
      <c r="M40" s="49"/>
      <c r="N40" s="49"/>
      <c r="O40" s="49"/>
      <c r="P40" s="49"/>
      <c r="Q40" s="49"/>
      <c r="R40" s="49"/>
      <c r="S40" s="49"/>
      <c r="T40" s="49"/>
      <c r="U40" s="49"/>
      <c r="V40" s="49"/>
      <c r="W40" s="49"/>
      <c r="X40" s="49"/>
      <c r="Y40" s="49"/>
      <c r="Z40" s="49"/>
      <c r="AA40" s="49"/>
    </row>
    <row r="41" spans="1:27" ht="30" x14ac:dyDescent="0.25">
      <c r="A41" s="159"/>
      <c r="B41" s="649">
        <v>36</v>
      </c>
      <c r="C41" s="214" t="str">
        <f>'Du toan chi tiet'!C45</f>
        <v>AF.15433</v>
      </c>
      <c r="D41" s="720" t="str">
        <f>'Du toan chi tiet'!D45</f>
        <v>Bê tông thương phẩm, bê tông hoàn trả mặt đường dày mặt đường ≤25cm, bê tông M250, đá 2x4, PCB40</v>
      </c>
      <c r="E41" s="649" t="str">
        <f>'Du toan chi tiet'!E45</f>
        <v>m3</v>
      </c>
      <c r="F41" s="176">
        <f>'Du toan chi tiet'!M45</f>
        <v>0.59</v>
      </c>
      <c r="G41" s="526" t="e">
        <f>'Chiết tính'!J739</f>
        <v>#REF!</v>
      </c>
      <c r="H41" s="526" t="e">
        <f t="shared" si="0"/>
        <v>#REF!</v>
      </c>
      <c r="I41" s="45"/>
      <c r="J41" s="45"/>
      <c r="K41" s="45"/>
      <c r="L41" s="45"/>
      <c r="M41" s="49"/>
      <c r="N41" s="49"/>
      <c r="O41" s="49"/>
      <c r="P41" s="49"/>
      <c r="Q41" s="49"/>
      <c r="R41" s="49"/>
      <c r="S41" s="49"/>
      <c r="T41" s="49"/>
      <c r="U41" s="49"/>
      <c r="V41" s="49"/>
      <c r="W41" s="49"/>
      <c r="X41" s="49"/>
      <c r="Y41" s="49"/>
      <c r="Z41" s="49"/>
      <c r="AA41" s="49"/>
    </row>
    <row r="42" spans="1:27" x14ac:dyDescent="0.25">
      <c r="A42" s="159"/>
      <c r="B42" s="649">
        <v>37</v>
      </c>
      <c r="C42" s="214" t="str">
        <f>'Du toan chi tiet'!C46</f>
        <v>AB.66141</v>
      </c>
      <c r="D42" s="720" t="str">
        <f>'Du toan chi tiet'!D46</f>
        <v>Đắpbột đáy dày 5cm</v>
      </c>
      <c r="E42" s="649" t="str">
        <f>'Du toan chi tiet'!E46</f>
        <v>m3</v>
      </c>
      <c r="F42" s="176">
        <f>'Du toan chi tiet'!M46</f>
        <v>0.17</v>
      </c>
      <c r="G42" s="526">
        <f>'Chiết tính'!J759</f>
        <v>239857.60634231343</v>
      </c>
      <c r="H42" s="526">
        <f t="shared" si="0"/>
        <v>40775.793078193288</v>
      </c>
      <c r="I42" s="45"/>
      <c r="J42" s="45"/>
      <c r="K42" s="45"/>
      <c r="L42" s="45"/>
      <c r="M42" s="49"/>
      <c r="N42" s="49"/>
      <c r="O42" s="49"/>
      <c r="P42" s="49"/>
      <c r="Q42" s="49"/>
      <c r="R42" s="49"/>
      <c r="S42" s="49"/>
      <c r="T42" s="49"/>
      <c r="U42" s="49"/>
      <c r="V42" s="49"/>
      <c r="W42" s="49"/>
      <c r="X42" s="49"/>
      <c r="Y42" s="49"/>
      <c r="Z42" s="49"/>
      <c r="AA42" s="49"/>
    </row>
    <row r="43" spans="1:27" x14ac:dyDescent="0.25">
      <c r="A43" s="159"/>
      <c r="B43" s="649">
        <v>38</v>
      </c>
      <c r="C43" s="214" t="str">
        <f>'Du toan chi tiet'!C47</f>
        <v>AL.16201</v>
      </c>
      <c r="D43" s="720" t="str">
        <f>'Du toan chi tiet'!D47</f>
        <v>Lót bạc nilong sọc xanh đỏ</v>
      </c>
      <c r="E43" s="649" t="str">
        <f>'Du toan chi tiet'!E47</f>
        <v>m2</v>
      </c>
      <c r="F43" s="176">
        <f>'Du toan chi tiet'!M47</f>
        <v>3.3</v>
      </c>
      <c r="G43" s="526">
        <f>'Chiết tính'!J775</f>
        <v>7566.7835431799995</v>
      </c>
      <c r="H43" s="526">
        <f t="shared" si="0"/>
        <v>24970.385692493997</v>
      </c>
      <c r="I43" s="45"/>
      <c r="J43" s="45"/>
      <c r="K43" s="45"/>
      <c r="L43" s="45"/>
      <c r="M43" s="49"/>
      <c r="N43" s="49"/>
      <c r="O43" s="49"/>
      <c r="P43" s="49"/>
      <c r="Q43" s="49"/>
      <c r="R43" s="49"/>
      <c r="S43" s="49"/>
      <c r="T43" s="49"/>
      <c r="U43" s="49"/>
      <c r="V43" s="49"/>
      <c r="W43" s="49"/>
      <c r="X43" s="49"/>
      <c r="Y43" s="49"/>
      <c r="Z43" s="49"/>
      <c r="AA43" s="49"/>
    </row>
    <row r="44" spans="1:27" x14ac:dyDescent="0.25">
      <c r="A44" s="159"/>
      <c r="B44" s="649">
        <v>39</v>
      </c>
      <c r="C44" s="214" t="str">
        <f>'Du toan chi tiet'!C48</f>
        <v>AF.82411</v>
      </c>
      <c r="D44" s="720" t="str">
        <f>'Du toan chi tiet'!D48</f>
        <v>Ván khuôn thép mặt đường bê tông</v>
      </c>
      <c r="E44" s="649" t="str">
        <f>'Du toan chi tiet'!E48</f>
        <v>m2</v>
      </c>
      <c r="F44" s="176">
        <f>'Du toan chi tiet'!M48</f>
        <v>3.22</v>
      </c>
      <c r="G44" s="526">
        <f>'Chiết tính'!J797</f>
        <v>50720.646782917618</v>
      </c>
      <c r="H44" s="526">
        <f t="shared" si="0"/>
        <v>163320.48264099474</v>
      </c>
      <c r="I44" s="45"/>
      <c r="J44" s="45"/>
      <c r="K44" s="45"/>
      <c r="L44" s="45"/>
      <c r="M44" s="49"/>
      <c r="N44" s="49"/>
      <c r="O44" s="49"/>
      <c r="P44" s="49"/>
      <c r="Q44" s="49"/>
      <c r="R44" s="49"/>
      <c r="S44" s="49"/>
      <c r="T44" s="49"/>
      <c r="U44" s="49"/>
      <c r="V44" s="49"/>
      <c r="W44" s="49"/>
      <c r="X44" s="49"/>
      <c r="Y44" s="49"/>
      <c r="Z44" s="49"/>
      <c r="AA44" s="49"/>
    </row>
    <row r="45" spans="1:27" ht="30" x14ac:dyDescent="0.25">
      <c r="A45" s="159"/>
      <c r="B45" s="649">
        <v>40</v>
      </c>
      <c r="C45" s="214" t="str">
        <f>'Du toan chi tiet'!C49</f>
        <v>AD.23263</v>
      </c>
      <c r="D45" s="720" t="str">
        <f>'Du toan chi tiet'!D49</f>
        <v>Rải thảm mặt đường Carboncor Asphalt, bằng phương pháp thủ cơ giới, chiều dày mặt đường đã lèn ép 3cm</v>
      </c>
      <c r="E45" s="649" t="str">
        <f>'Du toan chi tiet'!E49</f>
        <v>m2</v>
      </c>
      <c r="F45" s="176">
        <f>'Du toan chi tiet'!M49</f>
        <v>1.2</v>
      </c>
      <c r="G45" s="526">
        <f>'Chiết tính'!J820</f>
        <v>287678.41615047934</v>
      </c>
      <c r="H45" s="526">
        <f t="shared" si="0"/>
        <v>345214.09938057518</v>
      </c>
      <c r="I45" s="45"/>
      <c r="J45" s="45"/>
      <c r="K45" s="45"/>
      <c r="L45" s="45"/>
      <c r="M45" s="49"/>
      <c r="N45" s="49"/>
      <c r="O45" s="49"/>
      <c r="P45" s="49"/>
      <c r="Q45" s="49"/>
      <c r="R45" s="49"/>
      <c r="S45" s="49"/>
      <c r="T45" s="49"/>
      <c r="U45" s="49"/>
      <c r="V45" s="49"/>
      <c r="W45" s="49"/>
      <c r="X45" s="49"/>
      <c r="Y45" s="49"/>
      <c r="Z45" s="49"/>
      <c r="AA45" s="49"/>
    </row>
    <row r="46" spans="1:27" x14ac:dyDescent="0.25">
      <c r="A46" s="78"/>
      <c r="B46" s="583">
        <v>41</v>
      </c>
      <c r="C46" s="129" t="e">
        <f>'Du toan chi tiet'!#REF!</f>
        <v>#REF!</v>
      </c>
      <c r="D46" s="647" t="e">
        <f>'Du toan chi tiet'!#REF!</f>
        <v>#REF!</v>
      </c>
      <c r="E46" s="583" t="e">
        <f>'Du toan chi tiet'!#REF!</f>
        <v>#REF!</v>
      </c>
      <c r="F46" s="119" t="e">
        <f>'Du toan chi tiet'!#REF!</f>
        <v>#REF!</v>
      </c>
      <c r="G46" s="483" t="e">
        <f>'Chiết tính'!J841</f>
        <v>#REF!</v>
      </c>
      <c r="H46" s="483" t="e">
        <f t="shared" si="0"/>
        <v>#REF!</v>
      </c>
      <c r="I46" s="45"/>
      <c r="J46" s="45"/>
      <c r="K46" s="45"/>
      <c r="L46" s="45"/>
      <c r="M46" s="49"/>
      <c r="N46" s="49"/>
      <c r="O46" s="49"/>
      <c r="P46" s="49"/>
      <c r="Q46" s="49"/>
      <c r="R46" s="49"/>
      <c r="S46" s="49"/>
      <c r="T46" s="49"/>
      <c r="U46" s="49"/>
      <c r="V46" s="49"/>
      <c r="W46" s="49"/>
      <c r="X46" s="49"/>
      <c r="Y46" s="49"/>
      <c r="Z46" s="49"/>
      <c r="AA46" s="49"/>
    </row>
    <row r="47" spans="1:27" x14ac:dyDescent="0.25">
      <c r="A47" s="444" t="s">
        <v>233</v>
      </c>
      <c r="B47" s="557"/>
      <c r="C47" s="103"/>
      <c r="D47" s="628" t="s">
        <v>1132</v>
      </c>
      <c r="E47" s="557"/>
      <c r="F47" s="95"/>
      <c r="G47" s="461"/>
      <c r="H47" s="461" t="e">
        <f>SUMIF(B6:B46,"&gt;0",H6:H46)</f>
        <v>#REF!</v>
      </c>
      <c r="I47" s="45"/>
      <c r="J47" s="45"/>
      <c r="K47" s="45"/>
      <c r="L47" s="45"/>
      <c r="M47" s="49"/>
      <c r="N47" s="49"/>
      <c r="O47" s="49"/>
      <c r="P47" s="49"/>
      <c r="Q47" s="49"/>
      <c r="R47" s="49"/>
      <c r="S47" s="49"/>
      <c r="T47" s="49"/>
      <c r="U47" s="49"/>
      <c r="V47" s="49"/>
      <c r="W47" s="49"/>
      <c r="X47" s="49"/>
      <c r="Y47" s="49"/>
      <c r="Z47" s="49"/>
      <c r="AA47" s="49"/>
    </row>
    <row r="48" spans="1:27"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2:27"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2:27"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sheetData>
  <mergeCells count="4">
    <mergeCell ref="A1:H1"/>
    <mergeCell ref="A2:H2"/>
    <mergeCell ref="A3:H3"/>
    <mergeCell ref="A4:H4"/>
  </mergeCells>
  <pageMargins left="0.75" right="0.75" top="0.79" bottom="0.79" header="0.3" footer="0.3"/>
  <pageSetup paperSize="9" orientation="landscape" useFirstPageNumber="1" horizontalDpi="65532"/>
  <headerFooter>
    <oddFooter>&amp;CTrang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75"/>
  <sheetViews>
    <sheetView showZeros="0" workbookViewId="0">
      <selection activeCell="H8" sqref="H8"/>
    </sheetView>
  </sheetViews>
  <sheetFormatPr defaultRowHeight="15" x14ac:dyDescent="0.25"/>
  <cols>
    <col min="1" max="1" width="4.85546875" customWidth="1"/>
    <col min="2" max="2" width="8.85546875" customWidth="1"/>
    <col min="3" max="3" width="29.140625" customWidth="1"/>
    <col min="4" max="4" width="7.140625" customWidth="1"/>
    <col min="5" max="5" width="10.85546875" customWidth="1"/>
    <col min="6" max="7" width="10.7109375" customWidth="1"/>
    <col min="8" max="8" width="12.7109375" customWidth="1"/>
    <col min="9" max="9" width="14.7109375" customWidth="1"/>
    <col min="10" max="11" width="8.85546875" hidden="1" customWidth="1"/>
  </cols>
  <sheetData>
    <row r="1" spans="1:27" ht="17.649999999999999" customHeight="1" x14ac:dyDescent="0.25">
      <c r="A1" s="1095" t="s">
        <v>365</v>
      </c>
      <c r="B1" s="1096"/>
      <c r="C1" s="1096"/>
      <c r="D1" s="1096"/>
      <c r="E1" s="1096"/>
      <c r="F1" s="1096"/>
      <c r="G1" s="1096"/>
      <c r="H1" s="1096"/>
      <c r="I1" s="1096"/>
      <c r="J1" s="1096"/>
      <c r="K1" s="1096"/>
    </row>
    <row r="2" spans="1:27" ht="15" customHeight="1" x14ac:dyDescent="0.25">
      <c r="A2" s="1097" t="s">
        <v>315</v>
      </c>
      <c r="B2" s="1098"/>
      <c r="C2" s="1098"/>
      <c r="D2" s="1098"/>
      <c r="E2" s="1098"/>
      <c r="F2" s="1098"/>
      <c r="G2" s="1098"/>
      <c r="H2" s="1098"/>
      <c r="I2" s="1098"/>
      <c r="J2" s="1098"/>
      <c r="K2" s="1098"/>
    </row>
    <row r="3" spans="1:27" ht="15" customHeight="1" x14ac:dyDescent="0.25">
      <c r="A3" s="1097" t="s">
        <v>284</v>
      </c>
      <c r="B3" s="1098"/>
      <c r="C3" s="1098"/>
      <c r="D3" s="1098"/>
      <c r="E3" s="1098"/>
      <c r="F3" s="1098"/>
      <c r="G3" s="1098"/>
      <c r="H3" s="1098"/>
      <c r="I3" s="1098"/>
      <c r="J3" s="1098"/>
      <c r="K3" s="1098"/>
    </row>
    <row r="4" spans="1:27" ht="15.4" customHeight="1" x14ac:dyDescent="0.25">
      <c r="A4" s="1099" t="s">
        <v>386</v>
      </c>
      <c r="B4" s="1094" t="s">
        <v>752</v>
      </c>
      <c r="C4" s="1094" t="s">
        <v>97</v>
      </c>
      <c r="D4" s="1094" t="s">
        <v>1136</v>
      </c>
      <c r="E4" s="1094" t="s">
        <v>449</v>
      </c>
      <c r="F4" s="1094" t="s">
        <v>915</v>
      </c>
      <c r="G4" s="1094" t="s">
        <v>57</v>
      </c>
      <c r="H4" s="1094" t="s">
        <v>848</v>
      </c>
      <c r="I4" s="1100" t="s">
        <v>223</v>
      </c>
      <c r="J4" s="1094" t="s">
        <v>604</v>
      </c>
      <c r="K4" s="1094"/>
      <c r="L4" s="676"/>
      <c r="M4" s="676"/>
      <c r="N4" s="676"/>
      <c r="O4" s="676"/>
      <c r="P4" s="676"/>
      <c r="Q4" s="676"/>
      <c r="R4" s="676"/>
      <c r="S4" s="676"/>
      <c r="T4" s="676"/>
      <c r="U4" s="676"/>
      <c r="V4" s="676"/>
      <c r="W4" s="676"/>
      <c r="X4" s="676"/>
      <c r="Y4" s="676"/>
      <c r="Z4" s="676"/>
      <c r="AA4" s="676"/>
    </row>
    <row r="5" spans="1:27" ht="32.450000000000003" customHeight="1" x14ac:dyDescent="0.25">
      <c r="A5" s="1099"/>
      <c r="B5" s="1094"/>
      <c r="C5" s="1094"/>
      <c r="D5" s="1094"/>
      <c r="E5" s="1094"/>
      <c r="F5" s="1094"/>
      <c r="G5" s="1094"/>
      <c r="H5" s="1094"/>
      <c r="I5" s="1101"/>
      <c r="J5" s="582" t="s">
        <v>999</v>
      </c>
      <c r="K5" s="582" t="s">
        <v>120</v>
      </c>
      <c r="L5" s="676"/>
      <c r="M5" s="676"/>
      <c r="N5" s="676"/>
      <c r="O5" s="676"/>
      <c r="P5" s="676"/>
      <c r="Q5" s="676"/>
      <c r="R5" s="676"/>
      <c r="S5" s="676"/>
      <c r="T5" s="676"/>
      <c r="U5" s="676"/>
      <c r="V5" s="676"/>
      <c r="W5" s="676"/>
      <c r="X5" s="676"/>
      <c r="Y5" s="676"/>
      <c r="Z5" s="676"/>
      <c r="AA5" s="676"/>
    </row>
    <row r="6" spans="1:27" ht="15" customHeight="1" x14ac:dyDescent="0.25">
      <c r="A6" s="560" t="s">
        <v>256</v>
      </c>
      <c r="B6" s="14"/>
      <c r="C6" s="14" t="s">
        <v>346</v>
      </c>
      <c r="D6" s="14"/>
      <c r="E6" s="252"/>
      <c r="F6" s="399"/>
      <c r="G6" s="399"/>
      <c r="H6" s="399">
        <v>0</v>
      </c>
      <c r="I6" s="399" t="e">
        <f>ROUND(SUM(I7:I37),0)</f>
        <v>#REF!</v>
      </c>
      <c r="J6" s="399"/>
      <c r="K6" s="399" t="e">
        <f>ROUND(SUM(K7:K37),0)</f>
        <v>#REF!</v>
      </c>
      <c r="L6" s="676"/>
      <c r="M6" s="676"/>
      <c r="N6" s="676"/>
      <c r="O6" s="676"/>
      <c r="P6" s="676"/>
      <c r="Q6" s="676"/>
      <c r="R6" s="676"/>
      <c r="S6" s="676"/>
      <c r="T6" s="676"/>
      <c r="U6" s="676"/>
      <c r="V6" s="676"/>
      <c r="W6" s="676"/>
      <c r="X6" s="676"/>
      <c r="Y6" s="676"/>
      <c r="Z6" s="676"/>
      <c r="AA6" s="676"/>
    </row>
    <row r="7" spans="1:27" ht="15" customHeight="1" x14ac:dyDescent="0.25">
      <c r="A7" s="612">
        <v>1</v>
      </c>
      <c r="B7" s="377" t="s">
        <v>1256</v>
      </c>
      <c r="C7" s="710" t="s">
        <v>688</v>
      </c>
      <c r="D7" s="377" t="s">
        <v>165</v>
      </c>
      <c r="E7" s="668">
        <f>THVL!J6</f>
        <v>111.981342</v>
      </c>
      <c r="F7" s="59">
        <f>'Giá VL'!G6</f>
        <v>3780000</v>
      </c>
      <c r="G7" s="59">
        <f>'Giá VL'!J6</f>
        <v>3780000</v>
      </c>
      <c r="H7" s="59">
        <f>'Giá VL'!V6</f>
        <v>3822120</v>
      </c>
      <c r="I7" s="59">
        <f t="shared" ref="I7:I36" si="0">E7*H7</f>
        <v>428006126.88503999</v>
      </c>
      <c r="J7" s="59">
        <f t="shared" ref="J7:J37" si="1">H7-F7</f>
        <v>42120</v>
      </c>
      <c r="K7" s="59">
        <f t="shared" ref="K7:K36" si="2">H7*E7-F7*E7</f>
        <v>4716654.1250399947</v>
      </c>
      <c r="L7" s="676"/>
      <c r="M7" s="676"/>
      <c r="N7" s="676"/>
      <c r="O7" s="676"/>
      <c r="P7" s="676"/>
      <c r="Q7" s="676"/>
      <c r="R7" s="676"/>
      <c r="S7" s="676"/>
      <c r="T7" s="676"/>
      <c r="U7" s="676"/>
      <c r="V7" s="676"/>
      <c r="W7" s="676"/>
      <c r="X7" s="676"/>
      <c r="Y7" s="676"/>
      <c r="Z7" s="676"/>
      <c r="AA7" s="676"/>
    </row>
    <row r="8" spans="1:27" ht="15" customHeight="1" x14ac:dyDescent="0.25">
      <c r="A8" s="612">
        <v>2</v>
      </c>
      <c r="B8" s="377" t="s">
        <v>603</v>
      </c>
      <c r="C8" s="710" t="s">
        <v>215</v>
      </c>
      <c r="D8" s="377" t="s">
        <v>950</v>
      </c>
      <c r="E8" s="668" t="e">
        <f>THVL!J10</f>
        <v>#REF!</v>
      </c>
      <c r="F8" s="59">
        <f>'Giá VL'!G7</f>
        <v>272727</v>
      </c>
      <c r="G8" s="59">
        <f>'Giá VL'!J7</f>
        <v>272727</v>
      </c>
      <c r="H8" s="59">
        <f>'Giá VL'!V7</f>
        <v>306207.189442</v>
      </c>
      <c r="I8" s="59" t="e">
        <f t="shared" si="0"/>
        <v>#REF!</v>
      </c>
      <c r="J8" s="59">
        <f t="shared" si="1"/>
        <v>33480.189442000003</v>
      </c>
      <c r="K8" s="59" t="e">
        <f t="shared" si="2"/>
        <v>#REF!</v>
      </c>
      <c r="L8" s="676"/>
      <c r="M8" s="676"/>
      <c r="N8" s="676"/>
      <c r="O8" s="676"/>
      <c r="P8" s="676"/>
      <c r="Q8" s="676"/>
      <c r="R8" s="676"/>
      <c r="S8" s="676"/>
      <c r="T8" s="676"/>
      <c r="U8" s="676"/>
      <c r="V8" s="676"/>
      <c r="W8" s="676"/>
      <c r="X8" s="676"/>
      <c r="Y8" s="676"/>
      <c r="Z8" s="676"/>
      <c r="AA8" s="676"/>
    </row>
    <row r="9" spans="1:27" ht="15" customHeight="1" x14ac:dyDescent="0.25">
      <c r="A9" s="612">
        <v>3</v>
      </c>
      <c r="B9" s="377" t="s">
        <v>99</v>
      </c>
      <c r="C9" s="710" t="s">
        <v>1199</v>
      </c>
      <c r="D9" s="377" t="s">
        <v>950</v>
      </c>
      <c r="E9" s="668">
        <f>THVL!J12</f>
        <v>48.970799999999997</v>
      </c>
      <c r="F9" s="59">
        <f>'Giá VL'!G8</f>
        <v>109091</v>
      </c>
      <c r="G9" s="59">
        <f>'Giá VL'!J8</f>
        <v>109091</v>
      </c>
      <c r="H9" s="59">
        <f>'Giá VL'!V8</f>
        <v>142571.189442</v>
      </c>
      <c r="I9" s="59">
        <f t="shared" si="0"/>
        <v>6981825.2039262932</v>
      </c>
      <c r="J9" s="59">
        <f t="shared" si="1"/>
        <v>33480.189442000003</v>
      </c>
      <c r="K9" s="59">
        <f t="shared" si="2"/>
        <v>1639551.6611262932</v>
      </c>
      <c r="L9" s="676"/>
      <c r="M9" s="676"/>
      <c r="N9" s="676"/>
      <c r="O9" s="676"/>
      <c r="P9" s="676"/>
      <c r="Q9" s="676"/>
      <c r="R9" s="676"/>
      <c r="S9" s="676"/>
      <c r="T9" s="676"/>
      <c r="U9" s="676"/>
      <c r="V9" s="676"/>
      <c r="W9" s="676"/>
      <c r="X9" s="676"/>
      <c r="Y9" s="676"/>
      <c r="Z9" s="676"/>
      <c r="AA9" s="676"/>
    </row>
    <row r="10" spans="1:27" ht="15" customHeight="1" x14ac:dyDescent="0.25">
      <c r="A10" s="612">
        <v>4</v>
      </c>
      <c r="B10" s="377" t="s">
        <v>523</v>
      </c>
      <c r="C10" s="710" t="s">
        <v>721</v>
      </c>
      <c r="D10" s="377" t="s">
        <v>950</v>
      </c>
      <c r="E10" s="668" t="e">
        <f>THVL!J15</f>
        <v>#REF!</v>
      </c>
      <c r="F10" s="59">
        <f>'Giá VL'!G9</f>
        <v>318182</v>
      </c>
      <c r="G10" s="59">
        <f>'Giá VL'!J9</f>
        <v>318182</v>
      </c>
      <c r="H10" s="59">
        <f>'Giá VL'!V9</f>
        <v>345317.29174999997</v>
      </c>
      <c r="I10" s="59" t="e">
        <f t="shared" si="0"/>
        <v>#REF!</v>
      </c>
      <c r="J10" s="59">
        <f t="shared" si="1"/>
        <v>27135.291749999975</v>
      </c>
      <c r="K10" s="59" t="e">
        <f t="shared" si="2"/>
        <v>#REF!</v>
      </c>
      <c r="L10" s="676"/>
      <c r="M10" s="676"/>
      <c r="N10" s="676"/>
      <c r="O10" s="676"/>
      <c r="P10" s="676"/>
      <c r="Q10" s="676"/>
      <c r="R10" s="676"/>
      <c r="S10" s="676"/>
      <c r="T10" s="676"/>
      <c r="U10" s="676"/>
      <c r="V10" s="676"/>
      <c r="W10" s="676"/>
      <c r="X10" s="676"/>
      <c r="Y10" s="676"/>
      <c r="Z10" s="676"/>
      <c r="AA10" s="676"/>
    </row>
    <row r="11" spans="1:27" ht="15" customHeight="1" x14ac:dyDescent="0.25">
      <c r="A11" s="612">
        <v>5</v>
      </c>
      <c r="B11" s="377" t="s">
        <v>984</v>
      </c>
      <c r="C11" s="710" t="s">
        <v>401</v>
      </c>
      <c r="D11" s="377" t="s">
        <v>838</v>
      </c>
      <c r="E11" s="668" t="e">
        <f>THVL!J22</f>
        <v>#REF!</v>
      </c>
      <c r="F11" s="59">
        <f>'Giá VL'!G10</f>
        <v>19600</v>
      </c>
      <c r="G11" s="59">
        <f>'Giá VL'!J10</f>
        <v>17000</v>
      </c>
      <c r="H11" s="59">
        <f>'Giá VL'!V10</f>
        <v>17000</v>
      </c>
      <c r="I11" s="59" t="e">
        <f t="shared" si="0"/>
        <v>#REF!</v>
      </c>
      <c r="J11" s="59">
        <f t="shared" si="1"/>
        <v>-2600</v>
      </c>
      <c r="K11" s="59" t="e">
        <f t="shared" si="2"/>
        <v>#REF!</v>
      </c>
      <c r="L11" s="676"/>
      <c r="M11" s="676"/>
      <c r="N11" s="676"/>
      <c r="O11" s="676"/>
      <c r="P11" s="676"/>
      <c r="Q11" s="676"/>
      <c r="R11" s="676"/>
      <c r="S11" s="676"/>
      <c r="T11" s="676"/>
      <c r="U11" s="676"/>
      <c r="V11" s="676"/>
      <c r="W11" s="676"/>
      <c r="X11" s="676"/>
      <c r="Y11" s="676"/>
      <c r="Z11" s="676"/>
      <c r="AA11" s="676"/>
    </row>
    <row r="12" spans="1:27" ht="15" customHeight="1" x14ac:dyDescent="0.25">
      <c r="A12" s="612">
        <v>6</v>
      </c>
      <c r="B12" s="377" t="s">
        <v>123</v>
      </c>
      <c r="C12" s="710" t="s">
        <v>495</v>
      </c>
      <c r="D12" s="377" t="s">
        <v>950</v>
      </c>
      <c r="E12" s="668">
        <f>THVL!J25</f>
        <v>2.38238525</v>
      </c>
      <c r="F12" s="59">
        <f>'Giá VL'!G11</f>
        <v>290909</v>
      </c>
      <c r="G12" s="59">
        <f>'Giá VL'!J11</f>
        <v>290909</v>
      </c>
      <c r="H12" s="59">
        <f>'Giá VL'!V11</f>
        <v>325404.14456500002</v>
      </c>
      <c r="I12" s="59">
        <f t="shared" si="0"/>
        <v>775238.03430052369</v>
      </c>
      <c r="J12" s="59">
        <f t="shared" si="1"/>
        <v>34495.144565000024</v>
      </c>
      <c r="K12" s="59">
        <f t="shared" si="2"/>
        <v>82180.723608273664</v>
      </c>
      <c r="L12" s="676"/>
      <c r="M12" s="676"/>
      <c r="N12" s="676"/>
      <c r="O12" s="676"/>
      <c r="P12" s="676"/>
      <c r="Q12" s="676"/>
      <c r="R12" s="676"/>
      <c r="S12" s="676"/>
      <c r="T12" s="676"/>
      <c r="U12" s="676"/>
      <c r="V12" s="676"/>
      <c r="W12" s="676"/>
      <c r="X12" s="676"/>
      <c r="Y12" s="676"/>
      <c r="Z12" s="676"/>
      <c r="AA12" s="676"/>
    </row>
    <row r="13" spans="1:27" ht="15" customHeight="1" x14ac:dyDescent="0.25">
      <c r="A13" s="612">
        <v>7</v>
      </c>
      <c r="B13" s="377" t="s">
        <v>485</v>
      </c>
      <c r="C13" s="710" t="s">
        <v>1011</v>
      </c>
      <c r="D13" s="377" t="s">
        <v>950</v>
      </c>
      <c r="E13" s="668" t="e">
        <f>THVL!J28</f>
        <v>#REF!</v>
      </c>
      <c r="F13" s="59">
        <f>'Giá VL'!G12</f>
        <v>281818</v>
      </c>
      <c r="G13" s="59">
        <f>'Giá VL'!J12</f>
        <v>281818</v>
      </c>
      <c r="H13" s="59">
        <f>'Giá VL'!V12</f>
        <v>316313.14456500002</v>
      </c>
      <c r="I13" s="59" t="e">
        <f t="shared" si="0"/>
        <v>#REF!</v>
      </c>
      <c r="J13" s="59">
        <f t="shared" si="1"/>
        <v>34495.144565000024</v>
      </c>
      <c r="K13" s="59" t="e">
        <f t="shared" si="2"/>
        <v>#REF!</v>
      </c>
      <c r="L13" s="676"/>
      <c r="M13" s="676"/>
      <c r="N13" s="676"/>
      <c r="O13" s="676"/>
      <c r="P13" s="676"/>
      <c r="Q13" s="676"/>
      <c r="R13" s="676"/>
      <c r="S13" s="676"/>
      <c r="T13" s="676"/>
      <c r="U13" s="676"/>
      <c r="V13" s="676"/>
      <c r="W13" s="676"/>
      <c r="X13" s="676"/>
      <c r="Y13" s="676"/>
      <c r="Z13" s="676"/>
      <c r="AA13" s="676"/>
    </row>
    <row r="14" spans="1:27" ht="15" customHeight="1" x14ac:dyDescent="0.25">
      <c r="A14" s="612">
        <v>8</v>
      </c>
      <c r="B14" s="377" t="s">
        <v>552</v>
      </c>
      <c r="C14" s="710" t="s">
        <v>1044</v>
      </c>
      <c r="D14" s="377" t="s">
        <v>950</v>
      </c>
      <c r="E14" s="668">
        <f>THVL!J33</f>
        <v>0.91199999999999992</v>
      </c>
      <c r="F14" s="59">
        <f>'Giá VL'!G13</f>
        <v>281818</v>
      </c>
      <c r="G14" s="59">
        <f>'Giá VL'!J13</f>
        <v>281818</v>
      </c>
      <c r="H14" s="59">
        <f>'Giá VL'!V13</f>
        <v>316313.14456500002</v>
      </c>
      <c r="I14" s="59">
        <f t="shared" si="0"/>
        <v>288477.58784327999</v>
      </c>
      <c r="J14" s="59">
        <f t="shared" si="1"/>
        <v>34495.144565000024</v>
      </c>
      <c r="K14" s="59">
        <f t="shared" si="2"/>
        <v>31459.57184328002</v>
      </c>
      <c r="L14" s="676"/>
      <c r="M14" s="676"/>
      <c r="N14" s="676"/>
      <c r="O14" s="676"/>
      <c r="P14" s="676"/>
      <c r="Q14" s="676"/>
      <c r="R14" s="676"/>
      <c r="S14" s="676"/>
      <c r="T14" s="676"/>
      <c r="U14" s="676"/>
      <c r="V14" s="676"/>
      <c r="W14" s="676"/>
      <c r="X14" s="676"/>
      <c r="Y14" s="676"/>
      <c r="Z14" s="676"/>
      <c r="AA14" s="676"/>
    </row>
    <row r="15" spans="1:27" ht="15" customHeight="1" x14ac:dyDescent="0.25">
      <c r="A15" s="612">
        <v>9</v>
      </c>
      <c r="B15" s="377" t="s">
        <v>901</v>
      </c>
      <c r="C15" s="710" t="s">
        <v>454</v>
      </c>
      <c r="D15" s="377" t="s">
        <v>838</v>
      </c>
      <c r="E15" s="668">
        <f>THVL!J35</f>
        <v>4.42537</v>
      </c>
      <c r="F15" s="59">
        <f>'Giá VL'!G14</f>
        <v>16300</v>
      </c>
      <c r="G15" s="59">
        <f>'Giá VL'!J14</f>
        <v>16300</v>
      </c>
      <c r="H15" s="59">
        <f>'Giá VL'!V14</f>
        <v>16300</v>
      </c>
      <c r="I15" s="59">
        <f t="shared" si="0"/>
        <v>72133.531000000003</v>
      </c>
      <c r="J15" s="59">
        <f t="shared" si="1"/>
        <v>0</v>
      </c>
      <c r="K15" s="59">
        <f t="shared" si="2"/>
        <v>0</v>
      </c>
      <c r="L15" s="676"/>
      <c r="M15" s="676"/>
      <c r="N15" s="676"/>
      <c r="O15" s="676"/>
      <c r="P15" s="676"/>
      <c r="Q15" s="676"/>
      <c r="R15" s="676"/>
      <c r="S15" s="676"/>
      <c r="T15" s="676"/>
      <c r="U15" s="676"/>
      <c r="V15" s="676"/>
      <c r="W15" s="676"/>
      <c r="X15" s="676"/>
      <c r="Y15" s="676"/>
      <c r="Z15" s="676"/>
      <c r="AA15" s="676"/>
    </row>
    <row r="16" spans="1:27" ht="15" customHeight="1" x14ac:dyDescent="0.25">
      <c r="A16" s="612">
        <v>10</v>
      </c>
      <c r="B16" s="377" t="s">
        <v>894</v>
      </c>
      <c r="C16" s="710" t="s">
        <v>1147</v>
      </c>
      <c r="D16" s="377" t="s">
        <v>838</v>
      </c>
      <c r="E16" s="668">
        <f>THVL!J38</f>
        <v>2.3759999999999999</v>
      </c>
      <c r="F16" s="59">
        <f>'Giá VL'!G15</f>
        <v>27273</v>
      </c>
      <c r="G16" s="59">
        <f>'Giá VL'!J15</f>
        <v>27273</v>
      </c>
      <c r="H16" s="59">
        <f>'Giá VL'!V15</f>
        <v>27273</v>
      </c>
      <c r="I16" s="59">
        <f t="shared" si="0"/>
        <v>64800.647999999994</v>
      </c>
      <c r="J16" s="59">
        <f t="shared" si="1"/>
        <v>0</v>
      </c>
      <c r="K16" s="59">
        <f t="shared" si="2"/>
        <v>0</v>
      </c>
      <c r="L16" s="676"/>
      <c r="M16" s="676"/>
      <c r="N16" s="676"/>
      <c r="O16" s="676"/>
      <c r="P16" s="676"/>
      <c r="Q16" s="676"/>
      <c r="R16" s="676"/>
      <c r="S16" s="676"/>
      <c r="T16" s="676"/>
      <c r="U16" s="676"/>
      <c r="V16" s="676"/>
      <c r="W16" s="676"/>
      <c r="X16" s="676"/>
      <c r="Y16" s="676"/>
      <c r="Z16" s="676"/>
      <c r="AA16" s="676"/>
    </row>
    <row r="17" spans="1:27" ht="15" customHeight="1" x14ac:dyDescent="0.25">
      <c r="A17" s="612">
        <v>11</v>
      </c>
      <c r="B17" s="377" t="s">
        <v>580</v>
      </c>
      <c r="C17" s="710" t="s">
        <v>1223</v>
      </c>
      <c r="D17" s="377" t="s">
        <v>594</v>
      </c>
      <c r="E17" s="668">
        <f>THVL!J40</f>
        <v>843.05100000000004</v>
      </c>
      <c r="F17" s="59">
        <f>'Giá VL'!G16</f>
        <v>5000</v>
      </c>
      <c r="G17" s="59">
        <f>'Giá VL'!J16</f>
        <v>5000</v>
      </c>
      <c r="H17" s="59">
        <f>'Giá VL'!V16</f>
        <v>5000</v>
      </c>
      <c r="I17" s="59">
        <f t="shared" si="0"/>
        <v>4215255</v>
      </c>
      <c r="J17" s="59">
        <f t="shared" si="1"/>
        <v>0</v>
      </c>
      <c r="K17" s="59">
        <f t="shared" si="2"/>
        <v>0</v>
      </c>
      <c r="L17" s="676"/>
      <c r="M17" s="676"/>
      <c r="N17" s="676"/>
      <c r="O17" s="676"/>
      <c r="P17" s="676"/>
      <c r="Q17" s="676"/>
      <c r="R17" s="676"/>
      <c r="S17" s="676"/>
      <c r="T17" s="676"/>
      <c r="U17" s="676"/>
      <c r="V17" s="676"/>
      <c r="W17" s="676"/>
      <c r="X17" s="676"/>
      <c r="Y17" s="676"/>
      <c r="Z17" s="676"/>
      <c r="AA17" s="676"/>
    </row>
    <row r="18" spans="1:27" ht="15" customHeight="1" x14ac:dyDescent="0.25">
      <c r="A18" s="612">
        <v>12</v>
      </c>
      <c r="B18" s="377" t="s">
        <v>103</v>
      </c>
      <c r="C18" s="710" t="s">
        <v>422</v>
      </c>
      <c r="D18" s="377" t="s">
        <v>950</v>
      </c>
      <c r="E18" s="668">
        <f>THVL!J43</f>
        <v>0.94514000000000009</v>
      </c>
      <c r="F18" s="59">
        <f>'Giá VL'!G17</f>
        <v>4090909</v>
      </c>
      <c r="G18" s="59">
        <f>'Giá VL'!J17</f>
        <v>4090909</v>
      </c>
      <c r="H18" s="59">
        <f>'Giá VL'!V17</f>
        <v>4123452.631914</v>
      </c>
      <c r="I18" s="59">
        <f t="shared" si="0"/>
        <v>3897240.0205271984</v>
      </c>
      <c r="J18" s="59">
        <f t="shared" si="1"/>
        <v>32543.631914000027</v>
      </c>
      <c r="K18" s="59">
        <f t="shared" si="2"/>
        <v>30758.288267198019</v>
      </c>
      <c r="L18" s="676"/>
      <c r="M18" s="676"/>
      <c r="N18" s="676"/>
      <c r="O18" s="676"/>
      <c r="P18" s="676"/>
      <c r="Q18" s="676"/>
      <c r="R18" s="676"/>
      <c r="S18" s="676"/>
      <c r="T18" s="676"/>
      <c r="U18" s="676"/>
      <c r="V18" s="676"/>
      <c r="W18" s="676"/>
      <c r="X18" s="676"/>
      <c r="Y18" s="676"/>
      <c r="Z18" s="676"/>
      <c r="AA18" s="676"/>
    </row>
    <row r="19" spans="1:27" ht="15" customHeight="1" x14ac:dyDescent="0.25">
      <c r="A19" s="612">
        <v>13</v>
      </c>
      <c r="B19" s="377" t="s">
        <v>855</v>
      </c>
      <c r="C19" s="710" t="s">
        <v>268</v>
      </c>
      <c r="D19" s="377" t="s">
        <v>630</v>
      </c>
      <c r="E19" s="668">
        <f>THVL!J46</f>
        <v>6.25E-2</v>
      </c>
      <c r="F19" s="59">
        <f>'Giá VL'!G18</f>
        <v>1322000</v>
      </c>
      <c r="G19" s="59">
        <f>'Giá VL'!J18</f>
        <v>1322000</v>
      </c>
      <c r="H19" s="59">
        <f>'Giá VL'!V18</f>
        <v>1322000</v>
      </c>
      <c r="I19" s="59">
        <f t="shared" si="0"/>
        <v>82625</v>
      </c>
      <c r="J19" s="59">
        <f t="shared" si="1"/>
        <v>0</v>
      </c>
      <c r="K19" s="59">
        <f t="shared" si="2"/>
        <v>0</v>
      </c>
      <c r="L19" s="676"/>
      <c r="M19" s="676"/>
      <c r="N19" s="676"/>
      <c r="O19" s="676"/>
      <c r="P19" s="676"/>
      <c r="Q19" s="676"/>
      <c r="R19" s="676"/>
      <c r="S19" s="676"/>
      <c r="T19" s="676"/>
      <c r="U19" s="676"/>
      <c r="V19" s="676"/>
      <c r="W19" s="676"/>
      <c r="X19" s="676"/>
      <c r="Y19" s="676"/>
      <c r="Z19" s="676"/>
      <c r="AA19" s="676"/>
    </row>
    <row r="20" spans="1:27" ht="15" customHeight="1" x14ac:dyDescent="0.25">
      <c r="A20" s="612">
        <v>14</v>
      </c>
      <c r="B20" s="377" t="s">
        <v>1077</v>
      </c>
      <c r="C20" s="710" t="s">
        <v>1274</v>
      </c>
      <c r="D20" s="377" t="s">
        <v>630</v>
      </c>
      <c r="E20" s="668">
        <f>THVL!J48</f>
        <v>0.216</v>
      </c>
      <c r="F20" s="59">
        <f>'Giá VL'!G19</f>
        <v>1322000</v>
      </c>
      <c r="G20" s="59">
        <f>'Giá VL'!J19</f>
        <v>1322000</v>
      </c>
      <c r="H20" s="59">
        <f>'Giá VL'!V19</f>
        <v>1322000</v>
      </c>
      <c r="I20" s="59">
        <f t="shared" si="0"/>
        <v>285552</v>
      </c>
      <c r="J20" s="59">
        <f t="shared" si="1"/>
        <v>0</v>
      </c>
      <c r="K20" s="59">
        <f t="shared" si="2"/>
        <v>0</v>
      </c>
      <c r="L20" s="676"/>
      <c r="M20" s="676"/>
      <c r="N20" s="676"/>
      <c r="O20" s="676"/>
      <c r="P20" s="676"/>
      <c r="Q20" s="676"/>
      <c r="R20" s="676"/>
      <c r="S20" s="676"/>
      <c r="T20" s="676"/>
      <c r="U20" s="676"/>
      <c r="V20" s="676"/>
      <c r="W20" s="676"/>
      <c r="X20" s="676"/>
      <c r="Y20" s="676"/>
      <c r="Z20" s="676"/>
      <c r="AA20" s="676"/>
    </row>
    <row r="21" spans="1:27" ht="15" customHeight="1" x14ac:dyDescent="0.25">
      <c r="A21" s="612">
        <v>15</v>
      </c>
      <c r="B21" s="377" t="s">
        <v>461</v>
      </c>
      <c r="C21" s="710" t="s">
        <v>784</v>
      </c>
      <c r="D21" s="377" t="s">
        <v>838</v>
      </c>
      <c r="E21" s="668">
        <f>THVL!J51</f>
        <v>223.15500000000003</v>
      </c>
      <c r="F21" s="59">
        <f>'Giá VL'!G20</f>
        <v>16818</v>
      </c>
      <c r="G21" s="59">
        <f>'Giá VL'!J20</f>
        <v>16818</v>
      </c>
      <c r="H21" s="59">
        <f>'Giá VL'!V20</f>
        <v>16818</v>
      </c>
      <c r="I21" s="59">
        <f t="shared" si="0"/>
        <v>3753020.7900000005</v>
      </c>
      <c r="J21" s="59">
        <f t="shared" si="1"/>
        <v>0</v>
      </c>
      <c r="K21" s="59">
        <f t="shared" si="2"/>
        <v>0</v>
      </c>
      <c r="L21" s="676"/>
      <c r="M21" s="676"/>
      <c r="N21" s="676"/>
      <c r="O21" s="676"/>
      <c r="P21" s="676"/>
      <c r="Q21" s="676"/>
      <c r="R21" s="676"/>
      <c r="S21" s="676"/>
      <c r="T21" s="676"/>
      <c r="U21" s="676"/>
      <c r="V21" s="676"/>
      <c r="W21" s="676"/>
      <c r="X21" s="676"/>
      <c r="Y21" s="676"/>
      <c r="Z21" s="676"/>
      <c r="AA21" s="676"/>
    </row>
    <row r="22" spans="1:27" ht="15" customHeight="1" x14ac:dyDescent="0.25">
      <c r="A22" s="612">
        <v>16</v>
      </c>
      <c r="B22" s="377" t="s">
        <v>35</v>
      </c>
      <c r="C22" s="710" t="s">
        <v>946</v>
      </c>
      <c r="D22" s="377" t="s">
        <v>594</v>
      </c>
      <c r="E22" s="668">
        <f>THVL!J53</f>
        <v>0.41800000000000004</v>
      </c>
      <c r="F22" s="59">
        <f>'Giá VL'!G21</f>
        <v>410000</v>
      </c>
      <c r="G22" s="59">
        <f>'Giá VL'!J21</f>
        <v>410000</v>
      </c>
      <c r="H22" s="59">
        <f>'Giá VL'!V21</f>
        <v>410000</v>
      </c>
      <c r="I22" s="59">
        <f t="shared" si="0"/>
        <v>171380.00000000003</v>
      </c>
      <c r="J22" s="59">
        <f t="shared" si="1"/>
        <v>0</v>
      </c>
      <c r="K22" s="59">
        <f t="shared" si="2"/>
        <v>0</v>
      </c>
      <c r="L22" s="676"/>
      <c r="M22" s="676"/>
      <c r="N22" s="676"/>
      <c r="O22" s="676"/>
      <c r="P22" s="676"/>
      <c r="Q22" s="676"/>
      <c r="R22" s="676"/>
      <c r="S22" s="676"/>
      <c r="T22" s="676"/>
      <c r="U22" s="676"/>
      <c r="V22" s="676"/>
      <c r="W22" s="676"/>
      <c r="X22" s="676"/>
      <c r="Y22" s="676"/>
      <c r="Z22" s="676"/>
      <c r="AA22" s="676"/>
    </row>
    <row r="23" spans="1:27" ht="15" customHeight="1" x14ac:dyDescent="0.25">
      <c r="A23" s="612">
        <v>17</v>
      </c>
      <c r="B23" s="377" t="s">
        <v>104</v>
      </c>
      <c r="C23" s="710" t="s">
        <v>283</v>
      </c>
      <c r="D23" s="377" t="s">
        <v>838</v>
      </c>
      <c r="E23" s="668">
        <f>THVL!J55</f>
        <v>236.285</v>
      </c>
      <c r="F23" s="59">
        <f>'Giá VL'!G22</f>
        <v>16818</v>
      </c>
      <c r="G23" s="59">
        <f>'Giá VL'!J22</f>
        <v>16818</v>
      </c>
      <c r="H23" s="59">
        <f>'Giá VL'!V22</f>
        <v>16818</v>
      </c>
      <c r="I23" s="59">
        <f t="shared" si="0"/>
        <v>3973841.13</v>
      </c>
      <c r="J23" s="59">
        <f t="shared" si="1"/>
        <v>0</v>
      </c>
      <c r="K23" s="59">
        <f t="shared" si="2"/>
        <v>0</v>
      </c>
      <c r="L23" s="676"/>
      <c r="M23" s="676"/>
      <c r="N23" s="676"/>
      <c r="O23" s="676"/>
      <c r="P23" s="676"/>
      <c r="Q23" s="676"/>
      <c r="R23" s="676"/>
      <c r="S23" s="676"/>
      <c r="T23" s="676"/>
      <c r="U23" s="676"/>
      <c r="V23" s="676"/>
      <c r="W23" s="676"/>
      <c r="X23" s="676"/>
      <c r="Y23" s="676"/>
      <c r="Z23" s="676"/>
      <c r="AA23" s="676"/>
    </row>
    <row r="24" spans="1:27" ht="15" customHeight="1" x14ac:dyDescent="0.25">
      <c r="A24" s="612">
        <v>18</v>
      </c>
      <c r="B24" s="377" t="s">
        <v>316</v>
      </c>
      <c r="C24" s="710" t="s">
        <v>1216</v>
      </c>
      <c r="D24" s="377" t="s">
        <v>838</v>
      </c>
      <c r="E24" s="668" t="e">
        <f>THVL!J58</f>
        <v>#REF!</v>
      </c>
      <c r="F24" s="59" t="e">
        <f>'Giá VL'!#REF!</f>
        <v>#REF!</v>
      </c>
      <c r="G24" s="59" t="e">
        <f>'Giá VL'!#REF!</f>
        <v>#REF!</v>
      </c>
      <c r="H24" s="59" t="e">
        <f>'Giá VL'!#REF!</f>
        <v>#REF!</v>
      </c>
      <c r="I24" s="59" t="e">
        <f t="shared" si="0"/>
        <v>#REF!</v>
      </c>
      <c r="J24" s="59" t="e">
        <f t="shared" si="1"/>
        <v>#REF!</v>
      </c>
      <c r="K24" s="59" t="e">
        <f t="shared" si="2"/>
        <v>#REF!</v>
      </c>
      <c r="L24" s="676"/>
      <c r="M24" s="676"/>
      <c r="N24" s="676"/>
      <c r="O24" s="676"/>
      <c r="P24" s="676"/>
      <c r="Q24" s="676"/>
      <c r="R24" s="676"/>
      <c r="S24" s="676"/>
      <c r="T24" s="676"/>
      <c r="U24" s="676"/>
      <c r="V24" s="676"/>
      <c r="W24" s="676"/>
      <c r="X24" s="676"/>
      <c r="Y24" s="676"/>
      <c r="Z24" s="676"/>
      <c r="AA24" s="676"/>
    </row>
    <row r="25" spans="1:27" ht="15" customHeight="1" x14ac:dyDescent="0.25">
      <c r="A25" s="612">
        <v>19</v>
      </c>
      <c r="B25" s="377" t="s">
        <v>956</v>
      </c>
      <c r="C25" s="710" t="s">
        <v>304</v>
      </c>
      <c r="D25" s="377" t="s">
        <v>447</v>
      </c>
      <c r="E25" s="668">
        <f>THVL!J61</f>
        <v>5756.5219999999999</v>
      </c>
      <c r="F25" s="59">
        <f>'Giá VL'!G23</f>
        <v>10</v>
      </c>
      <c r="G25" s="59">
        <f>'Giá VL'!J23</f>
        <v>10</v>
      </c>
      <c r="H25" s="59">
        <f>'Giá VL'!V23</f>
        <v>10</v>
      </c>
      <c r="I25" s="59">
        <f t="shared" si="0"/>
        <v>57565.22</v>
      </c>
      <c r="J25" s="59">
        <f t="shared" si="1"/>
        <v>0</v>
      </c>
      <c r="K25" s="59">
        <f t="shared" si="2"/>
        <v>0</v>
      </c>
      <c r="L25" s="676"/>
      <c r="M25" s="676"/>
      <c r="N25" s="676"/>
      <c r="O25" s="676"/>
      <c r="P25" s="676"/>
      <c r="Q25" s="676"/>
      <c r="R25" s="676"/>
      <c r="S25" s="676"/>
      <c r="T25" s="676"/>
      <c r="U25" s="676"/>
      <c r="V25" s="676"/>
      <c r="W25" s="676"/>
      <c r="X25" s="676"/>
      <c r="Y25" s="676"/>
      <c r="Z25" s="676"/>
      <c r="AA25" s="676"/>
    </row>
    <row r="26" spans="1:27" ht="15" customHeight="1" x14ac:dyDescent="0.25">
      <c r="A26" s="612">
        <v>20</v>
      </c>
      <c r="B26" s="377" t="s">
        <v>615</v>
      </c>
      <c r="C26" s="710" t="s">
        <v>304</v>
      </c>
      <c r="D26" s="377" t="s">
        <v>950</v>
      </c>
      <c r="E26" s="668">
        <f>THVL!J71</f>
        <v>0.14399999999999999</v>
      </c>
      <c r="F26" s="59">
        <f>'Giá VL'!G24</f>
        <v>10182</v>
      </c>
      <c r="G26" s="59">
        <f>'Giá VL'!J24</f>
        <v>10182</v>
      </c>
      <c r="H26" s="59">
        <f>'Giá VL'!V24</f>
        <v>10182</v>
      </c>
      <c r="I26" s="59">
        <f t="shared" si="0"/>
        <v>1466.2079999999999</v>
      </c>
      <c r="J26" s="59">
        <f t="shared" si="1"/>
        <v>0</v>
      </c>
      <c r="K26" s="59">
        <f t="shared" si="2"/>
        <v>0</v>
      </c>
      <c r="L26" s="676"/>
      <c r="M26" s="676"/>
      <c r="N26" s="676"/>
      <c r="O26" s="676"/>
      <c r="P26" s="676"/>
      <c r="Q26" s="676"/>
      <c r="R26" s="676"/>
      <c r="S26" s="676"/>
      <c r="T26" s="676"/>
      <c r="U26" s="676"/>
      <c r="V26" s="676"/>
      <c r="W26" s="676"/>
      <c r="X26" s="676"/>
      <c r="Y26" s="676"/>
      <c r="Z26" s="676"/>
      <c r="AA26" s="676"/>
    </row>
    <row r="27" spans="1:27" ht="15" customHeight="1" x14ac:dyDescent="0.25">
      <c r="A27" s="612">
        <v>21</v>
      </c>
      <c r="B27" s="377" t="s">
        <v>919</v>
      </c>
      <c r="C27" s="710" t="s">
        <v>336</v>
      </c>
      <c r="D27" s="377" t="s">
        <v>838</v>
      </c>
      <c r="E27" s="668">
        <f>THVL!J74</f>
        <v>3.6139860000000006</v>
      </c>
      <c r="F27" s="59">
        <f>'Giá VL'!G25</f>
        <v>18182</v>
      </c>
      <c r="G27" s="59">
        <f>'Giá VL'!J25</f>
        <v>18182</v>
      </c>
      <c r="H27" s="59">
        <f>'Giá VL'!V25</f>
        <v>18182</v>
      </c>
      <c r="I27" s="59">
        <f t="shared" si="0"/>
        <v>65709.49345200001</v>
      </c>
      <c r="J27" s="59">
        <f t="shared" si="1"/>
        <v>0</v>
      </c>
      <c r="K27" s="59">
        <f t="shared" si="2"/>
        <v>0</v>
      </c>
      <c r="L27" s="676"/>
      <c r="M27" s="676"/>
      <c r="N27" s="676"/>
      <c r="O27" s="676"/>
      <c r="P27" s="676"/>
      <c r="Q27" s="676"/>
      <c r="R27" s="676"/>
      <c r="S27" s="676"/>
      <c r="T27" s="676"/>
      <c r="U27" s="676"/>
      <c r="V27" s="676"/>
      <c r="W27" s="676"/>
      <c r="X27" s="676"/>
      <c r="Y27" s="676"/>
      <c r="Z27" s="676"/>
      <c r="AA27" s="676"/>
    </row>
    <row r="28" spans="1:27" ht="15" customHeight="1" x14ac:dyDescent="0.25">
      <c r="A28" s="612">
        <v>22</v>
      </c>
      <c r="B28" s="377" t="s">
        <v>1210</v>
      </c>
      <c r="C28" s="710" t="s">
        <v>269</v>
      </c>
      <c r="D28" s="377" t="s">
        <v>838</v>
      </c>
      <c r="E28" s="668">
        <f>THVL!J81</f>
        <v>103.884</v>
      </c>
      <c r="F28" s="59">
        <f>'Giá VL'!G26</f>
        <v>28000</v>
      </c>
      <c r="G28" s="59">
        <f>'Giá VL'!J26</f>
        <v>28000</v>
      </c>
      <c r="H28" s="59">
        <f>'Giá VL'!V26</f>
        <v>28000</v>
      </c>
      <c r="I28" s="59">
        <f t="shared" si="0"/>
        <v>2908752</v>
      </c>
      <c r="J28" s="59">
        <f t="shared" si="1"/>
        <v>0</v>
      </c>
      <c r="K28" s="59">
        <f t="shared" si="2"/>
        <v>0</v>
      </c>
      <c r="L28" s="676"/>
      <c r="M28" s="676"/>
      <c r="N28" s="676"/>
      <c r="O28" s="676"/>
      <c r="P28" s="676"/>
      <c r="Q28" s="676"/>
      <c r="R28" s="676"/>
      <c r="S28" s="676"/>
      <c r="T28" s="676"/>
      <c r="U28" s="676"/>
      <c r="V28" s="676"/>
      <c r="W28" s="676"/>
      <c r="X28" s="676"/>
      <c r="Y28" s="676"/>
      <c r="Z28" s="676"/>
      <c r="AA28" s="676"/>
    </row>
    <row r="29" spans="1:27" ht="15" customHeight="1" x14ac:dyDescent="0.25">
      <c r="A29" s="612">
        <v>23</v>
      </c>
      <c r="B29" s="377" t="s">
        <v>340</v>
      </c>
      <c r="C29" s="710" t="s">
        <v>619</v>
      </c>
      <c r="D29" s="377" t="s">
        <v>838</v>
      </c>
      <c r="E29" s="668">
        <f>THVL!J83</f>
        <v>1.65</v>
      </c>
      <c r="F29" s="59">
        <f>'Giá VL'!G27</f>
        <v>89500</v>
      </c>
      <c r="G29" s="59">
        <f>'Giá VL'!J27</f>
        <v>89500</v>
      </c>
      <c r="H29" s="59">
        <f>'Giá VL'!V27</f>
        <v>89500</v>
      </c>
      <c r="I29" s="59">
        <f t="shared" si="0"/>
        <v>147675</v>
      </c>
      <c r="J29" s="59">
        <f t="shared" si="1"/>
        <v>0</v>
      </c>
      <c r="K29" s="59">
        <f t="shared" si="2"/>
        <v>0</v>
      </c>
      <c r="L29" s="676"/>
      <c r="M29" s="676"/>
      <c r="N29" s="676"/>
      <c r="O29" s="676"/>
      <c r="P29" s="676"/>
      <c r="Q29" s="676"/>
      <c r="R29" s="676"/>
      <c r="S29" s="676"/>
      <c r="T29" s="676"/>
      <c r="U29" s="676"/>
      <c r="V29" s="676"/>
      <c r="W29" s="676"/>
      <c r="X29" s="676"/>
      <c r="Y29" s="676"/>
      <c r="Z29" s="676"/>
      <c r="AA29" s="676"/>
    </row>
    <row r="30" spans="1:27" ht="15" customHeight="1" x14ac:dyDescent="0.25">
      <c r="A30" s="612">
        <v>24</v>
      </c>
      <c r="B30" s="377" t="s">
        <v>849</v>
      </c>
      <c r="C30" s="710" t="s">
        <v>158</v>
      </c>
      <c r="D30" s="377" t="s">
        <v>838</v>
      </c>
      <c r="E30" s="668">
        <f>THVL!J85</f>
        <v>0.24640000000000004</v>
      </c>
      <c r="F30" s="59">
        <f>'Giá VL'!G28</f>
        <v>130090.9</v>
      </c>
      <c r="G30" s="59">
        <f>'Giá VL'!J28</f>
        <v>130090.9</v>
      </c>
      <c r="H30" s="59">
        <f>'Giá VL'!V28</f>
        <v>130090.9</v>
      </c>
      <c r="I30" s="59">
        <f t="shared" si="0"/>
        <v>32054.397760000003</v>
      </c>
      <c r="J30" s="59">
        <f t="shared" si="1"/>
        <v>0</v>
      </c>
      <c r="K30" s="59">
        <f t="shared" si="2"/>
        <v>0</v>
      </c>
      <c r="L30" s="676"/>
      <c r="M30" s="676"/>
      <c r="N30" s="676"/>
      <c r="O30" s="676"/>
      <c r="P30" s="676"/>
      <c r="Q30" s="676"/>
      <c r="R30" s="676"/>
      <c r="S30" s="676"/>
      <c r="T30" s="676"/>
      <c r="U30" s="676"/>
      <c r="V30" s="676"/>
      <c r="W30" s="676"/>
      <c r="X30" s="676"/>
      <c r="Y30" s="676"/>
      <c r="Z30" s="676"/>
      <c r="AA30" s="676"/>
    </row>
    <row r="31" spans="1:27" ht="15" customHeight="1" x14ac:dyDescent="0.25">
      <c r="A31" s="612">
        <v>25</v>
      </c>
      <c r="B31" s="377" t="s">
        <v>1141</v>
      </c>
      <c r="C31" s="710" t="s">
        <v>685</v>
      </c>
      <c r="D31" s="377" t="s">
        <v>838</v>
      </c>
      <c r="E31" s="668">
        <f>THVL!J87</f>
        <v>11.383132</v>
      </c>
      <c r="F31" s="59">
        <f>'Giá VL'!G29</f>
        <v>19600</v>
      </c>
      <c r="G31" s="59">
        <f>'Giá VL'!J29</f>
        <v>19600</v>
      </c>
      <c r="H31" s="59">
        <f>'Giá VL'!V29</f>
        <v>19657.495796390001</v>
      </c>
      <c r="I31" s="59">
        <f t="shared" si="0"/>
        <v>223763.86943975251</v>
      </c>
      <c r="J31" s="59">
        <f t="shared" si="1"/>
        <v>57.495796390001487</v>
      </c>
      <c r="K31" s="59">
        <f t="shared" si="2"/>
        <v>654.48223975251312</v>
      </c>
      <c r="L31" s="676"/>
      <c r="M31" s="676"/>
      <c r="N31" s="676"/>
      <c r="O31" s="676"/>
      <c r="P31" s="676"/>
      <c r="Q31" s="676"/>
      <c r="R31" s="676"/>
      <c r="S31" s="676"/>
      <c r="T31" s="676"/>
      <c r="U31" s="676"/>
      <c r="V31" s="676"/>
      <c r="W31" s="676"/>
      <c r="X31" s="676"/>
      <c r="Y31" s="676"/>
      <c r="Z31" s="676"/>
      <c r="AA31" s="676"/>
    </row>
    <row r="32" spans="1:27" ht="15" customHeight="1" x14ac:dyDescent="0.25">
      <c r="A32" s="612">
        <v>26</v>
      </c>
      <c r="B32" s="377" t="s">
        <v>649</v>
      </c>
      <c r="C32" s="710" t="s">
        <v>705</v>
      </c>
      <c r="D32" s="377" t="s">
        <v>838</v>
      </c>
      <c r="E32" s="668">
        <f>THVL!J91</f>
        <v>34.243649999999995</v>
      </c>
      <c r="F32" s="59">
        <f>'Giá VL'!G30</f>
        <v>19600</v>
      </c>
      <c r="G32" s="59">
        <f>'Giá VL'!J30</f>
        <v>19600</v>
      </c>
      <c r="H32" s="59">
        <f>'Giá VL'!V30</f>
        <v>19657.495796390001</v>
      </c>
      <c r="I32" s="59">
        <f t="shared" si="0"/>
        <v>673144.4059280504</v>
      </c>
      <c r="J32" s="59">
        <f t="shared" si="1"/>
        <v>57.495796390001487</v>
      </c>
      <c r="K32" s="59">
        <f t="shared" si="2"/>
        <v>1968.8659280504799</v>
      </c>
      <c r="L32" s="676"/>
      <c r="M32" s="676"/>
      <c r="N32" s="676"/>
      <c r="O32" s="676"/>
      <c r="P32" s="676"/>
      <c r="Q32" s="676"/>
      <c r="R32" s="676"/>
      <c r="S32" s="676"/>
      <c r="T32" s="676"/>
      <c r="U32" s="676"/>
      <c r="V32" s="676"/>
      <c r="W32" s="676"/>
      <c r="X32" s="676"/>
      <c r="Y32" s="676"/>
      <c r="Z32" s="676"/>
      <c r="AA32" s="676"/>
    </row>
    <row r="33" spans="1:27" ht="15" customHeight="1" x14ac:dyDescent="0.25">
      <c r="A33" s="612">
        <v>27</v>
      </c>
      <c r="B33" s="377" t="s">
        <v>713</v>
      </c>
      <c r="C33" s="710" t="s">
        <v>13</v>
      </c>
      <c r="D33" s="377" t="s">
        <v>838</v>
      </c>
      <c r="E33" s="668">
        <f>THVL!J94</f>
        <v>12.392951999999999</v>
      </c>
      <c r="F33" s="59">
        <f>'Giá VL'!G31</f>
        <v>19600</v>
      </c>
      <c r="G33" s="59">
        <f>'Giá VL'!J31</f>
        <v>19600</v>
      </c>
      <c r="H33" s="59">
        <f>'Giá VL'!V31</f>
        <v>19657.495796390001</v>
      </c>
      <c r="I33" s="59">
        <f t="shared" si="0"/>
        <v>243614.40184486305</v>
      </c>
      <c r="J33" s="59">
        <f t="shared" si="1"/>
        <v>57.495796390001487</v>
      </c>
      <c r="K33" s="59">
        <f t="shared" si="2"/>
        <v>712.54264486307511</v>
      </c>
      <c r="L33" s="676"/>
      <c r="M33" s="676"/>
      <c r="N33" s="676"/>
      <c r="O33" s="676"/>
      <c r="P33" s="676"/>
      <c r="Q33" s="676"/>
      <c r="R33" s="676"/>
      <c r="S33" s="676"/>
      <c r="T33" s="676"/>
      <c r="U33" s="676"/>
      <c r="V33" s="676"/>
      <c r="W33" s="676"/>
      <c r="X33" s="676"/>
      <c r="Y33" s="676"/>
      <c r="Z33" s="676"/>
      <c r="AA33" s="676"/>
    </row>
    <row r="34" spans="1:27" ht="15" customHeight="1" x14ac:dyDescent="0.25">
      <c r="A34" s="612">
        <v>28</v>
      </c>
      <c r="B34" s="377" t="s">
        <v>132</v>
      </c>
      <c r="C34" s="710" t="s">
        <v>969</v>
      </c>
      <c r="D34" s="377" t="s">
        <v>838</v>
      </c>
      <c r="E34" s="668">
        <f>THVL!J98</f>
        <v>240.19499999999999</v>
      </c>
      <c r="F34" s="59">
        <f>'Giá VL'!G32</f>
        <v>14409</v>
      </c>
      <c r="G34" s="59">
        <f>'Giá VL'!J32</f>
        <v>14409</v>
      </c>
      <c r="H34" s="59">
        <f>'Giá VL'!V32</f>
        <v>14466.49579639</v>
      </c>
      <c r="I34" s="59">
        <f t="shared" si="0"/>
        <v>3474779.9578138958</v>
      </c>
      <c r="J34" s="59">
        <f t="shared" si="1"/>
        <v>57.495796389999668</v>
      </c>
      <c r="K34" s="59">
        <f t="shared" si="2"/>
        <v>13810.202813895885</v>
      </c>
      <c r="L34" s="676"/>
      <c r="M34" s="676"/>
      <c r="N34" s="676"/>
      <c r="O34" s="676"/>
      <c r="P34" s="676"/>
      <c r="Q34" s="676"/>
      <c r="R34" s="676"/>
      <c r="S34" s="676"/>
      <c r="T34" s="676"/>
      <c r="U34" s="676"/>
      <c r="V34" s="676"/>
      <c r="W34" s="676"/>
      <c r="X34" s="676"/>
      <c r="Y34" s="676"/>
      <c r="Z34" s="676"/>
      <c r="AA34" s="676"/>
    </row>
    <row r="35" spans="1:27" ht="15" customHeight="1" x14ac:dyDescent="0.25">
      <c r="A35" s="612">
        <v>29</v>
      </c>
      <c r="B35" s="377" t="s">
        <v>149</v>
      </c>
      <c r="C35" s="710" t="s">
        <v>89</v>
      </c>
      <c r="D35" s="377" t="s">
        <v>838</v>
      </c>
      <c r="E35" s="668">
        <f>THVL!J100</f>
        <v>64.260000000000005</v>
      </c>
      <c r="F35" s="59">
        <f>'Giá VL'!G33</f>
        <v>14409</v>
      </c>
      <c r="G35" s="59">
        <f>'Giá VL'!J33</f>
        <v>14409</v>
      </c>
      <c r="H35" s="59">
        <f>'Giá VL'!V33</f>
        <v>14466.49579639</v>
      </c>
      <c r="I35" s="59">
        <f t="shared" si="0"/>
        <v>929617.01987602143</v>
      </c>
      <c r="J35" s="59">
        <f t="shared" si="1"/>
        <v>57.495796389999668</v>
      </c>
      <c r="K35" s="59">
        <f t="shared" si="2"/>
        <v>3694.6798760213424</v>
      </c>
      <c r="L35" s="676"/>
      <c r="M35" s="676"/>
      <c r="N35" s="676"/>
      <c r="O35" s="676"/>
      <c r="P35" s="676"/>
      <c r="Q35" s="676"/>
      <c r="R35" s="676"/>
      <c r="S35" s="676"/>
      <c r="T35" s="676"/>
      <c r="U35" s="676"/>
      <c r="V35" s="676"/>
      <c r="W35" s="676"/>
      <c r="X35" s="676"/>
      <c r="Y35" s="676"/>
      <c r="Z35" s="676"/>
      <c r="AA35" s="676"/>
    </row>
    <row r="36" spans="1:27" ht="15" customHeight="1" x14ac:dyDescent="0.25">
      <c r="A36" s="612">
        <v>30</v>
      </c>
      <c r="B36" s="377" t="s">
        <v>235</v>
      </c>
      <c r="C36" s="710" t="s">
        <v>662</v>
      </c>
      <c r="D36" s="377" t="s">
        <v>838</v>
      </c>
      <c r="E36" s="668" t="e">
        <f>THVL!J102</f>
        <v>#REF!</v>
      </c>
      <c r="F36" s="59">
        <f>'Giá VL'!G37</f>
        <v>1563.7239999999999</v>
      </c>
      <c r="G36" s="59">
        <f>'Giá VL'!J37</f>
        <v>1563.7239999999999</v>
      </c>
      <c r="H36" s="59">
        <f>'Giá VL'!V37</f>
        <v>1587.7239999999999</v>
      </c>
      <c r="I36" s="59" t="e">
        <f t="shared" si="0"/>
        <v>#REF!</v>
      </c>
      <c r="J36" s="59">
        <f t="shared" si="1"/>
        <v>24</v>
      </c>
      <c r="K36" s="59" t="e">
        <f t="shared" si="2"/>
        <v>#REF!</v>
      </c>
      <c r="L36" s="676"/>
      <c r="M36" s="676"/>
      <c r="N36" s="676"/>
      <c r="O36" s="676"/>
      <c r="P36" s="676"/>
      <c r="Q36" s="676"/>
      <c r="R36" s="676"/>
      <c r="S36" s="676"/>
      <c r="T36" s="676"/>
      <c r="U36" s="676"/>
      <c r="V36" s="676"/>
      <c r="W36" s="676"/>
      <c r="X36" s="676"/>
      <c r="Y36" s="676"/>
      <c r="Z36" s="676"/>
      <c r="AA36" s="676"/>
    </row>
    <row r="37" spans="1:27" ht="15" customHeight="1" x14ac:dyDescent="0.25">
      <c r="A37" s="612">
        <v>31</v>
      </c>
      <c r="B37" s="377" t="s">
        <v>667</v>
      </c>
      <c r="C37" s="710" t="s">
        <v>569</v>
      </c>
      <c r="D37" s="377" t="s">
        <v>1113</v>
      </c>
      <c r="E37" s="668">
        <f>THVL!J109</f>
        <v>2072.1999999999998</v>
      </c>
      <c r="F37" s="59">
        <v>0</v>
      </c>
      <c r="G37" s="59">
        <v>0</v>
      </c>
      <c r="H37" s="59">
        <v>0</v>
      </c>
      <c r="I37" s="59">
        <v>2117893.1315013999</v>
      </c>
      <c r="J37" s="59">
        <f t="shared" si="1"/>
        <v>0</v>
      </c>
      <c r="K37" s="59">
        <v>91347.205965069807</v>
      </c>
      <c r="L37" s="676"/>
      <c r="M37" s="676"/>
      <c r="N37" s="676"/>
      <c r="O37" s="676"/>
      <c r="P37" s="676"/>
      <c r="Q37" s="676"/>
      <c r="R37" s="676"/>
      <c r="S37" s="676"/>
      <c r="T37" s="676"/>
      <c r="U37" s="676"/>
      <c r="V37" s="676"/>
      <c r="W37" s="676"/>
      <c r="X37" s="676"/>
      <c r="Y37" s="676"/>
      <c r="Z37" s="676"/>
      <c r="AA37" s="676"/>
    </row>
    <row r="38" spans="1:27" ht="14.1" customHeight="1" x14ac:dyDescent="0.25">
      <c r="A38" s="612"/>
      <c r="B38" s="377"/>
      <c r="C38" s="710"/>
      <c r="D38" s="377"/>
      <c r="E38" s="668"/>
      <c r="F38" s="59"/>
      <c r="G38" s="59"/>
      <c r="H38" s="59"/>
      <c r="I38" s="59"/>
      <c r="J38" s="59"/>
      <c r="K38" s="59"/>
      <c r="L38" s="676"/>
      <c r="M38" s="676"/>
      <c r="N38" s="676"/>
      <c r="O38" s="676"/>
      <c r="P38" s="676"/>
      <c r="Q38" s="676"/>
      <c r="R38" s="676"/>
      <c r="S38" s="676"/>
      <c r="T38" s="676"/>
      <c r="U38" s="676"/>
      <c r="V38" s="676"/>
      <c r="W38" s="676"/>
      <c r="X38" s="676"/>
      <c r="Y38" s="676"/>
      <c r="Z38" s="676"/>
      <c r="AA38" s="676"/>
    </row>
    <row r="39" spans="1:27" ht="15" customHeight="1" x14ac:dyDescent="0.25">
      <c r="A39" s="560" t="s">
        <v>71</v>
      </c>
      <c r="B39" s="14"/>
      <c r="C39" s="14" t="s">
        <v>43</v>
      </c>
      <c r="D39" s="14"/>
      <c r="E39" s="252"/>
      <c r="F39" s="399"/>
      <c r="G39" s="399"/>
      <c r="H39" s="399">
        <v>0</v>
      </c>
      <c r="I39" s="399" t="e">
        <f>ROUND(SUM(I40:I44),0)</f>
        <v>#REF!</v>
      </c>
      <c r="J39" s="399"/>
      <c r="K39" s="399" t="e">
        <f>ROUND(SUM(K40:K44),0)</f>
        <v>#REF!</v>
      </c>
      <c r="L39" s="676"/>
      <c r="M39" s="676"/>
      <c r="N39" s="676"/>
      <c r="O39" s="676"/>
      <c r="P39" s="676"/>
      <c r="Q39" s="676"/>
      <c r="R39" s="676"/>
      <c r="S39" s="676"/>
      <c r="T39" s="676"/>
      <c r="U39" s="676"/>
      <c r="V39" s="676"/>
      <c r="W39" s="676"/>
      <c r="X39" s="676"/>
      <c r="Y39" s="676"/>
      <c r="Z39" s="676"/>
      <c r="AA39" s="676"/>
    </row>
    <row r="40" spans="1:27" ht="16.149999999999999" customHeight="1" x14ac:dyDescent="0.25">
      <c r="A40" s="612">
        <v>1</v>
      </c>
      <c r="B40" s="377" t="s">
        <v>475</v>
      </c>
      <c r="C40" s="710" t="s">
        <v>1154</v>
      </c>
      <c r="D40" s="377" t="s">
        <v>434</v>
      </c>
      <c r="E40" s="668">
        <f>THNC!J6</f>
        <v>27.616632000000003</v>
      </c>
      <c r="F40" s="59">
        <f>'Giá NC'!G5</f>
        <v>218559</v>
      </c>
      <c r="G40" s="59">
        <f>'Giá NC'!H5</f>
        <v>218559</v>
      </c>
      <c r="H40" s="59">
        <f>'Giá NC'!K5</f>
        <v>218559</v>
      </c>
      <c r="I40" s="59">
        <f t="shared" ref="I40:I44" si="3">E40*H40</f>
        <v>6035863.4732880006</v>
      </c>
      <c r="J40" s="59">
        <f t="shared" ref="J40:J44" si="4">H40-F40</f>
        <v>0</v>
      </c>
      <c r="K40" s="59">
        <f t="shared" ref="K40:K44" si="5">H40*E40-F40*E40</f>
        <v>0</v>
      </c>
      <c r="L40" s="676"/>
      <c r="M40" s="676"/>
      <c r="N40" s="676"/>
      <c r="O40" s="676"/>
      <c r="P40" s="676"/>
      <c r="Q40" s="676"/>
      <c r="R40" s="676"/>
      <c r="S40" s="676"/>
      <c r="T40" s="676"/>
      <c r="U40" s="676"/>
      <c r="V40" s="676"/>
      <c r="W40" s="676"/>
      <c r="X40" s="676"/>
      <c r="Y40" s="676"/>
      <c r="Z40" s="676"/>
      <c r="AA40" s="676"/>
    </row>
    <row r="41" spans="1:27" ht="16.149999999999999" customHeight="1" x14ac:dyDescent="0.25">
      <c r="A41" s="612">
        <v>2</v>
      </c>
      <c r="B41" s="377" t="s">
        <v>49</v>
      </c>
      <c r="C41" s="710" t="s">
        <v>818</v>
      </c>
      <c r="D41" s="377" t="s">
        <v>434</v>
      </c>
      <c r="E41" s="668">
        <f>THNC!J20</f>
        <v>8.3520000000000003</v>
      </c>
      <c r="F41" s="59">
        <f>'Giá NC'!G6</f>
        <v>239000</v>
      </c>
      <c r="G41" s="59">
        <f>'Giá NC'!H6</f>
        <v>239000</v>
      </c>
      <c r="H41" s="59">
        <f>'Giá NC'!K6</f>
        <v>239000</v>
      </c>
      <c r="I41" s="59">
        <f t="shared" si="3"/>
        <v>1996128</v>
      </c>
      <c r="J41" s="59">
        <f t="shared" si="4"/>
        <v>0</v>
      </c>
      <c r="K41" s="59">
        <f t="shared" si="5"/>
        <v>0</v>
      </c>
      <c r="L41" s="676"/>
      <c r="M41" s="676"/>
      <c r="N41" s="676"/>
      <c r="O41" s="676"/>
      <c r="P41" s="676"/>
      <c r="Q41" s="676"/>
      <c r="R41" s="676"/>
      <c r="S41" s="676"/>
      <c r="T41" s="676"/>
      <c r="U41" s="676"/>
      <c r="V41" s="676"/>
      <c r="W41" s="676"/>
      <c r="X41" s="676"/>
      <c r="Y41" s="676"/>
      <c r="Z41" s="676"/>
      <c r="AA41" s="676"/>
    </row>
    <row r="42" spans="1:27" ht="16.149999999999999" customHeight="1" x14ac:dyDescent="0.25">
      <c r="A42" s="612">
        <v>3</v>
      </c>
      <c r="B42" s="377" t="s">
        <v>1156</v>
      </c>
      <c r="C42" s="710" t="s">
        <v>213</v>
      </c>
      <c r="D42" s="377" t="s">
        <v>434</v>
      </c>
      <c r="E42" s="668">
        <f>THNC!J22</f>
        <v>0.7256999999999999</v>
      </c>
      <c r="F42" s="59">
        <f>'Giá NC'!G7</f>
        <v>230630</v>
      </c>
      <c r="G42" s="59">
        <f>'Giá NC'!H7</f>
        <v>230630</v>
      </c>
      <c r="H42" s="59">
        <f>'Giá NC'!K7</f>
        <v>230630</v>
      </c>
      <c r="I42" s="59">
        <f t="shared" si="3"/>
        <v>167368.19099999999</v>
      </c>
      <c r="J42" s="59">
        <f t="shared" si="4"/>
        <v>0</v>
      </c>
      <c r="K42" s="59">
        <f t="shared" si="5"/>
        <v>0</v>
      </c>
      <c r="L42" s="676"/>
      <c r="M42" s="676"/>
      <c r="N42" s="676"/>
      <c r="O42" s="676"/>
      <c r="P42" s="676"/>
      <c r="Q42" s="676"/>
      <c r="R42" s="676"/>
      <c r="S42" s="676"/>
      <c r="T42" s="676"/>
      <c r="U42" s="676"/>
      <c r="V42" s="676"/>
      <c r="W42" s="676"/>
      <c r="X42" s="676"/>
      <c r="Y42" s="676"/>
      <c r="Z42" s="676"/>
      <c r="AA42" s="676"/>
    </row>
    <row r="43" spans="1:27" ht="16.149999999999999" customHeight="1" x14ac:dyDescent="0.25">
      <c r="A43" s="612">
        <v>4</v>
      </c>
      <c r="B43" s="377" t="s">
        <v>706</v>
      </c>
      <c r="C43" s="710" t="s">
        <v>1200</v>
      </c>
      <c r="D43" s="377" t="s">
        <v>434</v>
      </c>
      <c r="E43" s="668" t="e">
        <f>THNC!J24</f>
        <v>#REF!</v>
      </c>
      <c r="F43" s="59">
        <f>'Giá NC'!G8</f>
        <v>252200</v>
      </c>
      <c r="G43" s="59">
        <f>'Giá NC'!H8</f>
        <v>252200</v>
      </c>
      <c r="H43" s="59">
        <f>'Giá NC'!K8</f>
        <v>252200</v>
      </c>
      <c r="I43" s="59" t="e">
        <f t="shared" si="3"/>
        <v>#REF!</v>
      </c>
      <c r="J43" s="59">
        <f t="shared" si="4"/>
        <v>0</v>
      </c>
      <c r="K43" s="59" t="e">
        <f t="shared" si="5"/>
        <v>#REF!</v>
      </c>
      <c r="L43" s="676"/>
      <c r="M43" s="676"/>
      <c r="N43" s="676"/>
      <c r="O43" s="676"/>
      <c r="P43" s="676"/>
      <c r="Q43" s="676"/>
      <c r="R43" s="676"/>
      <c r="S43" s="676"/>
      <c r="T43" s="676"/>
      <c r="U43" s="676"/>
      <c r="V43" s="676"/>
      <c r="W43" s="676"/>
      <c r="X43" s="676"/>
      <c r="Y43" s="676"/>
      <c r="Z43" s="676"/>
      <c r="AA43" s="676"/>
    </row>
    <row r="44" spans="1:27" ht="16.149999999999999" customHeight="1" x14ac:dyDescent="0.25">
      <c r="A44" s="612">
        <v>5</v>
      </c>
      <c r="B44" s="377" t="s">
        <v>169</v>
      </c>
      <c r="C44" s="710" t="s">
        <v>911</v>
      </c>
      <c r="D44" s="377" t="s">
        <v>434</v>
      </c>
      <c r="E44" s="668">
        <f>THNC!J43</f>
        <v>20.746400000000001</v>
      </c>
      <c r="F44" s="59">
        <f>'Giá NC'!G9</f>
        <v>273770</v>
      </c>
      <c r="G44" s="59">
        <f>'Giá NC'!H9</f>
        <v>273770</v>
      </c>
      <c r="H44" s="59">
        <f>'Giá NC'!K9</f>
        <v>273770</v>
      </c>
      <c r="I44" s="59">
        <f t="shared" si="3"/>
        <v>5679741.9280000003</v>
      </c>
      <c r="J44" s="59">
        <f t="shared" si="4"/>
        <v>0</v>
      </c>
      <c r="K44" s="59">
        <f t="shared" si="5"/>
        <v>0</v>
      </c>
      <c r="L44" s="676"/>
      <c r="M44" s="676"/>
      <c r="N44" s="676"/>
      <c r="O44" s="676"/>
      <c r="P44" s="676"/>
      <c r="Q44" s="676"/>
      <c r="R44" s="676"/>
      <c r="S44" s="676"/>
      <c r="T44" s="676"/>
      <c r="U44" s="676"/>
      <c r="V44" s="676"/>
      <c r="W44" s="676"/>
      <c r="X44" s="676"/>
      <c r="Y44" s="676"/>
      <c r="Z44" s="676"/>
      <c r="AA44" s="676"/>
    </row>
    <row r="45" spans="1:27" ht="16.149999999999999" customHeight="1" x14ac:dyDescent="0.25">
      <c r="A45" s="612"/>
      <c r="B45" s="377"/>
      <c r="C45" s="710"/>
      <c r="D45" s="377"/>
      <c r="E45" s="668"/>
      <c r="F45" s="59"/>
      <c r="G45" s="59"/>
      <c r="H45" s="59"/>
      <c r="I45" s="59"/>
      <c r="J45" s="59"/>
      <c r="K45" s="59"/>
      <c r="L45" s="676"/>
      <c r="M45" s="676"/>
      <c r="N45" s="676"/>
      <c r="O45" s="676"/>
      <c r="P45" s="676"/>
      <c r="Q45" s="676"/>
      <c r="R45" s="676"/>
      <c r="S45" s="676"/>
      <c r="T45" s="676"/>
      <c r="U45" s="676"/>
      <c r="V45" s="676"/>
      <c r="W45" s="676"/>
      <c r="X45" s="676"/>
      <c r="Y45" s="676"/>
      <c r="Z45" s="676"/>
      <c r="AA45" s="676"/>
    </row>
    <row r="46" spans="1:27" ht="15" customHeight="1" x14ac:dyDescent="0.25">
      <c r="A46" s="560" t="s">
        <v>570</v>
      </c>
      <c r="B46" s="14"/>
      <c r="C46" s="14" t="s">
        <v>348</v>
      </c>
      <c r="D46" s="14"/>
      <c r="E46" s="252"/>
      <c r="F46" s="399"/>
      <c r="G46" s="399"/>
      <c r="H46" s="399">
        <v>0</v>
      </c>
      <c r="I46" s="399" t="e">
        <f>ROUND(SUM(I47:I71),0)</f>
        <v>#REF!</v>
      </c>
      <c r="J46" s="399"/>
      <c r="K46" s="399" t="e">
        <f>ROUND(SUM(K47:K71),0)</f>
        <v>#REF!</v>
      </c>
      <c r="L46" s="676"/>
      <c r="M46" s="676"/>
      <c r="N46" s="676"/>
      <c r="O46" s="676"/>
      <c r="P46" s="676"/>
      <c r="Q46" s="676"/>
      <c r="R46" s="676"/>
      <c r="S46" s="676"/>
      <c r="T46" s="676"/>
      <c r="U46" s="676"/>
      <c r="V46" s="676"/>
      <c r="W46" s="676"/>
      <c r="X46" s="676"/>
      <c r="Y46" s="676"/>
      <c r="Z46" s="676"/>
      <c r="AA46" s="676"/>
    </row>
    <row r="47" spans="1:27" ht="15" customHeight="1" x14ac:dyDescent="0.25">
      <c r="A47" s="612">
        <v>1</v>
      </c>
      <c r="B47" s="377" t="s">
        <v>1045</v>
      </c>
      <c r="C47" s="710" t="s">
        <v>738</v>
      </c>
      <c r="D47" s="377" t="s">
        <v>717</v>
      </c>
      <c r="E47" s="668">
        <f>THM!J6</f>
        <v>8.2925000000000004</v>
      </c>
      <c r="F47" s="59">
        <f>'Giá Máy'!G5</f>
        <v>21147</v>
      </c>
      <c r="G47" s="59">
        <f>'Giá Máy'!H5</f>
        <v>21147</v>
      </c>
      <c r="H47" s="59">
        <f>'Giá Máy'!O5</f>
        <v>21147</v>
      </c>
      <c r="I47" s="59">
        <f t="shared" ref="I47:I70" si="6">E47*H47</f>
        <v>175361.4975</v>
      </c>
      <c r="J47" s="59">
        <f t="shared" ref="J47:J71" si="7">H47-F47</f>
        <v>0</v>
      </c>
      <c r="K47" s="59">
        <f t="shared" ref="K47:K70" si="8">H47*E47-F47*E47</f>
        <v>0</v>
      </c>
      <c r="L47" s="676"/>
      <c r="M47" s="676"/>
      <c r="N47" s="676"/>
      <c r="O47" s="676"/>
      <c r="P47" s="676"/>
      <c r="Q47" s="676"/>
      <c r="R47" s="676"/>
      <c r="S47" s="676"/>
      <c r="T47" s="676"/>
      <c r="U47" s="676"/>
      <c r="V47" s="676"/>
      <c r="W47" s="676"/>
      <c r="X47" s="676"/>
      <c r="Y47" s="676"/>
      <c r="Z47" s="676"/>
      <c r="AA47" s="676"/>
    </row>
    <row r="48" spans="1:27" ht="15" customHeight="1" x14ac:dyDescent="0.25">
      <c r="A48" s="612">
        <v>2</v>
      </c>
      <c r="B48" s="377" t="s">
        <v>208</v>
      </c>
      <c r="C48" s="710" t="s">
        <v>682</v>
      </c>
      <c r="D48" s="377" t="s">
        <v>717</v>
      </c>
      <c r="E48" s="668" t="e">
        <f>THM!J8</f>
        <v>#REF!</v>
      </c>
      <c r="F48" s="59" t="e">
        <f>'Giá Máy'!#REF!</f>
        <v>#REF!</v>
      </c>
      <c r="G48" s="59" t="e">
        <f>'Giá Máy'!#REF!</f>
        <v>#REF!</v>
      </c>
      <c r="H48" s="59" t="e">
        <f>'Giá Máy'!#REF!</f>
        <v>#REF!</v>
      </c>
      <c r="I48" s="59" t="e">
        <f t="shared" si="6"/>
        <v>#REF!</v>
      </c>
      <c r="J48" s="59" t="e">
        <f t="shared" si="7"/>
        <v>#REF!</v>
      </c>
      <c r="K48" s="59" t="e">
        <f t="shared" si="8"/>
        <v>#REF!</v>
      </c>
      <c r="L48" s="676"/>
      <c r="M48" s="676"/>
      <c r="N48" s="676"/>
      <c r="O48" s="676"/>
      <c r="P48" s="676"/>
      <c r="Q48" s="676"/>
      <c r="R48" s="676"/>
      <c r="S48" s="676"/>
      <c r="T48" s="676"/>
      <c r="U48" s="676"/>
      <c r="V48" s="676"/>
      <c r="W48" s="676"/>
      <c r="X48" s="676"/>
      <c r="Y48" s="676"/>
      <c r="Z48" s="676"/>
      <c r="AA48" s="676"/>
    </row>
    <row r="49" spans="1:27" ht="15" customHeight="1" x14ac:dyDescent="0.25">
      <c r="A49" s="612">
        <v>3</v>
      </c>
      <c r="B49" s="377" t="s">
        <v>1101</v>
      </c>
      <c r="C49" s="710" t="s">
        <v>632</v>
      </c>
      <c r="D49" s="377" t="s">
        <v>717</v>
      </c>
      <c r="E49" s="668">
        <f>THM!J11</f>
        <v>0.52800000000000002</v>
      </c>
      <c r="F49" s="59">
        <f>'Giá Máy'!G6</f>
        <v>908184.5</v>
      </c>
      <c r="G49" s="59">
        <f>'Giá Máy'!H6</f>
        <v>908184.5</v>
      </c>
      <c r="H49" s="59">
        <f>'Giá Máy'!O6</f>
        <v>908184.5</v>
      </c>
      <c r="I49" s="59">
        <f t="shared" si="6"/>
        <v>479521.41600000003</v>
      </c>
      <c r="J49" s="59">
        <f t="shared" si="7"/>
        <v>0</v>
      </c>
      <c r="K49" s="59">
        <f t="shared" si="8"/>
        <v>0</v>
      </c>
      <c r="L49" s="676"/>
      <c r="M49" s="676"/>
      <c r="N49" s="676"/>
      <c r="O49" s="676"/>
      <c r="P49" s="676"/>
      <c r="Q49" s="676"/>
      <c r="R49" s="676"/>
      <c r="S49" s="676"/>
      <c r="T49" s="676"/>
      <c r="U49" s="676"/>
      <c r="V49" s="676"/>
      <c r="W49" s="676"/>
      <c r="X49" s="676"/>
      <c r="Y49" s="676"/>
      <c r="Z49" s="676"/>
      <c r="AA49" s="676"/>
    </row>
    <row r="50" spans="1:27" ht="15" customHeight="1" x14ac:dyDescent="0.25">
      <c r="A50" s="612">
        <v>4</v>
      </c>
      <c r="B50" s="377" t="s">
        <v>177</v>
      </c>
      <c r="C50" s="710" t="s">
        <v>747</v>
      </c>
      <c r="D50" s="377" t="s">
        <v>717</v>
      </c>
      <c r="E50" s="668">
        <f>THM!J13</f>
        <v>0.26400000000000001</v>
      </c>
      <c r="F50" s="59">
        <f>'Giá Máy'!G7</f>
        <v>307653</v>
      </c>
      <c r="G50" s="59">
        <f>'Giá Máy'!H7</f>
        <v>307653</v>
      </c>
      <c r="H50" s="59">
        <f>'Giá Máy'!O7</f>
        <v>307653</v>
      </c>
      <c r="I50" s="59">
        <f t="shared" si="6"/>
        <v>81220.392000000007</v>
      </c>
      <c r="J50" s="59">
        <f t="shared" si="7"/>
        <v>0</v>
      </c>
      <c r="K50" s="59">
        <f t="shared" si="8"/>
        <v>0</v>
      </c>
      <c r="L50" s="676"/>
      <c r="M50" s="676"/>
      <c r="N50" s="676"/>
      <c r="O50" s="676"/>
      <c r="P50" s="676"/>
      <c r="Q50" s="676"/>
      <c r="R50" s="676"/>
      <c r="S50" s="676"/>
      <c r="T50" s="676"/>
      <c r="U50" s="676"/>
      <c r="V50" s="676"/>
      <c r="W50" s="676"/>
      <c r="X50" s="676"/>
      <c r="Y50" s="676"/>
      <c r="Z50" s="676"/>
      <c r="AA50" s="676"/>
    </row>
    <row r="51" spans="1:27" ht="15" customHeight="1" x14ac:dyDescent="0.25">
      <c r="A51" s="612">
        <v>5</v>
      </c>
      <c r="B51" s="377" t="s">
        <v>750</v>
      </c>
      <c r="C51" s="710" t="s">
        <v>76</v>
      </c>
      <c r="D51" s="377" t="s">
        <v>717</v>
      </c>
      <c r="E51" s="668">
        <f>THM!J16</f>
        <v>5.5E-2</v>
      </c>
      <c r="F51" s="59">
        <f>'Giá Máy'!G8</f>
        <v>507130.7</v>
      </c>
      <c r="G51" s="59">
        <f>'Giá Máy'!H8</f>
        <v>507130.7</v>
      </c>
      <c r="H51" s="59">
        <f>'Giá Máy'!O8</f>
        <v>507130.7</v>
      </c>
      <c r="I51" s="59">
        <f t="shared" si="6"/>
        <v>27892.1885</v>
      </c>
      <c r="J51" s="59">
        <f t="shared" si="7"/>
        <v>0</v>
      </c>
      <c r="K51" s="59">
        <f t="shared" si="8"/>
        <v>0</v>
      </c>
      <c r="L51" s="676"/>
      <c r="M51" s="676"/>
      <c r="N51" s="676"/>
      <c r="O51" s="676"/>
      <c r="P51" s="676"/>
      <c r="Q51" s="676"/>
      <c r="R51" s="676"/>
      <c r="S51" s="676"/>
      <c r="T51" s="676"/>
      <c r="U51" s="676"/>
      <c r="V51" s="676"/>
      <c r="W51" s="676"/>
      <c r="X51" s="676"/>
      <c r="Y51" s="676"/>
      <c r="Z51" s="676"/>
      <c r="AA51" s="676"/>
    </row>
    <row r="52" spans="1:27" ht="15" customHeight="1" x14ac:dyDescent="0.25">
      <c r="A52" s="612">
        <v>6</v>
      </c>
      <c r="B52" s="377" t="s">
        <v>239</v>
      </c>
      <c r="C52" s="710" t="s">
        <v>209</v>
      </c>
      <c r="D52" s="377" t="s">
        <v>717</v>
      </c>
      <c r="E52" s="668">
        <f>THM!J18</f>
        <v>0.11576</v>
      </c>
      <c r="F52" s="59">
        <f>'Giá Máy'!G9</f>
        <v>273726</v>
      </c>
      <c r="G52" s="59">
        <f>'Giá Máy'!H9</f>
        <v>273726</v>
      </c>
      <c r="H52" s="59">
        <f>'Giá Máy'!O9</f>
        <v>273726</v>
      </c>
      <c r="I52" s="59">
        <f t="shared" si="6"/>
        <v>31686.52176</v>
      </c>
      <c r="J52" s="59">
        <f t="shared" si="7"/>
        <v>0</v>
      </c>
      <c r="K52" s="59">
        <f t="shared" si="8"/>
        <v>0</v>
      </c>
      <c r="L52" s="676"/>
      <c r="M52" s="676"/>
      <c r="N52" s="676"/>
      <c r="O52" s="676"/>
      <c r="P52" s="676"/>
      <c r="Q52" s="676"/>
      <c r="R52" s="676"/>
      <c r="S52" s="676"/>
      <c r="T52" s="676"/>
      <c r="U52" s="676"/>
      <c r="V52" s="676"/>
      <c r="W52" s="676"/>
      <c r="X52" s="676"/>
      <c r="Y52" s="676"/>
      <c r="Z52" s="676"/>
      <c r="AA52" s="676"/>
    </row>
    <row r="53" spans="1:27" ht="15" customHeight="1" x14ac:dyDescent="0.25">
      <c r="A53" s="612">
        <v>7</v>
      </c>
      <c r="B53" s="377" t="s">
        <v>201</v>
      </c>
      <c r="C53" s="710" t="s">
        <v>202</v>
      </c>
      <c r="D53" s="377" t="s">
        <v>717</v>
      </c>
      <c r="E53" s="668">
        <f>THM!J21</f>
        <v>11.964269999999999</v>
      </c>
      <c r="F53" s="59">
        <f>'Giá Máy'!G10</f>
        <v>257212</v>
      </c>
      <c r="G53" s="59">
        <f>'Giá Máy'!H10</f>
        <v>257212</v>
      </c>
      <c r="H53" s="59">
        <f>'Giá Máy'!O10</f>
        <v>257212</v>
      </c>
      <c r="I53" s="59">
        <f t="shared" si="6"/>
        <v>3077353.8152399999</v>
      </c>
      <c r="J53" s="59">
        <f t="shared" si="7"/>
        <v>0</v>
      </c>
      <c r="K53" s="59">
        <f t="shared" si="8"/>
        <v>0</v>
      </c>
      <c r="L53" s="676"/>
      <c r="M53" s="676"/>
      <c r="N53" s="676"/>
      <c r="O53" s="676"/>
      <c r="P53" s="676"/>
      <c r="Q53" s="676"/>
      <c r="R53" s="676"/>
      <c r="S53" s="676"/>
      <c r="T53" s="676"/>
      <c r="U53" s="676"/>
      <c r="V53" s="676"/>
      <c r="W53" s="676"/>
      <c r="X53" s="676"/>
      <c r="Y53" s="676"/>
      <c r="Z53" s="676"/>
      <c r="AA53" s="676"/>
    </row>
    <row r="54" spans="1:27" ht="15" customHeight="1" x14ac:dyDescent="0.25">
      <c r="A54" s="612">
        <v>8</v>
      </c>
      <c r="B54" s="377" t="s">
        <v>551</v>
      </c>
      <c r="C54" s="710" t="s">
        <v>330</v>
      </c>
      <c r="D54" s="377" t="s">
        <v>717</v>
      </c>
      <c r="E54" s="668">
        <f>THM!J24</f>
        <v>0.87424559999999996</v>
      </c>
      <c r="F54" s="59">
        <f>'Giá Máy'!G11</f>
        <v>380951</v>
      </c>
      <c r="G54" s="59">
        <f>'Giá Máy'!H11</f>
        <v>380951</v>
      </c>
      <c r="H54" s="59">
        <f>'Giá Máy'!O11</f>
        <v>380951</v>
      </c>
      <c r="I54" s="59">
        <f t="shared" si="6"/>
        <v>333044.73556559999</v>
      </c>
      <c r="J54" s="59">
        <f t="shared" si="7"/>
        <v>0</v>
      </c>
      <c r="K54" s="59">
        <f t="shared" si="8"/>
        <v>0</v>
      </c>
      <c r="L54" s="676"/>
      <c r="M54" s="676"/>
      <c r="N54" s="676"/>
      <c r="O54" s="676"/>
      <c r="P54" s="676"/>
      <c r="Q54" s="676"/>
      <c r="R54" s="676"/>
      <c r="S54" s="676"/>
      <c r="T54" s="676"/>
      <c r="U54" s="676"/>
      <c r="V54" s="676"/>
      <c r="W54" s="676"/>
      <c r="X54" s="676"/>
      <c r="Y54" s="676"/>
      <c r="Z54" s="676"/>
      <c r="AA54" s="676"/>
    </row>
    <row r="55" spans="1:27" ht="15" customHeight="1" x14ac:dyDescent="0.25">
      <c r="A55" s="612">
        <v>9</v>
      </c>
      <c r="B55" s="377" t="s">
        <v>194</v>
      </c>
      <c r="C55" s="710" t="s">
        <v>1193</v>
      </c>
      <c r="D55" s="377" t="s">
        <v>717</v>
      </c>
      <c r="E55" s="668">
        <f>THM!J28</f>
        <v>12.277849999999997</v>
      </c>
      <c r="F55" s="59">
        <f>'Giá Máy'!G12</f>
        <v>265153</v>
      </c>
      <c r="G55" s="59">
        <f>'Giá Máy'!H12</f>
        <v>265153</v>
      </c>
      <c r="H55" s="59">
        <f>'Giá Máy'!O12</f>
        <v>265153</v>
      </c>
      <c r="I55" s="59">
        <f t="shared" si="6"/>
        <v>3255508.7610499994</v>
      </c>
      <c r="J55" s="59">
        <f t="shared" si="7"/>
        <v>0</v>
      </c>
      <c r="K55" s="59">
        <f t="shared" si="8"/>
        <v>0</v>
      </c>
      <c r="L55" s="676"/>
      <c r="M55" s="676"/>
      <c r="N55" s="676"/>
      <c r="O55" s="676"/>
      <c r="P55" s="676"/>
      <c r="Q55" s="676"/>
      <c r="R55" s="676"/>
      <c r="S55" s="676"/>
      <c r="T55" s="676"/>
      <c r="U55" s="676"/>
      <c r="V55" s="676"/>
      <c r="W55" s="676"/>
      <c r="X55" s="676"/>
      <c r="Y55" s="676"/>
      <c r="Z55" s="676"/>
      <c r="AA55" s="676"/>
    </row>
    <row r="56" spans="1:27" ht="15" customHeight="1" x14ac:dyDescent="0.25">
      <c r="A56" s="612">
        <v>10</v>
      </c>
      <c r="B56" s="377" t="s">
        <v>1126</v>
      </c>
      <c r="C56" s="710" t="s">
        <v>585</v>
      </c>
      <c r="D56" s="377" t="s">
        <v>717</v>
      </c>
      <c r="E56" s="668">
        <f>THM!J34</f>
        <v>0.10225800000000002</v>
      </c>
      <c r="F56" s="59">
        <f>'Giá Máy'!G13</f>
        <v>1941339.8</v>
      </c>
      <c r="G56" s="59">
        <f>'Giá Máy'!H13</f>
        <v>1941339.8</v>
      </c>
      <c r="H56" s="59">
        <f>'Giá Máy'!O13</f>
        <v>1941339.8</v>
      </c>
      <c r="I56" s="59">
        <f t="shared" si="6"/>
        <v>198517.52526840003</v>
      </c>
      <c r="J56" s="59">
        <f t="shared" si="7"/>
        <v>0</v>
      </c>
      <c r="K56" s="59">
        <f t="shared" si="8"/>
        <v>0</v>
      </c>
      <c r="L56" s="676"/>
      <c r="M56" s="676"/>
      <c r="N56" s="676"/>
      <c r="O56" s="676"/>
      <c r="P56" s="676"/>
      <c r="Q56" s="676"/>
      <c r="R56" s="676"/>
      <c r="S56" s="676"/>
      <c r="T56" s="676"/>
      <c r="U56" s="676"/>
      <c r="V56" s="676"/>
      <c r="W56" s="676"/>
      <c r="X56" s="676"/>
      <c r="Y56" s="676"/>
      <c r="Z56" s="676"/>
      <c r="AA56" s="676"/>
    </row>
    <row r="57" spans="1:27" ht="15" customHeight="1" x14ac:dyDescent="0.25">
      <c r="A57" s="612">
        <v>11</v>
      </c>
      <c r="B57" s="377" t="s">
        <v>759</v>
      </c>
      <c r="C57" s="710" t="s">
        <v>42</v>
      </c>
      <c r="D57" s="377" t="s">
        <v>717</v>
      </c>
      <c r="E57" s="668">
        <f>THM!J36</f>
        <v>0.48124300000000003</v>
      </c>
      <c r="F57" s="59">
        <f>'Giá Máy'!G14</f>
        <v>3756595.3</v>
      </c>
      <c r="G57" s="59">
        <f>'Giá Máy'!H14</f>
        <v>3756595.3</v>
      </c>
      <c r="H57" s="59">
        <f>'Giá Máy'!O14</f>
        <v>3756595.3</v>
      </c>
      <c r="I57" s="59">
        <f t="shared" si="6"/>
        <v>1807835.1919579001</v>
      </c>
      <c r="J57" s="59">
        <f t="shared" si="7"/>
        <v>0</v>
      </c>
      <c r="K57" s="59">
        <f t="shared" si="8"/>
        <v>0</v>
      </c>
      <c r="L57" s="676"/>
      <c r="M57" s="676"/>
      <c r="N57" s="676"/>
      <c r="O57" s="676"/>
      <c r="P57" s="676"/>
      <c r="Q57" s="676"/>
      <c r="R57" s="676"/>
      <c r="S57" s="676"/>
      <c r="T57" s="676"/>
      <c r="U57" s="676"/>
      <c r="V57" s="676"/>
      <c r="W57" s="676"/>
      <c r="X57" s="676"/>
      <c r="Y57" s="676"/>
      <c r="Z57" s="676"/>
      <c r="AA57" s="676"/>
    </row>
    <row r="58" spans="1:27" ht="15" customHeight="1" x14ac:dyDescent="0.25">
      <c r="A58" s="612">
        <v>12</v>
      </c>
      <c r="B58" s="377" t="s">
        <v>82</v>
      </c>
      <c r="C58" s="710" t="s">
        <v>363</v>
      </c>
      <c r="D58" s="377" t="s">
        <v>717</v>
      </c>
      <c r="E58" s="668">
        <f>THM!J41</f>
        <v>0.94754799999999995</v>
      </c>
      <c r="F58" s="59">
        <f>'Giá Máy'!G15</f>
        <v>477927</v>
      </c>
      <c r="G58" s="59">
        <f>'Giá Máy'!H15</f>
        <v>477927</v>
      </c>
      <c r="H58" s="59">
        <f>'Giá Máy'!O15</f>
        <v>477927</v>
      </c>
      <c r="I58" s="59">
        <f t="shared" si="6"/>
        <v>452858.77299599996</v>
      </c>
      <c r="J58" s="59">
        <f t="shared" si="7"/>
        <v>0</v>
      </c>
      <c r="K58" s="59">
        <f t="shared" si="8"/>
        <v>0</v>
      </c>
      <c r="L58" s="676"/>
      <c r="M58" s="676"/>
      <c r="N58" s="676"/>
      <c r="O58" s="676"/>
      <c r="P58" s="676"/>
      <c r="Q58" s="676"/>
      <c r="R58" s="676"/>
      <c r="S58" s="676"/>
      <c r="T58" s="676"/>
      <c r="U58" s="676"/>
      <c r="V58" s="676"/>
      <c r="W58" s="676"/>
      <c r="X58" s="676"/>
      <c r="Y58" s="676"/>
      <c r="Z58" s="676"/>
      <c r="AA58" s="676"/>
    </row>
    <row r="59" spans="1:27" ht="15" customHeight="1" x14ac:dyDescent="0.25">
      <c r="A59" s="612">
        <v>13</v>
      </c>
      <c r="B59" s="377" t="s">
        <v>5</v>
      </c>
      <c r="C59" s="710" t="s">
        <v>1180</v>
      </c>
      <c r="D59" s="377" t="s">
        <v>717</v>
      </c>
      <c r="E59" s="668">
        <f>THM!J48</f>
        <v>0.14399999999999999</v>
      </c>
      <c r="F59" s="59">
        <f>'Giá Máy'!G16</f>
        <v>34285</v>
      </c>
      <c r="G59" s="59">
        <f>'Giá Máy'!H16</f>
        <v>34285</v>
      </c>
      <c r="H59" s="59">
        <f>'Giá Máy'!O16</f>
        <v>34285</v>
      </c>
      <c r="I59" s="59">
        <f t="shared" si="6"/>
        <v>4937.04</v>
      </c>
      <c r="J59" s="59">
        <f t="shared" si="7"/>
        <v>0</v>
      </c>
      <c r="K59" s="59">
        <f t="shared" si="8"/>
        <v>0</v>
      </c>
      <c r="L59" s="676"/>
      <c r="M59" s="676"/>
      <c r="N59" s="676"/>
      <c r="O59" s="676"/>
      <c r="P59" s="676"/>
      <c r="Q59" s="676"/>
      <c r="R59" s="676"/>
      <c r="S59" s="676"/>
      <c r="T59" s="676"/>
      <c r="U59" s="676"/>
      <c r="V59" s="676"/>
      <c r="W59" s="676"/>
      <c r="X59" s="676"/>
      <c r="Y59" s="676"/>
      <c r="Z59" s="676"/>
      <c r="AA59" s="676"/>
    </row>
    <row r="60" spans="1:27" ht="15" customHeight="1" x14ac:dyDescent="0.25">
      <c r="A60" s="612">
        <v>14</v>
      </c>
      <c r="B60" s="377" t="s">
        <v>1024</v>
      </c>
      <c r="C60" s="710" t="s">
        <v>128</v>
      </c>
      <c r="D60" s="377" t="s">
        <v>717</v>
      </c>
      <c r="E60" s="668">
        <f>THM!J50</f>
        <v>5.0858500000000006</v>
      </c>
      <c r="F60" s="59">
        <f>'Giá Máy'!G17</f>
        <v>1264509.6000000001</v>
      </c>
      <c r="G60" s="59">
        <f>'Giá Máy'!H17</f>
        <v>1264509.6000000001</v>
      </c>
      <c r="H60" s="59">
        <f>'Giá Máy'!O17</f>
        <v>1264509.6000000001</v>
      </c>
      <c r="I60" s="59">
        <f t="shared" si="6"/>
        <v>6431106.1491600014</v>
      </c>
      <c r="J60" s="59">
        <f t="shared" si="7"/>
        <v>0</v>
      </c>
      <c r="K60" s="59">
        <f t="shared" si="8"/>
        <v>0</v>
      </c>
      <c r="L60" s="676"/>
      <c r="M60" s="676"/>
      <c r="N60" s="676"/>
      <c r="O60" s="676"/>
      <c r="P60" s="676"/>
      <c r="Q60" s="676"/>
      <c r="R60" s="676"/>
      <c r="S60" s="676"/>
      <c r="T60" s="676"/>
      <c r="U60" s="676"/>
      <c r="V60" s="676"/>
      <c r="W60" s="676"/>
      <c r="X60" s="676"/>
      <c r="Y60" s="676"/>
      <c r="Z60" s="676"/>
      <c r="AA60" s="676"/>
    </row>
    <row r="61" spans="1:27" ht="15" customHeight="1" x14ac:dyDescent="0.25">
      <c r="A61" s="612">
        <v>15</v>
      </c>
      <c r="B61" s="377" t="s">
        <v>1089</v>
      </c>
      <c r="C61" s="710" t="s">
        <v>949</v>
      </c>
      <c r="D61" s="377" t="s">
        <v>717</v>
      </c>
      <c r="E61" s="668" t="e">
        <f>THM!J53</f>
        <v>#REF!</v>
      </c>
      <c r="F61" s="59">
        <f>'Giá Máy'!G18</f>
        <v>1703277.5</v>
      </c>
      <c r="G61" s="59">
        <f>'Giá Máy'!H18</f>
        <v>1703277.5</v>
      </c>
      <c r="H61" s="59">
        <f>'Giá Máy'!O18</f>
        <v>1703277.5</v>
      </c>
      <c r="I61" s="59" t="e">
        <f t="shared" si="6"/>
        <v>#REF!</v>
      </c>
      <c r="J61" s="59">
        <f t="shared" si="7"/>
        <v>0</v>
      </c>
      <c r="K61" s="59" t="e">
        <f t="shared" si="8"/>
        <v>#REF!</v>
      </c>
      <c r="L61" s="676"/>
      <c r="M61" s="676"/>
      <c r="N61" s="676"/>
      <c r="O61" s="676"/>
      <c r="P61" s="676"/>
      <c r="Q61" s="676"/>
      <c r="R61" s="676"/>
      <c r="S61" s="676"/>
      <c r="T61" s="676"/>
      <c r="U61" s="676"/>
      <c r="V61" s="676"/>
      <c r="W61" s="676"/>
      <c r="X61" s="676"/>
      <c r="Y61" s="676"/>
      <c r="Z61" s="676"/>
      <c r="AA61" s="676"/>
    </row>
    <row r="62" spans="1:27" ht="15" customHeight="1" x14ac:dyDescent="0.25">
      <c r="A62" s="612">
        <v>16</v>
      </c>
      <c r="B62" s="377" t="s">
        <v>811</v>
      </c>
      <c r="C62" s="710" t="s">
        <v>929</v>
      </c>
      <c r="D62" s="377" t="s">
        <v>717</v>
      </c>
      <c r="E62" s="668" t="e">
        <f>THM!J59</f>
        <v>#REF!</v>
      </c>
      <c r="F62" s="59" t="e">
        <f>'Giá Máy'!#REF!</f>
        <v>#REF!</v>
      </c>
      <c r="G62" s="59" t="e">
        <f>'Giá Máy'!#REF!</f>
        <v>#REF!</v>
      </c>
      <c r="H62" s="59" t="e">
        <f>'Giá Máy'!#REF!</f>
        <v>#REF!</v>
      </c>
      <c r="I62" s="59" t="e">
        <f t="shared" si="6"/>
        <v>#REF!</v>
      </c>
      <c r="J62" s="59" t="e">
        <f t="shared" si="7"/>
        <v>#REF!</v>
      </c>
      <c r="K62" s="59" t="e">
        <f t="shared" si="8"/>
        <v>#REF!</v>
      </c>
      <c r="L62" s="676"/>
      <c r="M62" s="676"/>
      <c r="N62" s="676"/>
      <c r="O62" s="676"/>
      <c r="P62" s="676"/>
      <c r="Q62" s="676"/>
      <c r="R62" s="676"/>
      <c r="S62" s="676"/>
      <c r="T62" s="676"/>
      <c r="U62" s="676"/>
      <c r="V62" s="676"/>
      <c r="W62" s="676"/>
      <c r="X62" s="676"/>
      <c r="Y62" s="676"/>
      <c r="Z62" s="676"/>
      <c r="AA62" s="676"/>
    </row>
    <row r="63" spans="1:27" ht="28.15" customHeight="1" x14ac:dyDescent="0.25">
      <c r="A63" s="612">
        <v>17</v>
      </c>
      <c r="B63" s="377" t="s">
        <v>1248</v>
      </c>
      <c r="C63" s="710" t="s">
        <v>196</v>
      </c>
      <c r="D63" s="377" t="s">
        <v>717</v>
      </c>
      <c r="E63" s="668">
        <f>THM!J62</f>
        <v>0.68154959999999998</v>
      </c>
      <c r="F63" s="59">
        <f>'Giá Máy'!G19</f>
        <v>5455372</v>
      </c>
      <c r="G63" s="59">
        <f>'Giá Máy'!H19</f>
        <v>5455372</v>
      </c>
      <c r="H63" s="59">
        <f>'Giá Máy'!O19</f>
        <v>5455372</v>
      </c>
      <c r="I63" s="59">
        <f t="shared" si="6"/>
        <v>3718106.6044512</v>
      </c>
      <c r="J63" s="59">
        <f t="shared" si="7"/>
        <v>0</v>
      </c>
      <c r="K63" s="59">
        <f t="shared" si="8"/>
        <v>0</v>
      </c>
      <c r="L63" s="676"/>
      <c r="M63" s="676"/>
      <c r="N63" s="676"/>
      <c r="O63" s="676"/>
      <c r="P63" s="676"/>
      <c r="Q63" s="676"/>
      <c r="R63" s="676"/>
      <c r="S63" s="676"/>
      <c r="T63" s="676"/>
      <c r="U63" s="676"/>
      <c r="V63" s="676"/>
      <c r="W63" s="676"/>
      <c r="X63" s="676"/>
      <c r="Y63" s="676"/>
      <c r="Z63" s="676"/>
      <c r="AA63" s="676"/>
    </row>
    <row r="64" spans="1:27" ht="15" customHeight="1" x14ac:dyDescent="0.25">
      <c r="A64" s="612">
        <v>18</v>
      </c>
      <c r="B64" s="377" t="s">
        <v>113</v>
      </c>
      <c r="C64" s="710" t="s">
        <v>94</v>
      </c>
      <c r="D64" s="377" t="s">
        <v>717</v>
      </c>
      <c r="E64" s="668" t="e">
        <f>THM!J66</f>
        <v>#REF!</v>
      </c>
      <c r="F64" s="59">
        <f>'Giá Máy'!G20</f>
        <v>317242</v>
      </c>
      <c r="G64" s="59">
        <f>'Giá Máy'!H20</f>
        <v>317242</v>
      </c>
      <c r="H64" s="59">
        <f>'Giá Máy'!O20</f>
        <v>317242</v>
      </c>
      <c r="I64" s="59" t="e">
        <f t="shared" si="6"/>
        <v>#REF!</v>
      </c>
      <c r="J64" s="59">
        <f t="shared" si="7"/>
        <v>0</v>
      </c>
      <c r="K64" s="59" t="e">
        <f t="shared" si="8"/>
        <v>#REF!</v>
      </c>
      <c r="L64" s="676"/>
      <c r="M64" s="676"/>
      <c r="N64" s="676"/>
      <c r="O64" s="676"/>
      <c r="P64" s="676"/>
      <c r="Q64" s="676"/>
      <c r="R64" s="676"/>
      <c r="S64" s="676"/>
      <c r="T64" s="676"/>
      <c r="U64" s="676"/>
      <c r="V64" s="676"/>
      <c r="W64" s="676"/>
      <c r="X64" s="676"/>
      <c r="Y64" s="676"/>
      <c r="Z64" s="676"/>
      <c r="AA64" s="676"/>
    </row>
    <row r="65" spans="1:27" ht="15" customHeight="1" x14ac:dyDescent="0.25">
      <c r="A65" s="612">
        <v>19</v>
      </c>
      <c r="B65" s="377" t="s">
        <v>1055</v>
      </c>
      <c r="C65" s="710" t="s">
        <v>517</v>
      </c>
      <c r="D65" s="377" t="s">
        <v>717</v>
      </c>
      <c r="E65" s="668">
        <f>THM!J72</f>
        <v>6.4103600000000011E-2</v>
      </c>
      <c r="F65" s="59">
        <f>'Giá Máy'!G21</f>
        <v>1960743.5</v>
      </c>
      <c r="G65" s="59">
        <f>'Giá Máy'!H21</f>
        <v>1960743.5</v>
      </c>
      <c r="H65" s="59">
        <f>'Giá Máy'!O21</f>
        <v>1960743.5</v>
      </c>
      <c r="I65" s="59">
        <f t="shared" si="6"/>
        <v>125690.71702660002</v>
      </c>
      <c r="J65" s="59">
        <f t="shared" si="7"/>
        <v>0</v>
      </c>
      <c r="K65" s="59">
        <f t="shared" si="8"/>
        <v>0</v>
      </c>
      <c r="L65" s="676"/>
      <c r="M65" s="676"/>
      <c r="N65" s="676"/>
      <c r="O65" s="676"/>
      <c r="P65" s="676"/>
      <c r="Q65" s="676"/>
      <c r="R65" s="676"/>
      <c r="S65" s="676"/>
      <c r="T65" s="676"/>
      <c r="U65" s="676"/>
      <c r="V65" s="676"/>
      <c r="W65" s="676"/>
      <c r="X65" s="676"/>
      <c r="Y65" s="676"/>
      <c r="Z65" s="676"/>
      <c r="AA65" s="676"/>
    </row>
    <row r="66" spans="1:27" ht="15" customHeight="1" x14ac:dyDescent="0.25">
      <c r="A66" s="612">
        <v>20</v>
      </c>
      <c r="B66" s="377" t="s">
        <v>271</v>
      </c>
      <c r="C66" s="710" t="s">
        <v>1188</v>
      </c>
      <c r="D66" s="377" t="s">
        <v>717</v>
      </c>
      <c r="E66" s="668" t="e">
        <f>THM!J77</f>
        <v>#REF!</v>
      </c>
      <c r="F66" s="59" t="e">
        <f>'Giá Máy'!#REF!</f>
        <v>#REF!</v>
      </c>
      <c r="G66" s="59" t="e">
        <f>'Giá Máy'!#REF!</f>
        <v>#REF!</v>
      </c>
      <c r="H66" s="59" t="e">
        <f>'Giá Máy'!#REF!</f>
        <v>#REF!</v>
      </c>
      <c r="I66" s="59" t="e">
        <f t="shared" si="6"/>
        <v>#REF!</v>
      </c>
      <c r="J66" s="59" t="e">
        <f t="shared" si="7"/>
        <v>#REF!</v>
      </c>
      <c r="K66" s="59" t="e">
        <f t="shared" si="8"/>
        <v>#REF!</v>
      </c>
      <c r="L66" s="676"/>
      <c r="M66" s="676"/>
      <c r="N66" s="676"/>
      <c r="O66" s="676"/>
      <c r="P66" s="676"/>
      <c r="Q66" s="676"/>
      <c r="R66" s="676"/>
      <c r="S66" s="676"/>
      <c r="T66" s="676"/>
      <c r="U66" s="676"/>
      <c r="V66" s="676"/>
      <c r="W66" s="676"/>
      <c r="X66" s="676"/>
      <c r="Y66" s="676"/>
      <c r="Z66" s="676"/>
      <c r="AA66" s="676"/>
    </row>
    <row r="67" spans="1:27" ht="15" customHeight="1" x14ac:dyDescent="0.25">
      <c r="A67" s="612">
        <v>21</v>
      </c>
      <c r="B67" s="377" t="s">
        <v>1060</v>
      </c>
      <c r="C67" s="710" t="s">
        <v>790</v>
      </c>
      <c r="D67" s="377" t="s">
        <v>717</v>
      </c>
      <c r="E67" s="668">
        <f>THM!J80</f>
        <v>0.45740000000000003</v>
      </c>
      <c r="F67" s="59">
        <f>'Giá Máy'!G22</f>
        <v>752384</v>
      </c>
      <c r="G67" s="59">
        <f>'Giá Máy'!H22</f>
        <v>752384</v>
      </c>
      <c r="H67" s="59">
        <f>'Giá Máy'!O22</f>
        <v>752384</v>
      </c>
      <c r="I67" s="59">
        <f t="shared" si="6"/>
        <v>344140.44160000002</v>
      </c>
      <c r="J67" s="59">
        <f t="shared" si="7"/>
        <v>0</v>
      </c>
      <c r="K67" s="59">
        <f t="shared" si="8"/>
        <v>0</v>
      </c>
      <c r="L67" s="676"/>
      <c r="M67" s="676"/>
      <c r="N67" s="676"/>
      <c r="O67" s="676"/>
      <c r="P67" s="676"/>
      <c r="Q67" s="676"/>
      <c r="R67" s="676"/>
      <c r="S67" s="676"/>
      <c r="T67" s="676"/>
      <c r="U67" s="676"/>
      <c r="V67" s="676"/>
      <c r="W67" s="676"/>
      <c r="X67" s="676"/>
      <c r="Y67" s="676"/>
      <c r="Z67" s="676"/>
      <c r="AA67" s="676"/>
    </row>
    <row r="68" spans="1:27" ht="15" customHeight="1" x14ac:dyDescent="0.25">
      <c r="A68" s="612">
        <v>22</v>
      </c>
      <c r="B68" s="377" t="s">
        <v>970</v>
      </c>
      <c r="C68" s="710" t="s">
        <v>1218</v>
      </c>
      <c r="D68" s="377" t="s">
        <v>717</v>
      </c>
      <c r="E68" s="668">
        <f>THM!J83</f>
        <v>0.46278960000000002</v>
      </c>
      <c r="F68" s="59">
        <f>'Giá Máy'!G23</f>
        <v>1202488</v>
      </c>
      <c r="G68" s="59">
        <f>'Giá Máy'!H23</f>
        <v>1202488</v>
      </c>
      <c r="H68" s="59">
        <f>'Giá Máy'!O23</f>
        <v>1202488</v>
      </c>
      <c r="I68" s="59">
        <f t="shared" si="6"/>
        <v>556498.94052479998</v>
      </c>
      <c r="J68" s="59">
        <f t="shared" si="7"/>
        <v>0</v>
      </c>
      <c r="K68" s="59">
        <f t="shared" si="8"/>
        <v>0</v>
      </c>
      <c r="L68" s="676"/>
      <c r="M68" s="676"/>
      <c r="N68" s="676"/>
      <c r="O68" s="676"/>
      <c r="P68" s="676"/>
      <c r="Q68" s="676"/>
      <c r="R68" s="676"/>
      <c r="S68" s="676"/>
      <c r="T68" s="676"/>
      <c r="U68" s="676"/>
      <c r="V68" s="676"/>
      <c r="W68" s="676"/>
      <c r="X68" s="676"/>
      <c r="Y68" s="676"/>
      <c r="Z68" s="676"/>
      <c r="AA68" s="676"/>
    </row>
    <row r="69" spans="1:27" ht="15" customHeight="1" x14ac:dyDescent="0.25">
      <c r="A69" s="612">
        <v>23</v>
      </c>
      <c r="B69" s="377" t="s">
        <v>995</v>
      </c>
      <c r="C69" s="710" t="s">
        <v>588</v>
      </c>
      <c r="D69" s="377" t="s">
        <v>717</v>
      </c>
      <c r="E69" s="668">
        <f>THM!J87</f>
        <v>0.52800000000000002</v>
      </c>
      <c r="F69" s="59">
        <f>'Giá Máy'!G24</f>
        <v>366617</v>
      </c>
      <c r="G69" s="59">
        <f>'Giá Máy'!H24</f>
        <v>366617</v>
      </c>
      <c r="H69" s="59">
        <f>'Giá Máy'!O24</f>
        <v>366617</v>
      </c>
      <c r="I69" s="59">
        <f t="shared" si="6"/>
        <v>193573.77600000001</v>
      </c>
      <c r="J69" s="59">
        <f t="shared" si="7"/>
        <v>0</v>
      </c>
      <c r="K69" s="59">
        <f t="shared" si="8"/>
        <v>0</v>
      </c>
      <c r="L69" s="676"/>
      <c r="M69" s="676"/>
      <c r="N69" s="676"/>
      <c r="O69" s="676"/>
      <c r="P69" s="676"/>
      <c r="Q69" s="676"/>
      <c r="R69" s="676"/>
      <c r="S69" s="676"/>
      <c r="T69" s="676"/>
      <c r="U69" s="676"/>
      <c r="V69" s="676"/>
      <c r="W69" s="676"/>
      <c r="X69" s="676"/>
      <c r="Y69" s="676"/>
      <c r="Z69" s="676"/>
      <c r="AA69" s="676"/>
    </row>
    <row r="70" spans="1:27" ht="15" customHeight="1" x14ac:dyDescent="0.25">
      <c r="A70" s="612">
        <v>24</v>
      </c>
      <c r="B70" s="377" t="s">
        <v>798</v>
      </c>
      <c r="C70" s="710" t="s">
        <v>988</v>
      </c>
      <c r="D70" s="377" t="s">
        <v>717</v>
      </c>
      <c r="E70" s="668">
        <f>THM!J89</f>
        <v>1.3598118000000001</v>
      </c>
      <c r="F70" s="59">
        <f>'Giá Máy'!G25</f>
        <v>953819</v>
      </c>
      <c r="G70" s="59">
        <f>'Giá Máy'!H25</f>
        <v>953819</v>
      </c>
      <c r="H70" s="59">
        <f>'Giá Máy'!O25</f>
        <v>953819</v>
      </c>
      <c r="I70" s="59">
        <f t="shared" si="6"/>
        <v>1297014.3312642002</v>
      </c>
      <c r="J70" s="59">
        <f t="shared" si="7"/>
        <v>0</v>
      </c>
      <c r="K70" s="59">
        <f t="shared" si="8"/>
        <v>0</v>
      </c>
      <c r="L70" s="676"/>
      <c r="M70" s="676"/>
      <c r="N70" s="676"/>
      <c r="O70" s="676"/>
      <c r="P70" s="676"/>
      <c r="Q70" s="676"/>
      <c r="R70" s="676"/>
      <c r="S70" s="676"/>
      <c r="T70" s="676"/>
      <c r="U70" s="676"/>
      <c r="V70" s="676"/>
      <c r="W70" s="676"/>
      <c r="X70" s="676"/>
      <c r="Y70" s="676"/>
      <c r="Z70" s="676"/>
      <c r="AA70" s="676"/>
    </row>
    <row r="71" spans="1:27" ht="15" customHeight="1" x14ac:dyDescent="0.25">
      <c r="A71" s="612">
        <v>25</v>
      </c>
      <c r="B71" s="377" t="s">
        <v>1162</v>
      </c>
      <c r="C71" s="710" t="s">
        <v>1166</v>
      </c>
      <c r="D71" s="377" t="s">
        <v>1113</v>
      </c>
      <c r="E71" s="668" t="e">
        <f>THM!J93</f>
        <v>#REF!</v>
      </c>
      <c r="F71" s="59">
        <v>0</v>
      </c>
      <c r="G71" s="59">
        <v>0</v>
      </c>
      <c r="H71" s="59">
        <v>0</v>
      </c>
      <c r="I71" s="59">
        <v>338370.50681859598</v>
      </c>
      <c r="J71" s="59">
        <f t="shared" si="7"/>
        <v>0</v>
      </c>
      <c r="K71" s="59">
        <v>53062.508710676397</v>
      </c>
      <c r="L71" s="676"/>
      <c r="M71" s="676"/>
      <c r="N71" s="676"/>
      <c r="O71" s="676"/>
      <c r="P71" s="676"/>
      <c r="Q71" s="676"/>
      <c r="R71" s="676"/>
      <c r="S71" s="676"/>
      <c r="T71" s="676"/>
      <c r="U71" s="676"/>
      <c r="V71" s="676"/>
      <c r="W71" s="676"/>
      <c r="X71" s="676"/>
      <c r="Y71" s="676"/>
      <c r="Z71" s="676"/>
      <c r="AA71" s="676"/>
    </row>
    <row r="72" spans="1:27" ht="14.1" customHeight="1" x14ac:dyDescent="0.25">
      <c r="A72" s="154"/>
      <c r="B72" s="363"/>
      <c r="C72" s="673"/>
      <c r="D72" s="363"/>
      <c r="E72" s="659"/>
      <c r="F72" s="47"/>
      <c r="G72" s="47"/>
      <c r="H72" s="47"/>
      <c r="I72" s="47"/>
      <c r="J72" s="47"/>
      <c r="K72" s="47"/>
      <c r="L72" s="676"/>
      <c r="M72" s="676"/>
      <c r="N72" s="676"/>
      <c r="O72" s="676"/>
      <c r="P72" s="676"/>
      <c r="Q72" s="676"/>
      <c r="R72" s="676"/>
      <c r="S72" s="676"/>
      <c r="T72" s="676"/>
      <c r="U72" s="676"/>
      <c r="V72" s="676"/>
      <c r="W72" s="676"/>
      <c r="X72" s="676"/>
      <c r="Y72" s="676"/>
      <c r="Z72" s="676"/>
      <c r="AA72" s="676"/>
    </row>
    <row r="73" spans="1:27" ht="14.1" customHeight="1" x14ac:dyDescent="0.25">
      <c r="A73" s="715"/>
      <c r="B73" s="11"/>
      <c r="C73" s="11"/>
      <c r="D73" s="11"/>
      <c r="E73" s="11"/>
      <c r="F73" s="11"/>
      <c r="G73" s="11"/>
      <c r="H73" s="11"/>
      <c r="I73" s="11"/>
      <c r="J73" s="11"/>
      <c r="K73" s="11"/>
      <c r="L73" s="676"/>
      <c r="M73" s="676"/>
      <c r="N73" s="676"/>
      <c r="O73" s="676"/>
      <c r="P73" s="676"/>
      <c r="Q73" s="676"/>
      <c r="R73" s="676"/>
      <c r="S73" s="676"/>
      <c r="T73" s="676"/>
      <c r="U73" s="676"/>
      <c r="V73" s="676"/>
      <c r="W73" s="676"/>
      <c r="X73" s="676"/>
      <c r="Y73" s="676"/>
      <c r="Z73" s="676"/>
      <c r="AA73" s="676"/>
    </row>
    <row r="74" spans="1:27" x14ac:dyDescent="0.25">
      <c r="B74" s="676"/>
      <c r="C74" s="676"/>
      <c r="D74" s="676"/>
      <c r="E74" s="676"/>
      <c r="F74" s="676"/>
      <c r="G74" s="676"/>
      <c r="H74" s="676"/>
      <c r="I74" s="676"/>
      <c r="J74" s="676"/>
      <c r="K74" s="676"/>
      <c r="L74" s="676"/>
      <c r="M74" s="676"/>
      <c r="N74" s="676"/>
      <c r="O74" s="676"/>
      <c r="P74" s="676"/>
      <c r="Q74" s="676"/>
      <c r="R74" s="676"/>
      <c r="S74" s="676"/>
      <c r="T74" s="676"/>
      <c r="U74" s="676"/>
      <c r="V74" s="676"/>
      <c r="W74" s="676"/>
      <c r="X74" s="676"/>
      <c r="Y74" s="676"/>
      <c r="Z74" s="676"/>
      <c r="AA74" s="676"/>
    </row>
    <row r="75" spans="1:27" x14ac:dyDescent="0.25">
      <c r="B75" s="676"/>
      <c r="C75" s="676"/>
      <c r="D75" s="676"/>
      <c r="E75" s="676"/>
      <c r="F75" s="676"/>
      <c r="G75" s="676"/>
      <c r="H75" s="676"/>
      <c r="I75" s="676"/>
      <c r="J75" s="676"/>
      <c r="K75" s="676"/>
      <c r="L75" s="676"/>
      <c r="M75" s="676"/>
      <c r="N75" s="676"/>
      <c r="O75" s="676"/>
      <c r="P75" s="676"/>
      <c r="Q75" s="676"/>
      <c r="R75" s="676"/>
      <c r="S75" s="676"/>
      <c r="T75" s="676"/>
      <c r="U75" s="676"/>
      <c r="V75" s="676"/>
      <c r="W75" s="676"/>
      <c r="X75" s="676"/>
      <c r="Y75" s="676"/>
      <c r="Z75" s="676"/>
      <c r="AA75" s="676"/>
    </row>
  </sheetData>
  <mergeCells count="13">
    <mergeCell ref="F4:F5"/>
    <mergeCell ref="H4:H5"/>
    <mergeCell ref="G4:G5"/>
    <mergeCell ref="A1:K1"/>
    <mergeCell ref="A2:K2"/>
    <mergeCell ref="A3:K3"/>
    <mergeCell ref="J4:K4"/>
    <mergeCell ref="A4:A5"/>
    <mergeCell ref="I4:I5"/>
    <mergeCell ref="B4:B5"/>
    <mergeCell ref="C4:C5"/>
    <mergeCell ref="D4:D5"/>
    <mergeCell ref="E4:E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7" workbookViewId="0">
      <selection activeCell="A9" sqref="A9:E9"/>
    </sheetView>
  </sheetViews>
  <sheetFormatPr defaultColWidth="9.140625" defaultRowHeight="15" x14ac:dyDescent="0.25"/>
  <cols>
    <col min="1" max="1" width="4.28515625" style="835" customWidth="1"/>
    <col min="2" max="2" width="39.5703125" style="835" customWidth="1"/>
    <col min="3" max="3" width="9.140625" style="835"/>
    <col min="4" max="4" width="22.140625" style="835" customWidth="1"/>
    <col min="5" max="5" width="18.85546875" style="835" customWidth="1"/>
    <col min="6" max="6" width="9.140625" style="835" customWidth="1"/>
    <col min="7" max="7" width="15.42578125" style="835" customWidth="1"/>
    <col min="8" max="8" width="14.28515625" style="835" bestFit="1" customWidth="1"/>
    <col min="9" max="9" width="12.140625" style="835" bestFit="1" customWidth="1"/>
    <col min="10" max="11" width="9.140625" style="835" customWidth="1"/>
    <col min="12" max="12" width="14.28515625" style="895" customWidth="1"/>
    <col min="13" max="15" width="9.140625" style="835" customWidth="1"/>
    <col min="16" max="16" width="11" style="835" customWidth="1"/>
    <col min="17" max="17" width="12.140625" style="835" customWidth="1"/>
    <col min="18" max="22" width="9.140625" style="835" customWidth="1"/>
    <col min="23" max="16384" width="9.140625" style="835"/>
  </cols>
  <sheetData>
    <row r="1" spans="1:9" ht="15.75" x14ac:dyDescent="0.25">
      <c r="A1" s="953" t="s">
        <v>1277</v>
      </c>
      <c r="B1" s="953"/>
      <c r="C1" s="953"/>
      <c r="D1" s="953"/>
      <c r="E1" s="953"/>
      <c r="F1" s="104"/>
      <c r="G1" s="104"/>
    </row>
    <row r="2" spans="1:9" ht="15.75" x14ac:dyDescent="0.25">
      <c r="A2" s="953" t="s">
        <v>564</v>
      </c>
      <c r="B2" s="953"/>
      <c r="C2" s="953"/>
      <c r="D2" s="953"/>
      <c r="E2" s="953"/>
      <c r="F2" s="104"/>
      <c r="G2" s="104"/>
    </row>
    <row r="3" spans="1:9" ht="15.75" x14ac:dyDescent="0.25">
      <c r="A3" s="954" t="s">
        <v>1278</v>
      </c>
      <c r="B3" s="953"/>
      <c r="C3" s="953"/>
      <c r="D3" s="953"/>
      <c r="E3" s="953"/>
      <c r="F3" s="104"/>
      <c r="G3" s="104"/>
    </row>
    <row r="4" spans="1:9" ht="6" customHeight="1" x14ac:dyDescent="0.25">
      <c r="A4" s="941"/>
      <c r="B4" s="941"/>
      <c r="C4" s="941"/>
      <c r="D4" s="941"/>
      <c r="E4" s="836"/>
      <c r="F4" s="104"/>
      <c r="G4" s="104"/>
    </row>
    <row r="5" spans="1:9" ht="21.75" customHeight="1" x14ac:dyDescent="0.25">
      <c r="A5" s="955" t="s">
        <v>1439</v>
      </c>
      <c r="B5" s="955"/>
      <c r="C5" s="955"/>
      <c r="D5" s="955"/>
      <c r="E5" s="955"/>
      <c r="F5" s="104"/>
      <c r="G5" s="104"/>
    </row>
    <row r="6" spans="1:9" ht="6" customHeight="1" x14ac:dyDescent="0.25">
      <c r="A6" s="941"/>
      <c r="B6" s="941"/>
      <c r="C6" s="941"/>
      <c r="D6" s="941"/>
      <c r="E6" s="836"/>
      <c r="F6" s="104"/>
      <c r="G6" s="104"/>
    </row>
    <row r="7" spans="1:9" ht="18" customHeight="1" x14ac:dyDescent="0.25">
      <c r="A7" s="956" t="s">
        <v>1403</v>
      </c>
      <c r="B7" s="956"/>
      <c r="C7" s="956"/>
      <c r="D7" s="956"/>
      <c r="E7" s="956"/>
      <c r="F7" s="837"/>
      <c r="G7" s="837"/>
    </row>
    <row r="8" spans="1:9" ht="18" customHeight="1" x14ac:dyDescent="0.25">
      <c r="A8" s="956" t="s">
        <v>1397</v>
      </c>
      <c r="B8" s="956"/>
      <c r="C8" s="956"/>
      <c r="D8" s="956"/>
      <c r="E8" s="956"/>
      <c r="F8" s="837"/>
      <c r="G8" s="837"/>
    </row>
    <row r="9" spans="1:9" ht="16.5" x14ac:dyDescent="0.25">
      <c r="A9" s="950" t="s">
        <v>1441</v>
      </c>
      <c r="B9" s="950"/>
      <c r="C9" s="950"/>
      <c r="D9" s="950"/>
      <c r="E9" s="950"/>
      <c r="F9" s="837"/>
      <c r="G9" s="837"/>
    </row>
    <row r="10" spans="1:9" ht="16.5" x14ac:dyDescent="0.25">
      <c r="A10" s="941"/>
      <c r="B10" s="941"/>
      <c r="C10" s="941"/>
      <c r="D10" s="941"/>
      <c r="E10" s="940" t="s">
        <v>1440</v>
      </c>
      <c r="F10" s="104"/>
      <c r="G10" s="104"/>
    </row>
    <row r="11" spans="1:9" ht="31.5" x14ac:dyDescent="0.25">
      <c r="A11" s="825" t="s">
        <v>881</v>
      </c>
      <c r="B11" s="825" t="s">
        <v>1279</v>
      </c>
      <c r="C11" s="844" t="s">
        <v>1280</v>
      </c>
      <c r="D11" s="825" t="s">
        <v>1091</v>
      </c>
      <c r="E11" s="845" t="s">
        <v>1281</v>
      </c>
      <c r="F11" s="104"/>
      <c r="G11" s="104"/>
    </row>
    <row r="12" spans="1:9" ht="15.75" x14ac:dyDescent="0.25">
      <c r="A12" s="825" t="s">
        <v>1282</v>
      </c>
      <c r="B12" s="839" t="s">
        <v>1283</v>
      </c>
      <c r="C12" s="825" t="s">
        <v>1284</v>
      </c>
      <c r="D12" s="825" t="s">
        <v>1285</v>
      </c>
      <c r="E12" s="846">
        <v>926698000</v>
      </c>
      <c r="F12" s="104"/>
      <c r="G12" s="104"/>
    </row>
    <row r="13" spans="1:9" ht="15.75" x14ac:dyDescent="0.25">
      <c r="A13" s="820" t="s">
        <v>98</v>
      </c>
      <c r="B13" s="840" t="str">
        <f>'Chi phi xay lap'!B7</f>
        <v>*\1- Nền, mặt đường :</v>
      </c>
      <c r="C13" s="820" t="s">
        <v>1103</v>
      </c>
      <c r="D13" s="820" t="s">
        <v>1286</v>
      </c>
      <c r="E13" s="847">
        <v>906272000</v>
      </c>
      <c r="F13" s="104"/>
      <c r="G13" s="104"/>
    </row>
    <row r="14" spans="1:9" ht="15.75" x14ac:dyDescent="0.25">
      <c r="A14" s="823" t="s">
        <v>98</v>
      </c>
      <c r="B14" s="841" t="str">
        <f>'Chi phi xay lap'!B21</f>
        <v>*\2- Cống vuông V400mm :</v>
      </c>
      <c r="C14" s="823" t="s">
        <v>1287</v>
      </c>
      <c r="D14" s="823" t="s">
        <v>1288</v>
      </c>
      <c r="E14" s="847">
        <v>20426000</v>
      </c>
      <c r="F14" s="104"/>
      <c r="G14" s="226"/>
      <c r="H14" s="226"/>
      <c r="I14" s="226"/>
    </row>
    <row r="15" spans="1:9" ht="15.75" x14ac:dyDescent="0.25">
      <c r="A15" s="824" t="s">
        <v>1289</v>
      </c>
      <c r="B15" s="842" t="s">
        <v>1290</v>
      </c>
      <c r="C15" s="824" t="s">
        <v>1291</v>
      </c>
      <c r="D15" s="824" t="s">
        <v>1405</v>
      </c>
      <c r="E15" s="846">
        <v>25948000</v>
      </c>
      <c r="F15" s="104"/>
      <c r="G15" s="226"/>
      <c r="H15" s="226"/>
      <c r="I15" s="226"/>
    </row>
    <row r="16" spans="1:9" ht="15.75" x14ac:dyDescent="0.25">
      <c r="A16" s="825" t="s">
        <v>1292</v>
      </c>
      <c r="B16" s="839" t="s">
        <v>1293</v>
      </c>
      <c r="C16" s="825" t="s">
        <v>1294</v>
      </c>
      <c r="D16" s="825" t="s">
        <v>1410</v>
      </c>
      <c r="E16" s="846">
        <v>96783000</v>
      </c>
      <c r="F16" s="104"/>
      <c r="G16" s="226"/>
      <c r="H16" s="226"/>
      <c r="I16" s="226"/>
    </row>
    <row r="17" spans="1:12" ht="15.75" x14ac:dyDescent="0.25">
      <c r="A17" s="820" t="s">
        <v>98</v>
      </c>
      <c r="B17" s="840" t="s">
        <v>1295</v>
      </c>
      <c r="C17" s="820" t="s">
        <v>1296</v>
      </c>
      <c r="D17" s="820" t="s">
        <v>1406</v>
      </c>
      <c r="E17" s="847">
        <v>12368000</v>
      </c>
      <c r="F17" s="104"/>
      <c r="G17" s="226"/>
      <c r="H17" s="226"/>
      <c r="I17" s="226"/>
    </row>
    <row r="18" spans="1:12" ht="15.75" x14ac:dyDescent="0.25">
      <c r="A18" s="828" t="s">
        <v>98</v>
      </c>
      <c r="B18" s="843" t="s">
        <v>1297</v>
      </c>
      <c r="C18" s="828" t="s">
        <v>1298</v>
      </c>
      <c r="D18" s="828" t="s">
        <v>1299</v>
      </c>
      <c r="E18" s="847">
        <v>371000</v>
      </c>
      <c r="F18" s="104"/>
      <c r="G18" s="226"/>
      <c r="H18" s="226"/>
      <c r="I18" s="226"/>
    </row>
    <row r="19" spans="1:12" ht="15.75" x14ac:dyDescent="0.25">
      <c r="A19" s="828" t="s">
        <v>98</v>
      </c>
      <c r="B19" s="843" t="s">
        <v>1300</v>
      </c>
      <c r="C19" s="828" t="s">
        <v>1301</v>
      </c>
      <c r="D19" s="828" t="s">
        <v>1302</v>
      </c>
      <c r="E19" s="847">
        <v>50042000</v>
      </c>
      <c r="F19" s="104"/>
      <c r="G19" s="836"/>
      <c r="H19" s="836"/>
      <c r="I19" s="836"/>
      <c r="L19" s="896"/>
    </row>
    <row r="20" spans="1:12" ht="15.75" x14ac:dyDescent="0.25">
      <c r="A20" s="828" t="s">
        <v>98</v>
      </c>
      <c r="B20" s="843" t="s">
        <v>1303</v>
      </c>
      <c r="C20" s="828" t="s">
        <v>1304</v>
      </c>
      <c r="D20" s="828" t="s">
        <v>1380</v>
      </c>
      <c r="E20" s="847">
        <v>2160000</v>
      </c>
      <c r="F20" s="104"/>
      <c r="G20" s="104"/>
      <c r="L20" s="896"/>
    </row>
    <row r="21" spans="1:12" ht="15.75" x14ac:dyDescent="0.25">
      <c r="A21" s="828" t="s">
        <v>98</v>
      </c>
      <c r="B21" s="843" t="s">
        <v>1305</v>
      </c>
      <c r="C21" s="828" t="s">
        <v>1306</v>
      </c>
      <c r="D21" s="828" t="s">
        <v>1380</v>
      </c>
      <c r="E21" s="847">
        <v>2160000</v>
      </c>
      <c r="F21" s="104"/>
      <c r="G21" s="104"/>
      <c r="L21" s="896"/>
    </row>
    <row r="22" spans="1:12" ht="15.75" x14ac:dyDescent="0.25">
      <c r="A22" s="823" t="s">
        <v>98</v>
      </c>
      <c r="B22" s="841" t="s">
        <v>1307</v>
      </c>
      <c r="C22" s="823" t="s">
        <v>1409</v>
      </c>
      <c r="D22" s="823" t="s">
        <v>1308</v>
      </c>
      <c r="E22" s="848">
        <v>29682000</v>
      </c>
      <c r="F22" s="104"/>
      <c r="G22" s="104"/>
      <c r="L22" s="896"/>
    </row>
    <row r="23" spans="1:12" ht="15.75" x14ac:dyDescent="0.25">
      <c r="A23" s="825" t="s">
        <v>1309</v>
      </c>
      <c r="B23" s="839" t="s">
        <v>1310</v>
      </c>
      <c r="C23" s="825" t="s">
        <v>1311</v>
      </c>
      <c r="D23" s="829" t="s">
        <v>1394</v>
      </c>
      <c r="E23" s="846">
        <v>8849000</v>
      </c>
      <c r="F23" s="104"/>
      <c r="G23" s="226"/>
      <c r="L23" s="896"/>
    </row>
    <row r="24" spans="1:12" ht="15.75" x14ac:dyDescent="0.25">
      <c r="A24" s="828" t="s">
        <v>98</v>
      </c>
      <c r="B24" s="843" t="s">
        <v>1314</v>
      </c>
      <c r="C24" s="828" t="s">
        <v>1312</v>
      </c>
      <c r="D24" s="828" t="s">
        <v>1380</v>
      </c>
      <c r="E24" s="847">
        <v>500000</v>
      </c>
      <c r="F24" s="104"/>
      <c r="G24" s="226"/>
      <c r="L24" s="896"/>
    </row>
    <row r="25" spans="1:12" ht="15.75" x14ac:dyDescent="0.25">
      <c r="A25" s="828" t="s">
        <v>98</v>
      </c>
      <c r="B25" s="843" t="s">
        <v>1316</v>
      </c>
      <c r="C25" s="828" t="s">
        <v>1313</v>
      </c>
      <c r="D25" s="828" t="s">
        <v>1407</v>
      </c>
      <c r="E25" s="847">
        <v>2317000</v>
      </c>
      <c r="F25" s="104"/>
      <c r="G25" s="104"/>
      <c r="L25" s="896"/>
    </row>
    <row r="26" spans="1:12" ht="15.75" x14ac:dyDescent="0.25">
      <c r="A26" s="823" t="s">
        <v>98</v>
      </c>
      <c r="B26" s="841" t="s">
        <v>1317</v>
      </c>
      <c r="C26" s="823" t="s">
        <v>1315</v>
      </c>
      <c r="D26" s="850" t="s">
        <v>1408</v>
      </c>
      <c r="E26" s="848">
        <v>6032000</v>
      </c>
      <c r="F26" s="104"/>
      <c r="G26" s="104"/>
      <c r="L26" s="896"/>
    </row>
    <row r="27" spans="1:12" ht="15.75" x14ac:dyDescent="0.25">
      <c r="A27" s="825" t="s">
        <v>1318</v>
      </c>
      <c r="B27" s="839" t="s">
        <v>1319</v>
      </c>
      <c r="C27" s="825" t="s">
        <v>1320</v>
      </c>
      <c r="D27" s="829" t="s">
        <v>1321</v>
      </c>
      <c r="E27" s="846">
        <v>71722000</v>
      </c>
      <c r="F27" s="104"/>
      <c r="G27" s="226"/>
    </row>
    <row r="28" spans="1:12" ht="15.75" x14ac:dyDescent="0.25">
      <c r="A28" s="824" t="s">
        <v>1322</v>
      </c>
      <c r="B28" s="842" t="s">
        <v>1323</v>
      </c>
      <c r="C28" s="824" t="s">
        <v>286</v>
      </c>
      <c r="D28" s="829" t="s">
        <v>1324</v>
      </c>
      <c r="E28" s="849">
        <v>1130000000</v>
      </c>
      <c r="F28" s="104"/>
      <c r="G28" s="943"/>
    </row>
    <row r="29" spans="1:12" x14ac:dyDescent="0.25">
      <c r="A29" s="951"/>
      <c r="B29" s="951"/>
      <c r="C29" s="851"/>
      <c r="D29" s="851"/>
      <c r="E29" s="837"/>
    </row>
    <row r="30" spans="1:12" ht="15.75" x14ac:dyDescent="0.25">
      <c r="A30" s="949"/>
      <c r="B30" s="949"/>
      <c r="C30" s="952"/>
      <c r="D30" s="952"/>
      <c r="E30" s="952"/>
      <c r="G30" s="854"/>
    </row>
    <row r="31" spans="1:12" ht="15.75" x14ac:dyDescent="0.25">
      <c r="A31" s="949"/>
      <c r="B31" s="949"/>
      <c r="C31" s="949"/>
      <c r="D31" s="949"/>
      <c r="E31" s="949"/>
      <c r="G31" s="854"/>
    </row>
    <row r="32" spans="1:12" ht="15.75" x14ac:dyDescent="0.25">
      <c r="A32" s="853"/>
      <c r="B32" s="853"/>
      <c r="C32" s="949"/>
      <c r="D32" s="949"/>
      <c r="E32" s="949"/>
    </row>
    <row r="33" spans="1:7" ht="15.75" x14ac:dyDescent="0.25">
      <c r="A33" s="853"/>
      <c r="B33" s="853"/>
      <c r="C33" s="942"/>
      <c r="D33" s="942"/>
      <c r="E33" s="942"/>
    </row>
    <row r="34" spans="1:7" ht="15.75" x14ac:dyDescent="0.25">
      <c r="A34" s="853"/>
      <c r="B34" s="853"/>
      <c r="C34" s="942"/>
      <c r="D34" s="942"/>
      <c r="E34" s="942"/>
    </row>
    <row r="35" spans="1:7" ht="15.75" x14ac:dyDescent="0.25">
      <c r="A35" s="853"/>
      <c r="B35" s="853"/>
      <c r="C35" s="942"/>
      <c r="D35" s="942"/>
      <c r="E35" s="942"/>
    </row>
    <row r="36" spans="1:7" ht="15.75" x14ac:dyDescent="0.25">
      <c r="A36" s="853"/>
      <c r="B36" s="853"/>
      <c r="C36" s="942"/>
      <c r="D36" s="942"/>
      <c r="E36" s="942"/>
      <c r="G36" s="837"/>
    </row>
    <row r="37" spans="1:7" ht="17.45" customHeight="1" x14ac:dyDescent="0.25">
      <c r="A37" s="949"/>
      <c r="B37" s="949"/>
      <c r="C37" s="949"/>
      <c r="D37" s="949"/>
      <c r="E37" s="949"/>
    </row>
    <row r="38" spans="1:7" ht="15.75" x14ac:dyDescent="0.25">
      <c r="A38" s="104"/>
      <c r="B38" s="104"/>
      <c r="C38" s="104"/>
      <c r="D38" s="949"/>
      <c r="E38" s="949"/>
    </row>
  </sheetData>
  <mergeCells count="16">
    <mergeCell ref="A8:E8"/>
    <mergeCell ref="A1:E1"/>
    <mergeCell ref="A2:E2"/>
    <mergeCell ref="A3:E3"/>
    <mergeCell ref="A5:E5"/>
    <mergeCell ref="A7:E7"/>
    <mergeCell ref="C32:E32"/>
    <mergeCell ref="A37:B37"/>
    <mergeCell ref="C37:E37"/>
    <mergeCell ref="D38:E38"/>
    <mergeCell ref="A9:E9"/>
    <mergeCell ref="A29:B29"/>
    <mergeCell ref="A30:B30"/>
    <mergeCell ref="C30:E30"/>
    <mergeCell ref="A31:B31"/>
    <mergeCell ref="C31:E3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A76"/>
  <sheetViews>
    <sheetView showZeros="0" workbookViewId="0">
      <selection activeCell="K9" sqref="K9"/>
    </sheetView>
  </sheetViews>
  <sheetFormatPr defaultRowHeight="15" x14ac:dyDescent="0.25"/>
  <cols>
    <col min="1" max="1" width="4.85546875" customWidth="1"/>
    <col min="2" max="2" width="8.85546875" customWidth="1"/>
    <col min="3" max="3" width="29.140625" customWidth="1"/>
    <col min="4" max="4" width="7.140625" customWidth="1"/>
    <col min="5" max="5" width="10.85546875" customWidth="1"/>
    <col min="6" max="7" width="10.7109375" customWidth="1"/>
    <col min="8" max="8" width="12.7109375" customWidth="1"/>
    <col min="9" max="9" width="14.7109375" customWidth="1"/>
    <col min="10" max="11" width="8.85546875" hidden="1" customWidth="1"/>
  </cols>
  <sheetData>
    <row r="1" spans="1:27" ht="17.649999999999999" customHeight="1" x14ac:dyDescent="0.25">
      <c r="A1" s="1095" t="s">
        <v>365</v>
      </c>
      <c r="B1" s="1096"/>
      <c r="C1" s="1096"/>
      <c r="D1" s="1096"/>
      <c r="E1" s="1096"/>
      <c r="F1" s="1096"/>
      <c r="G1" s="1096"/>
      <c r="H1" s="1096"/>
      <c r="I1" s="1096"/>
      <c r="J1" s="1096"/>
      <c r="K1" s="1096"/>
    </row>
    <row r="2" spans="1:27" ht="15" customHeight="1" x14ac:dyDescent="0.25">
      <c r="A2" s="1097" t="s">
        <v>1235</v>
      </c>
      <c r="B2" s="1098"/>
      <c r="C2" s="1098"/>
      <c r="D2" s="1098"/>
      <c r="E2" s="1098"/>
      <c r="F2" s="1098"/>
      <c r="G2" s="1098"/>
      <c r="H2" s="1098"/>
      <c r="I2" s="1098"/>
      <c r="J2" s="1098"/>
      <c r="K2" s="1098"/>
    </row>
    <row r="3" spans="1:27" ht="14.1" customHeight="1" x14ac:dyDescent="0.25">
      <c r="A3" s="1097"/>
      <c r="B3" s="1098"/>
      <c r="C3" s="1098"/>
      <c r="D3" s="1098"/>
      <c r="E3" s="1098"/>
      <c r="F3" s="1098"/>
      <c r="G3" s="1098"/>
      <c r="H3" s="1098"/>
      <c r="I3" s="1098"/>
      <c r="J3" s="1098"/>
      <c r="K3" s="1098"/>
    </row>
    <row r="4" spans="1:27" ht="15.4" customHeight="1" x14ac:dyDescent="0.25">
      <c r="A4" s="1099" t="s">
        <v>386</v>
      </c>
      <c r="B4" s="1094" t="s">
        <v>752</v>
      </c>
      <c r="C4" s="1094" t="s">
        <v>97</v>
      </c>
      <c r="D4" s="1094" t="s">
        <v>1136</v>
      </c>
      <c r="E4" s="1094" t="s">
        <v>449</v>
      </c>
      <c r="F4" s="1094" t="s">
        <v>915</v>
      </c>
      <c r="G4" s="1094" t="s">
        <v>57</v>
      </c>
      <c r="H4" s="1094" t="s">
        <v>848</v>
      </c>
      <c r="I4" s="1100" t="s">
        <v>223</v>
      </c>
      <c r="J4" s="1094" t="s">
        <v>604</v>
      </c>
      <c r="K4" s="1094"/>
      <c r="L4" s="676"/>
      <c r="M4" s="676"/>
      <c r="N4" s="676"/>
      <c r="O4" s="676"/>
      <c r="P4" s="676"/>
      <c r="Q4" s="676"/>
      <c r="R4" s="676"/>
      <c r="S4" s="676"/>
      <c r="T4" s="676"/>
      <c r="U4" s="676"/>
      <c r="V4" s="676"/>
      <c r="W4" s="676"/>
      <c r="X4" s="676"/>
      <c r="Y4" s="676"/>
      <c r="Z4" s="676"/>
      <c r="AA4" s="676"/>
    </row>
    <row r="5" spans="1:27" ht="32.450000000000003" customHeight="1" x14ac:dyDescent="0.25">
      <c r="A5" s="1099"/>
      <c r="B5" s="1094"/>
      <c r="C5" s="1094"/>
      <c r="D5" s="1094"/>
      <c r="E5" s="1094"/>
      <c r="F5" s="1094"/>
      <c r="G5" s="1094"/>
      <c r="H5" s="1094"/>
      <c r="I5" s="1101"/>
      <c r="J5" s="582" t="s">
        <v>999</v>
      </c>
      <c r="K5" s="582" t="s">
        <v>120</v>
      </c>
      <c r="L5" s="676"/>
      <c r="M5" s="676"/>
      <c r="N5" s="676"/>
      <c r="O5" s="676"/>
      <c r="P5" s="676"/>
      <c r="Q5" s="676"/>
      <c r="R5" s="676"/>
      <c r="S5" s="676"/>
      <c r="T5" s="676"/>
      <c r="U5" s="676"/>
      <c r="V5" s="676"/>
      <c r="W5" s="676"/>
      <c r="X5" s="676"/>
      <c r="Y5" s="676"/>
      <c r="Z5" s="676"/>
      <c r="AA5" s="676"/>
    </row>
    <row r="6" spans="1:27" ht="15" customHeight="1" x14ac:dyDescent="0.25">
      <c r="A6" s="560" t="s">
        <v>256</v>
      </c>
      <c r="B6" s="14"/>
      <c r="C6" s="14" t="s">
        <v>346</v>
      </c>
      <c r="D6" s="14"/>
      <c r="E6" s="252"/>
      <c r="F6" s="399"/>
      <c r="G6" s="399"/>
      <c r="H6" s="399"/>
      <c r="I6" s="399" t="e">
        <f t="shared" ref="I6:K6" si="0">ROUND(SUM(I7:I37),0)</f>
        <v>#REF!</v>
      </c>
      <c r="J6" s="399" t="e">
        <f t="shared" si="0"/>
        <v>#REF!</v>
      </c>
      <c r="K6" s="399" t="e">
        <f t="shared" si="0"/>
        <v>#REF!</v>
      </c>
      <c r="L6" s="676"/>
      <c r="M6" s="676"/>
      <c r="N6" s="676"/>
      <c r="O6" s="676"/>
      <c r="P6" s="676"/>
      <c r="Q6" s="676"/>
      <c r="R6" s="676"/>
      <c r="S6" s="676"/>
      <c r="T6" s="676"/>
      <c r="U6" s="676"/>
      <c r="V6" s="676"/>
      <c r="W6" s="676"/>
      <c r="X6" s="676"/>
      <c r="Y6" s="676"/>
      <c r="Z6" s="676"/>
      <c r="AA6" s="676"/>
    </row>
    <row r="7" spans="1:27" ht="15" customHeight="1" x14ac:dyDescent="0.25">
      <c r="A7" s="202">
        <v>1</v>
      </c>
      <c r="B7" s="395" t="s">
        <v>1256</v>
      </c>
      <c r="C7" s="710" t="s">
        <v>688</v>
      </c>
      <c r="D7" s="395" t="s">
        <v>165</v>
      </c>
      <c r="E7" s="204">
        <f>THVL!J6</f>
        <v>111.981342</v>
      </c>
      <c r="F7" s="74">
        <f>'Giá VL'!G6</f>
        <v>3780000</v>
      </c>
      <c r="G7" s="74">
        <f>'Giá VL'!J6</f>
        <v>3780000</v>
      </c>
      <c r="H7" s="74">
        <f>'Giá VL'!V6</f>
        <v>3822120</v>
      </c>
      <c r="I7" s="74">
        <f t="shared" ref="I7:I36" si="1">E7*H7</f>
        <v>428006126.88503999</v>
      </c>
      <c r="J7" s="59">
        <f t="shared" ref="J7:J37" si="2">H7-F7</f>
        <v>42120</v>
      </c>
      <c r="K7" s="59">
        <f t="shared" ref="K7:K37" si="3">H7*E7-F7*E7</f>
        <v>4716654.1250399947</v>
      </c>
      <c r="L7" s="676"/>
      <c r="M7" s="676"/>
      <c r="N7" s="676"/>
      <c r="O7" s="676"/>
      <c r="P7" s="676"/>
      <c r="Q7" s="676"/>
      <c r="R7" s="676"/>
      <c r="S7" s="676"/>
      <c r="T7" s="676"/>
      <c r="U7" s="676"/>
      <c r="V7" s="676"/>
      <c r="W7" s="676"/>
      <c r="X7" s="676"/>
      <c r="Y7" s="676"/>
      <c r="Z7" s="676"/>
      <c r="AA7" s="676"/>
    </row>
    <row r="8" spans="1:27" ht="15" customHeight="1" x14ac:dyDescent="0.25">
      <c r="A8" s="202">
        <v>2</v>
      </c>
      <c r="B8" s="395" t="s">
        <v>603</v>
      </c>
      <c r="C8" s="710" t="s">
        <v>215</v>
      </c>
      <c r="D8" s="395" t="s">
        <v>950</v>
      </c>
      <c r="E8" s="204" t="e">
        <f>THVL!J10</f>
        <v>#REF!</v>
      </c>
      <c r="F8" s="74">
        <f>'Giá VL'!G7</f>
        <v>272727</v>
      </c>
      <c r="G8" s="74">
        <f>'Giá VL'!J7</f>
        <v>272727</v>
      </c>
      <c r="H8" s="74">
        <f>'Giá VL'!V7</f>
        <v>306207.189442</v>
      </c>
      <c r="I8" s="74" t="e">
        <f t="shared" si="1"/>
        <v>#REF!</v>
      </c>
      <c r="J8" s="59">
        <f t="shared" si="2"/>
        <v>33480.189442000003</v>
      </c>
      <c r="K8" s="59" t="e">
        <f t="shared" si="3"/>
        <v>#REF!</v>
      </c>
      <c r="L8" s="676"/>
      <c r="M8" s="676"/>
      <c r="N8" s="676"/>
      <c r="O8" s="676"/>
      <c r="P8" s="676"/>
      <c r="Q8" s="676"/>
      <c r="R8" s="676"/>
      <c r="S8" s="676"/>
      <c r="T8" s="676"/>
      <c r="U8" s="676"/>
      <c r="V8" s="676"/>
      <c r="W8" s="676"/>
      <c r="X8" s="676"/>
      <c r="Y8" s="676"/>
      <c r="Z8" s="676"/>
      <c r="AA8" s="676"/>
    </row>
    <row r="9" spans="1:27" ht="15" customHeight="1" x14ac:dyDescent="0.25">
      <c r="A9" s="202">
        <v>3</v>
      </c>
      <c r="B9" s="395" t="s">
        <v>99</v>
      </c>
      <c r="C9" s="710" t="s">
        <v>1199</v>
      </c>
      <c r="D9" s="395" t="s">
        <v>950</v>
      </c>
      <c r="E9" s="204">
        <v>46.1648</v>
      </c>
      <c r="F9" s="74">
        <f>'Giá VL'!G8</f>
        <v>109091</v>
      </c>
      <c r="G9" s="74">
        <f>'Giá VL'!J8</f>
        <v>109091</v>
      </c>
      <c r="H9" s="74">
        <f>'Giá VL'!V8</f>
        <v>142571.189442</v>
      </c>
      <c r="I9" s="74">
        <f t="shared" si="1"/>
        <v>6581770.4463520413</v>
      </c>
      <c r="J9" s="59">
        <f t="shared" si="2"/>
        <v>33480.189442000003</v>
      </c>
      <c r="K9" s="59">
        <f t="shared" si="3"/>
        <v>1545606.2495520413</v>
      </c>
      <c r="L9" s="676"/>
      <c r="M9" s="676"/>
      <c r="N9" s="676"/>
      <c r="O9" s="676"/>
      <c r="P9" s="676"/>
      <c r="Q9" s="676"/>
      <c r="R9" s="676"/>
      <c r="S9" s="676"/>
      <c r="T9" s="676"/>
      <c r="U9" s="676"/>
      <c r="V9" s="676"/>
      <c r="W9" s="676"/>
      <c r="X9" s="676"/>
      <c r="Y9" s="676"/>
      <c r="Z9" s="676"/>
      <c r="AA9" s="676"/>
    </row>
    <row r="10" spans="1:27" ht="15" customHeight="1" x14ac:dyDescent="0.25">
      <c r="A10" s="202">
        <v>4</v>
      </c>
      <c r="B10" s="395" t="s">
        <v>523</v>
      </c>
      <c r="C10" s="710" t="s">
        <v>721</v>
      </c>
      <c r="D10" s="395" t="s">
        <v>950</v>
      </c>
      <c r="E10" s="204" t="e">
        <f>THVL!J15</f>
        <v>#REF!</v>
      </c>
      <c r="F10" s="74">
        <f>'Giá VL'!G9</f>
        <v>318182</v>
      </c>
      <c r="G10" s="74">
        <f>'Giá VL'!J9</f>
        <v>318182</v>
      </c>
      <c r="H10" s="74">
        <f>'Giá VL'!V9</f>
        <v>345317.29174999997</v>
      </c>
      <c r="I10" s="74" t="e">
        <f t="shared" si="1"/>
        <v>#REF!</v>
      </c>
      <c r="J10" s="59">
        <f t="shared" si="2"/>
        <v>27135.291749999975</v>
      </c>
      <c r="K10" s="59" t="e">
        <f t="shared" si="3"/>
        <v>#REF!</v>
      </c>
      <c r="L10" s="676"/>
      <c r="M10" s="676"/>
      <c r="N10" s="676"/>
      <c r="O10" s="676"/>
      <c r="P10" s="676"/>
      <c r="Q10" s="676"/>
      <c r="R10" s="676"/>
      <c r="S10" s="676"/>
      <c r="T10" s="676"/>
      <c r="U10" s="676"/>
      <c r="V10" s="676"/>
      <c r="W10" s="676"/>
      <c r="X10" s="676"/>
      <c r="Y10" s="676"/>
      <c r="Z10" s="676"/>
      <c r="AA10" s="676"/>
    </row>
    <row r="11" spans="1:27" ht="15" customHeight="1" x14ac:dyDescent="0.25">
      <c r="A11" s="202">
        <v>5</v>
      </c>
      <c r="B11" s="395" t="s">
        <v>984</v>
      </c>
      <c r="C11" s="710" t="s">
        <v>401</v>
      </c>
      <c r="D11" s="395" t="s">
        <v>838</v>
      </c>
      <c r="E11" s="204" t="e">
        <f>THVL!J22</f>
        <v>#REF!</v>
      </c>
      <c r="F11" s="74">
        <f>'Giá VL'!G10</f>
        <v>19600</v>
      </c>
      <c r="G11" s="74">
        <f>'Giá VL'!J10</f>
        <v>17000</v>
      </c>
      <c r="H11" s="74">
        <f>'Giá VL'!V10</f>
        <v>17000</v>
      </c>
      <c r="I11" s="74" t="e">
        <f t="shared" si="1"/>
        <v>#REF!</v>
      </c>
      <c r="J11" s="59">
        <f t="shared" si="2"/>
        <v>-2600</v>
      </c>
      <c r="K11" s="59" t="e">
        <f t="shared" si="3"/>
        <v>#REF!</v>
      </c>
      <c r="L11" s="676"/>
      <c r="M11" s="676"/>
      <c r="N11" s="676"/>
      <c r="O11" s="676"/>
      <c r="P11" s="676"/>
      <c r="Q11" s="676"/>
      <c r="R11" s="676"/>
      <c r="S11" s="676"/>
      <c r="T11" s="676"/>
      <c r="U11" s="676"/>
      <c r="V11" s="676"/>
      <c r="W11" s="676"/>
      <c r="X11" s="676"/>
      <c r="Y11" s="676"/>
      <c r="Z11" s="676"/>
      <c r="AA11" s="676"/>
    </row>
    <row r="12" spans="1:27" ht="15" customHeight="1" x14ac:dyDescent="0.25">
      <c r="A12" s="202">
        <v>6</v>
      </c>
      <c r="B12" s="395" t="s">
        <v>123</v>
      </c>
      <c r="C12" s="710" t="s">
        <v>495</v>
      </c>
      <c r="D12" s="395" t="s">
        <v>950</v>
      </c>
      <c r="E12" s="204">
        <v>2.38238525</v>
      </c>
      <c r="F12" s="74">
        <f>'Giá VL'!G11</f>
        <v>290909</v>
      </c>
      <c r="G12" s="74">
        <f>'Giá VL'!J11</f>
        <v>290909</v>
      </c>
      <c r="H12" s="74">
        <f>'Giá VL'!V11</f>
        <v>325404.14456500002</v>
      </c>
      <c r="I12" s="74">
        <f t="shared" si="1"/>
        <v>775238.03430052369</v>
      </c>
      <c r="J12" s="59">
        <f t="shared" si="2"/>
        <v>34495.144565000024</v>
      </c>
      <c r="K12" s="59">
        <f t="shared" si="3"/>
        <v>82180.723608273664</v>
      </c>
      <c r="L12" s="676"/>
      <c r="M12" s="676"/>
      <c r="N12" s="676"/>
      <c r="O12" s="676"/>
      <c r="P12" s="676"/>
      <c r="Q12" s="676"/>
      <c r="R12" s="676"/>
      <c r="S12" s="676"/>
      <c r="T12" s="676"/>
      <c r="U12" s="676"/>
      <c r="V12" s="676"/>
      <c r="W12" s="676"/>
      <c r="X12" s="676"/>
      <c r="Y12" s="676"/>
      <c r="Z12" s="676"/>
      <c r="AA12" s="676"/>
    </row>
    <row r="13" spans="1:27" ht="15" customHeight="1" x14ac:dyDescent="0.25">
      <c r="A13" s="202">
        <v>7</v>
      </c>
      <c r="B13" s="395" t="s">
        <v>485</v>
      </c>
      <c r="C13" s="710" t="s">
        <v>1011</v>
      </c>
      <c r="D13" s="395" t="s">
        <v>950</v>
      </c>
      <c r="E13" s="204">
        <v>110.41411725</v>
      </c>
      <c r="F13" s="74">
        <f>'Giá VL'!G12</f>
        <v>281818</v>
      </c>
      <c r="G13" s="74">
        <f>'Giá VL'!J12</f>
        <v>281818</v>
      </c>
      <c r="H13" s="74">
        <f>'Giá VL'!V12</f>
        <v>316313.14456500002</v>
      </c>
      <c r="I13" s="74">
        <f t="shared" si="1"/>
        <v>34925436.631716117</v>
      </c>
      <c r="J13" s="59">
        <f t="shared" si="2"/>
        <v>34495.144565000024</v>
      </c>
      <c r="K13" s="59">
        <f t="shared" si="3"/>
        <v>3808750.9365556166</v>
      </c>
      <c r="L13" s="676"/>
      <c r="M13" s="676"/>
      <c r="N13" s="676"/>
      <c r="O13" s="676"/>
      <c r="P13" s="676"/>
      <c r="Q13" s="676"/>
      <c r="R13" s="676"/>
      <c r="S13" s="676"/>
      <c r="T13" s="676"/>
      <c r="U13" s="676"/>
      <c r="V13" s="676"/>
      <c r="W13" s="676"/>
      <c r="X13" s="676"/>
      <c r="Y13" s="676"/>
      <c r="Z13" s="676"/>
      <c r="AA13" s="676"/>
    </row>
    <row r="14" spans="1:27" ht="15" customHeight="1" x14ac:dyDescent="0.25">
      <c r="A14" s="202">
        <v>8</v>
      </c>
      <c r="B14" s="395" t="s">
        <v>552</v>
      </c>
      <c r="C14" s="710" t="s">
        <v>1044</v>
      </c>
      <c r="D14" s="395" t="s">
        <v>950</v>
      </c>
      <c r="E14" s="204">
        <f>THVL!J33</f>
        <v>0.91199999999999992</v>
      </c>
      <c r="F14" s="74">
        <f>'Giá VL'!G13</f>
        <v>281818</v>
      </c>
      <c r="G14" s="74">
        <f>'Giá VL'!J13</f>
        <v>281818</v>
      </c>
      <c r="H14" s="74">
        <f>'Giá VL'!V13</f>
        <v>316313.14456500002</v>
      </c>
      <c r="I14" s="74">
        <f t="shared" si="1"/>
        <v>288477.58784327999</v>
      </c>
      <c r="J14" s="59">
        <f t="shared" si="2"/>
        <v>34495.144565000024</v>
      </c>
      <c r="K14" s="59">
        <f t="shared" si="3"/>
        <v>31459.57184328002</v>
      </c>
      <c r="L14" s="676"/>
      <c r="M14" s="676"/>
      <c r="N14" s="676"/>
      <c r="O14" s="676"/>
      <c r="P14" s="676"/>
      <c r="Q14" s="676"/>
      <c r="R14" s="676"/>
      <c r="S14" s="676"/>
      <c r="T14" s="676"/>
      <c r="U14" s="676"/>
      <c r="V14" s="676"/>
      <c r="W14" s="676"/>
      <c r="X14" s="676"/>
      <c r="Y14" s="676"/>
      <c r="Z14" s="676"/>
      <c r="AA14" s="676"/>
    </row>
    <row r="15" spans="1:27" ht="15" customHeight="1" x14ac:dyDescent="0.25">
      <c r="A15" s="202">
        <v>9</v>
      </c>
      <c r="B15" s="395" t="s">
        <v>901</v>
      </c>
      <c r="C15" s="710" t="s">
        <v>454</v>
      </c>
      <c r="D15" s="395" t="s">
        <v>838</v>
      </c>
      <c r="E15" s="204">
        <f>THVL!J35</f>
        <v>4.42537</v>
      </c>
      <c r="F15" s="74">
        <f>'Giá VL'!G14</f>
        <v>16300</v>
      </c>
      <c r="G15" s="74">
        <f>'Giá VL'!J14</f>
        <v>16300</v>
      </c>
      <c r="H15" s="74">
        <f>'Giá VL'!V14</f>
        <v>16300</v>
      </c>
      <c r="I15" s="74">
        <f t="shared" si="1"/>
        <v>72133.531000000003</v>
      </c>
      <c r="J15" s="59">
        <f t="shared" si="2"/>
        <v>0</v>
      </c>
      <c r="K15" s="59">
        <f t="shared" si="3"/>
        <v>0</v>
      </c>
      <c r="L15" s="676"/>
      <c r="M15" s="676"/>
      <c r="N15" s="676"/>
      <c r="O15" s="676"/>
      <c r="P15" s="676"/>
      <c r="Q15" s="676"/>
      <c r="R15" s="676"/>
      <c r="S15" s="676"/>
      <c r="T15" s="676"/>
      <c r="U15" s="676"/>
      <c r="V15" s="676"/>
      <c r="W15" s="676"/>
      <c r="X15" s="676"/>
      <c r="Y15" s="676"/>
      <c r="Z15" s="676"/>
      <c r="AA15" s="676"/>
    </row>
    <row r="16" spans="1:27" ht="15" customHeight="1" x14ac:dyDescent="0.25">
      <c r="A16" s="202">
        <v>10</v>
      </c>
      <c r="B16" s="395" t="s">
        <v>894</v>
      </c>
      <c r="C16" s="710" t="s">
        <v>1147</v>
      </c>
      <c r="D16" s="395" t="s">
        <v>838</v>
      </c>
      <c r="E16" s="204">
        <f>THVL!J38</f>
        <v>2.3759999999999999</v>
      </c>
      <c r="F16" s="74">
        <f>'Giá VL'!G15</f>
        <v>27273</v>
      </c>
      <c r="G16" s="74">
        <f>'Giá VL'!J15</f>
        <v>27273</v>
      </c>
      <c r="H16" s="74">
        <f>'Giá VL'!V15</f>
        <v>27273</v>
      </c>
      <c r="I16" s="74">
        <f t="shared" si="1"/>
        <v>64800.647999999994</v>
      </c>
      <c r="J16" s="59">
        <f t="shared" si="2"/>
        <v>0</v>
      </c>
      <c r="K16" s="59">
        <f t="shared" si="3"/>
        <v>0</v>
      </c>
      <c r="L16" s="676"/>
      <c r="M16" s="676"/>
      <c r="N16" s="676"/>
      <c r="O16" s="676"/>
      <c r="P16" s="676"/>
      <c r="Q16" s="676"/>
      <c r="R16" s="676"/>
      <c r="S16" s="676"/>
      <c r="T16" s="676"/>
      <c r="U16" s="676"/>
      <c r="V16" s="676"/>
      <c r="W16" s="676"/>
      <c r="X16" s="676"/>
      <c r="Y16" s="676"/>
      <c r="Z16" s="676"/>
      <c r="AA16" s="676"/>
    </row>
    <row r="17" spans="1:27" ht="15" customHeight="1" x14ac:dyDescent="0.25">
      <c r="A17" s="202">
        <v>11</v>
      </c>
      <c r="B17" s="395" t="s">
        <v>580</v>
      </c>
      <c r="C17" s="710" t="s">
        <v>1223</v>
      </c>
      <c r="D17" s="395" t="s">
        <v>594</v>
      </c>
      <c r="E17" s="204">
        <f>THVL!J40</f>
        <v>843.05100000000004</v>
      </c>
      <c r="F17" s="74">
        <f>'Giá VL'!G16</f>
        <v>5000</v>
      </c>
      <c r="G17" s="74">
        <f>'Giá VL'!J16</f>
        <v>5000</v>
      </c>
      <c r="H17" s="74">
        <f>'Giá VL'!V16</f>
        <v>5000</v>
      </c>
      <c r="I17" s="74">
        <f t="shared" si="1"/>
        <v>4215255</v>
      </c>
      <c r="J17" s="59">
        <f t="shared" si="2"/>
        <v>0</v>
      </c>
      <c r="K17" s="59">
        <f t="shared" si="3"/>
        <v>0</v>
      </c>
      <c r="L17" s="676"/>
      <c r="M17" s="676"/>
      <c r="N17" s="676"/>
      <c r="O17" s="676"/>
      <c r="P17" s="676"/>
      <c r="Q17" s="676"/>
      <c r="R17" s="676"/>
      <c r="S17" s="676"/>
      <c r="T17" s="676"/>
      <c r="U17" s="676"/>
      <c r="V17" s="676"/>
      <c r="W17" s="676"/>
      <c r="X17" s="676"/>
      <c r="Y17" s="676"/>
      <c r="Z17" s="676"/>
      <c r="AA17" s="676"/>
    </row>
    <row r="18" spans="1:27" ht="15" customHeight="1" x14ac:dyDescent="0.25">
      <c r="A18" s="202">
        <v>12</v>
      </c>
      <c r="B18" s="395" t="s">
        <v>103</v>
      </c>
      <c r="C18" s="710" t="s">
        <v>422</v>
      </c>
      <c r="D18" s="395" t="s">
        <v>950</v>
      </c>
      <c r="E18" s="204">
        <v>1.77366</v>
      </c>
      <c r="F18" s="74">
        <f>'Giá VL'!G17</f>
        <v>4090909</v>
      </c>
      <c r="G18" s="74">
        <f>'Giá VL'!J17</f>
        <v>4090909</v>
      </c>
      <c r="H18" s="74">
        <f>'Giá VL'!V17</f>
        <v>4123452.631914</v>
      </c>
      <c r="I18" s="74">
        <f t="shared" si="1"/>
        <v>7313602.995120585</v>
      </c>
      <c r="J18" s="59">
        <f t="shared" si="2"/>
        <v>32543.631914000027</v>
      </c>
      <c r="K18" s="59">
        <f t="shared" si="3"/>
        <v>57721.338180584833</v>
      </c>
      <c r="L18" s="676"/>
      <c r="M18" s="676"/>
      <c r="N18" s="676"/>
      <c r="O18" s="676"/>
      <c r="P18" s="676"/>
      <c r="Q18" s="676"/>
      <c r="R18" s="676"/>
      <c r="S18" s="676"/>
      <c r="T18" s="676"/>
      <c r="U18" s="676"/>
      <c r="V18" s="676"/>
      <c r="W18" s="676"/>
      <c r="X18" s="676"/>
      <c r="Y18" s="676"/>
      <c r="Z18" s="676"/>
      <c r="AA18" s="676"/>
    </row>
    <row r="19" spans="1:27" ht="15" customHeight="1" x14ac:dyDescent="0.25">
      <c r="A19" s="202">
        <v>13</v>
      </c>
      <c r="B19" s="395" t="s">
        <v>855</v>
      </c>
      <c r="C19" s="710" t="s">
        <v>268</v>
      </c>
      <c r="D19" s="395" t="s">
        <v>630</v>
      </c>
      <c r="E19" s="204">
        <f>THVL!J46</f>
        <v>6.25E-2</v>
      </c>
      <c r="F19" s="74">
        <f>'Giá VL'!G18</f>
        <v>1322000</v>
      </c>
      <c r="G19" s="74">
        <f>'Giá VL'!J18</f>
        <v>1322000</v>
      </c>
      <c r="H19" s="74">
        <f>'Giá VL'!V18</f>
        <v>1322000</v>
      </c>
      <c r="I19" s="74">
        <f t="shared" si="1"/>
        <v>82625</v>
      </c>
      <c r="J19" s="59">
        <f t="shared" si="2"/>
        <v>0</v>
      </c>
      <c r="K19" s="59">
        <f t="shared" si="3"/>
        <v>0</v>
      </c>
      <c r="L19" s="676"/>
      <c r="M19" s="676"/>
      <c r="N19" s="676"/>
      <c r="O19" s="676"/>
      <c r="P19" s="676"/>
      <c r="Q19" s="676"/>
      <c r="R19" s="676"/>
      <c r="S19" s="676"/>
      <c r="T19" s="676"/>
      <c r="U19" s="676"/>
      <c r="V19" s="676"/>
      <c r="W19" s="676"/>
      <c r="X19" s="676"/>
      <c r="Y19" s="676"/>
      <c r="Z19" s="676"/>
      <c r="AA19" s="676"/>
    </row>
    <row r="20" spans="1:27" ht="15" customHeight="1" x14ac:dyDescent="0.25">
      <c r="A20" s="202">
        <v>14</v>
      </c>
      <c r="B20" s="395" t="s">
        <v>1077</v>
      </c>
      <c r="C20" s="710" t="s">
        <v>1274</v>
      </c>
      <c r="D20" s="395" t="s">
        <v>630</v>
      </c>
      <c r="E20" s="204">
        <f>THVL!J48</f>
        <v>0.216</v>
      </c>
      <c r="F20" s="74">
        <f>'Giá VL'!G19</f>
        <v>1322000</v>
      </c>
      <c r="G20" s="74">
        <f>'Giá VL'!J19</f>
        <v>1322000</v>
      </c>
      <c r="H20" s="74">
        <f>'Giá VL'!V19</f>
        <v>1322000</v>
      </c>
      <c r="I20" s="74">
        <f t="shared" si="1"/>
        <v>285552</v>
      </c>
      <c r="J20" s="59">
        <f t="shared" si="2"/>
        <v>0</v>
      </c>
      <c r="K20" s="59">
        <f t="shared" si="3"/>
        <v>0</v>
      </c>
      <c r="L20" s="676"/>
      <c r="M20" s="676"/>
      <c r="N20" s="676"/>
      <c r="O20" s="676"/>
      <c r="P20" s="676"/>
      <c r="Q20" s="676"/>
      <c r="R20" s="676"/>
      <c r="S20" s="676"/>
      <c r="T20" s="676"/>
      <c r="U20" s="676"/>
      <c r="V20" s="676"/>
      <c r="W20" s="676"/>
      <c r="X20" s="676"/>
      <c r="Y20" s="676"/>
      <c r="Z20" s="676"/>
      <c r="AA20" s="676"/>
    </row>
    <row r="21" spans="1:27" ht="15" customHeight="1" x14ac:dyDescent="0.25">
      <c r="A21" s="202">
        <v>15</v>
      </c>
      <c r="B21" s="395" t="s">
        <v>461</v>
      </c>
      <c r="C21" s="710" t="s">
        <v>784</v>
      </c>
      <c r="D21" s="395" t="s">
        <v>838</v>
      </c>
      <c r="E21" s="204">
        <f>THVL!J51</f>
        <v>223.15500000000003</v>
      </c>
      <c r="F21" s="74">
        <f>'Giá VL'!G20</f>
        <v>16818</v>
      </c>
      <c r="G21" s="74">
        <f>'Giá VL'!J20</f>
        <v>16818</v>
      </c>
      <c r="H21" s="74">
        <f>'Giá VL'!V20</f>
        <v>16818</v>
      </c>
      <c r="I21" s="74">
        <f t="shared" si="1"/>
        <v>3753020.7900000005</v>
      </c>
      <c r="J21" s="59">
        <f t="shared" si="2"/>
        <v>0</v>
      </c>
      <c r="K21" s="59">
        <f t="shared" si="3"/>
        <v>0</v>
      </c>
      <c r="L21" s="676"/>
      <c r="M21" s="676"/>
      <c r="N21" s="676"/>
      <c r="O21" s="676"/>
      <c r="P21" s="676"/>
      <c r="Q21" s="676"/>
      <c r="R21" s="676"/>
      <c r="S21" s="676"/>
      <c r="T21" s="676"/>
      <c r="U21" s="676"/>
      <c r="V21" s="676"/>
      <c r="W21" s="676"/>
      <c r="X21" s="676"/>
      <c r="Y21" s="676"/>
      <c r="Z21" s="676"/>
      <c r="AA21" s="676"/>
    </row>
    <row r="22" spans="1:27" ht="15" customHeight="1" x14ac:dyDescent="0.25">
      <c r="A22" s="202">
        <v>16</v>
      </c>
      <c r="B22" s="395" t="s">
        <v>35</v>
      </c>
      <c r="C22" s="710" t="s">
        <v>946</v>
      </c>
      <c r="D22" s="395" t="s">
        <v>594</v>
      </c>
      <c r="E22" s="204">
        <f>THVL!J53</f>
        <v>0.41800000000000004</v>
      </c>
      <c r="F22" s="74">
        <f>'Giá VL'!G21</f>
        <v>410000</v>
      </c>
      <c r="G22" s="74">
        <f>'Giá VL'!J21</f>
        <v>410000</v>
      </c>
      <c r="H22" s="74">
        <f>'Giá VL'!V21</f>
        <v>410000</v>
      </c>
      <c r="I22" s="74">
        <f t="shared" si="1"/>
        <v>171380.00000000003</v>
      </c>
      <c r="J22" s="59">
        <f t="shared" si="2"/>
        <v>0</v>
      </c>
      <c r="K22" s="59">
        <f t="shared" si="3"/>
        <v>0</v>
      </c>
      <c r="L22" s="676"/>
      <c r="M22" s="676"/>
      <c r="N22" s="676"/>
      <c r="O22" s="676"/>
      <c r="P22" s="676"/>
      <c r="Q22" s="676"/>
      <c r="R22" s="676"/>
      <c r="S22" s="676"/>
      <c r="T22" s="676"/>
      <c r="U22" s="676"/>
      <c r="V22" s="676"/>
      <c r="W22" s="676"/>
      <c r="X22" s="676"/>
      <c r="Y22" s="676"/>
      <c r="Z22" s="676"/>
      <c r="AA22" s="676"/>
    </row>
    <row r="23" spans="1:27" ht="15" customHeight="1" x14ac:dyDescent="0.25">
      <c r="A23" s="202">
        <v>17</v>
      </c>
      <c r="B23" s="395" t="s">
        <v>104</v>
      </c>
      <c r="C23" s="710" t="s">
        <v>283</v>
      </c>
      <c r="D23" s="395" t="s">
        <v>838</v>
      </c>
      <c r="E23" s="204">
        <v>443.41500000000002</v>
      </c>
      <c r="F23" s="74">
        <f>'Giá VL'!G22</f>
        <v>16818</v>
      </c>
      <c r="G23" s="74">
        <f>'Giá VL'!J22</f>
        <v>16818</v>
      </c>
      <c r="H23" s="74">
        <f>'Giá VL'!V22</f>
        <v>16818</v>
      </c>
      <c r="I23" s="74">
        <f t="shared" si="1"/>
        <v>7457353.4700000007</v>
      </c>
      <c r="J23" s="59">
        <f t="shared" si="2"/>
        <v>0</v>
      </c>
      <c r="K23" s="59">
        <f t="shared" si="3"/>
        <v>0</v>
      </c>
      <c r="L23" s="676"/>
      <c r="M23" s="676"/>
      <c r="N23" s="676"/>
      <c r="O23" s="676"/>
      <c r="P23" s="676"/>
      <c r="Q23" s="676"/>
      <c r="R23" s="676"/>
      <c r="S23" s="676"/>
      <c r="T23" s="676"/>
      <c r="U23" s="676"/>
      <c r="V23" s="676"/>
      <c r="W23" s="676"/>
      <c r="X23" s="676"/>
      <c r="Y23" s="676"/>
      <c r="Z23" s="676"/>
      <c r="AA23" s="676"/>
    </row>
    <row r="24" spans="1:27" ht="15" customHeight="1" x14ac:dyDescent="0.25">
      <c r="A24" s="202">
        <v>18</v>
      </c>
      <c r="B24" s="395" t="s">
        <v>316</v>
      </c>
      <c r="C24" s="710" t="s">
        <v>1216</v>
      </c>
      <c r="D24" s="395" t="s">
        <v>838</v>
      </c>
      <c r="E24" s="204">
        <v>791.14112499999999</v>
      </c>
      <c r="F24" s="74" t="e">
        <f>'Giá VL'!#REF!</f>
        <v>#REF!</v>
      </c>
      <c r="G24" s="74" t="e">
        <f>'Giá VL'!#REF!</f>
        <v>#REF!</v>
      </c>
      <c r="H24" s="74" t="e">
        <f>'Giá VL'!#REF!</f>
        <v>#REF!</v>
      </c>
      <c r="I24" s="74" t="e">
        <f t="shared" si="1"/>
        <v>#REF!</v>
      </c>
      <c r="J24" s="59" t="e">
        <f t="shared" si="2"/>
        <v>#REF!</v>
      </c>
      <c r="K24" s="59" t="e">
        <f t="shared" si="3"/>
        <v>#REF!</v>
      </c>
      <c r="L24" s="676"/>
      <c r="M24" s="676"/>
      <c r="N24" s="676"/>
      <c r="O24" s="676"/>
      <c r="P24" s="676"/>
      <c r="Q24" s="676"/>
      <c r="R24" s="676"/>
      <c r="S24" s="676"/>
      <c r="T24" s="676"/>
      <c r="U24" s="676"/>
      <c r="V24" s="676"/>
      <c r="W24" s="676"/>
      <c r="X24" s="676"/>
      <c r="Y24" s="676"/>
      <c r="Z24" s="676"/>
      <c r="AA24" s="676"/>
    </row>
    <row r="25" spans="1:27" ht="15" customHeight="1" x14ac:dyDescent="0.25">
      <c r="A25" s="202">
        <v>19</v>
      </c>
      <c r="B25" s="395" t="s">
        <v>956</v>
      </c>
      <c r="C25" s="710" t="s">
        <v>304</v>
      </c>
      <c r="D25" s="395" t="s">
        <v>447</v>
      </c>
      <c r="E25" s="204">
        <f>THVL!J61</f>
        <v>5756.5219999999999</v>
      </c>
      <c r="F25" s="74">
        <f>'Giá VL'!G23</f>
        <v>10</v>
      </c>
      <c r="G25" s="74">
        <f>'Giá VL'!J23</f>
        <v>10</v>
      </c>
      <c r="H25" s="74">
        <f>'Giá VL'!V23</f>
        <v>10</v>
      </c>
      <c r="I25" s="74">
        <f t="shared" si="1"/>
        <v>57565.22</v>
      </c>
      <c r="J25" s="59">
        <f t="shared" si="2"/>
        <v>0</v>
      </c>
      <c r="K25" s="59">
        <f t="shared" si="3"/>
        <v>0</v>
      </c>
      <c r="L25" s="676"/>
      <c r="M25" s="676"/>
      <c r="N25" s="676"/>
      <c r="O25" s="676"/>
      <c r="P25" s="676"/>
      <c r="Q25" s="676"/>
      <c r="R25" s="676"/>
      <c r="S25" s="676"/>
      <c r="T25" s="676"/>
      <c r="U25" s="676"/>
      <c r="V25" s="676"/>
      <c r="W25" s="676"/>
      <c r="X25" s="676"/>
      <c r="Y25" s="676"/>
      <c r="Z25" s="676"/>
      <c r="AA25" s="676"/>
    </row>
    <row r="26" spans="1:27" ht="15" customHeight="1" x14ac:dyDescent="0.25">
      <c r="A26" s="202">
        <v>20</v>
      </c>
      <c r="B26" s="395" t="s">
        <v>615</v>
      </c>
      <c r="C26" s="710" t="s">
        <v>304</v>
      </c>
      <c r="D26" s="395" t="s">
        <v>950</v>
      </c>
      <c r="E26" s="204">
        <f>THVL!J71</f>
        <v>0.14399999999999999</v>
      </c>
      <c r="F26" s="74">
        <f>'Giá VL'!G24</f>
        <v>10182</v>
      </c>
      <c r="G26" s="74">
        <f>'Giá VL'!J24</f>
        <v>10182</v>
      </c>
      <c r="H26" s="74">
        <f>'Giá VL'!V24</f>
        <v>10182</v>
      </c>
      <c r="I26" s="74">
        <f t="shared" si="1"/>
        <v>1466.2079999999999</v>
      </c>
      <c r="J26" s="59">
        <f t="shared" si="2"/>
        <v>0</v>
      </c>
      <c r="K26" s="59">
        <f t="shared" si="3"/>
        <v>0</v>
      </c>
      <c r="L26" s="676"/>
      <c r="M26" s="676"/>
      <c r="N26" s="676"/>
      <c r="O26" s="676"/>
      <c r="P26" s="676"/>
      <c r="Q26" s="676"/>
      <c r="R26" s="676"/>
      <c r="S26" s="676"/>
      <c r="T26" s="676"/>
      <c r="U26" s="676"/>
      <c r="V26" s="676"/>
      <c r="W26" s="676"/>
      <c r="X26" s="676"/>
      <c r="Y26" s="676"/>
      <c r="Z26" s="676"/>
      <c r="AA26" s="676"/>
    </row>
    <row r="27" spans="1:27" ht="15" customHeight="1" x14ac:dyDescent="0.25">
      <c r="A27" s="202">
        <v>21</v>
      </c>
      <c r="B27" s="395" t="s">
        <v>919</v>
      </c>
      <c r="C27" s="710" t="s">
        <v>336</v>
      </c>
      <c r="D27" s="395" t="s">
        <v>838</v>
      </c>
      <c r="E27" s="204">
        <f>THVL!J74</f>
        <v>3.6139860000000006</v>
      </c>
      <c r="F27" s="74">
        <f>'Giá VL'!G25</f>
        <v>18182</v>
      </c>
      <c r="G27" s="74">
        <f>'Giá VL'!J25</f>
        <v>18182</v>
      </c>
      <c r="H27" s="74">
        <f>'Giá VL'!V25</f>
        <v>18182</v>
      </c>
      <c r="I27" s="74">
        <f t="shared" si="1"/>
        <v>65709.49345200001</v>
      </c>
      <c r="J27" s="59">
        <f t="shared" si="2"/>
        <v>0</v>
      </c>
      <c r="K27" s="59">
        <f t="shared" si="3"/>
        <v>0</v>
      </c>
      <c r="L27" s="676"/>
      <c r="M27" s="676"/>
      <c r="N27" s="676"/>
      <c r="O27" s="676"/>
      <c r="P27" s="676"/>
      <c r="Q27" s="676"/>
      <c r="R27" s="676"/>
      <c r="S27" s="676"/>
      <c r="T27" s="676"/>
      <c r="U27" s="676"/>
      <c r="V27" s="676"/>
      <c r="W27" s="676"/>
      <c r="X27" s="676"/>
      <c r="Y27" s="676"/>
      <c r="Z27" s="676"/>
      <c r="AA27" s="676"/>
    </row>
    <row r="28" spans="1:27" ht="15" customHeight="1" x14ac:dyDescent="0.25">
      <c r="A28" s="202">
        <v>22</v>
      </c>
      <c r="B28" s="395" t="s">
        <v>1210</v>
      </c>
      <c r="C28" s="710" t="s">
        <v>269</v>
      </c>
      <c r="D28" s="395" t="s">
        <v>838</v>
      </c>
      <c r="E28" s="204">
        <f>THVL!J81</f>
        <v>103.884</v>
      </c>
      <c r="F28" s="74">
        <f>'Giá VL'!G26</f>
        <v>28000</v>
      </c>
      <c r="G28" s="74">
        <f>'Giá VL'!J26</f>
        <v>28000</v>
      </c>
      <c r="H28" s="74">
        <f>'Giá VL'!V26</f>
        <v>28000</v>
      </c>
      <c r="I28" s="74">
        <f t="shared" si="1"/>
        <v>2908752</v>
      </c>
      <c r="J28" s="59">
        <f t="shared" si="2"/>
        <v>0</v>
      </c>
      <c r="K28" s="59">
        <f t="shared" si="3"/>
        <v>0</v>
      </c>
      <c r="L28" s="676"/>
      <c r="M28" s="676"/>
      <c r="N28" s="676"/>
      <c r="O28" s="676"/>
      <c r="P28" s="676"/>
      <c r="Q28" s="676"/>
      <c r="R28" s="676"/>
      <c r="S28" s="676"/>
      <c r="T28" s="676"/>
      <c r="U28" s="676"/>
      <c r="V28" s="676"/>
      <c r="W28" s="676"/>
      <c r="X28" s="676"/>
      <c r="Y28" s="676"/>
      <c r="Z28" s="676"/>
      <c r="AA28" s="676"/>
    </row>
    <row r="29" spans="1:27" ht="15" customHeight="1" x14ac:dyDescent="0.25">
      <c r="A29" s="202">
        <v>23</v>
      </c>
      <c r="B29" s="395" t="s">
        <v>340</v>
      </c>
      <c r="C29" s="710" t="s">
        <v>619</v>
      </c>
      <c r="D29" s="395" t="s">
        <v>838</v>
      </c>
      <c r="E29" s="204">
        <f>THVL!J83</f>
        <v>1.65</v>
      </c>
      <c r="F29" s="74">
        <f>'Giá VL'!G27</f>
        <v>89500</v>
      </c>
      <c r="G29" s="74">
        <f>'Giá VL'!J27</f>
        <v>89500</v>
      </c>
      <c r="H29" s="74">
        <f>'Giá VL'!V27</f>
        <v>89500</v>
      </c>
      <c r="I29" s="74">
        <f t="shared" si="1"/>
        <v>147675</v>
      </c>
      <c r="J29" s="59">
        <f t="shared" si="2"/>
        <v>0</v>
      </c>
      <c r="K29" s="59">
        <f t="shared" si="3"/>
        <v>0</v>
      </c>
      <c r="L29" s="676"/>
      <c r="M29" s="676"/>
      <c r="N29" s="676"/>
      <c r="O29" s="676"/>
      <c r="P29" s="676"/>
      <c r="Q29" s="676"/>
      <c r="R29" s="676"/>
      <c r="S29" s="676"/>
      <c r="T29" s="676"/>
      <c r="U29" s="676"/>
      <c r="V29" s="676"/>
      <c r="W29" s="676"/>
      <c r="X29" s="676"/>
      <c r="Y29" s="676"/>
      <c r="Z29" s="676"/>
      <c r="AA29" s="676"/>
    </row>
    <row r="30" spans="1:27" ht="15" customHeight="1" x14ac:dyDescent="0.25">
      <c r="A30" s="202">
        <v>24</v>
      </c>
      <c r="B30" s="395" t="s">
        <v>849</v>
      </c>
      <c r="C30" s="710" t="s">
        <v>158</v>
      </c>
      <c r="D30" s="395" t="s">
        <v>838</v>
      </c>
      <c r="E30" s="204">
        <f>THVL!J85</f>
        <v>0.24640000000000004</v>
      </c>
      <c r="F30" s="74">
        <f>'Giá VL'!G28</f>
        <v>130090.9</v>
      </c>
      <c r="G30" s="74">
        <f>'Giá VL'!J28</f>
        <v>130090.9</v>
      </c>
      <c r="H30" s="74">
        <f>'Giá VL'!V28</f>
        <v>130090.9</v>
      </c>
      <c r="I30" s="74">
        <f t="shared" si="1"/>
        <v>32054.397760000003</v>
      </c>
      <c r="J30" s="59">
        <f t="shared" si="2"/>
        <v>0</v>
      </c>
      <c r="K30" s="59">
        <f t="shared" si="3"/>
        <v>0</v>
      </c>
      <c r="L30" s="676"/>
      <c r="M30" s="676"/>
      <c r="N30" s="676"/>
      <c r="O30" s="676"/>
      <c r="P30" s="676"/>
      <c r="Q30" s="676"/>
      <c r="R30" s="676"/>
      <c r="S30" s="676"/>
      <c r="T30" s="676"/>
      <c r="U30" s="676"/>
      <c r="V30" s="676"/>
      <c r="W30" s="676"/>
      <c r="X30" s="676"/>
      <c r="Y30" s="676"/>
      <c r="Z30" s="676"/>
      <c r="AA30" s="676"/>
    </row>
    <row r="31" spans="1:27" ht="15" customHeight="1" x14ac:dyDescent="0.25">
      <c r="A31" s="202">
        <v>25</v>
      </c>
      <c r="B31" s="395" t="s">
        <v>1141</v>
      </c>
      <c r="C31" s="710" t="s">
        <v>685</v>
      </c>
      <c r="D31" s="395" t="s">
        <v>838</v>
      </c>
      <c r="E31" s="204">
        <v>26.035132000000001</v>
      </c>
      <c r="F31" s="74">
        <f>'Giá VL'!G29</f>
        <v>19600</v>
      </c>
      <c r="G31" s="74">
        <f>'Giá VL'!J29</f>
        <v>19600</v>
      </c>
      <c r="H31" s="74">
        <f>'Giá VL'!V29</f>
        <v>19657.495796390001</v>
      </c>
      <c r="I31" s="74">
        <f t="shared" si="1"/>
        <v>511785.49784845882</v>
      </c>
      <c r="J31" s="59">
        <f t="shared" si="2"/>
        <v>57.495796390001487</v>
      </c>
      <c r="K31" s="59">
        <f t="shared" si="3"/>
        <v>1496.9106484588119</v>
      </c>
      <c r="L31" s="676"/>
      <c r="M31" s="676"/>
      <c r="N31" s="676"/>
      <c r="O31" s="676"/>
      <c r="P31" s="676"/>
      <c r="Q31" s="676"/>
      <c r="R31" s="676"/>
      <c r="S31" s="676"/>
      <c r="T31" s="676"/>
      <c r="U31" s="676"/>
      <c r="V31" s="676"/>
      <c r="W31" s="676"/>
      <c r="X31" s="676"/>
      <c r="Y31" s="676"/>
      <c r="Z31" s="676"/>
      <c r="AA31" s="676"/>
    </row>
    <row r="32" spans="1:27" ht="15" customHeight="1" x14ac:dyDescent="0.25">
      <c r="A32" s="202">
        <v>26</v>
      </c>
      <c r="B32" s="395" t="s">
        <v>649</v>
      </c>
      <c r="C32" s="710" t="s">
        <v>705</v>
      </c>
      <c r="D32" s="395" t="s">
        <v>838</v>
      </c>
      <c r="E32" s="204">
        <v>32.410350000000001</v>
      </c>
      <c r="F32" s="74">
        <f>'Giá VL'!G30</f>
        <v>19600</v>
      </c>
      <c r="G32" s="74">
        <f>'Giá VL'!J30</f>
        <v>19600</v>
      </c>
      <c r="H32" s="74">
        <f>'Giá VL'!V30</f>
        <v>19657.495796390001</v>
      </c>
      <c r="I32" s="74">
        <f t="shared" si="1"/>
        <v>637106.31888452871</v>
      </c>
      <c r="J32" s="59">
        <f t="shared" si="2"/>
        <v>57.495796390001487</v>
      </c>
      <c r="K32" s="59">
        <f t="shared" si="3"/>
        <v>1863.4588845287217</v>
      </c>
      <c r="L32" s="676"/>
      <c r="M32" s="676"/>
      <c r="N32" s="676"/>
      <c r="O32" s="676"/>
      <c r="P32" s="676"/>
      <c r="Q32" s="676"/>
      <c r="R32" s="676"/>
      <c r="S32" s="676"/>
      <c r="T32" s="676"/>
      <c r="U32" s="676"/>
      <c r="V32" s="676"/>
      <c r="W32" s="676"/>
      <c r="X32" s="676"/>
      <c r="Y32" s="676"/>
      <c r="Z32" s="676"/>
      <c r="AA32" s="676"/>
    </row>
    <row r="33" spans="1:27" ht="15" customHeight="1" x14ac:dyDescent="0.25">
      <c r="A33" s="202">
        <v>27</v>
      </c>
      <c r="B33" s="395" t="s">
        <v>713</v>
      </c>
      <c r="C33" s="710" t="s">
        <v>13</v>
      </c>
      <c r="D33" s="395" t="s">
        <v>838</v>
      </c>
      <c r="E33" s="204">
        <v>27.935952</v>
      </c>
      <c r="F33" s="74">
        <f>'Giá VL'!G31</f>
        <v>19600</v>
      </c>
      <c r="G33" s="74">
        <f>'Giá VL'!J31</f>
        <v>19600</v>
      </c>
      <c r="H33" s="74">
        <f>'Giá VL'!V31</f>
        <v>19657.495796390001</v>
      </c>
      <c r="I33" s="74">
        <f t="shared" si="1"/>
        <v>549150.85900815285</v>
      </c>
      <c r="J33" s="59">
        <f t="shared" si="2"/>
        <v>57.495796390001487</v>
      </c>
      <c r="K33" s="59">
        <f t="shared" si="3"/>
        <v>1606.1998081528582</v>
      </c>
      <c r="L33" s="676"/>
      <c r="M33" s="676"/>
      <c r="N33" s="676"/>
      <c r="O33" s="676"/>
      <c r="P33" s="676"/>
      <c r="Q33" s="676"/>
      <c r="R33" s="676"/>
      <c r="S33" s="676"/>
      <c r="T33" s="676"/>
      <c r="U33" s="676"/>
      <c r="V33" s="676"/>
      <c r="W33" s="676"/>
      <c r="X33" s="676"/>
      <c r="Y33" s="676"/>
      <c r="Z33" s="676"/>
      <c r="AA33" s="676"/>
    </row>
    <row r="34" spans="1:27" ht="15" customHeight="1" x14ac:dyDescent="0.25">
      <c r="A34" s="202">
        <v>28</v>
      </c>
      <c r="B34" s="395" t="s">
        <v>132</v>
      </c>
      <c r="C34" s="710" t="s">
        <v>969</v>
      </c>
      <c r="D34" s="395" t="s">
        <v>838</v>
      </c>
      <c r="E34" s="204">
        <v>240.19499999999999</v>
      </c>
      <c r="F34" s="74">
        <f>'Giá VL'!G32</f>
        <v>14409</v>
      </c>
      <c r="G34" s="74">
        <f>'Giá VL'!J32</f>
        <v>14409</v>
      </c>
      <c r="H34" s="74">
        <f>'Giá VL'!V32</f>
        <v>14466.49579639</v>
      </c>
      <c r="I34" s="74">
        <f t="shared" si="1"/>
        <v>3474779.9578138958</v>
      </c>
      <c r="J34" s="59">
        <f t="shared" si="2"/>
        <v>57.495796389999668</v>
      </c>
      <c r="K34" s="59">
        <f t="shared" si="3"/>
        <v>13810.202813895885</v>
      </c>
      <c r="L34" s="676"/>
      <c r="M34" s="676"/>
      <c r="N34" s="676"/>
      <c r="O34" s="676"/>
      <c r="P34" s="676"/>
      <c r="Q34" s="676"/>
      <c r="R34" s="676"/>
      <c r="S34" s="676"/>
      <c r="T34" s="676"/>
      <c r="U34" s="676"/>
      <c r="V34" s="676"/>
      <c r="W34" s="676"/>
      <c r="X34" s="676"/>
      <c r="Y34" s="676"/>
      <c r="Z34" s="676"/>
      <c r="AA34" s="676"/>
    </row>
    <row r="35" spans="1:27" ht="15" customHeight="1" x14ac:dyDescent="0.25">
      <c r="A35" s="202">
        <v>29</v>
      </c>
      <c r="B35" s="395" t="s">
        <v>149</v>
      </c>
      <c r="C35" s="710" t="s">
        <v>89</v>
      </c>
      <c r="D35" s="395" t="s">
        <v>838</v>
      </c>
      <c r="E35" s="204">
        <v>64.260000000000005</v>
      </c>
      <c r="F35" s="74">
        <f>'Giá VL'!G33</f>
        <v>14409</v>
      </c>
      <c r="G35" s="74">
        <f>'Giá VL'!J33</f>
        <v>14409</v>
      </c>
      <c r="H35" s="74">
        <f>'Giá VL'!V33</f>
        <v>14466.49579639</v>
      </c>
      <c r="I35" s="74">
        <f t="shared" si="1"/>
        <v>929617.01987602143</v>
      </c>
      <c r="J35" s="59">
        <f t="shared" si="2"/>
        <v>57.495796389999668</v>
      </c>
      <c r="K35" s="59">
        <f t="shared" si="3"/>
        <v>3694.6798760213424</v>
      </c>
      <c r="L35" s="676"/>
      <c r="M35" s="676"/>
      <c r="N35" s="676"/>
      <c r="O35" s="676"/>
      <c r="P35" s="676"/>
      <c r="Q35" s="676"/>
      <c r="R35" s="676"/>
      <c r="S35" s="676"/>
      <c r="T35" s="676"/>
      <c r="U35" s="676"/>
      <c r="V35" s="676"/>
      <c r="W35" s="676"/>
      <c r="X35" s="676"/>
      <c r="Y35" s="676"/>
      <c r="Z35" s="676"/>
      <c r="AA35" s="676"/>
    </row>
    <row r="36" spans="1:27" ht="15" customHeight="1" x14ac:dyDescent="0.25">
      <c r="A36" s="202">
        <v>30</v>
      </c>
      <c r="B36" s="395" t="s">
        <v>235</v>
      </c>
      <c r="C36" s="710" t="s">
        <v>662</v>
      </c>
      <c r="D36" s="395" t="s">
        <v>838</v>
      </c>
      <c r="E36" s="204">
        <v>42781.018250000001</v>
      </c>
      <c r="F36" s="74">
        <f>'Giá VL'!G37</f>
        <v>1563.7239999999999</v>
      </c>
      <c r="G36" s="74">
        <f>'Giá VL'!J37</f>
        <v>1563.7239999999999</v>
      </c>
      <c r="H36" s="74">
        <f>'Giá VL'!V37</f>
        <v>1587.7239999999999</v>
      </c>
      <c r="I36" s="74">
        <f t="shared" si="1"/>
        <v>67924449.419963002</v>
      </c>
      <c r="J36" s="59">
        <f t="shared" si="2"/>
        <v>24</v>
      </c>
      <c r="K36" s="59">
        <f t="shared" si="3"/>
        <v>1026744.438000001</v>
      </c>
      <c r="L36" s="676"/>
      <c r="M36" s="676"/>
      <c r="N36" s="676"/>
      <c r="O36" s="676"/>
      <c r="P36" s="676"/>
      <c r="Q36" s="676"/>
      <c r="R36" s="676"/>
      <c r="S36" s="676"/>
      <c r="T36" s="676"/>
      <c r="U36" s="676"/>
      <c r="V36" s="676"/>
      <c r="W36" s="676"/>
      <c r="X36" s="676"/>
      <c r="Y36" s="676"/>
      <c r="Z36" s="676"/>
      <c r="AA36" s="676"/>
    </row>
    <row r="37" spans="1:27" ht="15" customHeight="1" x14ac:dyDescent="0.25">
      <c r="A37" s="202">
        <v>31</v>
      </c>
      <c r="B37" s="395" t="s">
        <v>667</v>
      </c>
      <c r="C37" s="710" t="s">
        <v>569</v>
      </c>
      <c r="D37" s="395" t="s">
        <v>1113</v>
      </c>
      <c r="E37" s="204">
        <f>THVL!J109</f>
        <v>2072.1999999999998</v>
      </c>
      <c r="F37" s="74">
        <v>0</v>
      </c>
      <c r="G37" s="74">
        <v>0</v>
      </c>
      <c r="H37" s="74">
        <v>0</v>
      </c>
      <c r="I37" s="74">
        <v>2117893.1315013999</v>
      </c>
      <c r="J37" s="59">
        <f t="shared" si="2"/>
        <v>0</v>
      </c>
      <c r="K37" s="59">
        <f t="shared" si="3"/>
        <v>0</v>
      </c>
      <c r="L37" s="676"/>
      <c r="M37" s="676"/>
      <c r="N37" s="676"/>
      <c r="O37" s="676"/>
      <c r="P37" s="676"/>
      <c r="Q37" s="676"/>
      <c r="R37" s="676"/>
      <c r="S37" s="676"/>
      <c r="T37" s="676"/>
      <c r="U37" s="676"/>
      <c r="V37" s="676"/>
      <c r="W37" s="676"/>
      <c r="X37" s="676"/>
      <c r="Y37" s="676"/>
      <c r="Z37" s="676"/>
      <c r="AA37" s="676"/>
    </row>
    <row r="38" spans="1:27" ht="14.1" customHeight="1" x14ac:dyDescent="0.25">
      <c r="A38" s="612"/>
      <c r="B38" s="377"/>
      <c r="C38" s="691"/>
      <c r="D38" s="377"/>
      <c r="E38" s="212"/>
      <c r="F38" s="59"/>
      <c r="G38" s="59"/>
      <c r="H38" s="59"/>
      <c r="I38" s="59"/>
      <c r="J38" s="59"/>
      <c r="K38" s="59"/>
      <c r="L38" s="676"/>
      <c r="M38" s="676"/>
      <c r="N38" s="676"/>
      <c r="O38" s="676"/>
      <c r="P38" s="676"/>
      <c r="Q38" s="676"/>
      <c r="R38" s="676"/>
      <c r="S38" s="676"/>
      <c r="T38" s="676"/>
      <c r="U38" s="676"/>
      <c r="V38" s="676"/>
      <c r="W38" s="676"/>
      <c r="X38" s="676"/>
      <c r="Y38" s="676"/>
      <c r="Z38" s="676"/>
      <c r="AA38" s="676"/>
    </row>
    <row r="39" spans="1:27" ht="15" customHeight="1" x14ac:dyDescent="0.25">
      <c r="A39" s="560" t="s">
        <v>71</v>
      </c>
      <c r="B39" s="14"/>
      <c r="C39" s="14" t="s">
        <v>43</v>
      </c>
      <c r="D39" s="14"/>
      <c r="E39" s="252"/>
      <c r="F39" s="399"/>
      <c r="G39" s="399"/>
      <c r="H39" s="399"/>
      <c r="I39" s="399" t="e">
        <f t="shared" ref="I39:K39" si="4">ROUND(SUM(I40:I44),0)</f>
        <v>#REF!</v>
      </c>
      <c r="J39" s="399">
        <f t="shared" si="4"/>
        <v>0</v>
      </c>
      <c r="K39" s="399" t="e">
        <f t="shared" si="4"/>
        <v>#REF!</v>
      </c>
      <c r="L39" s="676"/>
      <c r="M39" s="676"/>
      <c r="N39" s="676"/>
      <c r="O39" s="676"/>
      <c r="P39" s="676"/>
      <c r="Q39" s="676"/>
      <c r="R39" s="676"/>
      <c r="S39" s="676"/>
      <c r="T39" s="676"/>
      <c r="U39" s="676"/>
      <c r="V39" s="676"/>
      <c r="W39" s="676"/>
      <c r="X39" s="676"/>
      <c r="Y39" s="676"/>
      <c r="Z39" s="676"/>
      <c r="AA39" s="676"/>
    </row>
    <row r="40" spans="1:27" ht="16.149999999999999" customHeight="1" x14ac:dyDescent="0.25">
      <c r="A40" s="612">
        <v>1</v>
      </c>
      <c r="B40" s="377" t="s">
        <v>475</v>
      </c>
      <c r="C40" s="691" t="s">
        <v>1154</v>
      </c>
      <c r="D40" s="377" t="s">
        <v>434</v>
      </c>
      <c r="E40" s="212">
        <f>THNC!J6</f>
        <v>27.616632000000003</v>
      </c>
      <c r="F40" s="59">
        <f>'Giá NC'!G5</f>
        <v>218559</v>
      </c>
      <c r="G40" s="59">
        <f>'Giá NC'!H5</f>
        <v>218559</v>
      </c>
      <c r="H40" s="59">
        <f>'Giá NC'!K5</f>
        <v>218559</v>
      </c>
      <c r="I40" s="59">
        <f t="shared" ref="I40:I44" si="5">E40*H40</f>
        <v>6035863.4732880006</v>
      </c>
      <c r="J40" s="59">
        <f t="shared" ref="J40:J44" si="6">H40-F40</f>
        <v>0</v>
      </c>
      <c r="K40" s="59">
        <f t="shared" ref="K40:K44" si="7">H40*E40-F40*E40</f>
        <v>0</v>
      </c>
      <c r="L40" s="676"/>
      <c r="M40" s="676"/>
      <c r="N40" s="676"/>
      <c r="O40" s="676"/>
      <c r="P40" s="676"/>
      <c r="Q40" s="676"/>
      <c r="R40" s="676"/>
      <c r="S40" s="676"/>
      <c r="T40" s="676"/>
      <c r="U40" s="676"/>
      <c r="V40" s="676"/>
      <c r="W40" s="676"/>
      <c r="X40" s="676"/>
      <c r="Y40" s="676"/>
      <c r="Z40" s="676"/>
      <c r="AA40" s="676"/>
    </row>
    <row r="41" spans="1:27" ht="16.149999999999999" customHeight="1" x14ac:dyDescent="0.25">
      <c r="A41" s="612">
        <v>2</v>
      </c>
      <c r="B41" s="377" t="s">
        <v>49</v>
      </c>
      <c r="C41" s="691" t="s">
        <v>818</v>
      </c>
      <c r="D41" s="377" t="s">
        <v>434</v>
      </c>
      <c r="E41" s="212">
        <f>THNC!J20</f>
        <v>8.3520000000000003</v>
      </c>
      <c r="F41" s="59">
        <f>'Giá NC'!G6</f>
        <v>239000</v>
      </c>
      <c r="G41" s="59">
        <f>'Giá NC'!H6</f>
        <v>239000</v>
      </c>
      <c r="H41" s="59">
        <f>'Giá NC'!K6</f>
        <v>239000</v>
      </c>
      <c r="I41" s="59">
        <f t="shared" si="5"/>
        <v>1996128</v>
      </c>
      <c r="J41" s="59">
        <f t="shared" si="6"/>
        <v>0</v>
      </c>
      <c r="K41" s="59">
        <f t="shared" si="7"/>
        <v>0</v>
      </c>
      <c r="L41" s="676"/>
      <c r="M41" s="676"/>
      <c r="N41" s="676"/>
      <c r="O41" s="676"/>
      <c r="P41" s="676"/>
      <c r="Q41" s="676"/>
      <c r="R41" s="676"/>
      <c r="S41" s="676"/>
      <c r="T41" s="676"/>
      <c r="U41" s="676"/>
      <c r="V41" s="676"/>
      <c r="W41" s="676"/>
      <c r="X41" s="676"/>
      <c r="Y41" s="676"/>
      <c r="Z41" s="676"/>
      <c r="AA41" s="676"/>
    </row>
    <row r="42" spans="1:27" ht="16.149999999999999" customHeight="1" x14ac:dyDescent="0.25">
      <c r="A42" s="612">
        <v>3</v>
      </c>
      <c r="B42" s="377" t="s">
        <v>1156</v>
      </c>
      <c r="C42" s="691" t="s">
        <v>213</v>
      </c>
      <c r="D42" s="377" t="s">
        <v>434</v>
      </c>
      <c r="E42" s="212">
        <f>THNC!J22</f>
        <v>0.7256999999999999</v>
      </c>
      <c r="F42" s="59">
        <f>'Giá NC'!G7</f>
        <v>230630</v>
      </c>
      <c r="G42" s="59">
        <f>'Giá NC'!H7</f>
        <v>230630</v>
      </c>
      <c r="H42" s="59">
        <f>'Giá NC'!K7</f>
        <v>230630</v>
      </c>
      <c r="I42" s="59">
        <f t="shared" si="5"/>
        <v>167368.19099999999</v>
      </c>
      <c r="J42" s="59">
        <f t="shared" si="6"/>
        <v>0</v>
      </c>
      <c r="K42" s="59">
        <f t="shared" si="7"/>
        <v>0</v>
      </c>
      <c r="L42" s="676"/>
      <c r="M42" s="676"/>
      <c r="N42" s="676"/>
      <c r="O42" s="676"/>
      <c r="P42" s="676"/>
      <c r="Q42" s="676"/>
      <c r="R42" s="676"/>
      <c r="S42" s="676"/>
      <c r="T42" s="676"/>
      <c r="U42" s="676"/>
      <c r="V42" s="676"/>
      <c r="W42" s="676"/>
      <c r="X42" s="676"/>
      <c r="Y42" s="676"/>
      <c r="Z42" s="676"/>
      <c r="AA42" s="676"/>
    </row>
    <row r="43" spans="1:27" ht="16.149999999999999" customHeight="1" x14ac:dyDescent="0.25">
      <c r="A43" s="612">
        <v>4</v>
      </c>
      <c r="B43" s="377" t="s">
        <v>706</v>
      </c>
      <c r="C43" s="691" t="s">
        <v>1200</v>
      </c>
      <c r="D43" s="377" t="s">
        <v>434</v>
      </c>
      <c r="E43" s="212" t="e">
        <f>THNC!J24</f>
        <v>#REF!</v>
      </c>
      <c r="F43" s="59">
        <f>'Giá NC'!G8</f>
        <v>252200</v>
      </c>
      <c r="G43" s="59">
        <f>'Giá NC'!H8</f>
        <v>252200</v>
      </c>
      <c r="H43" s="59">
        <f>'Giá NC'!K8</f>
        <v>252200</v>
      </c>
      <c r="I43" s="59" t="e">
        <f t="shared" si="5"/>
        <v>#REF!</v>
      </c>
      <c r="J43" s="59">
        <f t="shared" si="6"/>
        <v>0</v>
      </c>
      <c r="K43" s="59" t="e">
        <f t="shared" si="7"/>
        <v>#REF!</v>
      </c>
      <c r="L43" s="676"/>
      <c r="M43" s="676"/>
      <c r="N43" s="676"/>
      <c r="O43" s="676"/>
      <c r="P43" s="676"/>
      <c r="Q43" s="676"/>
      <c r="R43" s="676"/>
      <c r="S43" s="676"/>
      <c r="T43" s="676"/>
      <c r="U43" s="676"/>
      <c r="V43" s="676"/>
      <c r="W43" s="676"/>
      <c r="X43" s="676"/>
      <c r="Y43" s="676"/>
      <c r="Z43" s="676"/>
      <c r="AA43" s="676"/>
    </row>
    <row r="44" spans="1:27" ht="16.149999999999999" customHeight="1" x14ac:dyDescent="0.25">
      <c r="A44" s="612">
        <v>5</v>
      </c>
      <c r="B44" s="377" t="s">
        <v>169</v>
      </c>
      <c r="C44" s="691" t="s">
        <v>911</v>
      </c>
      <c r="D44" s="377" t="s">
        <v>434</v>
      </c>
      <c r="E44" s="212">
        <f>THNC!J43</f>
        <v>20.746400000000001</v>
      </c>
      <c r="F44" s="59">
        <f>'Giá NC'!G9</f>
        <v>273770</v>
      </c>
      <c r="G44" s="59">
        <f>'Giá NC'!H9</f>
        <v>273770</v>
      </c>
      <c r="H44" s="59">
        <f>'Giá NC'!K9</f>
        <v>273770</v>
      </c>
      <c r="I44" s="59">
        <f t="shared" si="5"/>
        <v>5679741.9280000003</v>
      </c>
      <c r="J44" s="59">
        <f t="shared" si="6"/>
        <v>0</v>
      </c>
      <c r="K44" s="59">
        <f t="shared" si="7"/>
        <v>0</v>
      </c>
      <c r="L44" s="676"/>
      <c r="M44" s="676"/>
      <c r="N44" s="676"/>
      <c r="O44" s="676"/>
      <c r="P44" s="676"/>
      <c r="Q44" s="676"/>
      <c r="R44" s="676"/>
      <c r="S44" s="676"/>
      <c r="T44" s="676"/>
      <c r="U44" s="676"/>
      <c r="V44" s="676"/>
      <c r="W44" s="676"/>
      <c r="X44" s="676"/>
      <c r="Y44" s="676"/>
      <c r="Z44" s="676"/>
      <c r="AA44" s="676"/>
    </row>
    <row r="45" spans="1:27" ht="16.149999999999999" customHeight="1" x14ac:dyDescent="0.25">
      <c r="A45" s="612"/>
      <c r="B45" s="377"/>
      <c r="C45" s="691"/>
      <c r="D45" s="377"/>
      <c r="E45" s="212"/>
      <c r="F45" s="59"/>
      <c r="G45" s="59"/>
      <c r="H45" s="59"/>
      <c r="I45" s="59"/>
      <c r="J45" s="59"/>
      <c r="K45" s="59"/>
      <c r="L45" s="676"/>
      <c r="M45" s="676"/>
      <c r="N45" s="676"/>
      <c r="O45" s="676"/>
      <c r="P45" s="676"/>
      <c r="Q45" s="676"/>
      <c r="R45" s="676"/>
      <c r="S45" s="676"/>
      <c r="T45" s="676"/>
      <c r="U45" s="676"/>
      <c r="V45" s="676"/>
      <c r="W45" s="676"/>
      <c r="X45" s="676"/>
      <c r="Y45" s="676"/>
      <c r="Z45" s="676"/>
      <c r="AA45" s="676"/>
    </row>
    <row r="46" spans="1:27" ht="15" customHeight="1" x14ac:dyDescent="0.25">
      <c r="A46" s="560" t="s">
        <v>570</v>
      </c>
      <c r="B46" s="14"/>
      <c r="C46" s="14" t="s">
        <v>348</v>
      </c>
      <c r="D46" s="14"/>
      <c r="E46" s="252"/>
      <c r="F46" s="399"/>
      <c r="G46" s="399"/>
      <c r="H46" s="399"/>
      <c r="I46" s="399" t="e">
        <f t="shared" ref="I46:K46" si="8">ROUND(SUM(I47:I71),0)</f>
        <v>#REF!</v>
      </c>
      <c r="J46" s="399" t="e">
        <f t="shared" si="8"/>
        <v>#REF!</v>
      </c>
      <c r="K46" s="399" t="e">
        <f t="shared" si="8"/>
        <v>#REF!</v>
      </c>
      <c r="L46" s="676"/>
      <c r="M46" s="676"/>
      <c r="N46" s="676"/>
      <c r="O46" s="676"/>
      <c r="P46" s="676"/>
      <c r="Q46" s="676"/>
      <c r="R46" s="676"/>
      <c r="S46" s="676"/>
      <c r="T46" s="676"/>
      <c r="U46" s="676"/>
      <c r="V46" s="676"/>
      <c r="W46" s="676"/>
      <c r="X46" s="676"/>
      <c r="Y46" s="676"/>
      <c r="Z46" s="676"/>
      <c r="AA46" s="676"/>
    </row>
    <row r="47" spans="1:27" ht="15" customHeight="1" x14ac:dyDescent="0.25">
      <c r="A47" s="612">
        <v>1</v>
      </c>
      <c r="B47" s="377" t="s">
        <v>1045</v>
      </c>
      <c r="C47" s="691" t="s">
        <v>738</v>
      </c>
      <c r="D47" s="377" t="s">
        <v>717</v>
      </c>
      <c r="E47" s="212">
        <f>THM!J6</f>
        <v>8.2925000000000004</v>
      </c>
      <c r="F47" s="59">
        <f>'Giá Máy'!G5</f>
        <v>21147</v>
      </c>
      <c r="G47" s="59">
        <f>'Giá Máy'!H5</f>
        <v>21147</v>
      </c>
      <c r="H47" s="59">
        <f>'Giá Máy'!O5</f>
        <v>21147</v>
      </c>
      <c r="I47" s="59">
        <f t="shared" ref="I47:I70" si="9">E47*H47</f>
        <v>175361.4975</v>
      </c>
      <c r="J47" s="59">
        <f t="shared" ref="J47:J71" si="10">H47-F47</f>
        <v>0</v>
      </c>
      <c r="K47" s="59">
        <f t="shared" ref="K47:K71" si="11">H47*E47-F47*E47</f>
        <v>0</v>
      </c>
      <c r="L47" s="676"/>
      <c r="M47" s="676"/>
      <c r="N47" s="676"/>
      <c r="O47" s="676"/>
      <c r="P47" s="676"/>
      <c r="Q47" s="676"/>
      <c r="R47" s="676"/>
      <c r="S47" s="676"/>
      <c r="T47" s="676"/>
      <c r="U47" s="676"/>
      <c r="V47" s="676"/>
      <c r="W47" s="676"/>
      <c r="X47" s="676"/>
      <c r="Y47" s="676"/>
      <c r="Z47" s="676"/>
      <c r="AA47" s="676"/>
    </row>
    <row r="48" spans="1:27" ht="15" customHeight="1" x14ac:dyDescent="0.25">
      <c r="A48" s="612">
        <v>2</v>
      </c>
      <c r="B48" s="377" t="s">
        <v>208</v>
      </c>
      <c r="C48" s="691" t="s">
        <v>682</v>
      </c>
      <c r="D48" s="377" t="s">
        <v>717</v>
      </c>
      <c r="E48" s="212" t="e">
        <f>THM!J8</f>
        <v>#REF!</v>
      </c>
      <c r="F48" s="59" t="e">
        <f>'Giá Máy'!#REF!</f>
        <v>#REF!</v>
      </c>
      <c r="G48" s="59" t="e">
        <f>'Giá Máy'!#REF!</f>
        <v>#REF!</v>
      </c>
      <c r="H48" s="59" t="e">
        <f>'Giá Máy'!#REF!</f>
        <v>#REF!</v>
      </c>
      <c r="I48" s="59" t="e">
        <f t="shared" si="9"/>
        <v>#REF!</v>
      </c>
      <c r="J48" s="59" t="e">
        <f t="shared" si="10"/>
        <v>#REF!</v>
      </c>
      <c r="K48" s="59" t="e">
        <f t="shared" si="11"/>
        <v>#REF!</v>
      </c>
      <c r="L48" s="676"/>
      <c r="M48" s="676"/>
      <c r="N48" s="676"/>
      <c r="O48" s="676"/>
      <c r="P48" s="676"/>
      <c r="Q48" s="676"/>
      <c r="R48" s="676"/>
      <c r="S48" s="676"/>
      <c r="T48" s="676"/>
      <c r="U48" s="676"/>
      <c r="V48" s="676"/>
      <c r="W48" s="676"/>
      <c r="X48" s="676"/>
      <c r="Y48" s="676"/>
      <c r="Z48" s="676"/>
      <c r="AA48" s="676"/>
    </row>
    <row r="49" spans="1:27" ht="15" customHeight="1" x14ac:dyDescent="0.25">
      <c r="A49" s="612">
        <v>3</v>
      </c>
      <c r="B49" s="377" t="s">
        <v>1101</v>
      </c>
      <c r="C49" s="691" t="s">
        <v>632</v>
      </c>
      <c r="D49" s="377" t="s">
        <v>717</v>
      </c>
      <c r="E49" s="212">
        <f>THM!J11</f>
        <v>0.52800000000000002</v>
      </c>
      <c r="F49" s="59">
        <f>'Giá Máy'!G6</f>
        <v>908184.5</v>
      </c>
      <c r="G49" s="59">
        <f>'Giá Máy'!H6</f>
        <v>908184.5</v>
      </c>
      <c r="H49" s="59">
        <f>'Giá Máy'!O6</f>
        <v>908184.5</v>
      </c>
      <c r="I49" s="59">
        <f t="shared" si="9"/>
        <v>479521.41600000003</v>
      </c>
      <c r="J49" s="59">
        <f t="shared" si="10"/>
        <v>0</v>
      </c>
      <c r="K49" s="59">
        <f t="shared" si="11"/>
        <v>0</v>
      </c>
      <c r="L49" s="676"/>
      <c r="M49" s="676"/>
      <c r="N49" s="676"/>
      <c r="O49" s="676"/>
      <c r="P49" s="676"/>
      <c r="Q49" s="676"/>
      <c r="R49" s="676"/>
      <c r="S49" s="676"/>
      <c r="T49" s="676"/>
      <c r="U49" s="676"/>
      <c r="V49" s="676"/>
      <c r="W49" s="676"/>
      <c r="X49" s="676"/>
      <c r="Y49" s="676"/>
      <c r="Z49" s="676"/>
      <c r="AA49" s="676"/>
    </row>
    <row r="50" spans="1:27" ht="15" customHeight="1" x14ac:dyDescent="0.25">
      <c r="A50" s="612">
        <v>4</v>
      </c>
      <c r="B50" s="377" t="s">
        <v>177</v>
      </c>
      <c r="C50" s="691" t="s">
        <v>747</v>
      </c>
      <c r="D50" s="377" t="s">
        <v>717</v>
      </c>
      <c r="E50" s="212">
        <f>THM!J13</f>
        <v>0.26400000000000001</v>
      </c>
      <c r="F50" s="59">
        <f>'Giá Máy'!G7</f>
        <v>307653</v>
      </c>
      <c r="G50" s="59">
        <f>'Giá Máy'!H7</f>
        <v>307653</v>
      </c>
      <c r="H50" s="59">
        <f>'Giá Máy'!O7</f>
        <v>307653</v>
      </c>
      <c r="I50" s="59">
        <f t="shared" si="9"/>
        <v>81220.392000000007</v>
      </c>
      <c r="J50" s="59">
        <f t="shared" si="10"/>
        <v>0</v>
      </c>
      <c r="K50" s="59">
        <f t="shared" si="11"/>
        <v>0</v>
      </c>
      <c r="L50" s="676"/>
      <c r="M50" s="676"/>
      <c r="N50" s="676"/>
      <c r="O50" s="676"/>
      <c r="P50" s="676"/>
      <c r="Q50" s="676"/>
      <c r="R50" s="676"/>
      <c r="S50" s="676"/>
      <c r="T50" s="676"/>
      <c r="U50" s="676"/>
      <c r="V50" s="676"/>
      <c r="W50" s="676"/>
      <c r="X50" s="676"/>
      <c r="Y50" s="676"/>
      <c r="Z50" s="676"/>
      <c r="AA50" s="676"/>
    </row>
    <row r="51" spans="1:27" ht="15" customHeight="1" x14ac:dyDescent="0.25">
      <c r="A51" s="612">
        <v>5</v>
      </c>
      <c r="B51" s="377" t="s">
        <v>750</v>
      </c>
      <c r="C51" s="691" t="s">
        <v>76</v>
      </c>
      <c r="D51" s="377" t="s">
        <v>717</v>
      </c>
      <c r="E51" s="212">
        <f>THM!J16</f>
        <v>5.5E-2</v>
      </c>
      <c r="F51" s="59">
        <f>'Giá Máy'!G8</f>
        <v>507130.7</v>
      </c>
      <c r="G51" s="59">
        <f>'Giá Máy'!H8</f>
        <v>507130.7</v>
      </c>
      <c r="H51" s="59">
        <f>'Giá Máy'!O8</f>
        <v>507130.7</v>
      </c>
      <c r="I51" s="59">
        <f t="shared" si="9"/>
        <v>27892.1885</v>
      </c>
      <c r="J51" s="59">
        <f t="shared" si="10"/>
        <v>0</v>
      </c>
      <c r="K51" s="59">
        <f t="shared" si="11"/>
        <v>0</v>
      </c>
      <c r="L51" s="676"/>
      <c r="M51" s="676"/>
      <c r="N51" s="676"/>
      <c r="O51" s="676"/>
      <c r="P51" s="676"/>
      <c r="Q51" s="676"/>
      <c r="R51" s="676"/>
      <c r="S51" s="676"/>
      <c r="T51" s="676"/>
      <c r="U51" s="676"/>
      <c r="V51" s="676"/>
      <c r="W51" s="676"/>
      <c r="X51" s="676"/>
      <c r="Y51" s="676"/>
      <c r="Z51" s="676"/>
      <c r="AA51" s="676"/>
    </row>
    <row r="52" spans="1:27" ht="15" customHeight="1" x14ac:dyDescent="0.25">
      <c r="A52" s="612">
        <v>6</v>
      </c>
      <c r="B52" s="377" t="s">
        <v>239</v>
      </c>
      <c r="C52" s="691" t="s">
        <v>209</v>
      </c>
      <c r="D52" s="377" t="s">
        <v>717</v>
      </c>
      <c r="E52" s="212">
        <f>THM!J18</f>
        <v>0.11576</v>
      </c>
      <c r="F52" s="59">
        <f>'Giá Máy'!G9</f>
        <v>273726</v>
      </c>
      <c r="G52" s="59">
        <f>'Giá Máy'!H9</f>
        <v>273726</v>
      </c>
      <c r="H52" s="59">
        <f>'Giá Máy'!O9</f>
        <v>273726</v>
      </c>
      <c r="I52" s="59">
        <f t="shared" si="9"/>
        <v>31686.52176</v>
      </c>
      <c r="J52" s="59">
        <f t="shared" si="10"/>
        <v>0</v>
      </c>
      <c r="K52" s="59">
        <f t="shared" si="11"/>
        <v>0</v>
      </c>
      <c r="L52" s="676"/>
      <c r="M52" s="676"/>
      <c r="N52" s="676"/>
      <c r="O52" s="676"/>
      <c r="P52" s="676"/>
      <c r="Q52" s="676"/>
      <c r="R52" s="676"/>
      <c r="S52" s="676"/>
      <c r="T52" s="676"/>
      <c r="U52" s="676"/>
      <c r="V52" s="676"/>
      <c r="W52" s="676"/>
      <c r="X52" s="676"/>
      <c r="Y52" s="676"/>
      <c r="Z52" s="676"/>
      <c r="AA52" s="676"/>
    </row>
    <row r="53" spans="1:27" ht="15" customHeight="1" x14ac:dyDescent="0.25">
      <c r="A53" s="612">
        <v>7</v>
      </c>
      <c r="B53" s="377" t="s">
        <v>201</v>
      </c>
      <c r="C53" s="691" t="s">
        <v>202</v>
      </c>
      <c r="D53" s="377" t="s">
        <v>717</v>
      </c>
      <c r="E53" s="212">
        <f>THM!J21</f>
        <v>11.964269999999999</v>
      </c>
      <c r="F53" s="59">
        <f>'Giá Máy'!G10</f>
        <v>257212</v>
      </c>
      <c r="G53" s="59">
        <f>'Giá Máy'!H10</f>
        <v>257212</v>
      </c>
      <c r="H53" s="59">
        <f>'Giá Máy'!O10</f>
        <v>257212</v>
      </c>
      <c r="I53" s="59">
        <f t="shared" si="9"/>
        <v>3077353.8152399999</v>
      </c>
      <c r="J53" s="59">
        <f t="shared" si="10"/>
        <v>0</v>
      </c>
      <c r="K53" s="59">
        <f t="shared" si="11"/>
        <v>0</v>
      </c>
      <c r="L53" s="676"/>
      <c r="M53" s="676"/>
      <c r="N53" s="676"/>
      <c r="O53" s="676"/>
      <c r="P53" s="676"/>
      <c r="Q53" s="676"/>
      <c r="R53" s="676"/>
      <c r="S53" s="676"/>
      <c r="T53" s="676"/>
      <c r="U53" s="676"/>
      <c r="V53" s="676"/>
      <c r="W53" s="676"/>
      <c r="X53" s="676"/>
      <c r="Y53" s="676"/>
      <c r="Z53" s="676"/>
      <c r="AA53" s="676"/>
    </row>
    <row r="54" spans="1:27" ht="15" customHeight="1" x14ac:dyDescent="0.25">
      <c r="A54" s="612">
        <v>8</v>
      </c>
      <c r="B54" s="377" t="s">
        <v>551</v>
      </c>
      <c r="C54" s="691" t="s">
        <v>330</v>
      </c>
      <c r="D54" s="377" t="s">
        <v>717</v>
      </c>
      <c r="E54" s="212">
        <f>THM!J24</f>
        <v>0.87424559999999996</v>
      </c>
      <c r="F54" s="59">
        <f>'Giá Máy'!G11</f>
        <v>380951</v>
      </c>
      <c r="G54" s="59">
        <f>'Giá Máy'!H11</f>
        <v>380951</v>
      </c>
      <c r="H54" s="59">
        <f>'Giá Máy'!O11</f>
        <v>380951</v>
      </c>
      <c r="I54" s="59">
        <f t="shared" si="9"/>
        <v>333044.73556559999</v>
      </c>
      <c r="J54" s="59">
        <f t="shared" si="10"/>
        <v>0</v>
      </c>
      <c r="K54" s="59">
        <f t="shared" si="11"/>
        <v>0</v>
      </c>
      <c r="L54" s="676"/>
      <c r="M54" s="676"/>
      <c r="N54" s="676"/>
      <c r="O54" s="676"/>
      <c r="P54" s="676"/>
      <c r="Q54" s="676"/>
      <c r="R54" s="676"/>
      <c r="S54" s="676"/>
      <c r="T54" s="676"/>
      <c r="U54" s="676"/>
      <c r="V54" s="676"/>
      <c r="W54" s="676"/>
      <c r="X54" s="676"/>
      <c r="Y54" s="676"/>
      <c r="Z54" s="676"/>
      <c r="AA54" s="676"/>
    </row>
    <row r="55" spans="1:27" ht="15" customHeight="1" x14ac:dyDescent="0.25">
      <c r="A55" s="612">
        <v>9</v>
      </c>
      <c r="B55" s="377" t="s">
        <v>194</v>
      </c>
      <c r="C55" s="691" t="s">
        <v>1193</v>
      </c>
      <c r="D55" s="377" t="s">
        <v>717</v>
      </c>
      <c r="E55" s="212">
        <f>THM!J28</f>
        <v>12.277849999999997</v>
      </c>
      <c r="F55" s="59">
        <f>'Giá Máy'!G12</f>
        <v>265153</v>
      </c>
      <c r="G55" s="59">
        <f>'Giá Máy'!H12</f>
        <v>265153</v>
      </c>
      <c r="H55" s="59">
        <f>'Giá Máy'!O12</f>
        <v>265153</v>
      </c>
      <c r="I55" s="59">
        <f t="shared" si="9"/>
        <v>3255508.7610499994</v>
      </c>
      <c r="J55" s="59">
        <f t="shared" si="10"/>
        <v>0</v>
      </c>
      <c r="K55" s="59">
        <f t="shared" si="11"/>
        <v>0</v>
      </c>
      <c r="L55" s="676"/>
      <c r="M55" s="676"/>
      <c r="N55" s="676"/>
      <c r="O55" s="676"/>
      <c r="P55" s="676"/>
      <c r="Q55" s="676"/>
      <c r="R55" s="676"/>
      <c r="S55" s="676"/>
      <c r="T55" s="676"/>
      <c r="U55" s="676"/>
      <c r="V55" s="676"/>
      <c r="W55" s="676"/>
      <c r="X55" s="676"/>
      <c r="Y55" s="676"/>
      <c r="Z55" s="676"/>
      <c r="AA55" s="676"/>
    </row>
    <row r="56" spans="1:27" ht="15" customHeight="1" x14ac:dyDescent="0.25">
      <c r="A56" s="612">
        <v>10</v>
      </c>
      <c r="B56" s="377" t="s">
        <v>1126</v>
      </c>
      <c r="C56" s="691" t="s">
        <v>585</v>
      </c>
      <c r="D56" s="377" t="s">
        <v>717</v>
      </c>
      <c r="E56" s="212">
        <f>THM!J34</f>
        <v>0.10225800000000002</v>
      </c>
      <c r="F56" s="59">
        <f>'Giá Máy'!G13</f>
        <v>1941339.8</v>
      </c>
      <c r="G56" s="59">
        <f>'Giá Máy'!H13</f>
        <v>1941339.8</v>
      </c>
      <c r="H56" s="59">
        <f>'Giá Máy'!O13</f>
        <v>1941339.8</v>
      </c>
      <c r="I56" s="59">
        <f t="shared" si="9"/>
        <v>198517.52526840003</v>
      </c>
      <c r="J56" s="59">
        <f t="shared" si="10"/>
        <v>0</v>
      </c>
      <c r="K56" s="59">
        <f t="shared" si="11"/>
        <v>0</v>
      </c>
      <c r="L56" s="676"/>
      <c r="M56" s="676"/>
      <c r="N56" s="676"/>
      <c r="O56" s="676"/>
      <c r="P56" s="676"/>
      <c r="Q56" s="676"/>
      <c r="R56" s="676"/>
      <c r="S56" s="676"/>
      <c r="T56" s="676"/>
      <c r="U56" s="676"/>
      <c r="V56" s="676"/>
      <c r="W56" s="676"/>
      <c r="X56" s="676"/>
      <c r="Y56" s="676"/>
      <c r="Z56" s="676"/>
      <c r="AA56" s="676"/>
    </row>
    <row r="57" spans="1:27" ht="15" customHeight="1" x14ac:dyDescent="0.25">
      <c r="A57" s="612">
        <v>11</v>
      </c>
      <c r="B57" s="377" t="s">
        <v>759</v>
      </c>
      <c r="C57" s="691" t="s">
        <v>42</v>
      </c>
      <c r="D57" s="377" t="s">
        <v>717</v>
      </c>
      <c r="E57" s="212">
        <f>THM!J36</f>
        <v>0.48124300000000003</v>
      </c>
      <c r="F57" s="59">
        <f>'Giá Máy'!G14</f>
        <v>3756595.3</v>
      </c>
      <c r="G57" s="59">
        <f>'Giá Máy'!H14</f>
        <v>3756595.3</v>
      </c>
      <c r="H57" s="59">
        <f>'Giá Máy'!O14</f>
        <v>3756595.3</v>
      </c>
      <c r="I57" s="59">
        <f t="shared" si="9"/>
        <v>1807835.1919579001</v>
      </c>
      <c r="J57" s="59">
        <f t="shared" si="10"/>
        <v>0</v>
      </c>
      <c r="K57" s="59">
        <f t="shared" si="11"/>
        <v>0</v>
      </c>
      <c r="L57" s="676"/>
      <c r="M57" s="676"/>
      <c r="N57" s="676"/>
      <c r="O57" s="676"/>
      <c r="P57" s="676"/>
      <c r="Q57" s="676"/>
      <c r="R57" s="676"/>
      <c r="S57" s="676"/>
      <c r="T57" s="676"/>
      <c r="U57" s="676"/>
      <c r="V57" s="676"/>
      <c r="W57" s="676"/>
      <c r="X57" s="676"/>
      <c r="Y57" s="676"/>
      <c r="Z57" s="676"/>
      <c r="AA57" s="676"/>
    </row>
    <row r="58" spans="1:27" ht="15" customHeight="1" x14ac:dyDescent="0.25">
      <c r="A58" s="612">
        <v>12</v>
      </c>
      <c r="B58" s="377" t="s">
        <v>82</v>
      </c>
      <c r="C58" s="691" t="s">
        <v>363</v>
      </c>
      <c r="D58" s="377" t="s">
        <v>717</v>
      </c>
      <c r="E58" s="212">
        <f>THM!J41</f>
        <v>0.94754799999999995</v>
      </c>
      <c r="F58" s="59">
        <f>'Giá Máy'!G15</f>
        <v>477927</v>
      </c>
      <c r="G58" s="59">
        <f>'Giá Máy'!H15</f>
        <v>477927</v>
      </c>
      <c r="H58" s="59">
        <f>'Giá Máy'!O15</f>
        <v>477927</v>
      </c>
      <c r="I58" s="59">
        <f t="shared" si="9"/>
        <v>452858.77299599996</v>
      </c>
      <c r="J58" s="59">
        <f t="shared" si="10"/>
        <v>0</v>
      </c>
      <c r="K58" s="59">
        <f t="shared" si="11"/>
        <v>0</v>
      </c>
      <c r="L58" s="676"/>
      <c r="M58" s="676"/>
      <c r="N58" s="676"/>
      <c r="O58" s="676"/>
      <c r="P58" s="676"/>
      <c r="Q58" s="676"/>
      <c r="R58" s="676"/>
      <c r="S58" s="676"/>
      <c r="T58" s="676"/>
      <c r="U58" s="676"/>
      <c r="V58" s="676"/>
      <c r="W58" s="676"/>
      <c r="X58" s="676"/>
      <c r="Y58" s="676"/>
      <c r="Z58" s="676"/>
      <c r="AA58" s="676"/>
    </row>
    <row r="59" spans="1:27" ht="15" customHeight="1" x14ac:dyDescent="0.25">
      <c r="A59" s="612">
        <v>13</v>
      </c>
      <c r="B59" s="377" t="s">
        <v>5</v>
      </c>
      <c r="C59" s="691" t="s">
        <v>1180</v>
      </c>
      <c r="D59" s="377" t="s">
        <v>717</v>
      </c>
      <c r="E59" s="212">
        <f>THM!J48</f>
        <v>0.14399999999999999</v>
      </c>
      <c r="F59" s="59">
        <f>'Giá Máy'!G16</f>
        <v>34285</v>
      </c>
      <c r="G59" s="59">
        <f>'Giá Máy'!H16</f>
        <v>34285</v>
      </c>
      <c r="H59" s="59">
        <f>'Giá Máy'!O16</f>
        <v>34285</v>
      </c>
      <c r="I59" s="59">
        <f t="shared" si="9"/>
        <v>4937.04</v>
      </c>
      <c r="J59" s="59">
        <f t="shared" si="10"/>
        <v>0</v>
      </c>
      <c r="K59" s="59">
        <f t="shared" si="11"/>
        <v>0</v>
      </c>
      <c r="L59" s="676"/>
      <c r="M59" s="676"/>
      <c r="N59" s="676"/>
      <c r="O59" s="676"/>
      <c r="P59" s="676"/>
      <c r="Q59" s="676"/>
      <c r="R59" s="676"/>
      <c r="S59" s="676"/>
      <c r="T59" s="676"/>
      <c r="U59" s="676"/>
      <c r="V59" s="676"/>
      <c r="W59" s="676"/>
      <c r="X59" s="676"/>
      <c r="Y59" s="676"/>
      <c r="Z59" s="676"/>
      <c r="AA59" s="676"/>
    </row>
    <row r="60" spans="1:27" ht="15" customHeight="1" x14ac:dyDescent="0.25">
      <c r="A60" s="612">
        <v>14</v>
      </c>
      <c r="B60" s="377" t="s">
        <v>1024</v>
      </c>
      <c r="C60" s="691" t="s">
        <v>128</v>
      </c>
      <c r="D60" s="377" t="s">
        <v>717</v>
      </c>
      <c r="E60" s="212">
        <f>THM!J50</f>
        <v>5.0858500000000006</v>
      </c>
      <c r="F60" s="59">
        <f>'Giá Máy'!G17</f>
        <v>1264509.6000000001</v>
      </c>
      <c r="G60" s="59">
        <f>'Giá Máy'!H17</f>
        <v>1264509.6000000001</v>
      </c>
      <c r="H60" s="59">
        <f>'Giá Máy'!O17</f>
        <v>1264509.6000000001</v>
      </c>
      <c r="I60" s="59">
        <f t="shared" si="9"/>
        <v>6431106.1491600014</v>
      </c>
      <c r="J60" s="59">
        <f t="shared" si="10"/>
        <v>0</v>
      </c>
      <c r="K60" s="59">
        <f t="shared" si="11"/>
        <v>0</v>
      </c>
      <c r="L60" s="676"/>
      <c r="M60" s="676"/>
      <c r="N60" s="676"/>
      <c r="O60" s="676"/>
      <c r="P60" s="676"/>
      <c r="Q60" s="676"/>
      <c r="R60" s="676"/>
      <c r="S60" s="676"/>
      <c r="T60" s="676"/>
      <c r="U60" s="676"/>
      <c r="V60" s="676"/>
      <c r="W60" s="676"/>
      <c r="X60" s="676"/>
      <c r="Y60" s="676"/>
      <c r="Z60" s="676"/>
      <c r="AA60" s="676"/>
    </row>
    <row r="61" spans="1:27" ht="15" customHeight="1" x14ac:dyDescent="0.25">
      <c r="A61" s="612">
        <v>15</v>
      </c>
      <c r="B61" s="377" t="s">
        <v>1089</v>
      </c>
      <c r="C61" s="691" t="s">
        <v>949</v>
      </c>
      <c r="D61" s="377" t="s">
        <v>717</v>
      </c>
      <c r="E61" s="212" t="e">
        <f>THM!J53</f>
        <v>#REF!</v>
      </c>
      <c r="F61" s="59">
        <f>'Giá Máy'!G18</f>
        <v>1703277.5</v>
      </c>
      <c r="G61" s="59">
        <f>'Giá Máy'!H18</f>
        <v>1703277.5</v>
      </c>
      <c r="H61" s="59">
        <f>'Giá Máy'!O18</f>
        <v>1703277.5</v>
      </c>
      <c r="I61" s="59" t="e">
        <f t="shared" si="9"/>
        <v>#REF!</v>
      </c>
      <c r="J61" s="59">
        <f t="shared" si="10"/>
        <v>0</v>
      </c>
      <c r="K61" s="59" t="e">
        <f t="shared" si="11"/>
        <v>#REF!</v>
      </c>
      <c r="L61" s="676"/>
      <c r="M61" s="676"/>
      <c r="N61" s="676"/>
      <c r="O61" s="676"/>
      <c r="P61" s="676"/>
      <c r="Q61" s="676"/>
      <c r="R61" s="676"/>
      <c r="S61" s="676"/>
      <c r="T61" s="676"/>
      <c r="U61" s="676"/>
      <c r="V61" s="676"/>
      <c r="W61" s="676"/>
      <c r="X61" s="676"/>
      <c r="Y61" s="676"/>
      <c r="Z61" s="676"/>
      <c r="AA61" s="676"/>
    </row>
    <row r="62" spans="1:27" ht="15" customHeight="1" x14ac:dyDescent="0.25">
      <c r="A62" s="612">
        <v>16</v>
      </c>
      <c r="B62" s="377" t="s">
        <v>811</v>
      </c>
      <c r="C62" s="691" t="s">
        <v>929</v>
      </c>
      <c r="D62" s="377" t="s">
        <v>717</v>
      </c>
      <c r="E62" s="212" t="e">
        <f>THM!J59</f>
        <v>#REF!</v>
      </c>
      <c r="F62" s="59" t="e">
        <f>'Giá Máy'!#REF!</f>
        <v>#REF!</v>
      </c>
      <c r="G62" s="59" t="e">
        <f>'Giá Máy'!#REF!</f>
        <v>#REF!</v>
      </c>
      <c r="H62" s="59" t="e">
        <f>'Giá Máy'!#REF!</f>
        <v>#REF!</v>
      </c>
      <c r="I62" s="59" t="e">
        <f t="shared" si="9"/>
        <v>#REF!</v>
      </c>
      <c r="J62" s="59" t="e">
        <f t="shared" si="10"/>
        <v>#REF!</v>
      </c>
      <c r="K62" s="59" t="e">
        <f t="shared" si="11"/>
        <v>#REF!</v>
      </c>
      <c r="L62" s="676"/>
      <c r="M62" s="676"/>
      <c r="N62" s="676"/>
      <c r="O62" s="676"/>
      <c r="P62" s="676"/>
      <c r="Q62" s="676"/>
      <c r="R62" s="676"/>
      <c r="S62" s="676"/>
      <c r="T62" s="676"/>
      <c r="U62" s="676"/>
      <c r="V62" s="676"/>
      <c r="W62" s="676"/>
      <c r="X62" s="676"/>
      <c r="Y62" s="676"/>
      <c r="Z62" s="676"/>
      <c r="AA62" s="676"/>
    </row>
    <row r="63" spans="1:27" ht="28.15" customHeight="1" x14ac:dyDescent="0.25">
      <c r="A63" s="612">
        <v>17</v>
      </c>
      <c r="B63" s="377" t="s">
        <v>1248</v>
      </c>
      <c r="C63" s="691" t="s">
        <v>196</v>
      </c>
      <c r="D63" s="377" t="s">
        <v>717</v>
      </c>
      <c r="E63" s="212">
        <f>THM!J62</f>
        <v>0.68154959999999998</v>
      </c>
      <c r="F63" s="59">
        <f>'Giá Máy'!G19</f>
        <v>5455372</v>
      </c>
      <c r="G63" s="59">
        <f>'Giá Máy'!H19</f>
        <v>5455372</v>
      </c>
      <c r="H63" s="59">
        <f>'Giá Máy'!O19</f>
        <v>5455372</v>
      </c>
      <c r="I63" s="59">
        <f t="shared" si="9"/>
        <v>3718106.6044512</v>
      </c>
      <c r="J63" s="59">
        <f t="shared" si="10"/>
        <v>0</v>
      </c>
      <c r="K63" s="59">
        <f t="shared" si="11"/>
        <v>0</v>
      </c>
      <c r="L63" s="676"/>
      <c r="M63" s="676"/>
      <c r="N63" s="676"/>
      <c r="O63" s="676"/>
      <c r="P63" s="676"/>
      <c r="Q63" s="676"/>
      <c r="R63" s="676"/>
      <c r="S63" s="676"/>
      <c r="T63" s="676"/>
      <c r="U63" s="676"/>
      <c r="V63" s="676"/>
      <c r="W63" s="676"/>
      <c r="X63" s="676"/>
      <c r="Y63" s="676"/>
      <c r="Z63" s="676"/>
      <c r="AA63" s="676"/>
    </row>
    <row r="64" spans="1:27" ht="15" customHeight="1" x14ac:dyDescent="0.25">
      <c r="A64" s="612">
        <v>18</v>
      </c>
      <c r="B64" s="377" t="s">
        <v>113</v>
      </c>
      <c r="C64" s="691" t="s">
        <v>94</v>
      </c>
      <c r="D64" s="377" t="s">
        <v>717</v>
      </c>
      <c r="E64" s="212" t="e">
        <f>THM!J66</f>
        <v>#REF!</v>
      </c>
      <c r="F64" s="59">
        <f>'Giá Máy'!G20</f>
        <v>317242</v>
      </c>
      <c r="G64" s="59">
        <f>'Giá Máy'!H20</f>
        <v>317242</v>
      </c>
      <c r="H64" s="59">
        <f>'Giá Máy'!O20</f>
        <v>317242</v>
      </c>
      <c r="I64" s="59" t="e">
        <f t="shared" si="9"/>
        <v>#REF!</v>
      </c>
      <c r="J64" s="59">
        <f t="shared" si="10"/>
        <v>0</v>
      </c>
      <c r="K64" s="59" t="e">
        <f t="shared" si="11"/>
        <v>#REF!</v>
      </c>
      <c r="L64" s="676"/>
      <c r="M64" s="676"/>
      <c r="N64" s="676"/>
      <c r="O64" s="676"/>
      <c r="P64" s="676"/>
      <c r="Q64" s="676"/>
      <c r="R64" s="676"/>
      <c r="S64" s="676"/>
      <c r="T64" s="676"/>
      <c r="U64" s="676"/>
      <c r="V64" s="676"/>
      <c r="W64" s="676"/>
      <c r="X64" s="676"/>
      <c r="Y64" s="676"/>
      <c r="Z64" s="676"/>
      <c r="AA64" s="676"/>
    </row>
    <row r="65" spans="1:27" ht="15" customHeight="1" x14ac:dyDescent="0.25">
      <c r="A65" s="612">
        <v>19</v>
      </c>
      <c r="B65" s="377" t="s">
        <v>1055</v>
      </c>
      <c r="C65" s="691" t="s">
        <v>517</v>
      </c>
      <c r="D65" s="377" t="s">
        <v>717</v>
      </c>
      <c r="E65" s="212">
        <f>THM!J72</f>
        <v>6.4103600000000011E-2</v>
      </c>
      <c r="F65" s="59">
        <f>'Giá Máy'!G21</f>
        <v>1960743.5</v>
      </c>
      <c r="G65" s="59">
        <f>'Giá Máy'!H21</f>
        <v>1960743.5</v>
      </c>
      <c r="H65" s="59">
        <f>'Giá Máy'!O21</f>
        <v>1960743.5</v>
      </c>
      <c r="I65" s="59">
        <f t="shared" si="9"/>
        <v>125690.71702660002</v>
      </c>
      <c r="J65" s="59">
        <f t="shared" si="10"/>
        <v>0</v>
      </c>
      <c r="K65" s="59">
        <f t="shared" si="11"/>
        <v>0</v>
      </c>
      <c r="L65" s="676"/>
      <c r="M65" s="676"/>
      <c r="N65" s="676"/>
      <c r="O65" s="676"/>
      <c r="P65" s="676"/>
      <c r="Q65" s="676"/>
      <c r="R65" s="676"/>
      <c r="S65" s="676"/>
      <c r="T65" s="676"/>
      <c r="U65" s="676"/>
      <c r="V65" s="676"/>
      <c r="W65" s="676"/>
      <c r="X65" s="676"/>
      <c r="Y65" s="676"/>
      <c r="Z65" s="676"/>
      <c r="AA65" s="676"/>
    </row>
    <row r="66" spans="1:27" ht="15" customHeight="1" x14ac:dyDescent="0.25">
      <c r="A66" s="612">
        <v>20</v>
      </c>
      <c r="B66" s="377" t="s">
        <v>271</v>
      </c>
      <c r="C66" s="691" t="s">
        <v>1188</v>
      </c>
      <c r="D66" s="377" t="s">
        <v>717</v>
      </c>
      <c r="E66" s="212" t="e">
        <f>THM!J77</f>
        <v>#REF!</v>
      </c>
      <c r="F66" s="59" t="e">
        <f>'Giá Máy'!#REF!</f>
        <v>#REF!</v>
      </c>
      <c r="G66" s="59" t="e">
        <f>'Giá Máy'!#REF!</f>
        <v>#REF!</v>
      </c>
      <c r="H66" s="59" t="e">
        <f>'Giá Máy'!#REF!</f>
        <v>#REF!</v>
      </c>
      <c r="I66" s="59" t="e">
        <f t="shared" si="9"/>
        <v>#REF!</v>
      </c>
      <c r="J66" s="59" t="e">
        <f t="shared" si="10"/>
        <v>#REF!</v>
      </c>
      <c r="K66" s="59" t="e">
        <f t="shared" si="11"/>
        <v>#REF!</v>
      </c>
      <c r="L66" s="676"/>
      <c r="M66" s="676"/>
      <c r="N66" s="676"/>
      <c r="O66" s="676"/>
      <c r="P66" s="676"/>
      <c r="Q66" s="676"/>
      <c r="R66" s="676"/>
      <c r="S66" s="676"/>
      <c r="T66" s="676"/>
      <c r="U66" s="676"/>
      <c r="V66" s="676"/>
      <c r="W66" s="676"/>
      <c r="X66" s="676"/>
      <c r="Y66" s="676"/>
      <c r="Z66" s="676"/>
      <c r="AA66" s="676"/>
    </row>
    <row r="67" spans="1:27" ht="15" customHeight="1" x14ac:dyDescent="0.25">
      <c r="A67" s="612">
        <v>21</v>
      </c>
      <c r="B67" s="377" t="s">
        <v>1060</v>
      </c>
      <c r="C67" s="691" t="s">
        <v>790</v>
      </c>
      <c r="D67" s="377" t="s">
        <v>717</v>
      </c>
      <c r="E67" s="212">
        <f>THM!J80</f>
        <v>0.45740000000000003</v>
      </c>
      <c r="F67" s="59">
        <f>'Giá Máy'!G22</f>
        <v>752384</v>
      </c>
      <c r="G67" s="59">
        <f>'Giá Máy'!H22</f>
        <v>752384</v>
      </c>
      <c r="H67" s="59">
        <f>'Giá Máy'!O22</f>
        <v>752384</v>
      </c>
      <c r="I67" s="59">
        <f t="shared" si="9"/>
        <v>344140.44160000002</v>
      </c>
      <c r="J67" s="59">
        <f t="shared" si="10"/>
        <v>0</v>
      </c>
      <c r="K67" s="59">
        <f t="shared" si="11"/>
        <v>0</v>
      </c>
      <c r="L67" s="676"/>
      <c r="M67" s="676"/>
      <c r="N67" s="676"/>
      <c r="O67" s="676"/>
      <c r="P67" s="676"/>
      <c r="Q67" s="676"/>
      <c r="R67" s="676"/>
      <c r="S67" s="676"/>
      <c r="T67" s="676"/>
      <c r="U67" s="676"/>
      <c r="V67" s="676"/>
      <c r="W67" s="676"/>
      <c r="X67" s="676"/>
      <c r="Y67" s="676"/>
      <c r="Z67" s="676"/>
      <c r="AA67" s="676"/>
    </row>
    <row r="68" spans="1:27" ht="15" customHeight="1" x14ac:dyDescent="0.25">
      <c r="A68" s="612">
        <v>22</v>
      </c>
      <c r="B68" s="377" t="s">
        <v>970</v>
      </c>
      <c r="C68" s="691" t="s">
        <v>1218</v>
      </c>
      <c r="D68" s="377" t="s">
        <v>717</v>
      </c>
      <c r="E68" s="212">
        <f>THM!J83</f>
        <v>0.46278960000000002</v>
      </c>
      <c r="F68" s="59">
        <f>'Giá Máy'!G23</f>
        <v>1202488</v>
      </c>
      <c r="G68" s="59">
        <f>'Giá Máy'!H23</f>
        <v>1202488</v>
      </c>
      <c r="H68" s="59">
        <f>'Giá Máy'!O23</f>
        <v>1202488</v>
      </c>
      <c r="I68" s="59">
        <f t="shared" si="9"/>
        <v>556498.94052479998</v>
      </c>
      <c r="J68" s="59">
        <f t="shared" si="10"/>
        <v>0</v>
      </c>
      <c r="K68" s="59">
        <f t="shared" si="11"/>
        <v>0</v>
      </c>
      <c r="L68" s="676"/>
      <c r="M68" s="676"/>
      <c r="N68" s="676"/>
      <c r="O68" s="676"/>
      <c r="P68" s="676"/>
      <c r="Q68" s="676"/>
      <c r="R68" s="676"/>
      <c r="S68" s="676"/>
      <c r="T68" s="676"/>
      <c r="U68" s="676"/>
      <c r="V68" s="676"/>
      <c r="W68" s="676"/>
      <c r="X68" s="676"/>
      <c r="Y68" s="676"/>
      <c r="Z68" s="676"/>
      <c r="AA68" s="676"/>
    </row>
    <row r="69" spans="1:27" ht="15" customHeight="1" x14ac:dyDescent="0.25">
      <c r="A69" s="612">
        <v>23</v>
      </c>
      <c r="B69" s="377" t="s">
        <v>995</v>
      </c>
      <c r="C69" s="691" t="s">
        <v>588</v>
      </c>
      <c r="D69" s="377" t="s">
        <v>717</v>
      </c>
      <c r="E69" s="212">
        <f>THM!J87</f>
        <v>0.52800000000000002</v>
      </c>
      <c r="F69" s="59">
        <f>'Giá Máy'!G24</f>
        <v>366617</v>
      </c>
      <c r="G69" s="59">
        <f>'Giá Máy'!H24</f>
        <v>366617</v>
      </c>
      <c r="H69" s="59">
        <f>'Giá Máy'!O24</f>
        <v>366617</v>
      </c>
      <c r="I69" s="59">
        <f t="shared" si="9"/>
        <v>193573.77600000001</v>
      </c>
      <c r="J69" s="59">
        <f t="shared" si="10"/>
        <v>0</v>
      </c>
      <c r="K69" s="59">
        <f t="shared" si="11"/>
        <v>0</v>
      </c>
      <c r="L69" s="676"/>
      <c r="M69" s="676"/>
      <c r="N69" s="676"/>
      <c r="O69" s="676"/>
      <c r="P69" s="676"/>
      <c r="Q69" s="676"/>
      <c r="R69" s="676"/>
      <c r="S69" s="676"/>
      <c r="T69" s="676"/>
      <c r="U69" s="676"/>
      <c r="V69" s="676"/>
      <c r="W69" s="676"/>
      <c r="X69" s="676"/>
      <c r="Y69" s="676"/>
      <c r="Z69" s="676"/>
      <c r="AA69" s="676"/>
    </row>
    <row r="70" spans="1:27" ht="15" customHeight="1" x14ac:dyDescent="0.25">
      <c r="A70" s="612">
        <v>24</v>
      </c>
      <c r="B70" s="377" t="s">
        <v>798</v>
      </c>
      <c r="C70" s="691" t="s">
        <v>988</v>
      </c>
      <c r="D70" s="377" t="s">
        <v>717</v>
      </c>
      <c r="E70" s="212">
        <f>THM!J89</f>
        <v>1.3598118000000001</v>
      </c>
      <c r="F70" s="59">
        <f>'Giá Máy'!G25</f>
        <v>953819</v>
      </c>
      <c r="G70" s="59">
        <f>'Giá Máy'!H25</f>
        <v>953819</v>
      </c>
      <c r="H70" s="59">
        <f>'Giá Máy'!O25</f>
        <v>953819</v>
      </c>
      <c r="I70" s="59">
        <f t="shared" si="9"/>
        <v>1297014.3312642002</v>
      </c>
      <c r="J70" s="59">
        <f t="shared" si="10"/>
        <v>0</v>
      </c>
      <c r="K70" s="59">
        <f t="shared" si="11"/>
        <v>0</v>
      </c>
      <c r="L70" s="676"/>
      <c r="M70" s="676"/>
      <c r="N70" s="676"/>
      <c r="O70" s="676"/>
      <c r="P70" s="676"/>
      <c r="Q70" s="676"/>
      <c r="R70" s="676"/>
      <c r="S70" s="676"/>
      <c r="T70" s="676"/>
      <c r="U70" s="676"/>
      <c r="V70" s="676"/>
      <c r="W70" s="676"/>
      <c r="X70" s="676"/>
      <c r="Y70" s="676"/>
      <c r="Z70" s="676"/>
      <c r="AA70" s="676"/>
    </row>
    <row r="71" spans="1:27" ht="15" customHeight="1" x14ac:dyDescent="0.25">
      <c r="A71" s="612">
        <v>25</v>
      </c>
      <c r="B71" s="377" t="s">
        <v>1162</v>
      </c>
      <c r="C71" s="691" t="s">
        <v>1166</v>
      </c>
      <c r="D71" s="377" t="s">
        <v>1113</v>
      </c>
      <c r="E71" s="212" t="e">
        <f>THM!J93</f>
        <v>#REF!</v>
      </c>
      <c r="F71" s="59">
        <v>0</v>
      </c>
      <c r="G71" s="59">
        <v>0</v>
      </c>
      <c r="H71" s="59">
        <v>0</v>
      </c>
      <c r="I71" s="59">
        <v>338370.50681859598</v>
      </c>
      <c r="J71" s="59">
        <f t="shared" si="10"/>
        <v>0</v>
      </c>
      <c r="K71" s="59" t="e">
        <f t="shared" si="11"/>
        <v>#REF!</v>
      </c>
      <c r="L71" s="676"/>
      <c r="M71" s="676"/>
      <c r="N71" s="676"/>
      <c r="O71" s="676"/>
      <c r="P71" s="676"/>
      <c r="Q71" s="676"/>
      <c r="R71" s="676"/>
      <c r="S71" s="676"/>
      <c r="T71" s="676"/>
      <c r="U71" s="676"/>
      <c r="V71" s="676"/>
      <c r="W71" s="676"/>
      <c r="X71" s="676"/>
      <c r="Y71" s="676"/>
      <c r="Z71" s="676"/>
      <c r="AA71" s="676"/>
    </row>
    <row r="72" spans="1:27" ht="16.149999999999999" customHeight="1" x14ac:dyDescent="0.25">
      <c r="A72" s="612"/>
      <c r="B72" s="377"/>
      <c r="C72" s="691"/>
      <c r="D72" s="377"/>
      <c r="E72" s="668"/>
      <c r="F72" s="59"/>
      <c r="G72" s="59"/>
      <c r="H72" s="59"/>
      <c r="I72" s="59"/>
      <c r="J72" s="59"/>
      <c r="K72" s="59"/>
      <c r="L72" s="676"/>
      <c r="M72" s="676"/>
      <c r="N72" s="676"/>
      <c r="O72" s="676"/>
      <c r="P72" s="676"/>
      <c r="Q72" s="676"/>
      <c r="R72" s="676"/>
      <c r="S72" s="676"/>
      <c r="T72" s="676"/>
      <c r="U72" s="676"/>
      <c r="V72" s="676"/>
      <c r="W72" s="676"/>
      <c r="X72" s="676"/>
      <c r="Y72" s="676"/>
      <c r="Z72" s="676"/>
      <c r="AA72" s="676"/>
    </row>
    <row r="73" spans="1:27" ht="14.1" customHeight="1" x14ac:dyDescent="0.25">
      <c r="A73" s="154"/>
      <c r="B73" s="363"/>
      <c r="C73" s="673"/>
      <c r="D73" s="363"/>
      <c r="E73" s="659"/>
      <c r="F73" s="47"/>
      <c r="G73" s="47"/>
      <c r="H73" s="47"/>
      <c r="I73" s="47"/>
      <c r="J73" s="47"/>
      <c r="K73" s="47"/>
      <c r="L73" s="676"/>
      <c r="M73" s="676"/>
      <c r="N73" s="676"/>
      <c r="O73" s="676"/>
      <c r="P73" s="676"/>
      <c r="Q73" s="676"/>
      <c r="R73" s="676"/>
      <c r="S73" s="676"/>
      <c r="T73" s="676"/>
      <c r="U73" s="676"/>
      <c r="V73" s="676"/>
      <c r="W73" s="676"/>
      <c r="X73" s="676"/>
      <c r="Y73" s="676"/>
      <c r="Z73" s="676"/>
      <c r="AA73" s="676"/>
    </row>
    <row r="74" spans="1:27" ht="14.1" customHeight="1" x14ac:dyDescent="0.25">
      <c r="A74" s="715"/>
      <c r="B74" s="11"/>
      <c r="C74" s="11"/>
      <c r="D74" s="11"/>
      <c r="E74" s="11"/>
      <c r="F74" s="11"/>
      <c r="G74" s="11"/>
      <c r="H74" s="11"/>
      <c r="I74" s="11"/>
      <c r="J74" s="11"/>
      <c r="K74" s="11"/>
      <c r="L74" s="676"/>
      <c r="M74" s="676"/>
      <c r="N74" s="676"/>
      <c r="O74" s="676"/>
      <c r="P74" s="676"/>
      <c r="Q74" s="676"/>
      <c r="R74" s="676"/>
      <c r="S74" s="676"/>
      <c r="T74" s="676"/>
      <c r="U74" s="676"/>
      <c r="V74" s="676"/>
      <c r="W74" s="676"/>
      <c r="X74" s="676"/>
      <c r="Y74" s="676"/>
      <c r="Z74" s="676"/>
      <c r="AA74" s="676"/>
    </row>
    <row r="75" spans="1:27" x14ac:dyDescent="0.25">
      <c r="B75" s="676"/>
      <c r="C75" s="676"/>
      <c r="D75" s="676"/>
      <c r="E75" s="676"/>
      <c r="F75" s="676"/>
      <c r="G75" s="676"/>
      <c r="H75" s="676"/>
      <c r="I75" s="676"/>
      <c r="J75" s="676"/>
      <c r="K75" s="676"/>
      <c r="L75" s="676"/>
      <c r="M75" s="676"/>
      <c r="N75" s="676"/>
      <c r="O75" s="676"/>
      <c r="P75" s="676"/>
      <c r="Q75" s="676"/>
      <c r="R75" s="676"/>
      <c r="S75" s="676"/>
      <c r="T75" s="676"/>
      <c r="U75" s="676"/>
      <c r="V75" s="676"/>
      <c r="W75" s="676"/>
      <c r="X75" s="676"/>
      <c r="Y75" s="676"/>
      <c r="Z75" s="676"/>
      <c r="AA75" s="676"/>
    </row>
    <row r="76" spans="1:27" x14ac:dyDescent="0.25">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row>
  </sheetData>
  <mergeCells count="13">
    <mergeCell ref="A1:K1"/>
    <mergeCell ref="A2:K2"/>
    <mergeCell ref="A3:K3"/>
    <mergeCell ref="J4:K4"/>
    <mergeCell ref="A4:A5"/>
    <mergeCell ref="I4:I5"/>
    <mergeCell ref="G4:G5"/>
    <mergeCell ref="B4:B5"/>
    <mergeCell ref="C4:C5"/>
    <mergeCell ref="D4:D5"/>
    <mergeCell ref="E4:E5"/>
    <mergeCell ref="F4:F5"/>
    <mergeCell ref="H4:H5"/>
  </mergeCell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0"/>
  <sheetViews>
    <sheetView showGridLines="0" topLeftCell="B1" workbookViewId="0"/>
  </sheetViews>
  <sheetFormatPr defaultRowHeight="15" x14ac:dyDescent="0.25"/>
  <cols>
    <col min="1" max="1" width="8.85546875" hidden="1" customWidth="1"/>
    <col min="2" max="2" width="5" customWidth="1"/>
    <col min="3" max="3" width="52.7109375" customWidth="1"/>
    <col min="4" max="4" width="15.7109375" customWidth="1"/>
    <col min="5" max="5" width="14" customWidth="1"/>
    <col min="6" max="6" width="12" customWidth="1"/>
    <col min="7" max="7" width="9.42578125" customWidth="1"/>
    <col min="8" max="8" width="17" customWidth="1"/>
    <col min="9" max="10" width="9.42578125" customWidth="1"/>
  </cols>
  <sheetData>
    <row r="1" spans="1:27" ht="18.75" x14ac:dyDescent="0.25">
      <c r="A1" s="530"/>
      <c r="B1" s="1102" t="s">
        <v>819</v>
      </c>
      <c r="C1" s="1102"/>
      <c r="D1" s="1102"/>
      <c r="E1" s="1102"/>
      <c r="F1" s="1102"/>
      <c r="G1" s="1102"/>
      <c r="H1" s="1102"/>
      <c r="I1" s="530"/>
      <c r="J1" s="472"/>
    </row>
    <row r="2" spans="1:27" ht="15.75" x14ac:dyDescent="0.25">
      <c r="A2" s="456"/>
      <c r="B2" s="1103" t="s">
        <v>1054</v>
      </c>
      <c r="C2" s="1103"/>
      <c r="D2" s="1103"/>
      <c r="E2" s="1103"/>
      <c r="F2" s="1103"/>
      <c r="G2" s="1103"/>
      <c r="H2" s="1103"/>
      <c r="I2" s="368"/>
      <c r="J2" s="242"/>
      <c r="K2" s="676"/>
      <c r="L2" s="676"/>
      <c r="M2" s="676"/>
      <c r="N2" s="676"/>
      <c r="O2" s="676"/>
      <c r="P2" s="676"/>
      <c r="Q2" s="676"/>
      <c r="R2" s="676"/>
      <c r="S2" s="676"/>
      <c r="T2" s="676"/>
      <c r="U2" s="676"/>
      <c r="V2" s="676"/>
      <c r="W2" s="676"/>
      <c r="X2" s="676"/>
      <c r="Y2" s="676"/>
      <c r="Z2" s="676"/>
      <c r="AA2" s="676"/>
    </row>
    <row r="3" spans="1:27" ht="15.75" x14ac:dyDescent="0.25">
      <c r="A3" s="456"/>
      <c r="B3" s="1103" t="s">
        <v>471</v>
      </c>
      <c r="C3" s="1103"/>
      <c r="D3" s="1103"/>
      <c r="E3" s="1103"/>
      <c r="F3" s="1103"/>
      <c r="G3" s="1103"/>
      <c r="H3" s="1103"/>
      <c r="I3" s="368"/>
      <c r="J3" s="242"/>
      <c r="K3" s="676"/>
      <c r="L3" s="676"/>
      <c r="M3" s="676"/>
      <c r="N3" s="676"/>
      <c r="O3" s="676"/>
      <c r="P3" s="676"/>
      <c r="Q3" s="676"/>
      <c r="R3" s="676"/>
      <c r="S3" s="676"/>
      <c r="T3" s="676"/>
      <c r="U3" s="676"/>
      <c r="V3" s="676"/>
      <c r="W3" s="676"/>
      <c r="X3" s="676"/>
      <c r="Y3" s="676"/>
      <c r="Z3" s="676"/>
      <c r="AA3" s="676"/>
    </row>
    <row r="4" spans="1:27" x14ac:dyDescent="0.25">
      <c r="A4" s="451"/>
      <c r="B4" s="213"/>
      <c r="C4" s="213"/>
      <c r="D4" s="213"/>
      <c r="E4" s="213"/>
      <c r="F4" s="213"/>
      <c r="G4" s="213"/>
      <c r="H4" s="213"/>
      <c r="I4" s="213"/>
      <c r="J4" s="242"/>
      <c r="K4" s="676"/>
      <c r="L4" s="676"/>
      <c r="M4" s="676"/>
      <c r="N4" s="676"/>
      <c r="O4" s="676"/>
      <c r="P4" s="676"/>
      <c r="Q4" s="676"/>
      <c r="R4" s="676"/>
      <c r="S4" s="676"/>
      <c r="T4" s="676"/>
      <c r="U4" s="676"/>
      <c r="V4" s="676"/>
      <c r="W4" s="676"/>
      <c r="X4" s="676"/>
      <c r="Y4" s="676"/>
      <c r="Z4" s="676"/>
      <c r="AA4" s="676"/>
    </row>
    <row r="5" spans="1:27" ht="42.75" x14ac:dyDescent="0.25">
      <c r="A5" s="726" t="s">
        <v>1114</v>
      </c>
      <c r="B5" s="726" t="s">
        <v>386</v>
      </c>
      <c r="C5" s="726" t="s">
        <v>538</v>
      </c>
      <c r="D5" s="726" t="s">
        <v>312</v>
      </c>
      <c r="E5" s="726" t="s">
        <v>375</v>
      </c>
      <c r="F5" s="726" t="s">
        <v>50</v>
      </c>
      <c r="G5" s="726" t="s">
        <v>545</v>
      </c>
      <c r="H5" s="726" t="s">
        <v>1091</v>
      </c>
      <c r="I5" s="726" t="s">
        <v>172</v>
      </c>
      <c r="J5" s="472"/>
    </row>
    <row r="6" spans="1:27" x14ac:dyDescent="0.25">
      <c r="A6" s="131"/>
      <c r="B6" s="131" t="s">
        <v>1143</v>
      </c>
      <c r="C6" s="131" t="s">
        <v>1196</v>
      </c>
      <c r="D6" s="131" t="s">
        <v>1258</v>
      </c>
      <c r="E6" s="131" t="s">
        <v>560</v>
      </c>
      <c r="F6" s="131" t="s">
        <v>624</v>
      </c>
      <c r="G6" s="131" t="s">
        <v>689</v>
      </c>
      <c r="H6" s="726"/>
      <c r="I6" s="726"/>
      <c r="J6" s="472"/>
    </row>
    <row r="7" spans="1:27" x14ac:dyDescent="0.25">
      <c r="A7" s="452"/>
      <c r="B7" s="576">
        <v>1</v>
      </c>
      <c r="C7" s="408" t="s">
        <v>638</v>
      </c>
      <c r="D7" s="364" t="e">
        <f t="shared" ref="D7:F7" si="0">SUM(D8:D8)</f>
        <v>#REF!</v>
      </c>
      <c r="E7" s="364" t="e">
        <f t="shared" si="0"/>
        <v>#REF!</v>
      </c>
      <c r="F7" s="364" t="e">
        <f t="shared" si="0"/>
        <v>#REF!</v>
      </c>
      <c r="G7" s="576" t="s">
        <v>722</v>
      </c>
      <c r="H7" s="223"/>
      <c r="I7" s="68"/>
      <c r="J7" s="472"/>
    </row>
    <row r="8" spans="1:27" x14ac:dyDescent="0.25">
      <c r="A8" s="178"/>
      <c r="B8" s="312"/>
      <c r="C8" s="414" t="s">
        <v>477</v>
      </c>
      <c r="D8" s="75" t="e">
        <f>ĐGTH!H47/(1+I8)</f>
        <v>#REF!</v>
      </c>
      <c r="E8" s="75" t="e">
        <f>D8*I8</f>
        <v>#REF!</v>
      </c>
      <c r="F8" s="75" t="e">
        <f>D8+E8</f>
        <v>#REF!</v>
      </c>
      <c r="G8" s="312"/>
      <c r="H8" s="312"/>
      <c r="I8" s="633">
        <v>0</v>
      </c>
      <c r="J8" s="35"/>
    </row>
    <row r="9" spans="1:27" x14ac:dyDescent="0.25">
      <c r="A9" s="200"/>
      <c r="B9" s="333">
        <v>2</v>
      </c>
      <c r="C9" s="147" t="s">
        <v>1004</v>
      </c>
      <c r="D9" s="96" t="e">
        <f t="shared" ref="D9:F9" si="1">ROUND(SUM(D10:D12),0)</f>
        <v>#REF!</v>
      </c>
      <c r="E9" s="96" t="e">
        <f t="shared" si="1"/>
        <v>#REF!</v>
      </c>
      <c r="F9" s="96" t="e">
        <f t="shared" si="1"/>
        <v>#REF!</v>
      </c>
      <c r="G9" s="333" t="s">
        <v>72</v>
      </c>
      <c r="H9" s="719"/>
      <c r="I9" s="591"/>
      <c r="J9" s="472"/>
    </row>
    <row r="10" spans="1:27" ht="30" x14ac:dyDescent="0.25">
      <c r="A10" s="591"/>
      <c r="B10" s="719"/>
      <c r="C10" s="580" t="s">
        <v>474</v>
      </c>
      <c r="D10" s="517" t="e">
        <f t="shared" ref="D10:D11" si="2">$D$7*I10</f>
        <v>#REF!</v>
      </c>
      <c r="E10" s="517" t="e">
        <f t="shared" ref="E10:E11" si="3">D10*10%</f>
        <v>#REF!</v>
      </c>
      <c r="F10" s="75" t="e">
        <f t="shared" ref="F10:F11" si="4">D10+E10</f>
        <v>#REF!</v>
      </c>
      <c r="G10" s="719"/>
      <c r="H10" s="719" t="s">
        <v>1140</v>
      </c>
      <c r="I10" s="195">
        <v>0</v>
      </c>
      <c r="J10" s="472"/>
    </row>
    <row r="11" spans="1:27" ht="30" x14ac:dyDescent="0.25">
      <c r="A11" s="591"/>
      <c r="B11" s="719"/>
      <c r="C11" s="580" t="s">
        <v>274</v>
      </c>
      <c r="D11" s="517" t="e">
        <f t="shared" si="2"/>
        <v>#REF!</v>
      </c>
      <c r="E11" s="517" t="e">
        <f t="shared" si="3"/>
        <v>#REF!</v>
      </c>
      <c r="F11" s="75" t="e">
        <f t="shared" si="4"/>
        <v>#REF!</v>
      </c>
      <c r="G11" s="719"/>
      <c r="H11" s="719" t="s">
        <v>1030</v>
      </c>
      <c r="I11" s="195">
        <v>0</v>
      </c>
      <c r="J11" s="472"/>
    </row>
    <row r="12" spans="1:27" x14ac:dyDescent="0.25">
      <c r="A12" s="591"/>
      <c r="B12" s="719"/>
      <c r="C12" s="580" t="s">
        <v>399</v>
      </c>
      <c r="D12" s="517"/>
      <c r="E12" s="517"/>
      <c r="F12" s="517"/>
      <c r="G12" s="719"/>
      <c r="H12" s="719"/>
      <c r="I12" s="591"/>
      <c r="J12" s="472"/>
    </row>
    <row r="13" spans="1:27" x14ac:dyDescent="0.25">
      <c r="A13" s="200"/>
      <c r="B13" s="333">
        <v>3</v>
      </c>
      <c r="C13" s="147" t="s">
        <v>614</v>
      </c>
      <c r="D13" s="96" t="e">
        <f t="shared" ref="D13:F13" si="5">ROUND(SUM(D14:D15),0)</f>
        <v>#REF!</v>
      </c>
      <c r="E13" s="96" t="e">
        <f t="shared" si="5"/>
        <v>#REF!</v>
      </c>
      <c r="F13" s="96" t="e">
        <f t="shared" si="5"/>
        <v>#REF!</v>
      </c>
      <c r="G13" s="333" t="s">
        <v>868</v>
      </c>
      <c r="H13" s="719" t="s">
        <v>683</v>
      </c>
      <c r="I13" s="591"/>
      <c r="J13" s="472"/>
    </row>
    <row r="14" spans="1:27" x14ac:dyDescent="0.25">
      <c r="A14" s="591"/>
      <c r="B14" s="719"/>
      <c r="C14" s="580" t="s">
        <v>1129</v>
      </c>
      <c r="D14" s="517" t="e">
        <f t="shared" ref="D14:D15" si="6">(D$7+$D$9)*I14</f>
        <v>#REF!</v>
      </c>
      <c r="E14" s="517" t="e">
        <f t="shared" ref="E14:E15" si="7">D14*10%</f>
        <v>#REF!</v>
      </c>
      <c r="F14" s="75" t="e">
        <f t="shared" ref="F14:F15" si="8">D14+E14</f>
        <v>#REF!</v>
      </c>
      <c r="G14" s="312" t="s">
        <v>676</v>
      </c>
      <c r="H14" s="719" t="s">
        <v>353</v>
      </c>
      <c r="I14" s="195">
        <v>0</v>
      </c>
      <c r="J14" s="472"/>
    </row>
    <row r="15" spans="1:27" x14ac:dyDescent="0.25">
      <c r="A15" s="547"/>
      <c r="B15" s="669"/>
      <c r="C15" s="513" t="s">
        <v>1040</v>
      </c>
      <c r="D15" s="517" t="e">
        <f t="shared" si="6"/>
        <v>#REF!</v>
      </c>
      <c r="E15" s="517" t="e">
        <f t="shared" si="7"/>
        <v>#REF!</v>
      </c>
      <c r="F15" s="75" t="e">
        <f t="shared" si="8"/>
        <v>#REF!</v>
      </c>
      <c r="G15" s="273" t="s">
        <v>1046</v>
      </c>
      <c r="H15" s="669"/>
      <c r="I15" s="547"/>
      <c r="J15" s="472"/>
    </row>
    <row r="16" spans="1:27" x14ac:dyDescent="0.25">
      <c r="A16" s="305"/>
      <c r="B16" s="423"/>
      <c r="C16" s="272" t="s">
        <v>403</v>
      </c>
      <c r="D16" s="222" t="e">
        <f t="shared" ref="D16:F16" si="9">D7+D9+D13</f>
        <v>#REF!</v>
      </c>
      <c r="E16" s="222" t="e">
        <f t="shared" si="9"/>
        <v>#REF!</v>
      </c>
      <c r="F16" s="222" t="e">
        <f t="shared" si="9"/>
        <v>#REF!</v>
      </c>
      <c r="G16" s="423" t="s">
        <v>764</v>
      </c>
      <c r="H16" s="423"/>
      <c r="I16" s="305"/>
      <c r="J16" s="472"/>
    </row>
    <row r="17" spans="1:10" x14ac:dyDescent="0.25">
      <c r="A17" s="451"/>
      <c r="B17" s="451"/>
      <c r="C17" s="451"/>
      <c r="D17" s="451"/>
      <c r="E17" s="451"/>
      <c r="F17" s="451"/>
      <c r="G17" s="451"/>
      <c r="H17" s="451"/>
      <c r="I17" s="451"/>
      <c r="J17" s="472"/>
    </row>
    <row r="18" spans="1:10" x14ac:dyDescent="0.25">
      <c r="A18" s="451"/>
      <c r="B18" s="451"/>
      <c r="C18" s="451"/>
      <c r="D18" s="451"/>
      <c r="E18" s="451"/>
      <c r="F18" s="451"/>
      <c r="G18" s="451"/>
      <c r="H18" s="451"/>
      <c r="I18" s="451"/>
      <c r="J18" s="472"/>
    </row>
    <row r="19" spans="1:10" x14ac:dyDescent="0.25">
      <c r="A19" s="451"/>
      <c r="B19" s="451"/>
      <c r="C19" s="451"/>
      <c r="D19" s="451"/>
      <c r="E19" s="451"/>
      <c r="F19" s="451"/>
      <c r="G19" s="451"/>
      <c r="H19" s="451"/>
      <c r="I19" s="451"/>
      <c r="J19" s="472"/>
    </row>
    <row r="20" spans="1:10" x14ac:dyDescent="0.25">
      <c r="A20" s="451"/>
      <c r="B20" s="451"/>
      <c r="C20" s="451"/>
      <c r="D20" s="451"/>
      <c r="E20" s="451"/>
      <c r="F20" s="451"/>
      <c r="G20" s="451"/>
      <c r="H20" s="451"/>
      <c r="I20" s="451"/>
      <c r="J20" s="472"/>
    </row>
  </sheetData>
  <mergeCells count="3">
    <mergeCell ref="B1:H1"/>
    <mergeCell ref="B2:H2"/>
    <mergeCell ref="B3:H3"/>
  </mergeCells>
  <pageMargins left="0.7" right="0.7" top="0.75" bottom="0.75" header="0.3" footer="0.3"/>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14"/>
  <sheetViews>
    <sheetView showZeros="0" topLeftCell="B1" workbookViewId="0">
      <selection activeCell="B13" sqref="B13:O13"/>
    </sheetView>
  </sheetViews>
  <sheetFormatPr defaultColWidth="9.140625" defaultRowHeight="15" x14ac:dyDescent="0.25"/>
  <cols>
    <col min="1" max="1" width="9.140625" style="751" hidden="1" customWidth="1"/>
    <col min="2" max="2" width="9.42578125" style="751" customWidth="1"/>
    <col min="3" max="9" width="10.42578125" style="751" customWidth="1"/>
    <col min="10" max="10" width="10.140625" style="751" customWidth="1"/>
    <col min="11" max="11" width="10.42578125" style="751" customWidth="1"/>
    <col min="12" max="12" width="9.5703125" style="751" customWidth="1"/>
    <col min="13" max="15" width="9" style="751" customWidth="1"/>
    <col min="16" max="16" width="9.140625" style="751" customWidth="1"/>
    <col min="17" max="16384" width="9.140625" style="751"/>
  </cols>
  <sheetData>
    <row r="1" spans="1:27" ht="15.75" x14ac:dyDescent="0.25">
      <c r="J1" s="1105" t="s">
        <v>459</v>
      </c>
      <c r="K1" s="1105"/>
      <c r="L1" s="1105"/>
      <c r="M1" s="1105"/>
      <c r="N1" s="1105"/>
      <c r="O1" s="1105"/>
    </row>
    <row r="2" spans="1:27" ht="16.5" x14ac:dyDescent="0.25">
      <c r="B2" s="979"/>
      <c r="C2" s="979"/>
      <c r="D2" s="979"/>
      <c r="E2" s="979"/>
      <c r="F2" s="979"/>
      <c r="J2" s="1106" t="s">
        <v>564</v>
      </c>
      <c r="K2" s="1106"/>
      <c r="L2" s="1106"/>
      <c r="M2" s="1106"/>
      <c r="N2" s="1106"/>
      <c r="O2" s="1106"/>
    </row>
    <row r="3" spans="1:27" ht="16.5" x14ac:dyDescent="0.25">
      <c r="J3" s="1107" t="s">
        <v>850</v>
      </c>
      <c r="K3" s="1108"/>
      <c r="L3" s="1108"/>
      <c r="M3" s="1108"/>
      <c r="N3" s="1108"/>
      <c r="O3" s="1108"/>
    </row>
    <row r="4" spans="1:27" x14ac:dyDescent="0.25">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x14ac:dyDescent="0.25">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7" x14ac:dyDescent="0.25">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x14ac:dyDescent="0.25">
      <c r="B7" s="1109" t="s">
        <v>1265</v>
      </c>
      <c r="C7" s="1109"/>
      <c r="D7" s="1109"/>
      <c r="E7" s="1109"/>
      <c r="F7" s="1109"/>
      <c r="G7" s="1109"/>
      <c r="H7" s="1109"/>
      <c r="I7" s="1109"/>
      <c r="J7" s="1109"/>
      <c r="K7" s="1109"/>
      <c r="L7" s="1109"/>
      <c r="M7" s="1109"/>
      <c r="N7" s="1109"/>
      <c r="O7" s="1109"/>
      <c r="P7" s="49"/>
      <c r="Q7" s="49"/>
      <c r="R7" s="49"/>
      <c r="S7" s="49"/>
      <c r="T7" s="49"/>
      <c r="U7" s="49"/>
      <c r="V7" s="49"/>
      <c r="W7" s="49"/>
      <c r="X7" s="49"/>
      <c r="Y7" s="49"/>
      <c r="Z7" s="49"/>
      <c r="AA7" s="49"/>
    </row>
    <row r="8" spans="1:27" x14ac:dyDescent="0.25">
      <c r="B8" s="1109" t="s">
        <v>315</v>
      </c>
      <c r="C8" s="1109"/>
      <c r="D8" s="1109"/>
      <c r="E8" s="1109"/>
      <c r="F8" s="1109"/>
      <c r="G8" s="1109"/>
      <c r="H8" s="1109"/>
      <c r="I8" s="1109"/>
      <c r="J8" s="1109"/>
      <c r="K8" s="1109"/>
      <c r="L8" s="1109"/>
      <c r="M8" s="1109"/>
      <c r="N8" s="1109"/>
      <c r="O8" s="1109"/>
      <c r="P8" s="49"/>
      <c r="Q8" s="49"/>
      <c r="R8" s="49"/>
      <c r="S8" s="49"/>
      <c r="T8" s="49"/>
      <c r="U8" s="49"/>
      <c r="V8" s="49"/>
      <c r="W8" s="49"/>
      <c r="X8" s="49"/>
      <c r="Y8" s="49"/>
      <c r="Z8" s="49"/>
      <c r="AA8" s="49"/>
    </row>
    <row r="9" spans="1:27" x14ac:dyDescent="0.25">
      <c r="B9" s="1104" t="s">
        <v>1115</v>
      </c>
      <c r="C9" s="1104"/>
      <c r="D9" s="1104"/>
      <c r="E9" s="1104"/>
      <c r="F9" s="1104"/>
      <c r="G9" s="1104"/>
      <c r="H9" s="1104"/>
      <c r="I9" s="1104"/>
      <c r="J9" s="1104"/>
      <c r="K9" s="1104"/>
      <c r="L9" s="1104"/>
      <c r="M9" s="1104"/>
      <c r="N9" s="1104"/>
      <c r="O9" s="1104"/>
      <c r="P9" s="49"/>
      <c r="Q9" s="49"/>
      <c r="R9" s="49"/>
      <c r="S9" s="49"/>
      <c r="T9" s="49"/>
      <c r="U9" s="49"/>
      <c r="V9" s="49"/>
      <c r="W9" s="49"/>
      <c r="X9" s="49"/>
      <c r="Y9" s="49"/>
      <c r="Z9" s="49"/>
      <c r="AA9" s="49"/>
    </row>
    <row r="10" spans="1:27" ht="18" customHeight="1" x14ac:dyDescent="0.25">
      <c r="B10" s="349" t="s">
        <v>386</v>
      </c>
      <c r="C10" s="982" t="s">
        <v>852</v>
      </c>
      <c r="D10" s="982"/>
      <c r="E10" s="982"/>
      <c r="F10" s="982"/>
      <c r="G10" s="982"/>
      <c r="H10" s="982"/>
      <c r="I10" s="982"/>
      <c r="J10" s="982" t="s">
        <v>436</v>
      </c>
      <c r="K10" s="982"/>
      <c r="L10" s="982"/>
      <c r="M10" s="982" t="s">
        <v>1118</v>
      </c>
      <c r="N10" s="982"/>
      <c r="O10" s="982"/>
      <c r="P10" s="49"/>
      <c r="Q10" s="49"/>
      <c r="R10" s="49"/>
      <c r="S10" s="49"/>
      <c r="T10" s="49"/>
      <c r="U10" s="49"/>
      <c r="V10" s="49"/>
      <c r="W10" s="49"/>
      <c r="X10" s="49"/>
      <c r="Y10" s="49"/>
      <c r="Z10" s="49"/>
      <c r="AA10" s="49"/>
    </row>
    <row r="11" spans="1:27" x14ac:dyDescent="0.25">
      <c r="A11" s="426"/>
      <c r="B11" s="586">
        <v>1</v>
      </c>
      <c r="C11" s="1111" t="s">
        <v>873</v>
      </c>
      <c r="D11" s="1111"/>
      <c r="E11" s="1111"/>
      <c r="F11" s="1111"/>
      <c r="G11" s="1111"/>
      <c r="H11" s="1111"/>
      <c r="I11" s="1111"/>
      <c r="J11" s="1112" t="e">
        <f>ĐGTH!H47</f>
        <v>#REF!</v>
      </c>
      <c r="K11" s="1111"/>
      <c r="L11" s="1111"/>
      <c r="M11" s="1111"/>
      <c r="N11" s="1111"/>
      <c r="O11" s="1111"/>
      <c r="P11" s="49"/>
      <c r="Q11" s="49"/>
      <c r="R11" s="49"/>
      <c r="S11" s="49"/>
      <c r="T11" s="49"/>
      <c r="U11" s="49"/>
      <c r="V11" s="49"/>
      <c r="W11" s="49"/>
      <c r="X11" s="49"/>
      <c r="Y11" s="49"/>
      <c r="Z11" s="49"/>
      <c r="AA11" s="49"/>
    </row>
    <row r="12" spans="1:27" x14ac:dyDescent="0.25">
      <c r="A12" s="600"/>
      <c r="B12" s="260"/>
      <c r="C12" s="1113" t="s">
        <v>1132</v>
      </c>
      <c r="D12" s="1113"/>
      <c r="E12" s="1113"/>
      <c r="F12" s="1113"/>
      <c r="G12" s="1113"/>
      <c r="H12" s="1113"/>
      <c r="I12" s="1113"/>
      <c r="J12" s="1114" t="e">
        <f>SUM(J11:L11)</f>
        <v>#REF!</v>
      </c>
      <c r="K12" s="1113"/>
      <c r="L12" s="1113"/>
      <c r="M12" s="1113"/>
      <c r="N12" s="1113"/>
      <c r="O12" s="1113"/>
      <c r="P12" s="49"/>
      <c r="Q12" s="49"/>
      <c r="R12" s="49"/>
      <c r="S12" s="49"/>
      <c r="T12" s="49"/>
      <c r="U12" s="49"/>
      <c r="V12" s="49"/>
      <c r="W12" s="49"/>
      <c r="X12" s="49"/>
      <c r="Y12" s="49"/>
      <c r="Z12" s="49"/>
      <c r="AA12" s="49"/>
    </row>
    <row r="13" spans="1:27" x14ac:dyDescent="0.25">
      <c r="B13" s="1110" t="s">
        <v>786</v>
      </c>
      <c r="C13" s="1110" t="s">
        <v>786</v>
      </c>
      <c r="D13" s="1110" t="s">
        <v>786</v>
      </c>
      <c r="E13" s="1110" t="s">
        <v>786</v>
      </c>
      <c r="F13" s="1110" t="s">
        <v>786</v>
      </c>
      <c r="G13" s="1110" t="s">
        <v>786</v>
      </c>
      <c r="H13" s="1110" t="s">
        <v>786</v>
      </c>
      <c r="I13" s="1110" t="s">
        <v>786</v>
      </c>
      <c r="J13" s="1110" t="s">
        <v>786</v>
      </c>
      <c r="K13" s="1110" t="s">
        <v>786</v>
      </c>
      <c r="L13" s="1110" t="s">
        <v>786</v>
      </c>
      <c r="M13" s="1110" t="s">
        <v>786</v>
      </c>
      <c r="N13" s="1110" t="s">
        <v>786</v>
      </c>
      <c r="O13" s="1110" t="s">
        <v>786</v>
      </c>
      <c r="P13" s="49"/>
      <c r="Q13" s="49"/>
      <c r="R13" s="49"/>
      <c r="S13" s="49"/>
      <c r="T13" s="49"/>
      <c r="U13" s="49"/>
      <c r="V13" s="49"/>
      <c r="W13" s="49"/>
      <c r="X13" s="49"/>
      <c r="Y13" s="49"/>
      <c r="Z13" s="49"/>
      <c r="AA13" s="49"/>
    </row>
    <row r="14" spans="1:27" x14ac:dyDescent="0.2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sheetData>
  <mergeCells count="17">
    <mergeCell ref="B13:O13"/>
    <mergeCell ref="C11:I11"/>
    <mergeCell ref="J11:L11"/>
    <mergeCell ref="M11:O11"/>
    <mergeCell ref="C12:I12"/>
    <mergeCell ref="J12:L12"/>
    <mergeCell ref="M12:O12"/>
    <mergeCell ref="B9:O9"/>
    <mergeCell ref="C10:I10"/>
    <mergeCell ref="J10:L10"/>
    <mergeCell ref="M10:O10"/>
    <mergeCell ref="J1:O1"/>
    <mergeCell ref="B2:F2"/>
    <mergeCell ref="J2:O2"/>
    <mergeCell ref="J3:O3"/>
    <mergeCell ref="B7:O7"/>
    <mergeCell ref="B8:O8"/>
  </mergeCells>
  <pageMargins left="0.60000000000000009" right="0.60000000000000009" top="0.79" bottom="0.79" header="0.3" footer="0.3"/>
  <pageSetup paperSize="9" scale="95" orientation="landscape" useFirstPageNumber="1" horizontalDpi="65532"/>
  <headerFooter>
    <oddFooter>&amp;CTrang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AA14"/>
  <sheetViews>
    <sheetView showZeros="0" topLeftCell="B1" workbookViewId="0">
      <selection activeCell="B13" sqref="B13:H13"/>
    </sheetView>
  </sheetViews>
  <sheetFormatPr defaultColWidth="9.140625" defaultRowHeight="15" x14ac:dyDescent="0.25"/>
  <cols>
    <col min="1" max="1" width="2.28515625" style="751" hidden="1" customWidth="1"/>
    <col min="2" max="2" width="6.5703125" style="751" customWidth="1"/>
    <col min="3" max="3" width="44" style="751" customWidth="1"/>
    <col min="4" max="4" width="16" style="751" customWidth="1"/>
    <col min="5" max="5" width="12.42578125" style="751" customWidth="1"/>
    <col min="6" max="6" width="14.42578125" style="751" customWidth="1"/>
    <col min="7" max="7" width="13.5703125" style="751" customWidth="1"/>
    <col min="8" max="8" width="14.85546875" style="751" customWidth="1"/>
    <col min="9" max="9" width="9.140625" style="751" customWidth="1"/>
    <col min="10" max="16384" width="9.140625" style="751"/>
  </cols>
  <sheetData>
    <row r="1" spans="1:27" x14ac:dyDescent="0.25">
      <c r="F1" s="979" t="s">
        <v>459</v>
      </c>
      <c r="G1" s="979"/>
      <c r="H1" s="979"/>
      <c r="I1" s="339"/>
      <c r="J1" s="339"/>
      <c r="K1" s="339"/>
      <c r="L1" s="339"/>
      <c r="M1" s="339"/>
      <c r="N1" s="339"/>
      <c r="O1" s="339"/>
      <c r="P1" s="339"/>
      <c r="Q1" s="339"/>
      <c r="R1" s="339"/>
      <c r="S1" s="339"/>
      <c r="T1" s="339"/>
      <c r="U1" s="339"/>
      <c r="V1" s="339"/>
      <c r="W1" s="339"/>
    </row>
    <row r="2" spans="1:27" ht="16.5" customHeight="1" x14ac:dyDescent="0.25">
      <c r="B2" s="979"/>
      <c r="C2" s="979"/>
      <c r="D2" s="340"/>
      <c r="E2" s="340"/>
      <c r="F2" s="979" t="s">
        <v>564</v>
      </c>
      <c r="G2" s="979"/>
      <c r="H2" s="979"/>
      <c r="I2" s="339"/>
      <c r="J2" s="339"/>
      <c r="K2" s="339"/>
      <c r="L2" s="339"/>
      <c r="M2" s="339"/>
      <c r="N2" s="339"/>
      <c r="O2" s="339"/>
      <c r="P2" s="339"/>
      <c r="Q2" s="339"/>
      <c r="R2" s="339"/>
      <c r="S2" s="339"/>
      <c r="T2" s="339"/>
      <c r="U2" s="339"/>
      <c r="V2" s="339"/>
      <c r="W2" s="339"/>
    </row>
    <row r="3" spans="1:27" ht="16.5" customHeight="1" x14ac:dyDescent="0.25">
      <c r="F3" s="1116" t="s">
        <v>850</v>
      </c>
      <c r="G3" s="1117"/>
      <c r="H3" s="1117"/>
      <c r="I3" s="339"/>
      <c r="J3" s="339"/>
      <c r="K3" s="339"/>
      <c r="L3" s="339"/>
      <c r="M3" s="339"/>
      <c r="N3" s="339"/>
      <c r="O3" s="339"/>
      <c r="P3" s="339"/>
      <c r="Q3" s="339"/>
      <c r="R3" s="339"/>
      <c r="S3" s="339"/>
      <c r="T3" s="339"/>
      <c r="U3" s="339"/>
      <c r="V3" s="339"/>
      <c r="W3" s="339"/>
    </row>
    <row r="4" spans="1:27" x14ac:dyDescent="0.25">
      <c r="B4" s="49"/>
      <c r="C4" s="49"/>
      <c r="D4" s="49"/>
      <c r="E4" s="49"/>
      <c r="F4" s="49"/>
      <c r="G4" s="49"/>
      <c r="H4" s="49"/>
      <c r="I4" s="713"/>
      <c r="J4" s="713"/>
      <c r="K4" s="713"/>
      <c r="L4" s="713"/>
      <c r="M4" s="713"/>
      <c r="N4" s="713"/>
      <c r="O4" s="713"/>
      <c r="P4" s="713"/>
      <c r="Q4" s="713"/>
      <c r="R4" s="713"/>
      <c r="S4" s="713"/>
      <c r="T4" s="713"/>
      <c r="U4" s="713"/>
      <c r="V4" s="713"/>
      <c r="W4" s="713"/>
      <c r="X4" s="49"/>
      <c r="Y4" s="49"/>
      <c r="Z4" s="49"/>
      <c r="AA4" s="49"/>
    </row>
    <row r="5" spans="1:27" x14ac:dyDescent="0.25">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7" x14ac:dyDescent="0.25">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x14ac:dyDescent="0.25">
      <c r="B7" s="1109" t="s">
        <v>1034</v>
      </c>
      <c r="C7" s="1109"/>
      <c r="D7" s="1109"/>
      <c r="E7" s="1109"/>
      <c r="F7" s="1109"/>
      <c r="G7" s="1109"/>
      <c r="H7" s="1109"/>
      <c r="I7" s="49"/>
      <c r="J7" s="49"/>
      <c r="K7" s="49"/>
      <c r="L7" s="49"/>
      <c r="M7" s="49"/>
      <c r="N7" s="49"/>
      <c r="O7" s="49"/>
      <c r="P7" s="49"/>
      <c r="Q7" s="49"/>
      <c r="R7" s="49"/>
      <c r="S7" s="49"/>
      <c r="T7" s="49"/>
      <c r="U7" s="49"/>
      <c r="V7" s="49"/>
      <c r="W7" s="49"/>
      <c r="X7" s="49"/>
      <c r="Y7" s="49"/>
      <c r="Z7" s="49"/>
      <c r="AA7" s="49"/>
    </row>
    <row r="8" spans="1:27" x14ac:dyDescent="0.25">
      <c r="B8" s="1109" t="s">
        <v>315</v>
      </c>
      <c r="C8" s="1109"/>
      <c r="D8" s="1109"/>
      <c r="E8" s="1109"/>
      <c r="F8" s="1109"/>
      <c r="G8" s="1109"/>
      <c r="H8" s="1109"/>
      <c r="I8" s="49"/>
      <c r="J8" s="49"/>
      <c r="K8" s="49"/>
      <c r="L8" s="49"/>
      <c r="M8" s="49"/>
      <c r="N8" s="49"/>
      <c r="O8" s="49"/>
      <c r="P8" s="49"/>
      <c r="Q8" s="49"/>
      <c r="R8" s="49"/>
      <c r="S8" s="49"/>
      <c r="T8" s="49"/>
      <c r="U8" s="49"/>
      <c r="V8" s="49"/>
      <c r="W8" s="49"/>
      <c r="X8" s="49"/>
      <c r="Y8" s="49"/>
      <c r="Z8" s="49"/>
      <c r="AA8" s="49"/>
    </row>
    <row r="9" spans="1:27" x14ac:dyDescent="0.25">
      <c r="B9" s="1115" t="s">
        <v>1115</v>
      </c>
      <c r="C9" s="1115"/>
      <c r="D9" s="1115"/>
      <c r="E9" s="1115"/>
      <c r="F9" s="1115"/>
      <c r="G9" s="1115"/>
      <c r="H9" s="1115"/>
      <c r="I9" s="49"/>
      <c r="J9" s="49"/>
      <c r="K9" s="49"/>
      <c r="L9" s="49"/>
      <c r="M9" s="49"/>
      <c r="N9" s="49"/>
      <c r="O9" s="49"/>
      <c r="P9" s="49"/>
      <c r="Q9" s="49"/>
      <c r="R9" s="49"/>
      <c r="S9" s="49"/>
      <c r="T9" s="49"/>
      <c r="U9" s="49"/>
      <c r="V9" s="49"/>
      <c r="W9" s="49"/>
      <c r="X9" s="49"/>
      <c r="Y9" s="49"/>
      <c r="Z9" s="49"/>
      <c r="AA9" s="49"/>
    </row>
    <row r="10" spans="1:27" ht="42.75" x14ac:dyDescent="0.25">
      <c r="B10" s="66" t="s">
        <v>386</v>
      </c>
      <c r="C10" s="66" t="s">
        <v>852</v>
      </c>
      <c r="D10" s="66" t="s">
        <v>142</v>
      </c>
      <c r="E10" s="66" t="s">
        <v>795</v>
      </c>
      <c r="F10" s="66" t="s">
        <v>953</v>
      </c>
      <c r="G10" s="66" t="s">
        <v>997</v>
      </c>
      <c r="H10" s="66" t="s">
        <v>1198</v>
      </c>
      <c r="I10" s="49"/>
      <c r="J10" s="49"/>
      <c r="K10" s="49"/>
      <c r="L10" s="49"/>
      <c r="M10" s="49"/>
      <c r="N10" s="49"/>
      <c r="O10" s="49"/>
      <c r="P10" s="49"/>
      <c r="Q10" s="49"/>
      <c r="R10" s="49"/>
      <c r="S10" s="49"/>
      <c r="T10" s="49"/>
      <c r="U10" s="49"/>
      <c r="V10" s="49"/>
      <c r="W10" s="49"/>
      <c r="X10" s="49"/>
      <c r="Y10" s="49"/>
      <c r="Z10" s="49"/>
      <c r="AA10" s="49"/>
    </row>
    <row r="11" spans="1:27" x14ac:dyDescent="0.25">
      <c r="A11" s="426"/>
      <c r="B11" s="586">
        <v>1</v>
      </c>
      <c r="C11" s="467" t="s">
        <v>873</v>
      </c>
      <c r="D11" s="286" t="e">
        <f>THKPHM!F24</f>
        <v>#REF!</v>
      </c>
      <c r="E11" s="286" t="e">
        <f>D11*'Thông tin'!E61</f>
        <v>#REF!</v>
      </c>
      <c r="F11" s="286" t="e">
        <f>D11+E11</f>
        <v>#REF!</v>
      </c>
      <c r="G11" s="286">
        <v>0</v>
      </c>
      <c r="H11" s="286" t="e">
        <f>F11+G11</f>
        <v>#REF!</v>
      </c>
      <c r="I11" s="49"/>
      <c r="J11" s="49"/>
      <c r="K11" s="49"/>
      <c r="L11" s="49"/>
      <c r="M11" s="49"/>
      <c r="N11" s="49"/>
      <c r="O11" s="49"/>
      <c r="P11" s="49"/>
      <c r="Q11" s="49"/>
      <c r="R11" s="49"/>
      <c r="S11" s="49"/>
      <c r="T11" s="49"/>
      <c r="U11" s="49"/>
      <c r="V11" s="49"/>
      <c r="W11" s="49"/>
      <c r="X11" s="49"/>
      <c r="Y11" s="49"/>
      <c r="Z11" s="49"/>
      <c r="AA11" s="49"/>
    </row>
    <row r="12" spans="1:27" x14ac:dyDescent="0.25">
      <c r="A12" s="600"/>
      <c r="B12" s="260"/>
      <c r="C12" s="112" t="s">
        <v>1132</v>
      </c>
      <c r="D12" s="696" t="e">
        <f t="shared" ref="D12:H12" si="0">SUM(D11:D11)</f>
        <v>#REF!</v>
      </c>
      <c r="E12" s="696" t="e">
        <f t="shared" si="0"/>
        <v>#REF!</v>
      </c>
      <c r="F12" s="696" t="e">
        <f t="shared" si="0"/>
        <v>#REF!</v>
      </c>
      <c r="G12" s="696">
        <f t="shared" si="0"/>
        <v>0</v>
      </c>
      <c r="H12" s="696" t="e">
        <f t="shared" si="0"/>
        <v>#REF!</v>
      </c>
      <c r="I12" s="49"/>
      <c r="J12" s="49"/>
      <c r="K12" s="49"/>
      <c r="L12" s="49"/>
      <c r="M12" s="49"/>
      <c r="N12" s="49"/>
      <c r="O12" s="49"/>
      <c r="P12" s="49"/>
      <c r="Q12" s="49"/>
      <c r="R12" s="49"/>
      <c r="S12" s="49"/>
      <c r="T12" s="49"/>
      <c r="U12" s="49"/>
      <c r="V12" s="49"/>
      <c r="W12" s="49"/>
      <c r="X12" s="49"/>
      <c r="Y12" s="49"/>
      <c r="Z12" s="49"/>
      <c r="AA12" s="49"/>
    </row>
    <row r="13" spans="1:27" x14ac:dyDescent="0.25">
      <c r="B13" s="1110" t="s">
        <v>341</v>
      </c>
      <c r="C13" s="1110" t="s">
        <v>341</v>
      </c>
      <c r="D13" s="1110" t="s">
        <v>341</v>
      </c>
      <c r="E13" s="1110" t="s">
        <v>341</v>
      </c>
      <c r="F13" s="1110" t="s">
        <v>341</v>
      </c>
      <c r="G13" s="1110" t="s">
        <v>341</v>
      </c>
      <c r="H13" s="1110" t="s">
        <v>341</v>
      </c>
      <c r="I13" s="49"/>
      <c r="J13" s="49"/>
      <c r="K13" s="49"/>
      <c r="L13" s="49"/>
      <c r="M13" s="49"/>
      <c r="N13" s="49"/>
      <c r="O13" s="49"/>
      <c r="P13" s="49"/>
      <c r="Q13" s="49"/>
      <c r="R13" s="49"/>
      <c r="S13" s="49"/>
      <c r="T13" s="49"/>
      <c r="U13" s="49"/>
      <c r="V13" s="49"/>
      <c r="W13" s="49"/>
      <c r="X13" s="49"/>
      <c r="Y13" s="49"/>
      <c r="Z13" s="49"/>
      <c r="AA13" s="49"/>
    </row>
    <row r="14" spans="1:27" x14ac:dyDescent="0.2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sheetData>
  <mergeCells count="8">
    <mergeCell ref="B13:H13"/>
    <mergeCell ref="B9:H9"/>
    <mergeCell ref="F1:H1"/>
    <mergeCell ref="B2:C2"/>
    <mergeCell ref="F2:H2"/>
    <mergeCell ref="F3:H3"/>
    <mergeCell ref="B7:H7"/>
    <mergeCell ref="B8:H8"/>
  </mergeCells>
  <pageMargins left="1.18" right="0.59" top="0.79" bottom="0.79" header="0.3" footer="0.3"/>
  <pageSetup scale="90" orientation="landscape" horizontalDpi="65532"/>
  <headerFooter>
    <oddFooter>&amp;LDự toán Eta 2012&amp;CTrang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00"/>
  <sheetViews>
    <sheetView showGridLines="0" showZeros="0" topLeftCell="B1" workbookViewId="0">
      <selection activeCell="F16" sqref="F16"/>
    </sheetView>
  </sheetViews>
  <sheetFormatPr defaultColWidth="9.140625" defaultRowHeight="15" x14ac:dyDescent="0.25"/>
  <cols>
    <col min="1" max="1" width="7.85546875" style="751" hidden="1" customWidth="1"/>
    <col min="2" max="2" width="6.140625" style="751" customWidth="1"/>
    <col min="3" max="3" width="45.5703125" style="751" customWidth="1"/>
    <col min="4" max="4" width="8.140625" style="751" customWidth="1"/>
    <col min="5" max="5" width="9.85546875" style="751" customWidth="1"/>
    <col min="6" max="6" width="12.140625" style="751" customWidth="1"/>
    <col min="7" max="7" width="11.42578125" style="751" customWidth="1"/>
    <col min="8" max="8" width="9.85546875" style="751" customWidth="1"/>
    <col min="9" max="9" width="12.140625" style="751" customWidth="1"/>
    <col min="10" max="10" width="11.42578125" style="751" customWidth="1"/>
    <col min="11" max="11" width="9.85546875" style="751" customWidth="1"/>
    <col min="12" max="12" width="9.140625" style="751" customWidth="1"/>
    <col min="13" max="16384" width="9.140625" style="751"/>
  </cols>
  <sheetData>
    <row r="1" spans="1:27" x14ac:dyDescent="0.25">
      <c r="F1" s="340"/>
      <c r="G1" s="979" t="s">
        <v>459</v>
      </c>
      <c r="H1" s="979"/>
      <c r="I1" s="979"/>
      <c r="J1" s="979"/>
      <c r="K1" s="340"/>
    </row>
    <row r="2" spans="1:27" x14ac:dyDescent="0.25">
      <c r="B2" s="979"/>
      <c r="C2" s="979"/>
      <c r="D2" s="340"/>
      <c r="E2" s="340"/>
      <c r="F2" s="340"/>
      <c r="G2" s="979" t="s">
        <v>564</v>
      </c>
      <c r="H2" s="979"/>
      <c r="I2" s="979"/>
      <c r="J2" s="979"/>
      <c r="K2" s="340"/>
    </row>
    <row r="3" spans="1:27" x14ac:dyDescent="0.25">
      <c r="F3" s="163"/>
      <c r="G3" s="1116" t="s">
        <v>850</v>
      </c>
      <c r="H3" s="1116"/>
      <c r="I3" s="1116"/>
      <c r="J3" s="1116"/>
      <c r="K3" s="339"/>
    </row>
    <row r="4" spans="1:27" x14ac:dyDescent="0.25">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x14ac:dyDescent="0.25">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7" x14ac:dyDescent="0.25">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x14ac:dyDescent="0.25">
      <c r="B7" s="1109" t="s">
        <v>255</v>
      </c>
      <c r="C7" s="1109"/>
      <c r="D7" s="1109"/>
      <c r="E7" s="1109"/>
      <c r="F7" s="1109"/>
      <c r="G7" s="1109"/>
      <c r="H7" s="1109"/>
      <c r="I7" s="1109"/>
      <c r="J7" s="1109"/>
      <c r="K7" s="1109"/>
      <c r="L7" s="49"/>
      <c r="M7" s="49"/>
      <c r="N7" s="49"/>
      <c r="O7" s="49"/>
      <c r="P7" s="49"/>
      <c r="Q7" s="49"/>
      <c r="R7" s="49"/>
      <c r="S7" s="49"/>
      <c r="T7" s="49"/>
      <c r="U7" s="49"/>
      <c r="V7" s="49"/>
      <c r="W7" s="49"/>
      <c r="X7" s="49"/>
      <c r="Y7" s="49"/>
      <c r="Z7" s="49"/>
      <c r="AA7" s="49"/>
    </row>
    <row r="8" spans="1:27" x14ac:dyDescent="0.25">
      <c r="B8" s="1109" t="str">
        <f>"CÔNG TRÌNH: "  &amp; 'Thông tin'!E5</f>
        <v>CÔNG TRÌNH: NÂNG CẤP, SỬA CHỮA ĐƯỜNG TRẦN QUANG DIỆM, HƯƠNG XUÂN</v>
      </c>
      <c r="C8" s="1109"/>
      <c r="D8" s="1109"/>
      <c r="E8" s="1109"/>
      <c r="F8" s="1109"/>
      <c r="G8" s="1109"/>
      <c r="H8" s="1109"/>
      <c r="I8" s="1109"/>
      <c r="J8" s="1109"/>
      <c r="K8" s="1109"/>
      <c r="L8" s="49"/>
      <c r="M8" s="49"/>
      <c r="N8" s="49"/>
      <c r="O8" s="49"/>
      <c r="P8" s="49"/>
      <c r="Q8" s="49"/>
      <c r="R8" s="49"/>
      <c r="S8" s="49"/>
      <c r="T8" s="49"/>
      <c r="U8" s="49"/>
      <c r="V8" s="49"/>
      <c r="W8" s="49"/>
      <c r="X8" s="49"/>
      <c r="Y8" s="49"/>
      <c r="Z8" s="49"/>
      <c r="AA8" s="49"/>
    </row>
    <row r="9" spans="1:27" x14ac:dyDescent="0.25">
      <c r="B9" s="1115" t="s">
        <v>1115</v>
      </c>
      <c r="C9" s="1115"/>
      <c r="D9" s="1115"/>
      <c r="E9" s="1115"/>
      <c r="F9" s="1115"/>
      <c r="G9" s="1115"/>
      <c r="H9" s="1115"/>
      <c r="I9" s="1115"/>
      <c r="J9" s="1115"/>
      <c r="K9" s="1115"/>
      <c r="L9" s="49"/>
      <c r="M9" s="49"/>
      <c r="N9" s="49"/>
      <c r="O9" s="49"/>
      <c r="P9" s="49"/>
      <c r="Q9" s="49"/>
      <c r="R9" s="49"/>
      <c r="S9" s="49"/>
      <c r="T9" s="49"/>
      <c r="U9" s="49"/>
      <c r="V9" s="49"/>
      <c r="W9" s="49"/>
      <c r="X9" s="49"/>
      <c r="Y9" s="49"/>
      <c r="Z9" s="49"/>
      <c r="AA9" s="49"/>
    </row>
    <row r="10" spans="1:27" x14ac:dyDescent="0.25">
      <c r="B10" s="1015" t="s">
        <v>386</v>
      </c>
      <c r="C10" s="1015" t="s">
        <v>863</v>
      </c>
      <c r="D10" s="1015" t="s">
        <v>1136</v>
      </c>
      <c r="E10" s="1015" t="s">
        <v>816</v>
      </c>
      <c r="F10" s="982" t="s">
        <v>822</v>
      </c>
      <c r="G10" s="982"/>
      <c r="H10" s="982"/>
      <c r="I10" s="980" t="s">
        <v>120</v>
      </c>
      <c r="J10" s="980"/>
      <c r="K10" s="980"/>
      <c r="L10" s="49"/>
      <c r="M10" s="49"/>
      <c r="N10" s="49"/>
      <c r="O10" s="49"/>
      <c r="P10" s="49"/>
      <c r="Q10" s="49"/>
      <c r="R10" s="49"/>
      <c r="S10" s="49"/>
      <c r="T10" s="49"/>
      <c r="U10" s="49"/>
      <c r="V10" s="49"/>
      <c r="W10" s="49"/>
      <c r="X10" s="49"/>
      <c r="Y10" s="49"/>
      <c r="Z10" s="49"/>
      <c r="AA10" s="49"/>
    </row>
    <row r="11" spans="1:27" x14ac:dyDescent="0.25">
      <c r="B11" s="1017"/>
      <c r="C11" s="1017"/>
      <c r="D11" s="1017"/>
      <c r="E11" s="1017"/>
      <c r="F11" s="588" t="s">
        <v>973</v>
      </c>
      <c r="G11" s="588" t="s">
        <v>807</v>
      </c>
      <c r="H11" s="588" t="s">
        <v>21</v>
      </c>
      <c r="I11" s="588" t="s">
        <v>973</v>
      </c>
      <c r="J11" s="588" t="s">
        <v>807</v>
      </c>
      <c r="K11" s="588" t="s">
        <v>21</v>
      </c>
      <c r="L11" s="49"/>
      <c r="M11" s="49"/>
      <c r="N11" s="49"/>
      <c r="O11" s="49"/>
      <c r="P11" s="49"/>
      <c r="Q11" s="49"/>
      <c r="R11" s="49"/>
      <c r="S11" s="49"/>
      <c r="T11" s="49"/>
      <c r="U11" s="49"/>
      <c r="V11" s="49"/>
      <c r="W11" s="49"/>
      <c r="X11" s="49"/>
      <c r="Y11" s="49"/>
      <c r="Z11" s="49"/>
      <c r="AA11" s="49"/>
    </row>
    <row r="12" spans="1:27" x14ac:dyDescent="0.25">
      <c r="A12" s="521"/>
      <c r="B12" s="741"/>
      <c r="C12" s="41" t="s">
        <v>98</v>
      </c>
      <c r="D12" s="741"/>
      <c r="E12" s="420"/>
      <c r="F12" s="2"/>
      <c r="G12" s="2"/>
      <c r="H12" s="2">
        <f t="shared" ref="H12:H16" si="0">F12+G12</f>
        <v>0</v>
      </c>
      <c r="I12" s="2">
        <v>0</v>
      </c>
      <c r="J12" s="2">
        <v>0</v>
      </c>
      <c r="K12" s="2">
        <v>0</v>
      </c>
      <c r="L12" s="49"/>
      <c r="M12" s="49"/>
      <c r="N12" s="49"/>
      <c r="O12" s="49"/>
      <c r="P12" s="49"/>
      <c r="Q12" s="49"/>
      <c r="R12" s="49"/>
      <c r="S12" s="49"/>
      <c r="T12" s="49"/>
      <c r="U12" s="49"/>
      <c r="V12" s="49"/>
      <c r="W12" s="49"/>
      <c r="X12" s="49"/>
      <c r="Y12" s="49"/>
      <c r="Z12" s="49"/>
      <c r="AA12" s="49"/>
    </row>
    <row r="13" spans="1:27" x14ac:dyDescent="0.25">
      <c r="A13" s="278"/>
      <c r="B13" s="497"/>
      <c r="C13" s="564" t="s">
        <v>98</v>
      </c>
      <c r="D13" s="497"/>
      <c r="E13" s="158"/>
      <c r="F13" s="522"/>
      <c r="G13" s="522"/>
      <c r="H13" s="522">
        <f t="shared" si="0"/>
        <v>0</v>
      </c>
      <c r="I13" s="522">
        <v>0</v>
      </c>
      <c r="J13" s="522">
        <v>0</v>
      </c>
      <c r="K13" s="522">
        <v>0</v>
      </c>
      <c r="L13" s="49"/>
      <c r="M13" s="49"/>
      <c r="N13" s="49"/>
      <c r="O13" s="49"/>
      <c r="P13" s="49"/>
      <c r="Q13" s="49"/>
      <c r="R13" s="49"/>
      <c r="S13" s="49"/>
      <c r="T13" s="49"/>
      <c r="U13" s="49"/>
      <c r="V13" s="49"/>
      <c r="W13" s="49"/>
      <c r="X13" s="49"/>
      <c r="Y13" s="49"/>
      <c r="Z13" s="49"/>
      <c r="AA13" s="49"/>
    </row>
    <row r="14" spans="1:27" x14ac:dyDescent="0.25">
      <c r="A14" s="278"/>
      <c r="B14" s="497"/>
      <c r="C14" s="564" t="s">
        <v>98</v>
      </c>
      <c r="D14" s="497"/>
      <c r="E14" s="158"/>
      <c r="F14" s="522"/>
      <c r="G14" s="522"/>
      <c r="H14" s="522">
        <f t="shared" si="0"/>
        <v>0</v>
      </c>
      <c r="I14" s="522">
        <v>0</v>
      </c>
      <c r="J14" s="522">
        <v>0</v>
      </c>
      <c r="K14" s="522">
        <v>0</v>
      </c>
      <c r="L14" s="49"/>
      <c r="M14" s="49"/>
      <c r="N14" s="49"/>
      <c r="O14" s="49"/>
      <c r="P14" s="49"/>
      <c r="Q14" s="49"/>
      <c r="R14" s="49"/>
      <c r="S14" s="49"/>
      <c r="T14" s="49"/>
      <c r="U14" s="49"/>
      <c r="V14" s="49"/>
      <c r="W14" s="49"/>
      <c r="X14" s="49"/>
      <c r="Y14" s="49"/>
      <c r="Z14" s="49"/>
      <c r="AA14" s="49"/>
    </row>
    <row r="15" spans="1:27" x14ac:dyDescent="0.25">
      <c r="A15" s="278"/>
      <c r="B15" s="497"/>
      <c r="C15" s="564" t="s">
        <v>98</v>
      </c>
      <c r="D15" s="497"/>
      <c r="E15" s="158"/>
      <c r="F15" s="522"/>
      <c r="G15" s="522"/>
      <c r="H15" s="522">
        <f t="shared" si="0"/>
        <v>0</v>
      </c>
      <c r="I15" s="522">
        <v>0</v>
      </c>
      <c r="J15" s="522">
        <v>0</v>
      </c>
      <c r="K15" s="522">
        <v>0</v>
      </c>
      <c r="L15" s="49"/>
      <c r="M15" s="49"/>
      <c r="N15" s="49"/>
      <c r="O15" s="49"/>
      <c r="P15" s="49"/>
      <c r="Q15" s="49"/>
      <c r="R15" s="49"/>
      <c r="S15" s="49"/>
      <c r="T15" s="49"/>
      <c r="U15" s="49"/>
      <c r="V15" s="49"/>
      <c r="W15" s="49"/>
      <c r="X15" s="49"/>
      <c r="Y15" s="49"/>
      <c r="Z15" s="49"/>
      <c r="AA15" s="49"/>
    </row>
    <row r="16" spans="1:27" x14ac:dyDescent="0.25">
      <c r="A16" s="232"/>
      <c r="B16" s="428"/>
      <c r="C16" s="498" t="s">
        <v>98</v>
      </c>
      <c r="D16" s="428"/>
      <c r="E16" s="81"/>
      <c r="F16" s="477"/>
      <c r="G16" s="477"/>
      <c r="H16" s="477">
        <f t="shared" si="0"/>
        <v>0</v>
      </c>
      <c r="I16" s="477">
        <v>0</v>
      </c>
      <c r="J16" s="477">
        <v>0</v>
      </c>
      <c r="K16" s="477">
        <v>0</v>
      </c>
      <c r="L16" s="49"/>
      <c r="M16" s="49"/>
      <c r="N16" s="49"/>
      <c r="O16" s="49"/>
      <c r="P16" s="49"/>
      <c r="Q16" s="49"/>
      <c r="R16" s="49"/>
      <c r="S16" s="49"/>
      <c r="T16" s="49"/>
      <c r="U16" s="49"/>
      <c r="V16" s="49"/>
      <c r="W16" s="49"/>
      <c r="X16" s="49"/>
      <c r="Y16" s="49"/>
      <c r="Z16" s="49"/>
      <c r="AA16" s="49"/>
    </row>
    <row r="17" spans="1:27" x14ac:dyDescent="0.25">
      <c r="A17" s="1118" t="s">
        <v>1132</v>
      </c>
      <c r="B17" s="1119" t="s">
        <v>1132</v>
      </c>
      <c r="C17" s="1120" t="s">
        <v>1132</v>
      </c>
      <c r="D17" s="1119" t="s">
        <v>1132</v>
      </c>
      <c r="E17" s="1121" t="s">
        <v>1132</v>
      </c>
      <c r="F17" s="1122" t="s">
        <v>1132</v>
      </c>
      <c r="G17" s="1122" t="s">
        <v>1132</v>
      </c>
      <c r="H17" s="1122" t="s">
        <v>1132</v>
      </c>
      <c r="I17" s="512">
        <f>SUMIF(D12:D16,"&lt;&gt;",I12:I16)</f>
        <v>0</v>
      </c>
      <c r="J17" s="512">
        <f>SUMIF(D12:D16,"&lt;&gt;",J12:J16)</f>
        <v>0</v>
      </c>
      <c r="K17" s="512">
        <f>SUMIF(D12:D16,"&lt;&gt;",K12:K16)</f>
        <v>0</v>
      </c>
      <c r="L17" s="49"/>
      <c r="M17" s="49"/>
      <c r="N17" s="49"/>
      <c r="O17" s="49"/>
      <c r="P17" s="49"/>
      <c r="Q17" s="49"/>
      <c r="R17" s="49"/>
      <c r="S17" s="49"/>
      <c r="T17" s="49"/>
      <c r="U17" s="49"/>
      <c r="V17" s="49"/>
      <c r="W17" s="49"/>
      <c r="X17" s="49"/>
      <c r="Y17" s="49"/>
      <c r="Z17" s="49"/>
      <c r="AA17" s="49"/>
    </row>
    <row r="18" spans="1:27" x14ac:dyDescent="0.25">
      <c r="A18" s="472"/>
      <c r="B18" s="1123" t="s">
        <v>686</v>
      </c>
      <c r="C18" s="1123" t="s">
        <v>686</v>
      </c>
      <c r="D18" s="1123" t="s">
        <v>686</v>
      </c>
      <c r="E18" s="1123" t="s">
        <v>686</v>
      </c>
      <c r="F18" s="1123" t="s">
        <v>686</v>
      </c>
      <c r="G18" s="1123" t="s">
        <v>686</v>
      </c>
      <c r="H18" s="1123" t="s">
        <v>686</v>
      </c>
      <c r="I18" s="1123" t="s">
        <v>686</v>
      </c>
      <c r="J18" s="1123" t="s">
        <v>686</v>
      </c>
      <c r="K18" s="1123" t="s">
        <v>686</v>
      </c>
      <c r="L18" s="49"/>
      <c r="M18" s="49"/>
      <c r="N18" s="49"/>
      <c r="O18" s="49"/>
      <c r="P18" s="49"/>
      <c r="Q18" s="49"/>
      <c r="R18" s="49"/>
      <c r="S18" s="49"/>
      <c r="T18" s="49"/>
      <c r="U18" s="49"/>
      <c r="V18" s="49"/>
      <c r="W18" s="49"/>
      <c r="X18" s="49"/>
      <c r="Y18" s="49"/>
      <c r="Z18" s="49"/>
      <c r="AA18" s="49"/>
    </row>
    <row r="19" spans="1:27" x14ac:dyDescent="0.25">
      <c r="A19" s="472"/>
      <c r="B19" s="242"/>
      <c r="C19" s="509"/>
      <c r="D19" s="242"/>
      <c r="E19" s="242"/>
      <c r="F19" s="242"/>
      <c r="G19" s="242"/>
      <c r="H19" s="242"/>
      <c r="I19" s="242"/>
      <c r="J19" s="242"/>
      <c r="K19" s="242"/>
      <c r="L19" s="49"/>
      <c r="M19" s="49"/>
      <c r="N19" s="49"/>
      <c r="O19" s="49"/>
      <c r="P19" s="49"/>
      <c r="Q19" s="49"/>
      <c r="R19" s="49"/>
      <c r="S19" s="49"/>
      <c r="T19" s="49"/>
      <c r="U19" s="49"/>
      <c r="V19" s="49"/>
      <c r="W19" s="49"/>
      <c r="X19" s="49"/>
      <c r="Y19" s="49"/>
      <c r="Z19" s="49"/>
      <c r="AA19" s="49"/>
    </row>
    <row r="20" spans="1:27" x14ac:dyDescent="0.25">
      <c r="A20" s="472"/>
      <c r="B20" s="242"/>
      <c r="C20" s="585" t="s">
        <v>1015</v>
      </c>
      <c r="D20" s="242"/>
      <c r="E20" s="242"/>
      <c r="F20" s="242"/>
      <c r="G20" s="242"/>
      <c r="H20" s="1124" t="s">
        <v>450</v>
      </c>
      <c r="I20" s="1124" t="s">
        <v>450</v>
      </c>
      <c r="J20" s="1124" t="s">
        <v>450</v>
      </c>
      <c r="K20" s="1124" t="s">
        <v>450</v>
      </c>
      <c r="L20" s="49"/>
      <c r="M20" s="49"/>
      <c r="N20" s="49"/>
      <c r="O20" s="49"/>
      <c r="P20" s="49"/>
      <c r="Q20" s="49"/>
      <c r="R20" s="49"/>
      <c r="S20" s="49"/>
      <c r="T20" s="49"/>
      <c r="U20" s="49"/>
      <c r="V20" s="49"/>
      <c r="W20" s="49"/>
      <c r="X20" s="49"/>
      <c r="Y20" s="49"/>
      <c r="Z20" s="49"/>
      <c r="AA20" s="49"/>
    </row>
    <row r="21" spans="1:27" x14ac:dyDescent="0.25">
      <c r="A21" s="472"/>
      <c r="B21" s="242"/>
      <c r="C21" s="509"/>
      <c r="D21" s="242"/>
      <c r="E21" s="242"/>
      <c r="F21" s="242"/>
      <c r="G21" s="242"/>
      <c r="H21" s="1059" t="s">
        <v>1145</v>
      </c>
      <c r="I21" s="1059" t="s">
        <v>1145</v>
      </c>
      <c r="J21" s="1059" t="s">
        <v>1145</v>
      </c>
      <c r="K21" s="1059" t="s">
        <v>1145</v>
      </c>
      <c r="L21" s="49"/>
      <c r="M21" s="49"/>
      <c r="N21" s="49"/>
      <c r="O21" s="49"/>
      <c r="P21" s="49"/>
      <c r="Q21" s="49"/>
      <c r="R21" s="49"/>
      <c r="S21" s="49"/>
      <c r="T21" s="49"/>
      <c r="U21" s="49"/>
      <c r="V21" s="49"/>
      <c r="W21" s="49"/>
      <c r="X21" s="49"/>
      <c r="Y21" s="49"/>
      <c r="Z21" s="49"/>
      <c r="AA21" s="49"/>
    </row>
    <row r="22" spans="1:27" x14ac:dyDescent="0.25">
      <c r="A22" s="472"/>
      <c r="B22" s="242"/>
      <c r="C22" s="509"/>
      <c r="D22" s="242"/>
      <c r="E22" s="242"/>
      <c r="F22" s="242"/>
      <c r="G22" s="242"/>
      <c r="H22" s="242"/>
      <c r="I22" s="242"/>
      <c r="J22" s="242"/>
      <c r="K22" s="242"/>
      <c r="L22" s="49"/>
      <c r="M22" s="49"/>
      <c r="N22" s="49"/>
      <c r="O22" s="49"/>
      <c r="P22" s="49"/>
      <c r="Q22" s="49"/>
      <c r="R22" s="49"/>
      <c r="S22" s="49"/>
      <c r="T22" s="49"/>
      <c r="U22" s="49"/>
      <c r="V22" s="49"/>
      <c r="W22" s="49"/>
      <c r="X22" s="49"/>
      <c r="Y22" s="49"/>
      <c r="Z22" s="49"/>
      <c r="AA22" s="49"/>
    </row>
    <row r="23" spans="1:27" x14ac:dyDescent="0.25">
      <c r="B23" s="49"/>
      <c r="C23" s="351"/>
      <c r="D23" s="49"/>
      <c r="E23" s="49"/>
      <c r="F23" s="49"/>
      <c r="G23" s="49"/>
      <c r="H23" s="49"/>
      <c r="I23" s="49"/>
      <c r="J23" s="49"/>
      <c r="K23" s="49"/>
      <c r="L23" s="49"/>
      <c r="M23" s="49"/>
      <c r="N23" s="49"/>
      <c r="O23" s="49"/>
      <c r="P23" s="49"/>
      <c r="Q23" s="49"/>
      <c r="R23" s="49"/>
      <c r="S23" s="49"/>
      <c r="T23" s="49"/>
      <c r="U23" s="49"/>
      <c r="V23" s="49"/>
      <c r="W23" s="49"/>
      <c r="X23" s="49"/>
      <c r="Y23" s="49"/>
      <c r="Z23" s="49"/>
      <c r="AA23" s="49"/>
    </row>
    <row r="24" spans="1:27" x14ac:dyDescent="0.25">
      <c r="C24" s="316"/>
    </row>
    <row r="25" spans="1:27" x14ac:dyDescent="0.25">
      <c r="C25" s="316"/>
    </row>
    <row r="26" spans="1:27" x14ac:dyDescent="0.25">
      <c r="C26" s="316"/>
    </row>
    <row r="27" spans="1:27" x14ac:dyDescent="0.25">
      <c r="C27" s="316"/>
    </row>
    <row r="28" spans="1:27" x14ac:dyDescent="0.25">
      <c r="C28" s="316"/>
    </row>
    <row r="29" spans="1:27" x14ac:dyDescent="0.25">
      <c r="C29" s="316"/>
    </row>
    <row r="30" spans="1:27" x14ac:dyDescent="0.25">
      <c r="C30" s="316"/>
    </row>
    <row r="31" spans="1:27" x14ac:dyDescent="0.25">
      <c r="C31" s="316"/>
    </row>
    <row r="32" spans="1:27" x14ac:dyDescent="0.25">
      <c r="C32" s="316"/>
    </row>
    <row r="33" spans="3:3" x14ac:dyDescent="0.25">
      <c r="C33" s="316"/>
    </row>
    <row r="34" spans="3:3" x14ac:dyDescent="0.25">
      <c r="C34" s="316"/>
    </row>
    <row r="35" spans="3:3" x14ac:dyDescent="0.25">
      <c r="C35" s="316"/>
    </row>
    <row r="36" spans="3:3" x14ac:dyDescent="0.25">
      <c r="C36" s="316"/>
    </row>
    <row r="37" spans="3:3" x14ac:dyDescent="0.25">
      <c r="C37" s="316"/>
    </row>
    <row r="38" spans="3:3" x14ac:dyDescent="0.25">
      <c r="C38" s="316"/>
    </row>
    <row r="39" spans="3:3" x14ac:dyDescent="0.25">
      <c r="C39" s="316"/>
    </row>
    <row r="40" spans="3:3" x14ac:dyDescent="0.25">
      <c r="C40" s="316"/>
    </row>
    <row r="41" spans="3:3" x14ac:dyDescent="0.25">
      <c r="C41" s="316"/>
    </row>
    <row r="42" spans="3:3" x14ac:dyDescent="0.25">
      <c r="C42" s="316"/>
    </row>
    <row r="43" spans="3:3" x14ac:dyDescent="0.25">
      <c r="C43" s="316"/>
    </row>
    <row r="44" spans="3:3" x14ac:dyDescent="0.25">
      <c r="C44" s="316"/>
    </row>
    <row r="45" spans="3:3" x14ac:dyDescent="0.25">
      <c r="C45" s="316"/>
    </row>
    <row r="46" spans="3:3" x14ac:dyDescent="0.25">
      <c r="C46" s="316"/>
    </row>
    <row r="47" spans="3:3" x14ac:dyDescent="0.25">
      <c r="C47" s="316"/>
    </row>
    <row r="48" spans="3:3" x14ac:dyDescent="0.25">
      <c r="C48" s="316"/>
    </row>
    <row r="49" spans="3:3" x14ac:dyDescent="0.25">
      <c r="C49" s="316"/>
    </row>
    <row r="50" spans="3:3" x14ac:dyDescent="0.25">
      <c r="C50" s="316"/>
    </row>
    <row r="51" spans="3:3" x14ac:dyDescent="0.25">
      <c r="C51" s="316"/>
    </row>
    <row r="52" spans="3:3" x14ac:dyDescent="0.25">
      <c r="C52" s="316"/>
    </row>
    <row r="53" spans="3:3" x14ac:dyDescent="0.25">
      <c r="C53" s="316"/>
    </row>
    <row r="54" spans="3:3" x14ac:dyDescent="0.25">
      <c r="C54" s="316"/>
    </row>
    <row r="55" spans="3:3" x14ac:dyDescent="0.25">
      <c r="C55" s="316"/>
    </row>
    <row r="56" spans="3:3" x14ac:dyDescent="0.25">
      <c r="C56" s="316"/>
    </row>
    <row r="57" spans="3:3" x14ac:dyDescent="0.25">
      <c r="C57" s="316"/>
    </row>
    <row r="58" spans="3:3" x14ac:dyDescent="0.25">
      <c r="C58" s="316"/>
    </row>
    <row r="59" spans="3:3" x14ac:dyDescent="0.25">
      <c r="C59" s="316"/>
    </row>
    <row r="60" spans="3:3" x14ac:dyDescent="0.25">
      <c r="C60" s="316"/>
    </row>
    <row r="61" spans="3:3" x14ac:dyDescent="0.25">
      <c r="C61" s="316"/>
    </row>
    <row r="62" spans="3:3" x14ac:dyDescent="0.25">
      <c r="C62" s="316"/>
    </row>
    <row r="63" spans="3:3" x14ac:dyDescent="0.25">
      <c r="C63" s="316"/>
    </row>
    <row r="64" spans="3:3" x14ac:dyDescent="0.25">
      <c r="C64" s="316"/>
    </row>
    <row r="65" spans="3:3" x14ac:dyDescent="0.25">
      <c r="C65" s="316"/>
    </row>
    <row r="66" spans="3:3" x14ac:dyDescent="0.25">
      <c r="C66" s="316"/>
    </row>
    <row r="67" spans="3:3" x14ac:dyDescent="0.25">
      <c r="C67" s="316"/>
    </row>
    <row r="68" spans="3:3" x14ac:dyDescent="0.25">
      <c r="C68" s="316"/>
    </row>
    <row r="69" spans="3:3" x14ac:dyDescent="0.25">
      <c r="C69" s="316"/>
    </row>
    <row r="70" spans="3:3" x14ac:dyDescent="0.25">
      <c r="C70" s="316"/>
    </row>
    <row r="71" spans="3:3" x14ac:dyDescent="0.25">
      <c r="C71" s="316"/>
    </row>
    <row r="72" spans="3:3" x14ac:dyDescent="0.25">
      <c r="C72" s="316"/>
    </row>
    <row r="73" spans="3:3" x14ac:dyDescent="0.25">
      <c r="C73" s="316"/>
    </row>
    <row r="74" spans="3:3" x14ac:dyDescent="0.25">
      <c r="C74" s="316"/>
    </row>
    <row r="75" spans="3:3" x14ac:dyDescent="0.25">
      <c r="C75" s="316"/>
    </row>
    <row r="76" spans="3:3" x14ac:dyDescent="0.25">
      <c r="C76" s="316"/>
    </row>
    <row r="77" spans="3:3" x14ac:dyDescent="0.25">
      <c r="C77" s="316"/>
    </row>
    <row r="78" spans="3:3" x14ac:dyDescent="0.25">
      <c r="C78" s="316"/>
    </row>
    <row r="79" spans="3:3" x14ac:dyDescent="0.25">
      <c r="C79" s="316"/>
    </row>
    <row r="80" spans="3:3" x14ac:dyDescent="0.25">
      <c r="C80" s="316"/>
    </row>
    <row r="81" spans="3:3" x14ac:dyDescent="0.25">
      <c r="C81" s="316"/>
    </row>
    <row r="82" spans="3:3" x14ac:dyDescent="0.25">
      <c r="C82" s="316"/>
    </row>
    <row r="83" spans="3:3" x14ac:dyDescent="0.25">
      <c r="C83" s="316"/>
    </row>
    <row r="84" spans="3:3" x14ac:dyDescent="0.25">
      <c r="C84" s="316"/>
    </row>
    <row r="85" spans="3:3" x14ac:dyDescent="0.25">
      <c r="C85" s="316"/>
    </row>
    <row r="86" spans="3:3" x14ac:dyDescent="0.25">
      <c r="C86" s="316"/>
    </row>
    <row r="87" spans="3:3" x14ac:dyDescent="0.25">
      <c r="C87" s="316"/>
    </row>
    <row r="88" spans="3:3" x14ac:dyDescent="0.25">
      <c r="C88" s="316"/>
    </row>
    <row r="89" spans="3:3" x14ac:dyDescent="0.25">
      <c r="C89" s="316"/>
    </row>
    <row r="90" spans="3:3" x14ac:dyDescent="0.25">
      <c r="C90" s="316"/>
    </row>
    <row r="91" spans="3:3" x14ac:dyDescent="0.25">
      <c r="C91" s="316"/>
    </row>
    <row r="92" spans="3:3" x14ac:dyDescent="0.25">
      <c r="C92" s="316"/>
    </row>
    <row r="93" spans="3:3" x14ac:dyDescent="0.25">
      <c r="C93" s="316"/>
    </row>
    <row r="94" spans="3:3" x14ac:dyDescent="0.25">
      <c r="C94" s="316"/>
    </row>
    <row r="95" spans="3:3" x14ac:dyDescent="0.25">
      <c r="C95" s="316"/>
    </row>
    <row r="96" spans="3:3" x14ac:dyDescent="0.25">
      <c r="C96" s="316"/>
    </row>
    <row r="97" spans="3:3" x14ac:dyDescent="0.25">
      <c r="C97" s="316"/>
    </row>
    <row r="98" spans="3:3" x14ac:dyDescent="0.25">
      <c r="C98" s="316"/>
    </row>
    <row r="99" spans="3:3" x14ac:dyDescent="0.25">
      <c r="C99" s="316"/>
    </row>
    <row r="100" spans="3:3" x14ac:dyDescent="0.25">
      <c r="C100" s="316"/>
    </row>
    <row r="101" spans="3:3" x14ac:dyDescent="0.25">
      <c r="C101" s="316"/>
    </row>
    <row r="102" spans="3:3" x14ac:dyDescent="0.25">
      <c r="C102" s="316"/>
    </row>
    <row r="103" spans="3:3" x14ac:dyDescent="0.25">
      <c r="C103" s="316"/>
    </row>
    <row r="104" spans="3:3" x14ac:dyDescent="0.25">
      <c r="C104" s="316"/>
    </row>
    <row r="105" spans="3:3" x14ac:dyDescent="0.25">
      <c r="C105" s="316"/>
    </row>
    <row r="106" spans="3:3" x14ac:dyDescent="0.25">
      <c r="C106" s="316"/>
    </row>
    <row r="107" spans="3:3" x14ac:dyDescent="0.25">
      <c r="C107" s="316"/>
    </row>
    <row r="108" spans="3:3" x14ac:dyDescent="0.25">
      <c r="C108" s="316"/>
    </row>
    <row r="109" spans="3:3" x14ac:dyDescent="0.25">
      <c r="C109" s="316"/>
    </row>
    <row r="110" spans="3:3" x14ac:dyDescent="0.25">
      <c r="C110" s="316"/>
    </row>
    <row r="111" spans="3:3" x14ac:dyDescent="0.25">
      <c r="C111" s="316"/>
    </row>
    <row r="112" spans="3:3" x14ac:dyDescent="0.25">
      <c r="C112" s="316"/>
    </row>
    <row r="113" spans="3:3" x14ac:dyDescent="0.25">
      <c r="C113" s="316"/>
    </row>
    <row r="114" spans="3:3" x14ac:dyDescent="0.25">
      <c r="C114" s="316"/>
    </row>
    <row r="115" spans="3:3" x14ac:dyDescent="0.25">
      <c r="C115" s="316"/>
    </row>
    <row r="116" spans="3:3" x14ac:dyDescent="0.25">
      <c r="C116" s="316"/>
    </row>
    <row r="117" spans="3:3" x14ac:dyDescent="0.25">
      <c r="C117" s="316"/>
    </row>
    <row r="118" spans="3:3" x14ac:dyDescent="0.25">
      <c r="C118" s="316"/>
    </row>
    <row r="119" spans="3:3" x14ac:dyDescent="0.25">
      <c r="C119" s="316"/>
    </row>
    <row r="120" spans="3:3" x14ac:dyDescent="0.25">
      <c r="C120" s="316"/>
    </row>
    <row r="121" spans="3:3" x14ac:dyDescent="0.25">
      <c r="C121" s="316"/>
    </row>
    <row r="122" spans="3:3" x14ac:dyDescent="0.25">
      <c r="C122" s="316"/>
    </row>
    <row r="123" spans="3:3" x14ac:dyDescent="0.25">
      <c r="C123" s="316"/>
    </row>
    <row r="124" spans="3:3" x14ac:dyDescent="0.25">
      <c r="C124" s="316"/>
    </row>
    <row r="125" spans="3:3" x14ac:dyDescent="0.25">
      <c r="C125" s="316"/>
    </row>
    <row r="126" spans="3:3" x14ac:dyDescent="0.25">
      <c r="C126" s="316"/>
    </row>
    <row r="127" spans="3:3" x14ac:dyDescent="0.25">
      <c r="C127" s="316"/>
    </row>
    <row r="128" spans="3:3" x14ac:dyDescent="0.25">
      <c r="C128" s="316"/>
    </row>
    <row r="129" spans="3:3" x14ac:dyDescent="0.25">
      <c r="C129" s="316"/>
    </row>
    <row r="130" spans="3:3" x14ac:dyDescent="0.25">
      <c r="C130" s="316"/>
    </row>
    <row r="131" spans="3:3" x14ac:dyDescent="0.25">
      <c r="C131" s="316"/>
    </row>
    <row r="132" spans="3:3" x14ac:dyDescent="0.25">
      <c r="C132" s="316"/>
    </row>
    <row r="133" spans="3:3" x14ac:dyDescent="0.25">
      <c r="C133" s="316"/>
    </row>
    <row r="134" spans="3:3" x14ac:dyDescent="0.25">
      <c r="C134" s="316"/>
    </row>
    <row r="135" spans="3:3" x14ac:dyDescent="0.25">
      <c r="C135" s="316"/>
    </row>
    <row r="136" spans="3:3" x14ac:dyDescent="0.25">
      <c r="C136" s="316"/>
    </row>
    <row r="137" spans="3:3" x14ac:dyDescent="0.25">
      <c r="C137" s="316"/>
    </row>
    <row r="138" spans="3:3" x14ac:dyDescent="0.25">
      <c r="C138" s="316"/>
    </row>
    <row r="139" spans="3:3" x14ac:dyDescent="0.25">
      <c r="C139" s="316"/>
    </row>
    <row r="140" spans="3:3" x14ac:dyDescent="0.25">
      <c r="C140" s="316"/>
    </row>
    <row r="141" spans="3:3" x14ac:dyDescent="0.25">
      <c r="C141" s="316"/>
    </row>
    <row r="142" spans="3:3" x14ac:dyDescent="0.25">
      <c r="C142" s="316"/>
    </row>
    <row r="143" spans="3:3" x14ac:dyDescent="0.25">
      <c r="C143" s="316"/>
    </row>
    <row r="144" spans="3:3" x14ac:dyDescent="0.25">
      <c r="C144" s="316"/>
    </row>
    <row r="145" spans="3:3" x14ac:dyDescent="0.25">
      <c r="C145" s="316"/>
    </row>
    <row r="146" spans="3:3" x14ac:dyDescent="0.25">
      <c r="C146" s="316"/>
    </row>
    <row r="147" spans="3:3" x14ac:dyDescent="0.25">
      <c r="C147" s="316"/>
    </row>
    <row r="148" spans="3:3" x14ac:dyDescent="0.25">
      <c r="C148" s="316"/>
    </row>
    <row r="149" spans="3:3" x14ac:dyDescent="0.25">
      <c r="C149" s="316"/>
    </row>
    <row r="150" spans="3:3" x14ac:dyDescent="0.25">
      <c r="C150" s="316"/>
    </row>
    <row r="151" spans="3:3" x14ac:dyDescent="0.25">
      <c r="C151" s="316"/>
    </row>
    <row r="152" spans="3:3" x14ac:dyDescent="0.25">
      <c r="C152" s="316"/>
    </row>
    <row r="153" spans="3:3" x14ac:dyDescent="0.25">
      <c r="C153" s="316"/>
    </row>
    <row r="154" spans="3:3" x14ac:dyDescent="0.25">
      <c r="C154" s="316"/>
    </row>
    <row r="155" spans="3:3" x14ac:dyDescent="0.25">
      <c r="C155" s="316"/>
    </row>
    <row r="156" spans="3:3" x14ac:dyDescent="0.25">
      <c r="C156" s="316"/>
    </row>
    <row r="157" spans="3:3" x14ac:dyDescent="0.25">
      <c r="C157" s="316"/>
    </row>
    <row r="158" spans="3:3" x14ac:dyDescent="0.25">
      <c r="C158" s="316"/>
    </row>
    <row r="159" spans="3:3" x14ac:dyDescent="0.25">
      <c r="C159" s="316"/>
    </row>
    <row r="160" spans="3:3" x14ac:dyDescent="0.25">
      <c r="C160" s="316"/>
    </row>
    <row r="161" spans="3:3" x14ac:dyDescent="0.25">
      <c r="C161" s="316"/>
    </row>
    <row r="162" spans="3:3" x14ac:dyDescent="0.25">
      <c r="C162" s="316"/>
    </row>
    <row r="163" spans="3:3" x14ac:dyDescent="0.25">
      <c r="C163" s="316"/>
    </row>
    <row r="164" spans="3:3" x14ac:dyDescent="0.25">
      <c r="C164" s="316"/>
    </row>
    <row r="165" spans="3:3" x14ac:dyDescent="0.25">
      <c r="C165" s="316"/>
    </row>
    <row r="166" spans="3:3" x14ac:dyDescent="0.25">
      <c r="C166" s="316"/>
    </row>
    <row r="167" spans="3:3" x14ac:dyDescent="0.25">
      <c r="C167" s="316"/>
    </row>
    <row r="168" spans="3:3" x14ac:dyDescent="0.25">
      <c r="C168" s="316"/>
    </row>
    <row r="169" spans="3:3" x14ac:dyDescent="0.25">
      <c r="C169" s="316"/>
    </row>
    <row r="170" spans="3:3" x14ac:dyDescent="0.25">
      <c r="C170" s="316"/>
    </row>
    <row r="171" spans="3:3" x14ac:dyDescent="0.25">
      <c r="C171" s="316"/>
    </row>
    <row r="172" spans="3:3" x14ac:dyDescent="0.25">
      <c r="C172" s="316"/>
    </row>
    <row r="173" spans="3:3" x14ac:dyDescent="0.25">
      <c r="C173" s="316"/>
    </row>
    <row r="174" spans="3:3" x14ac:dyDescent="0.25">
      <c r="C174" s="316"/>
    </row>
    <row r="175" spans="3:3" x14ac:dyDescent="0.25">
      <c r="C175" s="316"/>
    </row>
    <row r="176" spans="3:3" x14ac:dyDescent="0.25">
      <c r="C176" s="316"/>
    </row>
    <row r="177" spans="3:3" x14ac:dyDescent="0.25">
      <c r="C177" s="316"/>
    </row>
    <row r="178" spans="3:3" x14ac:dyDescent="0.25">
      <c r="C178" s="316"/>
    </row>
    <row r="179" spans="3:3" x14ac:dyDescent="0.25">
      <c r="C179" s="316"/>
    </row>
    <row r="180" spans="3:3" x14ac:dyDescent="0.25">
      <c r="C180" s="316"/>
    </row>
    <row r="181" spans="3:3" x14ac:dyDescent="0.25">
      <c r="C181" s="316"/>
    </row>
    <row r="182" spans="3:3" x14ac:dyDescent="0.25">
      <c r="C182" s="316"/>
    </row>
    <row r="183" spans="3:3" x14ac:dyDescent="0.25">
      <c r="C183" s="316"/>
    </row>
    <row r="184" spans="3:3" x14ac:dyDescent="0.25">
      <c r="C184" s="316"/>
    </row>
    <row r="185" spans="3:3" x14ac:dyDescent="0.25">
      <c r="C185" s="316"/>
    </row>
    <row r="186" spans="3:3" x14ac:dyDescent="0.25">
      <c r="C186" s="316"/>
    </row>
    <row r="187" spans="3:3" x14ac:dyDescent="0.25">
      <c r="C187" s="316"/>
    </row>
    <row r="188" spans="3:3" x14ac:dyDescent="0.25">
      <c r="C188" s="316"/>
    </row>
    <row r="189" spans="3:3" x14ac:dyDescent="0.25">
      <c r="C189" s="316"/>
    </row>
    <row r="190" spans="3:3" x14ac:dyDescent="0.25">
      <c r="C190" s="316"/>
    </row>
    <row r="191" spans="3:3" x14ac:dyDescent="0.25">
      <c r="C191" s="316"/>
    </row>
    <row r="192" spans="3:3" x14ac:dyDescent="0.25">
      <c r="C192" s="316"/>
    </row>
    <row r="193" spans="3:3" x14ac:dyDescent="0.25">
      <c r="C193" s="316"/>
    </row>
    <row r="194" spans="3:3" x14ac:dyDescent="0.25">
      <c r="C194" s="316"/>
    </row>
    <row r="195" spans="3:3" x14ac:dyDescent="0.25">
      <c r="C195" s="316"/>
    </row>
    <row r="196" spans="3:3" x14ac:dyDescent="0.25">
      <c r="C196" s="316"/>
    </row>
    <row r="197" spans="3:3" x14ac:dyDescent="0.25">
      <c r="C197" s="316"/>
    </row>
    <row r="198" spans="3:3" x14ac:dyDescent="0.25">
      <c r="C198" s="316"/>
    </row>
    <row r="199" spans="3:3" x14ac:dyDescent="0.25">
      <c r="C199" s="316"/>
    </row>
    <row r="200" spans="3:3" x14ac:dyDescent="0.25">
      <c r="C200" s="316"/>
    </row>
    <row r="201" spans="3:3" x14ac:dyDescent="0.25">
      <c r="C201" s="316"/>
    </row>
    <row r="202" spans="3:3" x14ac:dyDescent="0.25">
      <c r="C202" s="316"/>
    </row>
    <row r="203" spans="3:3" x14ac:dyDescent="0.25">
      <c r="C203" s="316"/>
    </row>
    <row r="204" spans="3:3" x14ac:dyDescent="0.25">
      <c r="C204" s="316"/>
    </row>
    <row r="205" spans="3:3" x14ac:dyDescent="0.25">
      <c r="C205" s="316"/>
    </row>
    <row r="206" spans="3:3" x14ac:dyDescent="0.25">
      <c r="C206" s="316"/>
    </row>
    <row r="207" spans="3:3" x14ac:dyDescent="0.25">
      <c r="C207" s="316"/>
    </row>
    <row r="208" spans="3:3" x14ac:dyDescent="0.25">
      <c r="C208" s="316"/>
    </row>
    <row r="209" spans="3:3" x14ac:dyDescent="0.25">
      <c r="C209" s="316"/>
    </row>
    <row r="210" spans="3:3" x14ac:dyDescent="0.25">
      <c r="C210" s="316"/>
    </row>
    <row r="211" spans="3:3" x14ac:dyDescent="0.25">
      <c r="C211" s="316"/>
    </row>
    <row r="212" spans="3:3" x14ac:dyDescent="0.25">
      <c r="C212" s="316"/>
    </row>
    <row r="213" spans="3:3" x14ac:dyDescent="0.25">
      <c r="C213" s="316"/>
    </row>
    <row r="214" spans="3:3" x14ac:dyDescent="0.25">
      <c r="C214" s="316"/>
    </row>
    <row r="215" spans="3:3" x14ac:dyDescent="0.25">
      <c r="C215" s="316"/>
    </row>
    <row r="216" spans="3:3" x14ac:dyDescent="0.25">
      <c r="C216" s="316"/>
    </row>
    <row r="217" spans="3:3" x14ac:dyDescent="0.25">
      <c r="C217" s="316"/>
    </row>
    <row r="218" spans="3:3" x14ac:dyDescent="0.25">
      <c r="C218" s="316"/>
    </row>
    <row r="219" spans="3:3" x14ac:dyDescent="0.25">
      <c r="C219" s="316"/>
    </row>
    <row r="220" spans="3:3" x14ac:dyDescent="0.25">
      <c r="C220" s="316"/>
    </row>
    <row r="221" spans="3:3" x14ac:dyDescent="0.25">
      <c r="C221" s="316"/>
    </row>
    <row r="222" spans="3:3" x14ac:dyDescent="0.25">
      <c r="C222" s="316"/>
    </row>
    <row r="223" spans="3:3" x14ac:dyDescent="0.25">
      <c r="C223" s="316"/>
    </row>
    <row r="224" spans="3:3" x14ac:dyDescent="0.25">
      <c r="C224" s="316"/>
    </row>
    <row r="225" spans="3:3" x14ac:dyDescent="0.25">
      <c r="C225" s="316"/>
    </row>
    <row r="226" spans="3:3" x14ac:dyDescent="0.25">
      <c r="C226" s="316"/>
    </row>
    <row r="227" spans="3:3" x14ac:dyDescent="0.25">
      <c r="C227" s="316"/>
    </row>
    <row r="228" spans="3:3" x14ac:dyDescent="0.25">
      <c r="C228" s="316"/>
    </row>
    <row r="229" spans="3:3" x14ac:dyDescent="0.25">
      <c r="C229" s="316"/>
    </row>
    <row r="230" spans="3:3" x14ac:dyDescent="0.25">
      <c r="C230" s="316"/>
    </row>
    <row r="231" spans="3:3" x14ac:dyDescent="0.25">
      <c r="C231" s="316"/>
    </row>
    <row r="232" spans="3:3" x14ac:dyDescent="0.25">
      <c r="C232" s="316"/>
    </row>
    <row r="233" spans="3:3" x14ac:dyDescent="0.25">
      <c r="C233" s="316"/>
    </row>
    <row r="234" spans="3:3" x14ac:dyDescent="0.25">
      <c r="C234" s="316"/>
    </row>
    <row r="235" spans="3:3" x14ac:dyDescent="0.25">
      <c r="C235" s="316"/>
    </row>
    <row r="236" spans="3:3" x14ac:dyDescent="0.25">
      <c r="C236" s="316"/>
    </row>
    <row r="237" spans="3:3" x14ac:dyDescent="0.25">
      <c r="C237" s="316"/>
    </row>
    <row r="238" spans="3:3" x14ac:dyDescent="0.25">
      <c r="C238" s="316"/>
    </row>
    <row r="239" spans="3:3" x14ac:dyDescent="0.25">
      <c r="C239" s="316"/>
    </row>
    <row r="240" spans="3:3" x14ac:dyDescent="0.25">
      <c r="C240" s="316"/>
    </row>
    <row r="241" spans="3:3" x14ac:dyDescent="0.25">
      <c r="C241" s="316"/>
    </row>
    <row r="242" spans="3:3" x14ac:dyDescent="0.25">
      <c r="C242" s="316"/>
    </row>
    <row r="243" spans="3:3" x14ac:dyDescent="0.25">
      <c r="C243" s="316"/>
    </row>
    <row r="244" spans="3:3" x14ac:dyDescent="0.25">
      <c r="C244" s="316"/>
    </row>
    <row r="245" spans="3:3" x14ac:dyDescent="0.25">
      <c r="C245" s="316"/>
    </row>
    <row r="246" spans="3:3" x14ac:dyDescent="0.25">
      <c r="C246" s="316"/>
    </row>
    <row r="247" spans="3:3" x14ac:dyDescent="0.25">
      <c r="C247" s="316"/>
    </row>
    <row r="248" spans="3:3" x14ac:dyDescent="0.25">
      <c r="C248" s="316"/>
    </row>
    <row r="249" spans="3:3" x14ac:dyDescent="0.25">
      <c r="C249" s="316"/>
    </row>
    <row r="250" spans="3:3" x14ac:dyDescent="0.25">
      <c r="C250" s="316"/>
    </row>
    <row r="251" spans="3:3" x14ac:dyDescent="0.25">
      <c r="C251" s="316"/>
    </row>
    <row r="252" spans="3:3" x14ac:dyDescent="0.25">
      <c r="C252" s="316"/>
    </row>
    <row r="253" spans="3:3" x14ac:dyDescent="0.25">
      <c r="C253" s="316"/>
    </row>
    <row r="254" spans="3:3" x14ac:dyDescent="0.25">
      <c r="C254" s="316"/>
    </row>
    <row r="255" spans="3:3" x14ac:dyDescent="0.25">
      <c r="C255" s="316"/>
    </row>
    <row r="256" spans="3:3" x14ac:dyDescent="0.25">
      <c r="C256" s="316"/>
    </row>
    <row r="257" spans="3:3" x14ac:dyDescent="0.25">
      <c r="C257" s="316"/>
    </row>
    <row r="258" spans="3:3" x14ac:dyDescent="0.25">
      <c r="C258" s="316"/>
    </row>
    <row r="259" spans="3:3" x14ac:dyDescent="0.25">
      <c r="C259" s="316"/>
    </row>
    <row r="260" spans="3:3" x14ac:dyDescent="0.25">
      <c r="C260" s="316"/>
    </row>
    <row r="261" spans="3:3" x14ac:dyDescent="0.25">
      <c r="C261" s="316"/>
    </row>
    <row r="262" spans="3:3" x14ac:dyDescent="0.25">
      <c r="C262" s="316"/>
    </row>
    <row r="263" spans="3:3" x14ac:dyDescent="0.25">
      <c r="C263" s="316"/>
    </row>
    <row r="264" spans="3:3" x14ac:dyDescent="0.25">
      <c r="C264" s="316"/>
    </row>
    <row r="265" spans="3:3" x14ac:dyDescent="0.25">
      <c r="C265" s="316"/>
    </row>
    <row r="266" spans="3:3" x14ac:dyDescent="0.25">
      <c r="C266" s="316"/>
    </row>
    <row r="267" spans="3:3" x14ac:dyDescent="0.25">
      <c r="C267" s="316"/>
    </row>
    <row r="268" spans="3:3" x14ac:dyDescent="0.25">
      <c r="C268" s="316"/>
    </row>
    <row r="269" spans="3:3" x14ac:dyDescent="0.25">
      <c r="C269" s="316"/>
    </row>
    <row r="270" spans="3:3" x14ac:dyDescent="0.25">
      <c r="C270" s="316"/>
    </row>
    <row r="271" spans="3:3" x14ac:dyDescent="0.25">
      <c r="C271" s="316"/>
    </row>
    <row r="272" spans="3:3" x14ac:dyDescent="0.25">
      <c r="C272" s="316"/>
    </row>
    <row r="273" spans="3:3" x14ac:dyDescent="0.25">
      <c r="C273" s="316"/>
    </row>
    <row r="274" spans="3:3" x14ac:dyDescent="0.25">
      <c r="C274" s="316"/>
    </row>
    <row r="275" spans="3:3" x14ac:dyDescent="0.25">
      <c r="C275" s="316"/>
    </row>
    <row r="276" spans="3:3" x14ac:dyDescent="0.25">
      <c r="C276" s="316"/>
    </row>
    <row r="277" spans="3:3" x14ac:dyDescent="0.25">
      <c r="C277" s="316"/>
    </row>
    <row r="278" spans="3:3" x14ac:dyDescent="0.25">
      <c r="C278" s="316"/>
    </row>
    <row r="279" spans="3:3" x14ac:dyDescent="0.25">
      <c r="C279" s="316"/>
    </row>
    <row r="280" spans="3:3" x14ac:dyDescent="0.25">
      <c r="C280" s="316"/>
    </row>
    <row r="281" spans="3:3" x14ac:dyDescent="0.25">
      <c r="C281" s="316"/>
    </row>
    <row r="282" spans="3:3" x14ac:dyDescent="0.25">
      <c r="C282" s="316"/>
    </row>
    <row r="283" spans="3:3" x14ac:dyDescent="0.25">
      <c r="C283" s="316"/>
    </row>
    <row r="284" spans="3:3" x14ac:dyDescent="0.25">
      <c r="C284" s="316"/>
    </row>
    <row r="285" spans="3:3" x14ac:dyDescent="0.25">
      <c r="C285" s="316"/>
    </row>
    <row r="286" spans="3:3" x14ac:dyDescent="0.25">
      <c r="C286" s="316"/>
    </row>
    <row r="287" spans="3:3" x14ac:dyDescent="0.25">
      <c r="C287" s="316"/>
    </row>
    <row r="288" spans="3:3" x14ac:dyDescent="0.25">
      <c r="C288" s="316"/>
    </row>
    <row r="289" spans="3:3" x14ac:dyDescent="0.25">
      <c r="C289" s="316"/>
    </row>
    <row r="290" spans="3:3" x14ac:dyDescent="0.25">
      <c r="C290" s="316"/>
    </row>
    <row r="291" spans="3:3" x14ac:dyDescent="0.25">
      <c r="C291" s="316"/>
    </row>
    <row r="292" spans="3:3" x14ac:dyDescent="0.25">
      <c r="C292" s="316"/>
    </row>
    <row r="293" spans="3:3" x14ac:dyDescent="0.25">
      <c r="C293" s="316"/>
    </row>
    <row r="294" spans="3:3" x14ac:dyDescent="0.25">
      <c r="C294" s="316"/>
    </row>
    <row r="295" spans="3:3" x14ac:dyDescent="0.25">
      <c r="C295" s="316"/>
    </row>
    <row r="296" spans="3:3" x14ac:dyDescent="0.25">
      <c r="C296" s="316"/>
    </row>
    <row r="297" spans="3:3" x14ac:dyDescent="0.25">
      <c r="C297" s="316"/>
    </row>
    <row r="298" spans="3:3" x14ac:dyDescent="0.25">
      <c r="C298" s="316"/>
    </row>
    <row r="299" spans="3:3" x14ac:dyDescent="0.25">
      <c r="C299" s="316"/>
    </row>
    <row r="300" spans="3:3" x14ac:dyDescent="0.25">
      <c r="C300" s="316"/>
    </row>
    <row r="301" spans="3:3" x14ac:dyDescent="0.25">
      <c r="C301" s="316"/>
    </row>
    <row r="302" spans="3:3" x14ac:dyDescent="0.25">
      <c r="C302" s="316"/>
    </row>
    <row r="303" spans="3:3" x14ac:dyDescent="0.25">
      <c r="C303" s="316"/>
    </row>
    <row r="304" spans="3:3" x14ac:dyDescent="0.25">
      <c r="C304" s="316"/>
    </row>
    <row r="305" spans="3:3" x14ac:dyDescent="0.25">
      <c r="C305" s="316"/>
    </row>
    <row r="306" spans="3:3" x14ac:dyDescent="0.25">
      <c r="C306" s="316"/>
    </row>
    <row r="307" spans="3:3" x14ac:dyDescent="0.25">
      <c r="C307" s="316"/>
    </row>
    <row r="308" spans="3:3" x14ac:dyDescent="0.25">
      <c r="C308" s="316"/>
    </row>
    <row r="309" spans="3:3" x14ac:dyDescent="0.25">
      <c r="C309" s="316"/>
    </row>
    <row r="310" spans="3:3" x14ac:dyDescent="0.25">
      <c r="C310" s="316"/>
    </row>
    <row r="311" spans="3:3" x14ac:dyDescent="0.25">
      <c r="C311" s="316"/>
    </row>
    <row r="312" spans="3:3" x14ac:dyDescent="0.25">
      <c r="C312" s="316"/>
    </row>
    <row r="313" spans="3:3" x14ac:dyDescent="0.25">
      <c r="C313" s="316"/>
    </row>
    <row r="314" spans="3:3" x14ac:dyDescent="0.25">
      <c r="C314" s="316"/>
    </row>
    <row r="315" spans="3:3" x14ac:dyDescent="0.25">
      <c r="C315" s="316"/>
    </row>
    <row r="316" spans="3:3" x14ac:dyDescent="0.25">
      <c r="C316" s="316"/>
    </row>
    <row r="317" spans="3:3" x14ac:dyDescent="0.25">
      <c r="C317" s="316"/>
    </row>
    <row r="318" spans="3:3" x14ac:dyDescent="0.25">
      <c r="C318" s="316"/>
    </row>
    <row r="319" spans="3:3" x14ac:dyDescent="0.25">
      <c r="C319" s="316"/>
    </row>
    <row r="320" spans="3:3" x14ac:dyDescent="0.25">
      <c r="C320" s="316"/>
    </row>
    <row r="321" spans="3:3" x14ac:dyDescent="0.25">
      <c r="C321" s="316"/>
    </row>
    <row r="322" spans="3:3" x14ac:dyDescent="0.25">
      <c r="C322" s="316"/>
    </row>
    <row r="323" spans="3:3" x14ac:dyDescent="0.25">
      <c r="C323" s="316"/>
    </row>
    <row r="324" spans="3:3" x14ac:dyDescent="0.25">
      <c r="C324" s="316"/>
    </row>
    <row r="325" spans="3:3" x14ac:dyDescent="0.25">
      <c r="C325" s="316"/>
    </row>
    <row r="326" spans="3:3" x14ac:dyDescent="0.25">
      <c r="C326" s="316"/>
    </row>
    <row r="327" spans="3:3" x14ac:dyDescent="0.25">
      <c r="C327" s="316"/>
    </row>
    <row r="328" spans="3:3" x14ac:dyDescent="0.25">
      <c r="C328" s="316"/>
    </row>
    <row r="329" spans="3:3" x14ac:dyDescent="0.25">
      <c r="C329" s="316"/>
    </row>
    <row r="330" spans="3:3" x14ac:dyDescent="0.25">
      <c r="C330" s="316"/>
    </row>
    <row r="331" spans="3:3" x14ac:dyDescent="0.25">
      <c r="C331" s="316"/>
    </row>
    <row r="332" spans="3:3" x14ac:dyDescent="0.25">
      <c r="C332" s="316"/>
    </row>
    <row r="333" spans="3:3" x14ac:dyDescent="0.25">
      <c r="C333" s="316"/>
    </row>
    <row r="334" spans="3:3" x14ac:dyDescent="0.25">
      <c r="C334" s="316"/>
    </row>
    <row r="335" spans="3:3" x14ac:dyDescent="0.25">
      <c r="C335" s="316"/>
    </row>
    <row r="336" spans="3:3" x14ac:dyDescent="0.25">
      <c r="C336" s="316"/>
    </row>
    <row r="337" spans="3:3" x14ac:dyDescent="0.25">
      <c r="C337" s="316"/>
    </row>
    <row r="338" spans="3:3" x14ac:dyDescent="0.25">
      <c r="C338" s="316"/>
    </row>
    <row r="339" spans="3:3" x14ac:dyDescent="0.25">
      <c r="C339" s="316"/>
    </row>
    <row r="340" spans="3:3" x14ac:dyDescent="0.25">
      <c r="C340" s="316"/>
    </row>
    <row r="341" spans="3:3" x14ac:dyDescent="0.25">
      <c r="C341" s="316"/>
    </row>
    <row r="342" spans="3:3" x14ac:dyDescent="0.25">
      <c r="C342" s="316"/>
    </row>
    <row r="343" spans="3:3" x14ac:dyDescent="0.25">
      <c r="C343" s="316"/>
    </row>
    <row r="344" spans="3:3" x14ac:dyDescent="0.25">
      <c r="C344" s="316"/>
    </row>
    <row r="345" spans="3:3" x14ac:dyDescent="0.25">
      <c r="C345" s="316"/>
    </row>
    <row r="346" spans="3:3" x14ac:dyDescent="0.25">
      <c r="C346" s="316"/>
    </row>
    <row r="347" spans="3:3" x14ac:dyDescent="0.25">
      <c r="C347" s="316"/>
    </row>
    <row r="348" spans="3:3" x14ac:dyDescent="0.25">
      <c r="C348" s="316"/>
    </row>
    <row r="349" spans="3:3" x14ac:dyDescent="0.25">
      <c r="C349" s="316"/>
    </row>
    <row r="350" spans="3:3" x14ac:dyDescent="0.25">
      <c r="C350" s="316"/>
    </row>
    <row r="351" spans="3:3" x14ac:dyDescent="0.25">
      <c r="C351" s="316"/>
    </row>
    <row r="352" spans="3:3" x14ac:dyDescent="0.25">
      <c r="C352" s="316"/>
    </row>
    <row r="353" spans="3:3" x14ac:dyDescent="0.25">
      <c r="C353" s="316"/>
    </row>
    <row r="354" spans="3:3" x14ac:dyDescent="0.25">
      <c r="C354" s="316"/>
    </row>
    <row r="355" spans="3:3" x14ac:dyDescent="0.25">
      <c r="C355" s="316"/>
    </row>
    <row r="356" spans="3:3" x14ac:dyDescent="0.25">
      <c r="C356" s="316"/>
    </row>
    <row r="357" spans="3:3" x14ac:dyDescent="0.25">
      <c r="C357" s="316"/>
    </row>
    <row r="358" spans="3:3" x14ac:dyDescent="0.25">
      <c r="C358" s="316"/>
    </row>
    <row r="359" spans="3:3" x14ac:dyDescent="0.25">
      <c r="C359" s="316"/>
    </row>
    <row r="360" spans="3:3" x14ac:dyDescent="0.25">
      <c r="C360" s="316"/>
    </row>
    <row r="361" spans="3:3" x14ac:dyDescent="0.25">
      <c r="C361" s="316"/>
    </row>
    <row r="362" spans="3:3" x14ac:dyDescent="0.25">
      <c r="C362" s="316"/>
    </row>
    <row r="363" spans="3:3" x14ac:dyDescent="0.25">
      <c r="C363" s="316"/>
    </row>
    <row r="364" spans="3:3" x14ac:dyDescent="0.25">
      <c r="C364" s="316"/>
    </row>
    <row r="365" spans="3:3" x14ac:dyDescent="0.25">
      <c r="C365" s="316"/>
    </row>
    <row r="366" spans="3:3" x14ac:dyDescent="0.25">
      <c r="C366" s="316"/>
    </row>
    <row r="367" spans="3:3" x14ac:dyDescent="0.25">
      <c r="C367" s="316"/>
    </row>
    <row r="368" spans="3:3" x14ac:dyDescent="0.25">
      <c r="C368" s="316"/>
    </row>
    <row r="369" spans="3:3" x14ac:dyDescent="0.25">
      <c r="C369" s="316"/>
    </row>
    <row r="370" spans="3:3" x14ac:dyDescent="0.25">
      <c r="C370" s="316"/>
    </row>
    <row r="371" spans="3:3" x14ac:dyDescent="0.25">
      <c r="C371" s="316"/>
    </row>
    <row r="372" spans="3:3" x14ac:dyDescent="0.25">
      <c r="C372" s="316"/>
    </row>
    <row r="373" spans="3:3" x14ac:dyDescent="0.25">
      <c r="C373" s="316"/>
    </row>
    <row r="374" spans="3:3" x14ac:dyDescent="0.25">
      <c r="C374" s="316"/>
    </row>
    <row r="375" spans="3:3" x14ac:dyDescent="0.25">
      <c r="C375" s="316"/>
    </row>
    <row r="376" spans="3:3" x14ac:dyDescent="0.25">
      <c r="C376" s="316"/>
    </row>
    <row r="377" spans="3:3" x14ac:dyDescent="0.25">
      <c r="C377" s="316"/>
    </row>
    <row r="378" spans="3:3" x14ac:dyDescent="0.25">
      <c r="C378" s="316"/>
    </row>
    <row r="379" spans="3:3" x14ac:dyDescent="0.25">
      <c r="C379" s="316"/>
    </row>
    <row r="380" spans="3:3" x14ac:dyDescent="0.25">
      <c r="C380" s="316"/>
    </row>
    <row r="381" spans="3:3" x14ac:dyDescent="0.25">
      <c r="C381" s="316"/>
    </row>
    <row r="382" spans="3:3" x14ac:dyDescent="0.25">
      <c r="C382" s="316"/>
    </row>
    <row r="383" spans="3:3" x14ac:dyDescent="0.25">
      <c r="C383" s="316"/>
    </row>
    <row r="384" spans="3:3" x14ac:dyDescent="0.25">
      <c r="C384" s="316"/>
    </row>
    <row r="385" spans="3:3" x14ac:dyDescent="0.25">
      <c r="C385" s="316"/>
    </row>
    <row r="386" spans="3:3" x14ac:dyDescent="0.25">
      <c r="C386" s="316"/>
    </row>
    <row r="387" spans="3:3" x14ac:dyDescent="0.25">
      <c r="C387" s="316"/>
    </row>
    <row r="388" spans="3:3" x14ac:dyDescent="0.25">
      <c r="C388" s="316"/>
    </row>
    <row r="389" spans="3:3" x14ac:dyDescent="0.25">
      <c r="C389" s="316"/>
    </row>
    <row r="390" spans="3:3" x14ac:dyDescent="0.25">
      <c r="C390" s="316"/>
    </row>
    <row r="391" spans="3:3" x14ac:dyDescent="0.25">
      <c r="C391" s="316"/>
    </row>
    <row r="392" spans="3:3" x14ac:dyDescent="0.25">
      <c r="C392" s="316"/>
    </row>
    <row r="393" spans="3:3" x14ac:dyDescent="0.25">
      <c r="C393" s="316"/>
    </row>
    <row r="394" spans="3:3" x14ac:dyDescent="0.25">
      <c r="C394" s="316"/>
    </row>
    <row r="395" spans="3:3" x14ac:dyDescent="0.25">
      <c r="C395" s="316"/>
    </row>
    <row r="396" spans="3:3" x14ac:dyDescent="0.25">
      <c r="C396" s="316"/>
    </row>
    <row r="397" spans="3:3" x14ac:dyDescent="0.25">
      <c r="C397" s="316"/>
    </row>
    <row r="398" spans="3:3" x14ac:dyDescent="0.25">
      <c r="C398" s="316"/>
    </row>
    <row r="399" spans="3:3" x14ac:dyDescent="0.25">
      <c r="C399" s="316"/>
    </row>
    <row r="400" spans="3:3" x14ac:dyDescent="0.25">
      <c r="C400" s="316"/>
    </row>
    <row r="401" spans="3:3" x14ac:dyDescent="0.25">
      <c r="C401" s="316"/>
    </row>
    <row r="402" spans="3:3" x14ac:dyDescent="0.25">
      <c r="C402" s="316"/>
    </row>
    <row r="403" spans="3:3" x14ac:dyDescent="0.25">
      <c r="C403" s="316"/>
    </row>
    <row r="404" spans="3:3" x14ac:dyDescent="0.25">
      <c r="C404" s="316"/>
    </row>
    <row r="405" spans="3:3" x14ac:dyDescent="0.25">
      <c r="C405" s="316"/>
    </row>
    <row r="406" spans="3:3" x14ac:dyDescent="0.25">
      <c r="C406" s="316"/>
    </row>
    <row r="407" spans="3:3" x14ac:dyDescent="0.25">
      <c r="C407" s="316"/>
    </row>
    <row r="408" spans="3:3" x14ac:dyDescent="0.25">
      <c r="C408" s="316"/>
    </row>
    <row r="409" spans="3:3" x14ac:dyDescent="0.25">
      <c r="C409" s="316"/>
    </row>
    <row r="410" spans="3:3" x14ac:dyDescent="0.25">
      <c r="C410" s="316"/>
    </row>
    <row r="411" spans="3:3" x14ac:dyDescent="0.25">
      <c r="C411" s="316"/>
    </row>
    <row r="412" spans="3:3" x14ac:dyDescent="0.25">
      <c r="C412" s="316"/>
    </row>
    <row r="413" spans="3:3" x14ac:dyDescent="0.25">
      <c r="C413" s="316"/>
    </row>
    <row r="414" spans="3:3" x14ac:dyDescent="0.25">
      <c r="C414" s="316"/>
    </row>
    <row r="415" spans="3:3" x14ac:dyDescent="0.25">
      <c r="C415" s="316"/>
    </row>
    <row r="416" spans="3:3" x14ac:dyDescent="0.25">
      <c r="C416" s="316"/>
    </row>
    <row r="417" spans="3:3" x14ac:dyDescent="0.25">
      <c r="C417" s="316"/>
    </row>
    <row r="418" spans="3:3" x14ac:dyDescent="0.25">
      <c r="C418" s="316"/>
    </row>
    <row r="419" spans="3:3" x14ac:dyDescent="0.25">
      <c r="C419" s="316"/>
    </row>
    <row r="420" spans="3:3" x14ac:dyDescent="0.25">
      <c r="C420" s="316"/>
    </row>
    <row r="421" spans="3:3" x14ac:dyDescent="0.25">
      <c r="C421" s="316"/>
    </row>
    <row r="422" spans="3:3" x14ac:dyDescent="0.25">
      <c r="C422" s="316"/>
    </row>
    <row r="423" spans="3:3" x14ac:dyDescent="0.25">
      <c r="C423" s="316"/>
    </row>
    <row r="424" spans="3:3" x14ac:dyDescent="0.25">
      <c r="C424" s="316"/>
    </row>
    <row r="425" spans="3:3" x14ac:dyDescent="0.25">
      <c r="C425" s="316"/>
    </row>
    <row r="426" spans="3:3" x14ac:dyDescent="0.25">
      <c r="C426" s="316"/>
    </row>
    <row r="427" spans="3:3" x14ac:dyDescent="0.25">
      <c r="C427" s="316"/>
    </row>
    <row r="428" spans="3:3" x14ac:dyDescent="0.25">
      <c r="C428" s="316"/>
    </row>
    <row r="429" spans="3:3" x14ac:dyDescent="0.25">
      <c r="C429" s="316"/>
    </row>
    <row r="430" spans="3:3" x14ac:dyDescent="0.25">
      <c r="C430" s="316"/>
    </row>
    <row r="431" spans="3:3" x14ac:dyDescent="0.25">
      <c r="C431" s="316"/>
    </row>
    <row r="432" spans="3:3" x14ac:dyDescent="0.25">
      <c r="C432" s="316"/>
    </row>
    <row r="433" spans="3:3" x14ac:dyDescent="0.25">
      <c r="C433" s="316"/>
    </row>
    <row r="434" spans="3:3" x14ac:dyDescent="0.25">
      <c r="C434" s="316"/>
    </row>
    <row r="435" spans="3:3" x14ac:dyDescent="0.25">
      <c r="C435" s="316"/>
    </row>
    <row r="436" spans="3:3" x14ac:dyDescent="0.25">
      <c r="C436" s="316"/>
    </row>
    <row r="437" spans="3:3" x14ac:dyDescent="0.25">
      <c r="C437" s="316"/>
    </row>
    <row r="438" spans="3:3" x14ac:dyDescent="0.25">
      <c r="C438" s="316"/>
    </row>
    <row r="439" spans="3:3" x14ac:dyDescent="0.25">
      <c r="C439" s="316"/>
    </row>
    <row r="440" spans="3:3" x14ac:dyDescent="0.25">
      <c r="C440" s="316"/>
    </row>
    <row r="441" spans="3:3" x14ac:dyDescent="0.25">
      <c r="C441" s="316"/>
    </row>
    <row r="442" spans="3:3" x14ac:dyDescent="0.25">
      <c r="C442" s="316"/>
    </row>
    <row r="443" spans="3:3" x14ac:dyDescent="0.25">
      <c r="C443" s="316"/>
    </row>
    <row r="444" spans="3:3" x14ac:dyDescent="0.25">
      <c r="C444" s="316"/>
    </row>
    <row r="445" spans="3:3" x14ac:dyDescent="0.25">
      <c r="C445" s="316"/>
    </row>
    <row r="446" spans="3:3" x14ac:dyDescent="0.25">
      <c r="C446" s="316"/>
    </row>
    <row r="447" spans="3:3" x14ac:dyDescent="0.25">
      <c r="C447" s="316"/>
    </row>
    <row r="448" spans="3:3" x14ac:dyDescent="0.25">
      <c r="C448" s="316"/>
    </row>
    <row r="449" spans="3:3" x14ac:dyDescent="0.25">
      <c r="C449" s="316"/>
    </row>
    <row r="450" spans="3:3" x14ac:dyDescent="0.25">
      <c r="C450" s="316"/>
    </row>
    <row r="451" spans="3:3" x14ac:dyDescent="0.25">
      <c r="C451" s="316"/>
    </row>
    <row r="452" spans="3:3" x14ac:dyDescent="0.25">
      <c r="C452" s="316"/>
    </row>
    <row r="453" spans="3:3" x14ac:dyDescent="0.25">
      <c r="C453" s="316"/>
    </row>
    <row r="454" spans="3:3" x14ac:dyDescent="0.25">
      <c r="C454" s="316"/>
    </row>
    <row r="455" spans="3:3" x14ac:dyDescent="0.25">
      <c r="C455" s="316"/>
    </row>
    <row r="456" spans="3:3" x14ac:dyDescent="0.25">
      <c r="C456" s="316"/>
    </row>
    <row r="457" spans="3:3" x14ac:dyDescent="0.25">
      <c r="C457" s="316"/>
    </row>
    <row r="458" spans="3:3" x14ac:dyDescent="0.25">
      <c r="C458" s="316"/>
    </row>
    <row r="459" spans="3:3" x14ac:dyDescent="0.25">
      <c r="C459" s="316"/>
    </row>
    <row r="460" spans="3:3" x14ac:dyDescent="0.25">
      <c r="C460" s="316"/>
    </row>
    <row r="461" spans="3:3" x14ac:dyDescent="0.25">
      <c r="C461" s="316"/>
    </row>
    <row r="462" spans="3:3" x14ac:dyDescent="0.25">
      <c r="C462" s="316"/>
    </row>
    <row r="463" spans="3:3" x14ac:dyDescent="0.25">
      <c r="C463" s="316"/>
    </row>
    <row r="464" spans="3:3" x14ac:dyDescent="0.25">
      <c r="C464" s="316"/>
    </row>
    <row r="465" spans="3:3" x14ac:dyDescent="0.25">
      <c r="C465" s="316"/>
    </row>
    <row r="466" spans="3:3" x14ac:dyDescent="0.25">
      <c r="C466" s="316"/>
    </row>
    <row r="467" spans="3:3" x14ac:dyDescent="0.25">
      <c r="C467" s="316"/>
    </row>
    <row r="468" spans="3:3" x14ac:dyDescent="0.25">
      <c r="C468" s="316"/>
    </row>
    <row r="469" spans="3:3" x14ac:dyDescent="0.25">
      <c r="C469" s="316"/>
    </row>
    <row r="470" spans="3:3" x14ac:dyDescent="0.25">
      <c r="C470" s="316"/>
    </row>
    <row r="471" spans="3:3" x14ac:dyDescent="0.25">
      <c r="C471" s="316"/>
    </row>
    <row r="472" spans="3:3" x14ac:dyDescent="0.25">
      <c r="C472" s="316"/>
    </row>
    <row r="473" spans="3:3" x14ac:dyDescent="0.25">
      <c r="C473" s="316"/>
    </row>
    <row r="474" spans="3:3" x14ac:dyDescent="0.25">
      <c r="C474" s="316"/>
    </row>
    <row r="475" spans="3:3" x14ac:dyDescent="0.25">
      <c r="C475" s="316"/>
    </row>
    <row r="476" spans="3:3" x14ac:dyDescent="0.25">
      <c r="C476" s="316"/>
    </row>
    <row r="477" spans="3:3" x14ac:dyDescent="0.25">
      <c r="C477" s="316"/>
    </row>
    <row r="478" spans="3:3" x14ac:dyDescent="0.25">
      <c r="C478" s="316"/>
    </row>
    <row r="479" spans="3:3" x14ac:dyDescent="0.25">
      <c r="C479" s="316"/>
    </row>
    <row r="480" spans="3:3" x14ac:dyDescent="0.25">
      <c r="C480" s="316"/>
    </row>
    <row r="481" spans="3:3" x14ac:dyDescent="0.25">
      <c r="C481" s="316"/>
    </row>
    <row r="482" spans="3:3" x14ac:dyDescent="0.25">
      <c r="C482" s="316"/>
    </row>
    <row r="483" spans="3:3" x14ac:dyDescent="0.25">
      <c r="C483" s="316"/>
    </row>
    <row r="484" spans="3:3" x14ac:dyDescent="0.25">
      <c r="C484" s="316"/>
    </row>
    <row r="485" spans="3:3" x14ac:dyDescent="0.25">
      <c r="C485" s="316"/>
    </row>
    <row r="486" spans="3:3" x14ac:dyDescent="0.25">
      <c r="C486" s="316"/>
    </row>
    <row r="487" spans="3:3" x14ac:dyDescent="0.25">
      <c r="C487" s="316"/>
    </row>
    <row r="488" spans="3:3" x14ac:dyDescent="0.25">
      <c r="C488" s="316"/>
    </row>
    <row r="489" spans="3:3" x14ac:dyDescent="0.25">
      <c r="C489" s="316"/>
    </row>
    <row r="490" spans="3:3" x14ac:dyDescent="0.25">
      <c r="C490" s="316"/>
    </row>
    <row r="491" spans="3:3" x14ac:dyDescent="0.25">
      <c r="C491" s="316"/>
    </row>
    <row r="492" spans="3:3" x14ac:dyDescent="0.25">
      <c r="C492" s="316"/>
    </row>
    <row r="493" spans="3:3" x14ac:dyDescent="0.25">
      <c r="C493" s="316"/>
    </row>
    <row r="494" spans="3:3" x14ac:dyDescent="0.25">
      <c r="C494" s="316"/>
    </row>
    <row r="495" spans="3:3" x14ac:dyDescent="0.25">
      <c r="C495" s="316"/>
    </row>
    <row r="496" spans="3:3" x14ac:dyDescent="0.25">
      <c r="C496" s="316"/>
    </row>
    <row r="497" spans="3:3" x14ac:dyDescent="0.25">
      <c r="C497" s="316"/>
    </row>
    <row r="498" spans="3:3" x14ac:dyDescent="0.25">
      <c r="C498" s="316"/>
    </row>
    <row r="499" spans="3:3" x14ac:dyDescent="0.25">
      <c r="C499" s="316"/>
    </row>
    <row r="500" spans="3:3" x14ac:dyDescent="0.25">
      <c r="C500" s="316"/>
    </row>
    <row r="501" spans="3:3" x14ac:dyDescent="0.25">
      <c r="C501" s="316"/>
    </row>
    <row r="502" spans="3:3" x14ac:dyDescent="0.25">
      <c r="C502" s="316"/>
    </row>
    <row r="503" spans="3:3" x14ac:dyDescent="0.25">
      <c r="C503" s="316"/>
    </row>
    <row r="504" spans="3:3" x14ac:dyDescent="0.25">
      <c r="C504" s="316"/>
    </row>
    <row r="505" spans="3:3" x14ac:dyDescent="0.25">
      <c r="C505" s="316"/>
    </row>
    <row r="506" spans="3:3" x14ac:dyDescent="0.25">
      <c r="C506" s="316"/>
    </row>
    <row r="507" spans="3:3" x14ac:dyDescent="0.25">
      <c r="C507" s="316"/>
    </row>
    <row r="508" spans="3:3" x14ac:dyDescent="0.25">
      <c r="C508" s="316"/>
    </row>
    <row r="509" spans="3:3" x14ac:dyDescent="0.25">
      <c r="C509" s="316"/>
    </row>
    <row r="510" spans="3:3" x14ac:dyDescent="0.25">
      <c r="C510" s="316"/>
    </row>
    <row r="511" spans="3:3" x14ac:dyDescent="0.25">
      <c r="C511" s="316"/>
    </row>
    <row r="512" spans="3:3" x14ac:dyDescent="0.25">
      <c r="C512" s="316"/>
    </row>
    <row r="513" spans="3:3" x14ac:dyDescent="0.25">
      <c r="C513" s="316"/>
    </row>
    <row r="514" spans="3:3" x14ac:dyDescent="0.25">
      <c r="C514" s="316"/>
    </row>
    <row r="515" spans="3:3" x14ac:dyDescent="0.25">
      <c r="C515" s="316"/>
    </row>
    <row r="516" spans="3:3" x14ac:dyDescent="0.25">
      <c r="C516" s="316"/>
    </row>
    <row r="517" spans="3:3" x14ac:dyDescent="0.25">
      <c r="C517" s="316"/>
    </row>
    <row r="518" spans="3:3" x14ac:dyDescent="0.25">
      <c r="C518" s="316"/>
    </row>
    <row r="519" spans="3:3" x14ac:dyDescent="0.25">
      <c r="C519" s="316"/>
    </row>
    <row r="520" spans="3:3" x14ac:dyDescent="0.25">
      <c r="C520" s="316"/>
    </row>
    <row r="521" spans="3:3" x14ac:dyDescent="0.25">
      <c r="C521" s="316"/>
    </row>
    <row r="522" spans="3:3" x14ac:dyDescent="0.25">
      <c r="C522" s="316"/>
    </row>
    <row r="523" spans="3:3" x14ac:dyDescent="0.25">
      <c r="C523" s="316"/>
    </row>
    <row r="524" spans="3:3" x14ac:dyDescent="0.25">
      <c r="C524" s="316"/>
    </row>
    <row r="525" spans="3:3" x14ac:dyDescent="0.25">
      <c r="C525" s="316"/>
    </row>
    <row r="526" spans="3:3" x14ac:dyDescent="0.25">
      <c r="C526" s="316"/>
    </row>
    <row r="527" spans="3:3" x14ac:dyDescent="0.25">
      <c r="C527" s="316"/>
    </row>
    <row r="528" spans="3:3" x14ac:dyDescent="0.25">
      <c r="C528" s="316"/>
    </row>
    <row r="529" spans="3:3" x14ac:dyDescent="0.25">
      <c r="C529" s="316"/>
    </row>
    <row r="530" spans="3:3" x14ac:dyDescent="0.25">
      <c r="C530" s="316"/>
    </row>
    <row r="531" spans="3:3" x14ac:dyDescent="0.25">
      <c r="C531" s="316"/>
    </row>
    <row r="532" spans="3:3" x14ac:dyDescent="0.25">
      <c r="C532" s="316"/>
    </row>
    <row r="533" spans="3:3" x14ac:dyDescent="0.25">
      <c r="C533" s="316"/>
    </row>
    <row r="534" spans="3:3" x14ac:dyDescent="0.25">
      <c r="C534" s="316"/>
    </row>
    <row r="535" spans="3:3" x14ac:dyDescent="0.25">
      <c r="C535" s="316"/>
    </row>
    <row r="536" spans="3:3" x14ac:dyDescent="0.25">
      <c r="C536" s="316"/>
    </row>
    <row r="537" spans="3:3" x14ac:dyDescent="0.25">
      <c r="C537" s="316"/>
    </row>
    <row r="538" spans="3:3" x14ac:dyDescent="0.25">
      <c r="C538" s="316"/>
    </row>
    <row r="539" spans="3:3" x14ac:dyDescent="0.25">
      <c r="C539" s="316"/>
    </row>
    <row r="540" spans="3:3" x14ac:dyDescent="0.25">
      <c r="C540" s="316"/>
    </row>
    <row r="541" spans="3:3" x14ac:dyDescent="0.25">
      <c r="C541" s="316"/>
    </row>
    <row r="542" spans="3:3" x14ac:dyDescent="0.25">
      <c r="C542" s="316"/>
    </row>
    <row r="543" spans="3:3" x14ac:dyDescent="0.25">
      <c r="C543" s="316"/>
    </row>
    <row r="544" spans="3:3" x14ac:dyDescent="0.25">
      <c r="C544" s="316"/>
    </row>
    <row r="545" spans="3:3" x14ac:dyDescent="0.25">
      <c r="C545" s="316"/>
    </row>
    <row r="546" spans="3:3" x14ac:dyDescent="0.25">
      <c r="C546" s="316"/>
    </row>
    <row r="547" spans="3:3" x14ac:dyDescent="0.25">
      <c r="C547" s="316"/>
    </row>
    <row r="548" spans="3:3" x14ac:dyDescent="0.25">
      <c r="C548" s="316"/>
    </row>
    <row r="549" spans="3:3" x14ac:dyDescent="0.25">
      <c r="C549" s="316"/>
    </row>
    <row r="550" spans="3:3" x14ac:dyDescent="0.25">
      <c r="C550" s="316"/>
    </row>
    <row r="551" spans="3:3" x14ac:dyDescent="0.25">
      <c r="C551" s="316"/>
    </row>
    <row r="552" spans="3:3" x14ac:dyDescent="0.25">
      <c r="C552" s="316"/>
    </row>
    <row r="553" spans="3:3" x14ac:dyDescent="0.25">
      <c r="C553" s="316"/>
    </row>
    <row r="554" spans="3:3" x14ac:dyDescent="0.25">
      <c r="C554" s="316"/>
    </row>
    <row r="555" spans="3:3" x14ac:dyDescent="0.25">
      <c r="C555" s="316"/>
    </row>
    <row r="556" spans="3:3" x14ac:dyDescent="0.25">
      <c r="C556" s="316"/>
    </row>
    <row r="557" spans="3:3" x14ac:dyDescent="0.25">
      <c r="C557" s="316"/>
    </row>
    <row r="558" spans="3:3" x14ac:dyDescent="0.25">
      <c r="C558" s="316"/>
    </row>
    <row r="559" spans="3:3" x14ac:dyDescent="0.25">
      <c r="C559" s="316"/>
    </row>
    <row r="560" spans="3:3" x14ac:dyDescent="0.25">
      <c r="C560" s="316"/>
    </row>
    <row r="561" spans="3:3" x14ac:dyDescent="0.25">
      <c r="C561" s="316"/>
    </row>
    <row r="562" spans="3:3" x14ac:dyDescent="0.25">
      <c r="C562" s="316"/>
    </row>
    <row r="563" spans="3:3" x14ac:dyDescent="0.25">
      <c r="C563" s="316"/>
    </row>
    <row r="564" spans="3:3" x14ac:dyDescent="0.25">
      <c r="C564" s="316"/>
    </row>
    <row r="565" spans="3:3" x14ac:dyDescent="0.25">
      <c r="C565" s="316"/>
    </row>
    <row r="566" spans="3:3" x14ac:dyDescent="0.25">
      <c r="C566" s="316"/>
    </row>
    <row r="567" spans="3:3" x14ac:dyDescent="0.25">
      <c r="C567" s="316"/>
    </row>
    <row r="568" spans="3:3" x14ac:dyDescent="0.25">
      <c r="C568" s="316"/>
    </row>
    <row r="569" spans="3:3" x14ac:dyDescent="0.25">
      <c r="C569" s="316"/>
    </row>
    <row r="570" spans="3:3" x14ac:dyDescent="0.25">
      <c r="C570" s="316"/>
    </row>
    <row r="571" spans="3:3" x14ac:dyDescent="0.25">
      <c r="C571" s="316"/>
    </row>
    <row r="572" spans="3:3" x14ac:dyDescent="0.25">
      <c r="C572" s="316"/>
    </row>
    <row r="573" spans="3:3" x14ac:dyDescent="0.25">
      <c r="C573" s="316"/>
    </row>
    <row r="574" spans="3:3" x14ac:dyDescent="0.25">
      <c r="C574" s="316"/>
    </row>
    <row r="575" spans="3:3" x14ac:dyDescent="0.25">
      <c r="C575" s="316"/>
    </row>
    <row r="576" spans="3:3" x14ac:dyDescent="0.25">
      <c r="C576" s="316"/>
    </row>
    <row r="577" spans="3:3" x14ac:dyDescent="0.25">
      <c r="C577" s="316"/>
    </row>
    <row r="578" spans="3:3" x14ac:dyDescent="0.25">
      <c r="C578" s="316"/>
    </row>
    <row r="579" spans="3:3" x14ac:dyDescent="0.25">
      <c r="C579" s="316"/>
    </row>
    <row r="580" spans="3:3" x14ac:dyDescent="0.25">
      <c r="C580" s="316"/>
    </row>
    <row r="581" spans="3:3" x14ac:dyDescent="0.25">
      <c r="C581" s="316"/>
    </row>
    <row r="582" spans="3:3" x14ac:dyDescent="0.25">
      <c r="C582" s="316"/>
    </row>
    <row r="583" spans="3:3" x14ac:dyDescent="0.25">
      <c r="C583" s="316"/>
    </row>
    <row r="584" spans="3:3" x14ac:dyDescent="0.25">
      <c r="C584" s="316"/>
    </row>
    <row r="585" spans="3:3" x14ac:dyDescent="0.25">
      <c r="C585" s="316"/>
    </row>
    <row r="586" spans="3:3" x14ac:dyDescent="0.25">
      <c r="C586" s="316"/>
    </row>
    <row r="587" spans="3:3" x14ac:dyDescent="0.25">
      <c r="C587" s="316"/>
    </row>
    <row r="588" spans="3:3" x14ac:dyDescent="0.25">
      <c r="C588" s="316"/>
    </row>
    <row r="589" spans="3:3" x14ac:dyDescent="0.25">
      <c r="C589" s="316"/>
    </row>
    <row r="590" spans="3:3" x14ac:dyDescent="0.25">
      <c r="C590" s="316"/>
    </row>
    <row r="591" spans="3:3" x14ac:dyDescent="0.25">
      <c r="C591" s="316"/>
    </row>
    <row r="592" spans="3:3" x14ac:dyDescent="0.25">
      <c r="C592" s="316"/>
    </row>
    <row r="593" spans="3:3" x14ac:dyDescent="0.25">
      <c r="C593" s="316"/>
    </row>
    <row r="594" spans="3:3" x14ac:dyDescent="0.25">
      <c r="C594" s="316"/>
    </row>
    <row r="595" spans="3:3" x14ac:dyDescent="0.25">
      <c r="C595" s="316"/>
    </row>
    <row r="596" spans="3:3" x14ac:dyDescent="0.25">
      <c r="C596" s="316"/>
    </row>
    <row r="597" spans="3:3" x14ac:dyDescent="0.25">
      <c r="C597" s="316"/>
    </row>
    <row r="598" spans="3:3" x14ac:dyDescent="0.25">
      <c r="C598" s="316"/>
    </row>
    <row r="599" spans="3:3" x14ac:dyDescent="0.25">
      <c r="C599" s="316"/>
    </row>
    <row r="600" spans="3:3" x14ac:dyDescent="0.25">
      <c r="C600" s="316"/>
    </row>
    <row r="601" spans="3:3" x14ac:dyDescent="0.25">
      <c r="C601" s="316"/>
    </row>
    <row r="602" spans="3:3" x14ac:dyDescent="0.25">
      <c r="C602" s="316"/>
    </row>
    <row r="603" spans="3:3" x14ac:dyDescent="0.25">
      <c r="C603" s="316"/>
    </row>
    <row r="604" spans="3:3" x14ac:dyDescent="0.25">
      <c r="C604" s="316"/>
    </row>
    <row r="605" spans="3:3" x14ac:dyDescent="0.25">
      <c r="C605" s="316"/>
    </row>
    <row r="606" spans="3:3" x14ac:dyDescent="0.25">
      <c r="C606" s="316"/>
    </row>
    <row r="607" spans="3:3" x14ac:dyDescent="0.25">
      <c r="C607" s="316"/>
    </row>
    <row r="608" spans="3:3" x14ac:dyDescent="0.25">
      <c r="C608" s="316"/>
    </row>
    <row r="609" spans="3:3" x14ac:dyDescent="0.25">
      <c r="C609" s="316"/>
    </row>
    <row r="610" spans="3:3" x14ac:dyDescent="0.25">
      <c r="C610" s="316"/>
    </row>
    <row r="611" spans="3:3" x14ac:dyDescent="0.25">
      <c r="C611" s="316"/>
    </row>
    <row r="612" spans="3:3" x14ac:dyDescent="0.25">
      <c r="C612" s="316"/>
    </row>
    <row r="613" spans="3:3" x14ac:dyDescent="0.25">
      <c r="C613" s="316"/>
    </row>
    <row r="614" spans="3:3" x14ac:dyDescent="0.25">
      <c r="C614" s="316"/>
    </row>
    <row r="615" spans="3:3" x14ac:dyDescent="0.25">
      <c r="C615" s="316"/>
    </row>
    <row r="616" spans="3:3" x14ac:dyDescent="0.25">
      <c r="C616" s="316"/>
    </row>
    <row r="617" spans="3:3" x14ac:dyDescent="0.25">
      <c r="C617" s="316"/>
    </row>
    <row r="618" spans="3:3" x14ac:dyDescent="0.25">
      <c r="C618" s="316"/>
    </row>
    <row r="619" spans="3:3" x14ac:dyDescent="0.25">
      <c r="C619" s="316"/>
    </row>
    <row r="620" spans="3:3" x14ac:dyDescent="0.25">
      <c r="C620" s="316"/>
    </row>
    <row r="621" spans="3:3" x14ac:dyDescent="0.25">
      <c r="C621" s="316"/>
    </row>
    <row r="622" spans="3:3" x14ac:dyDescent="0.25">
      <c r="C622" s="316"/>
    </row>
    <row r="623" spans="3:3" x14ac:dyDescent="0.25">
      <c r="C623" s="316"/>
    </row>
    <row r="624" spans="3:3" x14ac:dyDescent="0.25">
      <c r="C624" s="316"/>
    </row>
    <row r="625" spans="3:3" x14ac:dyDescent="0.25">
      <c r="C625" s="316"/>
    </row>
    <row r="626" spans="3:3" x14ac:dyDescent="0.25">
      <c r="C626" s="316"/>
    </row>
    <row r="627" spans="3:3" x14ac:dyDescent="0.25">
      <c r="C627" s="316"/>
    </row>
    <row r="628" spans="3:3" x14ac:dyDescent="0.25">
      <c r="C628" s="316"/>
    </row>
    <row r="629" spans="3:3" x14ac:dyDescent="0.25">
      <c r="C629" s="316"/>
    </row>
    <row r="630" spans="3:3" x14ac:dyDescent="0.25">
      <c r="C630" s="316"/>
    </row>
    <row r="631" spans="3:3" x14ac:dyDescent="0.25">
      <c r="C631" s="316"/>
    </row>
    <row r="632" spans="3:3" x14ac:dyDescent="0.25">
      <c r="C632" s="316"/>
    </row>
    <row r="633" spans="3:3" x14ac:dyDescent="0.25">
      <c r="C633" s="316"/>
    </row>
    <row r="634" spans="3:3" x14ac:dyDescent="0.25">
      <c r="C634" s="316"/>
    </row>
    <row r="635" spans="3:3" x14ac:dyDescent="0.25">
      <c r="C635" s="316"/>
    </row>
    <row r="636" spans="3:3" x14ac:dyDescent="0.25">
      <c r="C636" s="316"/>
    </row>
    <row r="637" spans="3:3" x14ac:dyDescent="0.25">
      <c r="C637" s="316"/>
    </row>
    <row r="638" spans="3:3" x14ac:dyDescent="0.25">
      <c r="C638" s="316"/>
    </row>
    <row r="639" spans="3:3" x14ac:dyDescent="0.25">
      <c r="C639" s="316"/>
    </row>
    <row r="640" spans="3:3" x14ac:dyDescent="0.25">
      <c r="C640" s="316"/>
    </row>
    <row r="641" spans="3:3" x14ac:dyDescent="0.25">
      <c r="C641" s="316"/>
    </row>
    <row r="642" spans="3:3" x14ac:dyDescent="0.25">
      <c r="C642" s="316"/>
    </row>
    <row r="643" spans="3:3" x14ac:dyDescent="0.25">
      <c r="C643" s="316"/>
    </row>
    <row r="644" spans="3:3" x14ac:dyDescent="0.25">
      <c r="C644" s="316"/>
    </row>
    <row r="645" spans="3:3" x14ac:dyDescent="0.25">
      <c r="C645" s="316"/>
    </row>
    <row r="646" spans="3:3" x14ac:dyDescent="0.25">
      <c r="C646" s="316"/>
    </row>
    <row r="647" spans="3:3" x14ac:dyDescent="0.25">
      <c r="C647" s="316"/>
    </row>
    <row r="648" spans="3:3" x14ac:dyDescent="0.25">
      <c r="C648" s="316"/>
    </row>
    <row r="649" spans="3:3" x14ac:dyDescent="0.25">
      <c r="C649" s="316"/>
    </row>
    <row r="650" spans="3:3" x14ac:dyDescent="0.25">
      <c r="C650" s="316"/>
    </row>
    <row r="651" spans="3:3" x14ac:dyDescent="0.25">
      <c r="C651" s="316"/>
    </row>
    <row r="652" spans="3:3" x14ac:dyDescent="0.25">
      <c r="C652" s="316"/>
    </row>
    <row r="653" spans="3:3" x14ac:dyDescent="0.25">
      <c r="C653" s="316"/>
    </row>
    <row r="654" spans="3:3" x14ac:dyDescent="0.25">
      <c r="C654" s="316"/>
    </row>
    <row r="655" spans="3:3" x14ac:dyDescent="0.25">
      <c r="C655" s="316"/>
    </row>
    <row r="656" spans="3:3" x14ac:dyDescent="0.25">
      <c r="C656" s="316"/>
    </row>
    <row r="657" spans="3:3" x14ac:dyDescent="0.25">
      <c r="C657" s="316"/>
    </row>
    <row r="658" spans="3:3" x14ac:dyDescent="0.25">
      <c r="C658" s="316"/>
    </row>
    <row r="659" spans="3:3" x14ac:dyDescent="0.25">
      <c r="C659" s="316"/>
    </row>
    <row r="660" spans="3:3" x14ac:dyDescent="0.25">
      <c r="C660" s="316"/>
    </row>
    <row r="661" spans="3:3" x14ac:dyDescent="0.25">
      <c r="C661" s="316"/>
    </row>
    <row r="662" spans="3:3" x14ac:dyDescent="0.25">
      <c r="C662" s="316"/>
    </row>
    <row r="663" spans="3:3" x14ac:dyDescent="0.25">
      <c r="C663" s="316"/>
    </row>
    <row r="664" spans="3:3" x14ac:dyDescent="0.25">
      <c r="C664" s="316"/>
    </row>
    <row r="665" spans="3:3" x14ac:dyDescent="0.25">
      <c r="C665" s="316"/>
    </row>
    <row r="666" spans="3:3" x14ac:dyDescent="0.25">
      <c r="C666" s="316"/>
    </row>
    <row r="667" spans="3:3" x14ac:dyDescent="0.25">
      <c r="C667" s="316"/>
    </row>
    <row r="668" spans="3:3" x14ac:dyDescent="0.25">
      <c r="C668" s="316"/>
    </row>
    <row r="669" spans="3:3" x14ac:dyDescent="0.25">
      <c r="C669" s="316"/>
    </row>
    <row r="670" spans="3:3" x14ac:dyDescent="0.25">
      <c r="C670" s="316"/>
    </row>
    <row r="671" spans="3:3" x14ac:dyDescent="0.25">
      <c r="C671" s="316"/>
    </row>
    <row r="672" spans="3:3" x14ac:dyDescent="0.25">
      <c r="C672" s="316"/>
    </row>
    <row r="673" spans="3:3" x14ac:dyDescent="0.25">
      <c r="C673" s="316"/>
    </row>
    <row r="674" spans="3:3" x14ac:dyDescent="0.25">
      <c r="C674" s="316"/>
    </row>
    <row r="675" spans="3:3" x14ac:dyDescent="0.25">
      <c r="C675" s="316"/>
    </row>
    <row r="676" spans="3:3" x14ac:dyDescent="0.25">
      <c r="C676" s="316"/>
    </row>
    <row r="677" spans="3:3" x14ac:dyDescent="0.25">
      <c r="C677" s="316"/>
    </row>
    <row r="678" spans="3:3" x14ac:dyDescent="0.25">
      <c r="C678" s="316"/>
    </row>
    <row r="679" spans="3:3" x14ac:dyDescent="0.25">
      <c r="C679" s="316"/>
    </row>
    <row r="680" spans="3:3" x14ac:dyDescent="0.25">
      <c r="C680" s="316"/>
    </row>
    <row r="681" spans="3:3" x14ac:dyDescent="0.25">
      <c r="C681" s="316"/>
    </row>
    <row r="682" spans="3:3" x14ac:dyDescent="0.25">
      <c r="C682" s="316"/>
    </row>
    <row r="683" spans="3:3" x14ac:dyDescent="0.25">
      <c r="C683" s="316"/>
    </row>
    <row r="684" spans="3:3" x14ac:dyDescent="0.25">
      <c r="C684" s="316"/>
    </row>
    <row r="685" spans="3:3" x14ac:dyDescent="0.25">
      <c r="C685" s="316"/>
    </row>
    <row r="686" spans="3:3" x14ac:dyDescent="0.25">
      <c r="C686" s="316"/>
    </row>
    <row r="687" spans="3:3" x14ac:dyDescent="0.25">
      <c r="C687" s="316"/>
    </row>
    <row r="688" spans="3:3" x14ac:dyDescent="0.25">
      <c r="C688" s="316"/>
    </row>
    <row r="689" spans="3:3" x14ac:dyDescent="0.25">
      <c r="C689" s="316"/>
    </row>
    <row r="690" spans="3:3" x14ac:dyDescent="0.25">
      <c r="C690" s="316"/>
    </row>
    <row r="691" spans="3:3" x14ac:dyDescent="0.25">
      <c r="C691" s="316"/>
    </row>
    <row r="692" spans="3:3" x14ac:dyDescent="0.25">
      <c r="C692" s="316"/>
    </row>
    <row r="693" spans="3:3" x14ac:dyDescent="0.25">
      <c r="C693" s="316"/>
    </row>
    <row r="694" spans="3:3" x14ac:dyDescent="0.25">
      <c r="C694" s="316"/>
    </row>
    <row r="695" spans="3:3" x14ac:dyDescent="0.25">
      <c r="C695" s="316"/>
    </row>
    <row r="696" spans="3:3" x14ac:dyDescent="0.25">
      <c r="C696" s="316"/>
    </row>
    <row r="697" spans="3:3" x14ac:dyDescent="0.25">
      <c r="C697" s="316"/>
    </row>
    <row r="698" spans="3:3" x14ac:dyDescent="0.25">
      <c r="C698" s="316"/>
    </row>
    <row r="699" spans="3:3" x14ac:dyDescent="0.25">
      <c r="C699" s="316"/>
    </row>
    <row r="700" spans="3:3" x14ac:dyDescent="0.25">
      <c r="C700" s="316"/>
    </row>
    <row r="701" spans="3:3" x14ac:dyDescent="0.25">
      <c r="C701" s="316"/>
    </row>
    <row r="702" spans="3:3" x14ac:dyDescent="0.25">
      <c r="C702" s="316"/>
    </row>
    <row r="703" spans="3:3" x14ac:dyDescent="0.25">
      <c r="C703" s="316"/>
    </row>
    <row r="704" spans="3:3" x14ac:dyDescent="0.25">
      <c r="C704" s="316"/>
    </row>
    <row r="705" spans="3:3" x14ac:dyDescent="0.25">
      <c r="C705" s="316"/>
    </row>
    <row r="706" spans="3:3" x14ac:dyDescent="0.25">
      <c r="C706" s="316"/>
    </row>
    <row r="707" spans="3:3" x14ac:dyDescent="0.25">
      <c r="C707" s="316"/>
    </row>
    <row r="708" spans="3:3" x14ac:dyDescent="0.25">
      <c r="C708" s="316"/>
    </row>
    <row r="709" spans="3:3" x14ac:dyDescent="0.25">
      <c r="C709" s="316"/>
    </row>
    <row r="710" spans="3:3" x14ac:dyDescent="0.25">
      <c r="C710" s="316"/>
    </row>
    <row r="711" spans="3:3" x14ac:dyDescent="0.25">
      <c r="C711" s="316"/>
    </row>
    <row r="712" spans="3:3" x14ac:dyDescent="0.25">
      <c r="C712" s="316"/>
    </row>
    <row r="713" spans="3:3" x14ac:dyDescent="0.25">
      <c r="C713" s="316"/>
    </row>
    <row r="714" spans="3:3" x14ac:dyDescent="0.25">
      <c r="C714" s="316"/>
    </row>
    <row r="715" spans="3:3" x14ac:dyDescent="0.25">
      <c r="C715" s="316"/>
    </row>
    <row r="716" spans="3:3" x14ac:dyDescent="0.25">
      <c r="C716" s="316"/>
    </row>
    <row r="717" spans="3:3" x14ac:dyDescent="0.25">
      <c r="C717" s="316"/>
    </row>
    <row r="718" spans="3:3" x14ac:dyDescent="0.25">
      <c r="C718" s="316"/>
    </row>
    <row r="719" spans="3:3" x14ac:dyDescent="0.25">
      <c r="C719" s="316"/>
    </row>
    <row r="720" spans="3:3" x14ac:dyDescent="0.25">
      <c r="C720" s="316"/>
    </row>
    <row r="721" spans="3:3" x14ac:dyDescent="0.25">
      <c r="C721" s="316"/>
    </row>
    <row r="722" spans="3:3" x14ac:dyDescent="0.25">
      <c r="C722" s="316"/>
    </row>
    <row r="723" spans="3:3" x14ac:dyDescent="0.25">
      <c r="C723" s="316"/>
    </row>
    <row r="724" spans="3:3" x14ac:dyDescent="0.25">
      <c r="C724" s="316"/>
    </row>
    <row r="725" spans="3:3" x14ac:dyDescent="0.25">
      <c r="C725" s="316"/>
    </row>
    <row r="726" spans="3:3" x14ac:dyDescent="0.25">
      <c r="C726" s="316"/>
    </row>
    <row r="727" spans="3:3" x14ac:dyDescent="0.25">
      <c r="C727" s="316"/>
    </row>
    <row r="728" spans="3:3" x14ac:dyDescent="0.25">
      <c r="C728" s="316"/>
    </row>
    <row r="729" spans="3:3" x14ac:dyDescent="0.25">
      <c r="C729" s="316"/>
    </row>
    <row r="730" spans="3:3" x14ac:dyDescent="0.25">
      <c r="C730" s="316"/>
    </row>
    <row r="731" spans="3:3" x14ac:dyDescent="0.25">
      <c r="C731" s="316"/>
    </row>
    <row r="732" spans="3:3" x14ac:dyDescent="0.25">
      <c r="C732" s="316"/>
    </row>
    <row r="733" spans="3:3" x14ac:dyDescent="0.25">
      <c r="C733" s="316"/>
    </row>
    <row r="734" spans="3:3" x14ac:dyDescent="0.25">
      <c r="C734" s="316"/>
    </row>
    <row r="735" spans="3:3" x14ac:dyDescent="0.25">
      <c r="C735" s="316"/>
    </row>
    <row r="736" spans="3:3" x14ac:dyDescent="0.25">
      <c r="C736" s="316"/>
    </row>
    <row r="737" spans="3:3" x14ac:dyDescent="0.25">
      <c r="C737" s="316"/>
    </row>
    <row r="738" spans="3:3" x14ac:dyDescent="0.25">
      <c r="C738" s="316"/>
    </row>
    <row r="739" spans="3:3" x14ac:dyDescent="0.25">
      <c r="C739" s="316"/>
    </row>
    <row r="740" spans="3:3" x14ac:dyDescent="0.25">
      <c r="C740" s="316"/>
    </row>
    <row r="741" spans="3:3" x14ac:dyDescent="0.25">
      <c r="C741" s="316"/>
    </row>
    <row r="742" spans="3:3" x14ac:dyDescent="0.25">
      <c r="C742" s="316"/>
    </row>
    <row r="743" spans="3:3" x14ac:dyDescent="0.25">
      <c r="C743" s="316"/>
    </row>
    <row r="744" spans="3:3" x14ac:dyDescent="0.25">
      <c r="C744" s="316"/>
    </row>
    <row r="745" spans="3:3" x14ac:dyDescent="0.25">
      <c r="C745" s="316"/>
    </row>
    <row r="746" spans="3:3" x14ac:dyDescent="0.25">
      <c r="C746" s="316"/>
    </row>
    <row r="747" spans="3:3" x14ac:dyDescent="0.25">
      <c r="C747" s="316"/>
    </row>
    <row r="748" spans="3:3" x14ac:dyDescent="0.25">
      <c r="C748" s="316"/>
    </row>
    <row r="749" spans="3:3" x14ac:dyDescent="0.25">
      <c r="C749" s="316"/>
    </row>
    <row r="750" spans="3:3" x14ac:dyDescent="0.25">
      <c r="C750" s="316"/>
    </row>
    <row r="751" spans="3:3" x14ac:dyDescent="0.25">
      <c r="C751" s="316"/>
    </row>
    <row r="752" spans="3:3" x14ac:dyDescent="0.25">
      <c r="C752" s="316"/>
    </row>
    <row r="753" spans="3:3" x14ac:dyDescent="0.25">
      <c r="C753" s="316"/>
    </row>
    <row r="754" spans="3:3" x14ac:dyDescent="0.25">
      <c r="C754" s="316"/>
    </row>
    <row r="755" spans="3:3" x14ac:dyDescent="0.25">
      <c r="C755" s="316"/>
    </row>
    <row r="756" spans="3:3" x14ac:dyDescent="0.25">
      <c r="C756" s="316"/>
    </row>
    <row r="757" spans="3:3" x14ac:dyDescent="0.25">
      <c r="C757" s="316"/>
    </row>
    <row r="758" spans="3:3" x14ac:dyDescent="0.25">
      <c r="C758" s="316"/>
    </row>
    <row r="759" spans="3:3" x14ac:dyDescent="0.25">
      <c r="C759" s="316"/>
    </row>
    <row r="760" spans="3:3" x14ac:dyDescent="0.25">
      <c r="C760" s="316"/>
    </row>
    <row r="761" spans="3:3" x14ac:dyDescent="0.25">
      <c r="C761" s="316"/>
    </row>
    <row r="762" spans="3:3" x14ac:dyDescent="0.25">
      <c r="C762" s="316"/>
    </row>
    <row r="763" spans="3:3" x14ac:dyDescent="0.25">
      <c r="C763" s="316"/>
    </row>
    <row r="764" spans="3:3" x14ac:dyDescent="0.25">
      <c r="C764" s="316"/>
    </row>
    <row r="765" spans="3:3" x14ac:dyDescent="0.25">
      <c r="C765" s="316"/>
    </row>
    <row r="766" spans="3:3" x14ac:dyDescent="0.25">
      <c r="C766" s="316"/>
    </row>
    <row r="767" spans="3:3" x14ac:dyDescent="0.25">
      <c r="C767" s="316"/>
    </row>
    <row r="768" spans="3:3" x14ac:dyDescent="0.25">
      <c r="C768" s="316"/>
    </row>
    <row r="769" spans="3:3" x14ac:dyDescent="0.25">
      <c r="C769" s="316"/>
    </row>
    <row r="770" spans="3:3" x14ac:dyDescent="0.25">
      <c r="C770" s="316"/>
    </row>
    <row r="771" spans="3:3" x14ac:dyDescent="0.25">
      <c r="C771" s="316"/>
    </row>
    <row r="772" spans="3:3" x14ac:dyDescent="0.25">
      <c r="C772" s="316"/>
    </row>
    <row r="773" spans="3:3" x14ac:dyDescent="0.25">
      <c r="C773" s="316"/>
    </row>
    <row r="774" spans="3:3" x14ac:dyDescent="0.25">
      <c r="C774" s="316"/>
    </row>
    <row r="775" spans="3:3" x14ac:dyDescent="0.25">
      <c r="C775" s="316"/>
    </row>
    <row r="776" spans="3:3" x14ac:dyDescent="0.25">
      <c r="C776" s="316"/>
    </row>
    <row r="777" spans="3:3" x14ac:dyDescent="0.25">
      <c r="C777" s="316"/>
    </row>
    <row r="778" spans="3:3" x14ac:dyDescent="0.25">
      <c r="C778" s="316"/>
    </row>
    <row r="779" spans="3:3" x14ac:dyDescent="0.25">
      <c r="C779" s="316"/>
    </row>
    <row r="780" spans="3:3" x14ac:dyDescent="0.25">
      <c r="C780" s="316"/>
    </row>
    <row r="781" spans="3:3" x14ac:dyDescent="0.25">
      <c r="C781" s="316"/>
    </row>
    <row r="782" spans="3:3" x14ac:dyDescent="0.25">
      <c r="C782" s="316"/>
    </row>
    <row r="783" spans="3:3" x14ac:dyDescent="0.25">
      <c r="C783" s="316"/>
    </row>
    <row r="784" spans="3:3" x14ac:dyDescent="0.25">
      <c r="C784" s="316"/>
    </row>
    <row r="785" spans="3:3" x14ac:dyDescent="0.25">
      <c r="C785" s="316"/>
    </row>
    <row r="786" spans="3:3" x14ac:dyDescent="0.25">
      <c r="C786" s="316"/>
    </row>
    <row r="787" spans="3:3" x14ac:dyDescent="0.25">
      <c r="C787" s="316"/>
    </row>
    <row r="788" spans="3:3" x14ac:dyDescent="0.25">
      <c r="C788" s="316"/>
    </row>
    <row r="789" spans="3:3" x14ac:dyDescent="0.25">
      <c r="C789" s="316"/>
    </row>
    <row r="790" spans="3:3" x14ac:dyDescent="0.25">
      <c r="C790" s="316"/>
    </row>
    <row r="791" spans="3:3" x14ac:dyDescent="0.25">
      <c r="C791" s="316"/>
    </row>
    <row r="792" spans="3:3" x14ac:dyDescent="0.25">
      <c r="C792" s="316"/>
    </row>
    <row r="793" spans="3:3" x14ac:dyDescent="0.25">
      <c r="C793" s="316"/>
    </row>
    <row r="794" spans="3:3" x14ac:dyDescent="0.25">
      <c r="C794" s="316"/>
    </row>
    <row r="795" spans="3:3" x14ac:dyDescent="0.25">
      <c r="C795" s="316"/>
    </row>
    <row r="796" spans="3:3" x14ac:dyDescent="0.25">
      <c r="C796" s="316"/>
    </row>
    <row r="797" spans="3:3" x14ac:dyDescent="0.25">
      <c r="C797" s="316"/>
    </row>
    <row r="798" spans="3:3" x14ac:dyDescent="0.25">
      <c r="C798" s="316"/>
    </row>
    <row r="799" spans="3:3" x14ac:dyDescent="0.25">
      <c r="C799" s="316"/>
    </row>
    <row r="800" spans="3:3" x14ac:dyDescent="0.25">
      <c r="C800" s="316"/>
    </row>
    <row r="801" spans="3:3" x14ac:dyDescent="0.25">
      <c r="C801" s="316"/>
    </row>
    <row r="802" spans="3:3" x14ac:dyDescent="0.25">
      <c r="C802" s="316"/>
    </row>
    <row r="803" spans="3:3" x14ac:dyDescent="0.25">
      <c r="C803" s="316"/>
    </row>
    <row r="804" spans="3:3" x14ac:dyDescent="0.25">
      <c r="C804" s="316"/>
    </row>
    <row r="805" spans="3:3" x14ac:dyDescent="0.25">
      <c r="C805" s="316"/>
    </row>
    <row r="806" spans="3:3" x14ac:dyDescent="0.25">
      <c r="C806" s="316"/>
    </row>
    <row r="807" spans="3:3" x14ac:dyDescent="0.25">
      <c r="C807" s="316"/>
    </row>
    <row r="808" spans="3:3" x14ac:dyDescent="0.25">
      <c r="C808" s="316"/>
    </row>
    <row r="809" spans="3:3" x14ac:dyDescent="0.25">
      <c r="C809" s="316"/>
    </row>
    <row r="810" spans="3:3" x14ac:dyDescent="0.25">
      <c r="C810" s="316"/>
    </row>
    <row r="811" spans="3:3" x14ac:dyDescent="0.25">
      <c r="C811" s="316"/>
    </row>
    <row r="812" spans="3:3" x14ac:dyDescent="0.25">
      <c r="C812" s="316"/>
    </row>
    <row r="813" spans="3:3" x14ac:dyDescent="0.25">
      <c r="C813" s="316"/>
    </row>
    <row r="814" spans="3:3" x14ac:dyDescent="0.25">
      <c r="C814" s="316"/>
    </row>
    <row r="815" spans="3:3" x14ac:dyDescent="0.25">
      <c r="C815" s="316"/>
    </row>
    <row r="816" spans="3:3" x14ac:dyDescent="0.25">
      <c r="C816" s="316"/>
    </row>
    <row r="817" spans="3:3" x14ac:dyDescent="0.25">
      <c r="C817" s="316"/>
    </row>
    <row r="818" spans="3:3" x14ac:dyDescent="0.25">
      <c r="C818" s="316"/>
    </row>
    <row r="819" spans="3:3" x14ac:dyDescent="0.25">
      <c r="C819" s="316"/>
    </row>
    <row r="820" spans="3:3" x14ac:dyDescent="0.25">
      <c r="C820" s="316"/>
    </row>
    <row r="821" spans="3:3" x14ac:dyDescent="0.25">
      <c r="C821" s="316"/>
    </row>
    <row r="822" spans="3:3" x14ac:dyDescent="0.25">
      <c r="C822" s="316"/>
    </row>
    <row r="823" spans="3:3" x14ac:dyDescent="0.25">
      <c r="C823" s="316"/>
    </row>
    <row r="824" spans="3:3" x14ac:dyDescent="0.25">
      <c r="C824" s="316"/>
    </row>
    <row r="825" spans="3:3" x14ac:dyDescent="0.25">
      <c r="C825" s="316"/>
    </row>
    <row r="826" spans="3:3" x14ac:dyDescent="0.25">
      <c r="C826" s="316"/>
    </row>
    <row r="827" spans="3:3" x14ac:dyDescent="0.25">
      <c r="C827" s="316"/>
    </row>
    <row r="828" spans="3:3" x14ac:dyDescent="0.25">
      <c r="C828" s="316"/>
    </row>
    <row r="829" spans="3:3" x14ac:dyDescent="0.25">
      <c r="C829" s="316"/>
    </row>
    <row r="830" spans="3:3" x14ac:dyDescent="0.25">
      <c r="C830" s="316"/>
    </row>
    <row r="831" spans="3:3" x14ac:dyDescent="0.25">
      <c r="C831" s="316"/>
    </row>
    <row r="832" spans="3:3" x14ac:dyDescent="0.25">
      <c r="C832" s="316"/>
    </row>
    <row r="833" spans="3:3" x14ac:dyDescent="0.25">
      <c r="C833" s="316"/>
    </row>
    <row r="834" spans="3:3" x14ac:dyDescent="0.25">
      <c r="C834" s="316"/>
    </row>
    <row r="835" spans="3:3" x14ac:dyDescent="0.25">
      <c r="C835" s="316"/>
    </row>
    <row r="836" spans="3:3" x14ac:dyDescent="0.25">
      <c r="C836" s="316"/>
    </row>
    <row r="837" spans="3:3" x14ac:dyDescent="0.25">
      <c r="C837" s="316"/>
    </row>
    <row r="838" spans="3:3" x14ac:dyDescent="0.25">
      <c r="C838" s="316"/>
    </row>
    <row r="839" spans="3:3" x14ac:dyDescent="0.25">
      <c r="C839" s="316"/>
    </row>
    <row r="840" spans="3:3" x14ac:dyDescent="0.25">
      <c r="C840" s="316"/>
    </row>
    <row r="841" spans="3:3" x14ac:dyDescent="0.25">
      <c r="C841" s="316"/>
    </row>
    <row r="842" spans="3:3" x14ac:dyDescent="0.25">
      <c r="C842" s="316"/>
    </row>
    <row r="843" spans="3:3" x14ac:dyDescent="0.25">
      <c r="C843" s="316"/>
    </row>
    <row r="844" spans="3:3" x14ac:dyDescent="0.25">
      <c r="C844" s="316"/>
    </row>
    <row r="845" spans="3:3" x14ac:dyDescent="0.25">
      <c r="C845" s="316"/>
    </row>
    <row r="846" spans="3:3" x14ac:dyDescent="0.25">
      <c r="C846" s="316"/>
    </row>
    <row r="847" spans="3:3" x14ac:dyDescent="0.25">
      <c r="C847" s="316"/>
    </row>
    <row r="848" spans="3:3" x14ac:dyDescent="0.25">
      <c r="C848" s="316"/>
    </row>
    <row r="849" spans="3:3" x14ac:dyDescent="0.25">
      <c r="C849" s="316"/>
    </row>
    <row r="850" spans="3:3" x14ac:dyDescent="0.25">
      <c r="C850" s="316"/>
    </row>
    <row r="851" spans="3:3" x14ac:dyDescent="0.25">
      <c r="C851" s="316"/>
    </row>
    <row r="852" spans="3:3" x14ac:dyDescent="0.25">
      <c r="C852" s="316"/>
    </row>
    <row r="853" spans="3:3" x14ac:dyDescent="0.25">
      <c r="C853" s="316"/>
    </row>
    <row r="854" spans="3:3" x14ac:dyDescent="0.25">
      <c r="C854" s="316"/>
    </row>
    <row r="855" spans="3:3" x14ac:dyDescent="0.25">
      <c r="C855" s="316"/>
    </row>
    <row r="856" spans="3:3" x14ac:dyDescent="0.25">
      <c r="C856" s="316"/>
    </row>
    <row r="857" spans="3:3" x14ac:dyDescent="0.25">
      <c r="C857" s="316"/>
    </row>
    <row r="858" spans="3:3" x14ac:dyDescent="0.25">
      <c r="C858" s="316"/>
    </row>
    <row r="859" spans="3:3" x14ac:dyDescent="0.25">
      <c r="C859" s="316"/>
    </row>
    <row r="860" spans="3:3" x14ac:dyDescent="0.25">
      <c r="C860" s="316"/>
    </row>
    <row r="861" spans="3:3" x14ac:dyDescent="0.25">
      <c r="C861" s="316"/>
    </row>
    <row r="862" spans="3:3" x14ac:dyDescent="0.25">
      <c r="C862" s="316"/>
    </row>
    <row r="863" spans="3:3" x14ac:dyDescent="0.25">
      <c r="C863" s="316"/>
    </row>
    <row r="864" spans="3:3" x14ac:dyDescent="0.25">
      <c r="C864" s="316"/>
    </row>
    <row r="865" spans="3:3" x14ac:dyDescent="0.25">
      <c r="C865" s="316"/>
    </row>
    <row r="866" spans="3:3" x14ac:dyDescent="0.25">
      <c r="C866" s="316"/>
    </row>
    <row r="867" spans="3:3" x14ac:dyDescent="0.25">
      <c r="C867" s="316"/>
    </row>
    <row r="868" spans="3:3" x14ac:dyDescent="0.25">
      <c r="C868" s="316"/>
    </row>
    <row r="869" spans="3:3" x14ac:dyDescent="0.25">
      <c r="C869" s="316"/>
    </row>
    <row r="870" spans="3:3" x14ac:dyDescent="0.25">
      <c r="C870" s="316"/>
    </row>
    <row r="871" spans="3:3" x14ac:dyDescent="0.25">
      <c r="C871" s="316"/>
    </row>
    <row r="872" spans="3:3" x14ac:dyDescent="0.25">
      <c r="C872" s="316"/>
    </row>
    <row r="873" spans="3:3" x14ac:dyDescent="0.25">
      <c r="C873" s="316"/>
    </row>
    <row r="874" spans="3:3" x14ac:dyDescent="0.25">
      <c r="C874" s="316"/>
    </row>
    <row r="875" spans="3:3" x14ac:dyDescent="0.25">
      <c r="C875" s="316"/>
    </row>
    <row r="876" spans="3:3" x14ac:dyDescent="0.25">
      <c r="C876" s="316"/>
    </row>
    <row r="877" spans="3:3" x14ac:dyDescent="0.25">
      <c r="C877" s="316"/>
    </row>
    <row r="878" spans="3:3" x14ac:dyDescent="0.25">
      <c r="C878" s="316"/>
    </row>
    <row r="879" spans="3:3" x14ac:dyDescent="0.25">
      <c r="C879" s="316"/>
    </row>
    <row r="880" spans="3:3" x14ac:dyDescent="0.25">
      <c r="C880" s="316"/>
    </row>
    <row r="881" spans="3:3" x14ac:dyDescent="0.25">
      <c r="C881" s="316"/>
    </row>
    <row r="882" spans="3:3" x14ac:dyDescent="0.25">
      <c r="C882" s="316"/>
    </row>
    <row r="883" spans="3:3" x14ac:dyDescent="0.25">
      <c r="C883" s="316"/>
    </row>
    <row r="884" spans="3:3" x14ac:dyDescent="0.25">
      <c r="C884" s="316"/>
    </row>
    <row r="885" spans="3:3" x14ac:dyDescent="0.25">
      <c r="C885" s="316"/>
    </row>
    <row r="886" spans="3:3" x14ac:dyDescent="0.25">
      <c r="C886" s="316"/>
    </row>
    <row r="887" spans="3:3" x14ac:dyDescent="0.25">
      <c r="C887" s="316"/>
    </row>
    <row r="888" spans="3:3" x14ac:dyDescent="0.25">
      <c r="C888" s="316"/>
    </row>
    <row r="889" spans="3:3" x14ac:dyDescent="0.25">
      <c r="C889" s="316"/>
    </row>
    <row r="890" spans="3:3" x14ac:dyDescent="0.25">
      <c r="C890" s="316"/>
    </row>
    <row r="891" spans="3:3" x14ac:dyDescent="0.25">
      <c r="C891" s="316"/>
    </row>
    <row r="892" spans="3:3" x14ac:dyDescent="0.25">
      <c r="C892" s="316"/>
    </row>
    <row r="893" spans="3:3" x14ac:dyDescent="0.25">
      <c r="C893" s="316"/>
    </row>
    <row r="894" spans="3:3" x14ac:dyDescent="0.25">
      <c r="C894" s="316"/>
    </row>
    <row r="895" spans="3:3" x14ac:dyDescent="0.25">
      <c r="C895" s="316"/>
    </row>
    <row r="896" spans="3:3" x14ac:dyDescent="0.25">
      <c r="C896" s="316"/>
    </row>
    <row r="897" spans="3:3" x14ac:dyDescent="0.25">
      <c r="C897" s="316"/>
    </row>
    <row r="898" spans="3:3" x14ac:dyDescent="0.25">
      <c r="C898" s="316"/>
    </row>
    <row r="899" spans="3:3" x14ac:dyDescent="0.25">
      <c r="C899" s="316"/>
    </row>
    <row r="900" spans="3:3" x14ac:dyDescent="0.25">
      <c r="C900" s="316"/>
    </row>
    <row r="901" spans="3:3" x14ac:dyDescent="0.25">
      <c r="C901" s="316"/>
    </row>
    <row r="902" spans="3:3" x14ac:dyDescent="0.25">
      <c r="C902" s="316"/>
    </row>
    <row r="903" spans="3:3" x14ac:dyDescent="0.25">
      <c r="C903" s="316"/>
    </row>
    <row r="904" spans="3:3" x14ac:dyDescent="0.25">
      <c r="C904" s="316"/>
    </row>
    <row r="905" spans="3:3" x14ac:dyDescent="0.25">
      <c r="C905" s="316"/>
    </row>
    <row r="906" spans="3:3" x14ac:dyDescent="0.25">
      <c r="C906" s="316"/>
    </row>
    <row r="907" spans="3:3" x14ac:dyDescent="0.25">
      <c r="C907" s="316"/>
    </row>
    <row r="908" spans="3:3" x14ac:dyDescent="0.25">
      <c r="C908" s="316"/>
    </row>
    <row r="909" spans="3:3" x14ac:dyDescent="0.25">
      <c r="C909" s="316"/>
    </row>
    <row r="910" spans="3:3" x14ac:dyDescent="0.25">
      <c r="C910" s="316"/>
    </row>
    <row r="911" spans="3:3" x14ac:dyDescent="0.25">
      <c r="C911" s="316"/>
    </row>
    <row r="912" spans="3:3" x14ac:dyDescent="0.25">
      <c r="C912" s="316"/>
    </row>
    <row r="913" spans="3:3" x14ac:dyDescent="0.25">
      <c r="C913" s="316"/>
    </row>
    <row r="914" spans="3:3" x14ac:dyDescent="0.25">
      <c r="C914" s="316"/>
    </row>
    <row r="915" spans="3:3" x14ac:dyDescent="0.25">
      <c r="C915" s="316"/>
    </row>
    <row r="916" spans="3:3" x14ac:dyDescent="0.25">
      <c r="C916" s="316"/>
    </row>
    <row r="917" spans="3:3" x14ac:dyDescent="0.25">
      <c r="C917" s="316"/>
    </row>
    <row r="918" spans="3:3" x14ac:dyDescent="0.25">
      <c r="C918" s="316"/>
    </row>
    <row r="919" spans="3:3" x14ac:dyDescent="0.25">
      <c r="C919" s="316"/>
    </row>
    <row r="920" spans="3:3" x14ac:dyDescent="0.25">
      <c r="C920" s="316"/>
    </row>
    <row r="921" spans="3:3" x14ac:dyDescent="0.25">
      <c r="C921" s="316"/>
    </row>
    <row r="922" spans="3:3" x14ac:dyDescent="0.25">
      <c r="C922" s="316"/>
    </row>
    <row r="923" spans="3:3" x14ac:dyDescent="0.25">
      <c r="C923" s="316"/>
    </row>
    <row r="924" spans="3:3" x14ac:dyDescent="0.25">
      <c r="C924" s="316"/>
    </row>
    <row r="925" spans="3:3" x14ac:dyDescent="0.25">
      <c r="C925" s="316"/>
    </row>
    <row r="926" spans="3:3" x14ac:dyDescent="0.25">
      <c r="C926" s="316"/>
    </row>
    <row r="927" spans="3:3" x14ac:dyDescent="0.25">
      <c r="C927" s="316"/>
    </row>
    <row r="928" spans="3:3" x14ac:dyDescent="0.25">
      <c r="C928" s="316"/>
    </row>
    <row r="929" spans="3:3" x14ac:dyDescent="0.25">
      <c r="C929" s="316"/>
    </row>
    <row r="930" spans="3:3" x14ac:dyDescent="0.25">
      <c r="C930" s="316"/>
    </row>
    <row r="931" spans="3:3" x14ac:dyDescent="0.25">
      <c r="C931" s="316"/>
    </row>
    <row r="932" spans="3:3" x14ac:dyDescent="0.25">
      <c r="C932" s="316"/>
    </row>
    <row r="933" spans="3:3" x14ac:dyDescent="0.25">
      <c r="C933" s="316"/>
    </row>
    <row r="934" spans="3:3" x14ac:dyDescent="0.25">
      <c r="C934" s="316"/>
    </row>
    <row r="935" spans="3:3" x14ac:dyDescent="0.25">
      <c r="C935" s="316"/>
    </row>
    <row r="936" spans="3:3" x14ac:dyDescent="0.25">
      <c r="C936" s="316"/>
    </row>
    <row r="937" spans="3:3" x14ac:dyDescent="0.25">
      <c r="C937" s="316"/>
    </row>
    <row r="938" spans="3:3" x14ac:dyDescent="0.25">
      <c r="C938" s="316"/>
    </row>
    <row r="939" spans="3:3" x14ac:dyDescent="0.25">
      <c r="C939" s="316"/>
    </row>
    <row r="940" spans="3:3" x14ac:dyDescent="0.25">
      <c r="C940" s="316"/>
    </row>
    <row r="941" spans="3:3" x14ac:dyDescent="0.25">
      <c r="C941" s="316"/>
    </row>
    <row r="942" spans="3:3" x14ac:dyDescent="0.25">
      <c r="C942" s="316"/>
    </row>
    <row r="943" spans="3:3" x14ac:dyDescent="0.25">
      <c r="C943" s="316"/>
    </row>
    <row r="944" spans="3:3" x14ac:dyDescent="0.25">
      <c r="C944" s="316"/>
    </row>
    <row r="945" spans="3:3" x14ac:dyDescent="0.25">
      <c r="C945" s="316"/>
    </row>
    <row r="946" spans="3:3" x14ac:dyDescent="0.25">
      <c r="C946" s="316"/>
    </row>
    <row r="947" spans="3:3" x14ac:dyDescent="0.25">
      <c r="C947" s="316"/>
    </row>
    <row r="948" spans="3:3" x14ac:dyDescent="0.25">
      <c r="C948" s="316"/>
    </row>
    <row r="949" spans="3:3" x14ac:dyDescent="0.25">
      <c r="C949" s="316"/>
    </row>
    <row r="950" spans="3:3" x14ac:dyDescent="0.25">
      <c r="C950" s="316"/>
    </row>
    <row r="951" spans="3:3" x14ac:dyDescent="0.25">
      <c r="C951" s="316"/>
    </row>
    <row r="952" spans="3:3" x14ac:dyDescent="0.25">
      <c r="C952" s="316"/>
    </row>
    <row r="953" spans="3:3" x14ac:dyDescent="0.25">
      <c r="C953" s="316"/>
    </row>
    <row r="954" spans="3:3" x14ac:dyDescent="0.25">
      <c r="C954" s="316"/>
    </row>
    <row r="955" spans="3:3" x14ac:dyDescent="0.25">
      <c r="C955" s="316"/>
    </row>
    <row r="956" spans="3:3" x14ac:dyDescent="0.25">
      <c r="C956" s="316"/>
    </row>
    <row r="957" spans="3:3" x14ac:dyDescent="0.25">
      <c r="C957" s="316"/>
    </row>
    <row r="958" spans="3:3" x14ac:dyDescent="0.25">
      <c r="C958" s="316"/>
    </row>
    <row r="959" spans="3:3" x14ac:dyDescent="0.25">
      <c r="C959" s="316"/>
    </row>
    <row r="960" spans="3:3" x14ac:dyDescent="0.25">
      <c r="C960" s="316"/>
    </row>
    <row r="961" spans="3:3" x14ac:dyDescent="0.25">
      <c r="C961" s="316"/>
    </row>
    <row r="962" spans="3:3" x14ac:dyDescent="0.25">
      <c r="C962" s="316"/>
    </row>
    <row r="963" spans="3:3" x14ac:dyDescent="0.25">
      <c r="C963" s="316"/>
    </row>
    <row r="964" spans="3:3" x14ac:dyDescent="0.25">
      <c r="C964" s="316"/>
    </row>
    <row r="965" spans="3:3" x14ac:dyDescent="0.25">
      <c r="C965" s="316"/>
    </row>
    <row r="966" spans="3:3" x14ac:dyDescent="0.25">
      <c r="C966" s="316"/>
    </row>
    <row r="967" spans="3:3" x14ac:dyDescent="0.25">
      <c r="C967" s="316"/>
    </row>
    <row r="968" spans="3:3" x14ac:dyDescent="0.25">
      <c r="C968" s="316"/>
    </row>
    <row r="969" spans="3:3" x14ac:dyDescent="0.25">
      <c r="C969" s="316"/>
    </row>
    <row r="970" spans="3:3" x14ac:dyDescent="0.25">
      <c r="C970" s="316"/>
    </row>
    <row r="971" spans="3:3" x14ac:dyDescent="0.25">
      <c r="C971" s="316"/>
    </row>
    <row r="972" spans="3:3" x14ac:dyDescent="0.25">
      <c r="C972" s="316"/>
    </row>
    <row r="973" spans="3:3" x14ac:dyDescent="0.25">
      <c r="C973" s="316"/>
    </row>
    <row r="974" spans="3:3" x14ac:dyDescent="0.25">
      <c r="C974" s="316"/>
    </row>
    <row r="975" spans="3:3" x14ac:dyDescent="0.25">
      <c r="C975" s="316"/>
    </row>
    <row r="976" spans="3:3" x14ac:dyDescent="0.25">
      <c r="C976" s="316"/>
    </row>
    <row r="977" spans="3:3" x14ac:dyDescent="0.25">
      <c r="C977" s="316"/>
    </row>
    <row r="978" spans="3:3" x14ac:dyDescent="0.25">
      <c r="C978" s="316"/>
    </row>
    <row r="979" spans="3:3" x14ac:dyDescent="0.25">
      <c r="C979" s="316"/>
    </row>
    <row r="980" spans="3:3" x14ac:dyDescent="0.25">
      <c r="C980" s="316"/>
    </row>
    <row r="981" spans="3:3" x14ac:dyDescent="0.25">
      <c r="C981" s="316"/>
    </row>
    <row r="982" spans="3:3" x14ac:dyDescent="0.25">
      <c r="C982" s="316"/>
    </row>
    <row r="983" spans="3:3" x14ac:dyDescent="0.25">
      <c r="C983" s="316"/>
    </row>
    <row r="984" spans="3:3" x14ac:dyDescent="0.25">
      <c r="C984" s="316"/>
    </row>
    <row r="985" spans="3:3" x14ac:dyDescent="0.25">
      <c r="C985" s="316"/>
    </row>
    <row r="986" spans="3:3" x14ac:dyDescent="0.25">
      <c r="C986" s="316"/>
    </row>
    <row r="987" spans="3:3" x14ac:dyDescent="0.25">
      <c r="C987" s="316"/>
    </row>
    <row r="988" spans="3:3" x14ac:dyDescent="0.25">
      <c r="C988" s="316"/>
    </row>
    <row r="989" spans="3:3" x14ac:dyDescent="0.25">
      <c r="C989" s="316"/>
    </row>
    <row r="990" spans="3:3" x14ac:dyDescent="0.25">
      <c r="C990" s="316"/>
    </row>
    <row r="991" spans="3:3" x14ac:dyDescent="0.25">
      <c r="C991" s="316"/>
    </row>
    <row r="992" spans="3:3" x14ac:dyDescent="0.25">
      <c r="C992" s="316"/>
    </row>
    <row r="993" spans="3:3" x14ac:dyDescent="0.25">
      <c r="C993" s="316"/>
    </row>
    <row r="994" spans="3:3" x14ac:dyDescent="0.25">
      <c r="C994" s="316"/>
    </row>
    <row r="995" spans="3:3" x14ac:dyDescent="0.25">
      <c r="C995" s="316"/>
    </row>
    <row r="996" spans="3:3" x14ac:dyDescent="0.25">
      <c r="C996" s="316"/>
    </row>
    <row r="997" spans="3:3" x14ac:dyDescent="0.25">
      <c r="C997" s="316"/>
    </row>
    <row r="998" spans="3:3" x14ac:dyDescent="0.25">
      <c r="C998" s="316"/>
    </row>
    <row r="999" spans="3:3" x14ac:dyDescent="0.25">
      <c r="C999" s="316"/>
    </row>
    <row r="1000" spans="3:3" x14ac:dyDescent="0.25">
      <c r="C1000" s="316"/>
    </row>
    <row r="1001" spans="3:3" x14ac:dyDescent="0.25">
      <c r="C1001" s="316"/>
    </row>
    <row r="1002" spans="3:3" x14ac:dyDescent="0.25">
      <c r="C1002" s="316"/>
    </row>
    <row r="1003" spans="3:3" x14ac:dyDescent="0.25">
      <c r="C1003" s="316"/>
    </row>
    <row r="1004" spans="3:3" x14ac:dyDescent="0.25">
      <c r="C1004" s="316"/>
    </row>
    <row r="1005" spans="3:3" x14ac:dyDescent="0.25">
      <c r="C1005" s="316"/>
    </row>
    <row r="1006" spans="3:3" x14ac:dyDescent="0.25">
      <c r="C1006" s="316"/>
    </row>
    <row r="1007" spans="3:3" x14ac:dyDescent="0.25">
      <c r="C1007" s="316"/>
    </row>
    <row r="1008" spans="3:3" x14ac:dyDescent="0.25">
      <c r="C1008" s="316"/>
    </row>
    <row r="1009" spans="3:3" x14ac:dyDescent="0.25">
      <c r="C1009" s="316"/>
    </row>
    <row r="1010" spans="3:3" x14ac:dyDescent="0.25">
      <c r="C1010" s="316"/>
    </row>
    <row r="1011" spans="3:3" x14ac:dyDescent="0.25">
      <c r="C1011" s="316"/>
    </row>
    <row r="1012" spans="3:3" x14ac:dyDescent="0.25">
      <c r="C1012" s="316"/>
    </row>
    <row r="1013" spans="3:3" x14ac:dyDescent="0.25">
      <c r="C1013" s="316"/>
    </row>
    <row r="1014" spans="3:3" x14ac:dyDescent="0.25">
      <c r="C1014" s="316"/>
    </row>
    <row r="1015" spans="3:3" x14ac:dyDescent="0.25">
      <c r="C1015" s="316"/>
    </row>
    <row r="1016" spans="3:3" x14ac:dyDescent="0.25">
      <c r="C1016" s="316"/>
    </row>
    <row r="1017" spans="3:3" x14ac:dyDescent="0.25">
      <c r="C1017" s="316"/>
    </row>
    <row r="1018" spans="3:3" x14ac:dyDescent="0.25">
      <c r="C1018" s="316"/>
    </row>
    <row r="1019" spans="3:3" x14ac:dyDescent="0.25">
      <c r="C1019" s="316"/>
    </row>
    <row r="1020" spans="3:3" x14ac:dyDescent="0.25">
      <c r="C1020" s="316"/>
    </row>
    <row r="1021" spans="3:3" x14ac:dyDescent="0.25">
      <c r="C1021" s="316"/>
    </row>
    <row r="1022" spans="3:3" x14ac:dyDescent="0.25">
      <c r="C1022" s="316"/>
    </row>
    <row r="1023" spans="3:3" x14ac:dyDescent="0.25">
      <c r="C1023" s="316"/>
    </row>
    <row r="1024" spans="3:3" x14ac:dyDescent="0.25">
      <c r="C1024" s="316"/>
    </row>
    <row r="1025" spans="3:3" x14ac:dyDescent="0.25">
      <c r="C1025" s="316"/>
    </row>
    <row r="1026" spans="3:3" x14ac:dyDescent="0.25">
      <c r="C1026" s="316"/>
    </row>
    <row r="1027" spans="3:3" x14ac:dyDescent="0.25">
      <c r="C1027" s="316"/>
    </row>
    <row r="1028" spans="3:3" x14ac:dyDescent="0.25">
      <c r="C1028" s="316"/>
    </row>
    <row r="1029" spans="3:3" x14ac:dyDescent="0.25">
      <c r="C1029" s="316"/>
    </row>
    <row r="1030" spans="3:3" x14ac:dyDescent="0.25">
      <c r="C1030" s="316"/>
    </row>
    <row r="1031" spans="3:3" x14ac:dyDescent="0.25">
      <c r="C1031" s="316"/>
    </row>
    <row r="1032" spans="3:3" x14ac:dyDescent="0.25">
      <c r="C1032" s="316"/>
    </row>
    <row r="1033" spans="3:3" x14ac:dyDescent="0.25">
      <c r="C1033" s="316"/>
    </row>
    <row r="1034" spans="3:3" x14ac:dyDescent="0.25">
      <c r="C1034" s="316"/>
    </row>
    <row r="1035" spans="3:3" x14ac:dyDescent="0.25">
      <c r="C1035" s="316"/>
    </row>
    <row r="1036" spans="3:3" x14ac:dyDescent="0.25">
      <c r="C1036" s="316"/>
    </row>
    <row r="1037" spans="3:3" x14ac:dyDescent="0.25">
      <c r="C1037" s="316"/>
    </row>
    <row r="1038" spans="3:3" x14ac:dyDescent="0.25">
      <c r="C1038" s="316"/>
    </row>
    <row r="1039" spans="3:3" x14ac:dyDescent="0.25">
      <c r="C1039" s="316"/>
    </row>
    <row r="1040" spans="3:3" x14ac:dyDescent="0.25">
      <c r="C1040" s="316"/>
    </row>
    <row r="1041" spans="3:3" x14ac:dyDescent="0.25">
      <c r="C1041" s="316"/>
    </row>
    <row r="1042" spans="3:3" x14ac:dyDescent="0.25">
      <c r="C1042" s="316"/>
    </row>
    <row r="1043" spans="3:3" x14ac:dyDescent="0.25">
      <c r="C1043" s="316"/>
    </row>
    <row r="1044" spans="3:3" x14ac:dyDescent="0.25">
      <c r="C1044" s="316"/>
    </row>
    <row r="1045" spans="3:3" x14ac:dyDescent="0.25">
      <c r="C1045" s="316"/>
    </row>
    <row r="1046" spans="3:3" x14ac:dyDescent="0.25">
      <c r="C1046" s="316"/>
    </row>
    <row r="1047" spans="3:3" x14ac:dyDescent="0.25">
      <c r="C1047" s="316"/>
    </row>
    <row r="1048" spans="3:3" x14ac:dyDescent="0.25">
      <c r="C1048" s="316"/>
    </row>
    <row r="1049" spans="3:3" x14ac:dyDescent="0.25">
      <c r="C1049" s="316"/>
    </row>
    <row r="1050" spans="3:3" x14ac:dyDescent="0.25">
      <c r="C1050" s="316"/>
    </row>
    <row r="1051" spans="3:3" x14ac:dyDescent="0.25">
      <c r="C1051" s="316"/>
    </row>
    <row r="1052" spans="3:3" x14ac:dyDescent="0.25">
      <c r="C1052" s="316"/>
    </row>
    <row r="1053" spans="3:3" x14ac:dyDescent="0.25">
      <c r="C1053" s="316"/>
    </row>
    <row r="1054" spans="3:3" x14ac:dyDescent="0.25">
      <c r="C1054" s="316"/>
    </row>
    <row r="1055" spans="3:3" x14ac:dyDescent="0.25">
      <c r="C1055" s="316"/>
    </row>
    <row r="1056" spans="3:3" x14ac:dyDescent="0.25">
      <c r="C1056" s="316"/>
    </row>
    <row r="1057" spans="3:3" x14ac:dyDescent="0.25">
      <c r="C1057" s="316"/>
    </row>
    <row r="1058" spans="3:3" x14ac:dyDescent="0.25">
      <c r="C1058" s="316"/>
    </row>
    <row r="1059" spans="3:3" x14ac:dyDescent="0.25">
      <c r="C1059" s="316"/>
    </row>
    <row r="1060" spans="3:3" x14ac:dyDescent="0.25">
      <c r="C1060" s="316"/>
    </row>
    <row r="1061" spans="3:3" x14ac:dyDescent="0.25">
      <c r="C1061" s="316"/>
    </row>
    <row r="1062" spans="3:3" x14ac:dyDescent="0.25">
      <c r="C1062" s="316"/>
    </row>
    <row r="1063" spans="3:3" x14ac:dyDescent="0.25">
      <c r="C1063" s="316"/>
    </row>
    <row r="1064" spans="3:3" x14ac:dyDescent="0.25">
      <c r="C1064" s="316"/>
    </row>
    <row r="1065" spans="3:3" x14ac:dyDescent="0.25">
      <c r="C1065" s="316"/>
    </row>
    <row r="1066" spans="3:3" x14ac:dyDescent="0.25">
      <c r="C1066" s="316"/>
    </row>
    <row r="1067" spans="3:3" x14ac:dyDescent="0.25">
      <c r="C1067" s="316"/>
    </row>
    <row r="1068" spans="3:3" x14ac:dyDescent="0.25">
      <c r="C1068" s="316"/>
    </row>
    <row r="1069" spans="3:3" x14ac:dyDescent="0.25">
      <c r="C1069" s="316"/>
    </row>
    <row r="1070" spans="3:3" x14ac:dyDescent="0.25">
      <c r="C1070" s="316"/>
    </row>
    <row r="1071" spans="3:3" x14ac:dyDescent="0.25">
      <c r="C1071" s="316"/>
    </row>
    <row r="1072" spans="3:3" x14ac:dyDescent="0.25">
      <c r="C1072" s="316"/>
    </row>
    <row r="1073" spans="3:3" x14ac:dyDescent="0.25">
      <c r="C1073" s="316"/>
    </row>
    <row r="1074" spans="3:3" x14ac:dyDescent="0.25">
      <c r="C1074" s="316"/>
    </row>
    <row r="1075" spans="3:3" x14ac:dyDescent="0.25">
      <c r="C1075" s="316"/>
    </row>
    <row r="1076" spans="3:3" x14ac:dyDescent="0.25">
      <c r="C1076" s="316"/>
    </row>
    <row r="1077" spans="3:3" x14ac:dyDescent="0.25">
      <c r="C1077" s="316"/>
    </row>
    <row r="1078" spans="3:3" x14ac:dyDescent="0.25">
      <c r="C1078" s="316"/>
    </row>
    <row r="1079" spans="3:3" x14ac:dyDescent="0.25">
      <c r="C1079" s="316"/>
    </row>
    <row r="1080" spans="3:3" x14ac:dyDescent="0.25">
      <c r="C1080" s="316"/>
    </row>
    <row r="1081" spans="3:3" x14ac:dyDescent="0.25">
      <c r="C1081" s="316"/>
    </row>
    <row r="1082" spans="3:3" x14ac:dyDescent="0.25">
      <c r="C1082" s="316"/>
    </row>
    <row r="1083" spans="3:3" x14ac:dyDescent="0.25">
      <c r="C1083" s="316"/>
    </row>
    <row r="1084" spans="3:3" x14ac:dyDescent="0.25">
      <c r="C1084" s="316"/>
    </row>
    <row r="1085" spans="3:3" x14ac:dyDescent="0.25">
      <c r="C1085" s="316"/>
    </row>
    <row r="1086" spans="3:3" x14ac:dyDescent="0.25">
      <c r="C1086" s="316"/>
    </row>
    <row r="1087" spans="3:3" x14ac:dyDescent="0.25">
      <c r="C1087" s="316"/>
    </row>
    <row r="1088" spans="3:3" x14ac:dyDescent="0.25">
      <c r="C1088" s="316"/>
    </row>
    <row r="1089" spans="3:3" x14ac:dyDescent="0.25">
      <c r="C1089" s="316"/>
    </row>
    <row r="1090" spans="3:3" x14ac:dyDescent="0.25">
      <c r="C1090" s="316"/>
    </row>
    <row r="1091" spans="3:3" x14ac:dyDescent="0.25">
      <c r="C1091" s="316"/>
    </row>
    <row r="1092" spans="3:3" x14ac:dyDescent="0.25">
      <c r="C1092" s="316"/>
    </row>
    <row r="1093" spans="3:3" x14ac:dyDescent="0.25">
      <c r="C1093" s="316"/>
    </row>
    <row r="1094" spans="3:3" x14ac:dyDescent="0.25">
      <c r="C1094" s="316"/>
    </row>
    <row r="1095" spans="3:3" x14ac:dyDescent="0.25">
      <c r="C1095" s="316"/>
    </row>
    <row r="1096" spans="3:3" x14ac:dyDescent="0.25">
      <c r="C1096" s="316"/>
    </row>
    <row r="1097" spans="3:3" x14ac:dyDescent="0.25">
      <c r="C1097" s="316"/>
    </row>
    <row r="1098" spans="3:3" x14ac:dyDescent="0.25">
      <c r="C1098" s="316"/>
    </row>
    <row r="1099" spans="3:3" x14ac:dyDescent="0.25">
      <c r="C1099" s="316"/>
    </row>
    <row r="1100" spans="3:3" x14ac:dyDescent="0.25">
      <c r="C1100" s="316"/>
    </row>
    <row r="1101" spans="3:3" x14ac:dyDescent="0.25">
      <c r="C1101" s="316"/>
    </row>
    <row r="1102" spans="3:3" x14ac:dyDescent="0.25">
      <c r="C1102" s="316"/>
    </row>
    <row r="1103" spans="3:3" x14ac:dyDescent="0.25">
      <c r="C1103" s="316"/>
    </row>
    <row r="1104" spans="3:3" x14ac:dyDescent="0.25">
      <c r="C1104" s="316"/>
    </row>
    <row r="1105" spans="3:3" x14ac:dyDescent="0.25">
      <c r="C1105" s="316"/>
    </row>
    <row r="1106" spans="3:3" x14ac:dyDescent="0.25">
      <c r="C1106" s="316"/>
    </row>
    <row r="1107" spans="3:3" x14ac:dyDescent="0.25">
      <c r="C1107" s="316"/>
    </row>
    <row r="1108" spans="3:3" x14ac:dyDescent="0.25">
      <c r="C1108" s="316"/>
    </row>
    <row r="1109" spans="3:3" x14ac:dyDescent="0.25">
      <c r="C1109" s="316"/>
    </row>
    <row r="1110" spans="3:3" x14ac:dyDescent="0.25">
      <c r="C1110" s="316"/>
    </row>
    <row r="1111" spans="3:3" x14ac:dyDescent="0.25">
      <c r="C1111" s="316"/>
    </row>
    <row r="1112" spans="3:3" x14ac:dyDescent="0.25">
      <c r="C1112" s="316"/>
    </row>
    <row r="1113" spans="3:3" x14ac:dyDescent="0.25">
      <c r="C1113" s="316"/>
    </row>
    <row r="1114" spans="3:3" x14ac:dyDescent="0.25">
      <c r="C1114" s="316"/>
    </row>
    <row r="1115" spans="3:3" x14ac:dyDescent="0.25">
      <c r="C1115" s="316"/>
    </row>
    <row r="1116" spans="3:3" x14ac:dyDescent="0.25">
      <c r="C1116" s="316"/>
    </row>
    <row r="1117" spans="3:3" x14ac:dyDescent="0.25">
      <c r="C1117" s="316"/>
    </row>
    <row r="1118" spans="3:3" x14ac:dyDescent="0.25">
      <c r="C1118" s="316"/>
    </row>
    <row r="1119" spans="3:3" x14ac:dyDescent="0.25">
      <c r="C1119" s="316"/>
    </row>
    <row r="1120" spans="3:3" x14ac:dyDescent="0.25">
      <c r="C1120" s="316"/>
    </row>
    <row r="1121" spans="3:3" x14ac:dyDescent="0.25">
      <c r="C1121" s="316"/>
    </row>
    <row r="1122" spans="3:3" x14ac:dyDescent="0.25">
      <c r="C1122" s="316"/>
    </row>
    <row r="1123" spans="3:3" x14ac:dyDescent="0.25">
      <c r="C1123" s="316"/>
    </row>
    <row r="1124" spans="3:3" x14ac:dyDescent="0.25">
      <c r="C1124" s="316"/>
    </row>
    <row r="1125" spans="3:3" x14ac:dyDescent="0.25">
      <c r="C1125" s="316"/>
    </row>
    <row r="1126" spans="3:3" x14ac:dyDescent="0.25">
      <c r="C1126" s="316"/>
    </row>
    <row r="1127" spans="3:3" x14ac:dyDescent="0.25">
      <c r="C1127" s="316"/>
    </row>
    <row r="1128" spans="3:3" x14ac:dyDescent="0.25">
      <c r="C1128" s="316"/>
    </row>
    <row r="1129" spans="3:3" x14ac:dyDescent="0.25">
      <c r="C1129" s="316"/>
    </row>
    <row r="1130" spans="3:3" x14ac:dyDescent="0.25">
      <c r="C1130" s="316"/>
    </row>
    <row r="1131" spans="3:3" x14ac:dyDescent="0.25">
      <c r="C1131" s="316"/>
    </row>
    <row r="1132" spans="3:3" x14ac:dyDescent="0.25">
      <c r="C1132" s="316"/>
    </row>
    <row r="1133" spans="3:3" x14ac:dyDescent="0.25">
      <c r="C1133" s="316"/>
    </row>
    <row r="1134" spans="3:3" x14ac:dyDescent="0.25">
      <c r="C1134" s="316"/>
    </row>
    <row r="1135" spans="3:3" x14ac:dyDescent="0.25">
      <c r="C1135" s="316"/>
    </row>
    <row r="1136" spans="3:3" x14ac:dyDescent="0.25">
      <c r="C1136" s="316"/>
    </row>
    <row r="1137" spans="3:3" x14ac:dyDescent="0.25">
      <c r="C1137" s="316"/>
    </row>
    <row r="1138" spans="3:3" x14ac:dyDescent="0.25">
      <c r="C1138" s="316"/>
    </row>
    <row r="1139" spans="3:3" x14ac:dyDescent="0.25">
      <c r="C1139" s="316"/>
    </row>
    <row r="1140" spans="3:3" x14ac:dyDescent="0.25">
      <c r="C1140" s="316"/>
    </row>
    <row r="1141" spans="3:3" x14ac:dyDescent="0.25">
      <c r="C1141" s="316"/>
    </row>
    <row r="1142" spans="3:3" x14ac:dyDescent="0.25">
      <c r="C1142" s="316"/>
    </row>
    <row r="1143" spans="3:3" x14ac:dyDescent="0.25">
      <c r="C1143" s="316"/>
    </row>
    <row r="1144" spans="3:3" x14ac:dyDescent="0.25">
      <c r="C1144" s="316"/>
    </row>
    <row r="1145" spans="3:3" x14ac:dyDescent="0.25">
      <c r="C1145" s="316"/>
    </row>
    <row r="1146" spans="3:3" x14ac:dyDescent="0.25">
      <c r="C1146" s="316"/>
    </row>
    <row r="1147" spans="3:3" x14ac:dyDescent="0.25">
      <c r="C1147" s="316"/>
    </row>
    <row r="1148" spans="3:3" x14ac:dyDescent="0.25">
      <c r="C1148" s="316"/>
    </row>
    <row r="1149" spans="3:3" x14ac:dyDescent="0.25">
      <c r="C1149" s="316"/>
    </row>
    <row r="1150" spans="3:3" x14ac:dyDescent="0.25">
      <c r="C1150" s="316"/>
    </row>
    <row r="1151" spans="3:3" x14ac:dyDescent="0.25">
      <c r="C1151" s="316"/>
    </row>
    <row r="1152" spans="3:3" x14ac:dyDescent="0.25">
      <c r="C1152" s="316"/>
    </row>
    <row r="1153" spans="3:3" x14ac:dyDescent="0.25">
      <c r="C1153" s="316"/>
    </row>
    <row r="1154" spans="3:3" x14ac:dyDescent="0.25">
      <c r="C1154" s="316"/>
    </row>
    <row r="1155" spans="3:3" x14ac:dyDescent="0.25">
      <c r="C1155" s="316"/>
    </row>
    <row r="1156" spans="3:3" x14ac:dyDescent="0.25">
      <c r="C1156" s="316"/>
    </row>
    <row r="1157" spans="3:3" x14ac:dyDescent="0.25">
      <c r="C1157" s="316"/>
    </row>
    <row r="1158" spans="3:3" x14ac:dyDescent="0.25">
      <c r="C1158" s="316"/>
    </row>
    <row r="1159" spans="3:3" x14ac:dyDescent="0.25">
      <c r="C1159" s="316"/>
    </row>
    <row r="1160" spans="3:3" x14ac:dyDescent="0.25">
      <c r="C1160" s="316"/>
    </row>
    <row r="1161" spans="3:3" x14ac:dyDescent="0.25">
      <c r="C1161" s="316"/>
    </row>
    <row r="1162" spans="3:3" x14ac:dyDescent="0.25">
      <c r="C1162" s="316"/>
    </row>
    <row r="1163" spans="3:3" x14ac:dyDescent="0.25">
      <c r="C1163" s="316"/>
    </row>
    <row r="1164" spans="3:3" x14ac:dyDescent="0.25">
      <c r="C1164" s="316"/>
    </row>
    <row r="1165" spans="3:3" x14ac:dyDescent="0.25">
      <c r="C1165" s="316"/>
    </row>
    <row r="1166" spans="3:3" x14ac:dyDescent="0.25">
      <c r="C1166" s="316"/>
    </row>
    <row r="1167" spans="3:3" x14ac:dyDescent="0.25">
      <c r="C1167" s="316"/>
    </row>
    <row r="1168" spans="3:3" x14ac:dyDescent="0.25">
      <c r="C1168" s="316"/>
    </row>
    <row r="1169" spans="3:3" x14ac:dyDescent="0.25">
      <c r="C1169" s="316"/>
    </row>
    <row r="1170" spans="3:3" x14ac:dyDescent="0.25">
      <c r="C1170" s="316"/>
    </row>
    <row r="1171" spans="3:3" x14ac:dyDescent="0.25">
      <c r="C1171" s="316"/>
    </row>
    <row r="1172" spans="3:3" x14ac:dyDescent="0.25">
      <c r="C1172" s="316"/>
    </row>
    <row r="1173" spans="3:3" x14ac:dyDescent="0.25">
      <c r="C1173" s="316"/>
    </row>
    <row r="1174" spans="3:3" x14ac:dyDescent="0.25">
      <c r="C1174" s="316"/>
    </row>
    <row r="1175" spans="3:3" x14ac:dyDescent="0.25">
      <c r="C1175" s="316"/>
    </row>
    <row r="1176" spans="3:3" x14ac:dyDescent="0.25">
      <c r="C1176" s="316"/>
    </row>
    <row r="1177" spans="3:3" x14ac:dyDescent="0.25">
      <c r="C1177" s="316"/>
    </row>
    <row r="1178" spans="3:3" x14ac:dyDescent="0.25">
      <c r="C1178" s="316"/>
    </row>
    <row r="1179" spans="3:3" x14ac:dyDescent="0.25">
      <c r="C1179" s="316"/>
    </row>
    <row r="1180" spans="3:3" x14ac:dyDescent="0.25">
      <c r="C1180" s="316"/>
    </row>
    <row r="1181" spans="3:3" x14ac:dyDescent="0.25">
      <c r="C1181" s="316"/>
    </row>
    <row r="1182" spans="3:3" x14ac:dyDescent="0.25">
      <c r="C1182" s="316"/>
    </row>
    <row r="1183" spans="3:3" x14ac:dyDescent="0.25">
      <c r="C1183" s="316"/>
    </row>
    <row r="1184" spans="3:3" x14ac:dyDescent="0.25">
      <c r="C1184" s="316"/>
    </row>
    <row r="1185" spans="3:3" x14ac:dyDescent="0.25">
      <c r="C1185" s="316"/>
    </row>
    <row r="1186" spans="3:3" x14ac:dyDescent="0.25">
      <c r="C1186" s="316"/>
    </row>
    <row r="1187" spans="3:3" x14ac:dyDescent="0.25">
      <c r="C1187" s="316"/>
    </row>
    <row r="1188" spans="3:3" x14ac:dyDescent="0.25">
      <c r="C1188" s="316"/>
    </row>
    <row r="1189" spans="3:3" x14ac:dyDescent="0.25">
      <c r="C1189" s="316"/>
    </row>
    <row r="1190" spans="3:3" x14ac:dyDescent="0.25">
      <c r="C1190" s="316"/>
    </row>
    <row r="1191" spans="3:3" x14ac:dyDescent="0.25">
      <c r="C1191" s="316"/>
    </row>
    <row r="1192" spans="3:3" x14ac:dyDescent="0.25">
      <c r="C1192" s="316"/>
    </row>
    <row r="1193" spans="3:3" x14ac:dyDescent="0.25">
      <c r="C1193" s="316"/>
    </row>
    <row r="1194" spans="3:3" x14ac:dyDescent="0.25">
      <c r="C1194" s="316"/>
    </row>
    <row r="1195" spans="3:3" x14ac:dyDescent="0.25">
      <c r="C1195" s="316"/>
    </row>
    <row r="1196" spans="3:3" x14ac:dyDescent="0.25">
      <c r="C1196" s="316"/>
    </row>
    <row r="1197" spans="3:3" x14ac:dyDescent="0.25">
      <c r="C1197" s="316"/>
    </row>
    <row r="1198" spans="3:3" x14ac:dyDescent="0.25">
      <c r="C1198" s="316"/>
    </row>
    <row r="1199" spans="3:3" x14ac:dyDescent="0.25">
      <c r="C1199" s="316"/>
    </row>
    <row r="1200" spans="3:3" x14ac:dyDescent="0.25">
      <c r="C1200" s="316"/>
    </row>
    <row r="1201" spans="3:3" x14ac:dyDescent="0.25">
      <c r="C1201" s="316"/>
    </row>
    <row r="1202" spans="3:3" x14ac:dyDescent="0.25">
      <c r="C1202" s="316"/>
    </row>
    <row r="1203" spans="3:3" x14ac:dyDescent="0.25">
      <c r="C1203" s="316"/>
    </row>
    <row r="1204" spans="3:3" x14ac:dyDescent="0.25">
      <c r="C1204" s="316"/>
    </row>
    <row r="1205" spans="3:3" x14ac:dyDescent="0.25">
      <c r="C1205" s="316"/>
    </row>
    <row r="1206" spans="3:3" x14ac:dyDescent="0.25">
      <c r="C1206" s="316"/>
    </row>
    <row r="1207" spans="3:3" x14ac:dyDescent="0.25">
      <c r="C1207" s="316"/>
    </row>
    <row r="1208" spans="3:3" x14ac:dyDescent="0.25">
      <c r="C1208" s="316"/>
    </row>
    <row r="1209" spans="3:3" x14ac:dyDescent="0.25">
      <c r="C1209" s="316"/>
    </row>
    <row r="1210" spans="3:3" x14ac:dyDescent="0.25">
      <c r="C1210" s="316"/>
    </row>
    <row r="1211" spans="3:3" x14ac:dyDescent="0.25">
      <c r="C1211" s="316"/>
    </row>
    <row r="1212" spans="3:3" x14ac:dyDescent="0.25">
      <c r="C1212" s="316"/>
    </row>
    <row r="1213" spans="3:3" x14ac:dyDescent="0.25">
      <c r="C1213" s="316"/>
    </row>
    <row r="1214" spans="3:3" x14ac:dyDescent="0.25">
      <c r="C1214" s="316"/>
    </row>
    <row r="1215" spans="3:3" x14ac:dyDescent="0.25">
      <c r="C1215" s="316"/>
    </row>
    <row r="1216" spans="3:3" x14ac:dyDescent="0.25">
      <c r="C1216" s="316"/>
    </row>
    <row r="1217" spans="3:3" x14ac:dyDescent="0.25">
      <c r="C1217" s="316"/>
    </row>
    <row r="1218" spans="3:3" x14ac:dyDescent="0.25">
      <c r="C1218" s="316"/>
    </row>
    <row r="1219" spans="3:3" x14ac:dyDescent="0.25">
      <c r="C1219" s="316"/>
    </row>
    <row r="1220" spans="3:3" x14ac:dyDescent="0.25">
      <c r="C1220" s="316"/>
    </row>
    <row r="1221" spans="3:3" x14ac:dyDescent="0.25">
      <c r="C1221" s="316"/>
    </row>
    <row r="1222" spans="3:3" x14ac:dyDescent="0.25">
      <c r="C1222" s="316"/>
    </row>
    <row r="1223" spans="3:3" x14ac:dyDescent="0.25">
      <c r="C1223" s="316"/>
    </row>
    <row r="1224" spans="3:3" x14ac:dyDescent="0.25">
      <c r="C1224" s="316"/>
    </row>
    <row r="1225" spans="3:3" x14ac:dyDescent="0.25">
      <c r="C1225" s="316"/>
    </row>
    <row r="1226" spans="3:3" x14ac:dyDescent="0.25">
      <c r="C1226" s="316"/>
    </row>
    <row r="1227" spans="3:3" x14ac:dyDescent="0.25">
      <c r="C1227" s="316"/>
    </row>
    <row r="1228" spans="3:3" x14ac:dyDescent="0.25">
      <c r="C1228" s="316"/>
    </row>
    <row r="1229" spans="3:3" x14ac:dyDescent="0.25">
      <c r="C1229" s="316"/>
    </row>
    <row r="1230" spans="3:3" x14ac:dyDescent="0.25">
      <c r="C1230" s="316"/>
    </row>
    <row r="1231" spans="3:3" x14ac:dyDescent="0.25">
      <c r="C1231" s="316"/>
    </row>
    <row r="1232" spans="3:3" x14ac:dyDescent="0.25">
      <c r="C1232" s="316"/>
    </row>
    <row r="1233" spans="3:3" x14ac:dyDescent="0.25">
      <c r="C1233" s="316"/>
    </row>
    <row r="1234" spans="3:3" x14ac:dyDescent="0.25">
      <c r="C1234" s="316"/>
    </row>
    <row r="1235" spans="3:3" x14ac:dyDescent="0.25">
      <c r="C1235" s="316"/>
    </row>
    <row r="1236" spans="3:3" x14ac:dyDescent="0.25">
      <c r="C1236" s="316"/>
    </row>
    <row r="1237" spans="3:3" x14ac:dyDescent="0.25">
      <c r="C1237" s="316"/>
    </row>
    <row r="1238" spans="3:3" x14ac:dyDescent="0.25">
      <c r="C1238" s="316"/>
    </row>
    <row r="1239" spans="3:3" x14ac:dyDescent="0.25">
      <c r="C1239" s="316"/>
    </row>
    <row r="1240" spans="3:3" x14ac:dyDescent="0.25">
      <c r="C1240" s="316"/>
    </row>
    <row r="1241" spans="3:3" x14ac:dyDescent="0.25">
      <c r="C1241" s="316"/>
    </row>
    <row r="1242" spans="3:3" x14ac:dyDescent="0.25">
      <c r="C1242" s="316"/>
    </row>
    <row r="1243" spans="3:3" x14ac:dyDescent="0.25">
      <c r="C1243" s="316"/>
    </row>
    <row r="1244" spans="3:3" x14ac:dyDescent="0.25">
      <c r="C1244" s="316"/>
    </row>
    <row r="1245" spans="3:3" x14ac:dyDescent="0.25">
      <c r="C1245" s="316"/>
    </row>
    <row r="1246" spans="3:3" x14ac:dyDescent="0.25">
      <c r="C1246" s="316"/>
    </row>
    <row r="1247" spans="3:3" x14ac:dyDescent="0.25">
      <c r="C1247" s="316"/>
    </row>
    <row r="1248" spans="3:3" x14ac:dyDescent="0.25">
      <c r="C1248" s="316"/>
    </row>
    <row r="1249" spans="3:3" x14ac:dyDescent="0.25">
      <c r="C1249" s="316"/>
    </row>
    <row r="1250" spans="3:3" x14ac:dyDescent="0.25">
      <c r="C1250" s="316"/>
    </row>
    <row r="1251" spans="3:3" x14ac:dyDescent="0.25">
      <c r="C1251" s="316"/>
    </row>
    <row r="1252" spans="3:3" x14ac:dyDescent="0.25">
      <c r="C1252" s="316"/>
    </row>
    <row r="1253" spans="3:3" x14ac:dyDescent="0.25">
      <c r="C1253" s="316"/>
    </row>
    <row r="1254" spans="3:3" x14ac:dyDescent="0.25">
      <c r="C1254" s="316"/>
    </row>
    <row r="1255" spans="3:3" x14ac:dyDescent="0.25">
      <c r="C1255" s="316"/>
    </row>
    <row r="1256" spans="3:3" x14ac:dyDescent="0.25">
      <c r="C1256" s="316"/>
    </row>
    <row r="1257" spans="3:3" x14ac:dyDescent="0.25">
      <c r="C1257" s="316"/>
    </row>
    <row r="1258" spans="3:3" x14ac:dyDescent="0.25">
      <c r="C1258" s="316"/>
    </row>
    <row r="1259" spans="3:3" x14ac:dyDescent="0.25">
      <c r="C1259" s="316"/>
    </row>
    <row r="1260" spans="3:3" x14ac:dyDescent="0.25">
      <c r="C1260" s="316"/>
    </row>
    <row r="1261" spans="3:3" x14ac:dyDescent="0.25">
      <c r="C1261" s="316"/>
    </row>
    <row r="1262" spans="3:3" x14ac:dyDescent="0.25">
      <c r="C1262" s="316"/>
    </row>
    <row r="1263" spans="3:3" x14ac:dyDescent="0.25">
      <c r="C1263" s="316"/>
    </row>
    <row r="1264" spans="3:3" x14ac:dyDescent="0.25">
      <c r="C1264" s="316"/>
    </row>
    <row r="1265" spans="3:3" x14ac:dyDescent="0.25">
      <c r="C1265" s="316"/>
    </row>
    <row r="1266" spans="3:3" x14ac:dyDescent="0.25">
      <c r="C1266" s="316"/>
    </row>
    <row r="1267" spans="3:3" x14ac:dyDescent="0.25">
      <c r="C1267" s="316"/>
    </row>
    <row r="1268" spans="3:3" x14ac:dyDescent="0.25">
      <c r="C1268" s="316"/>
    </row>
    <row r="1269" spans="3:3" x14ac:dyDescent="0.25">
      <c r="C1269" s="316"/>
    </row>
    <row r="1270" spans="3:3" x14ac:dyDescent="0.25">
      <c r="C1270" s="316"/>
    </row>
    <row r="1271" spans="3:3" x14ac:dyDescent="0.25">
      <c r="C1271" s="316"/>
    </row>
    <row r="1272" spans="3:3" x14ac:dyDescent="0.25">
      <c r="C1272" s="316"/>
    </row>
    <row r="1273" spans="3:3" x14ac:dyDescent="0.25">
      <c r="C1273" s="316"/>
    </row>
    <row r="1274" spans="3:3" x14ac:dyDescent="0.25">
      <c r="C1274" s="316"/>
    </row>
    <row r="1275" spans="3:3" x14ac:dyDescent="0.25">
      <c r="C1275" s="316"/>
    </row>
    <row r="1276" spans="3:3" x14ac:dyDescent="0.25">
      <c r="C1276" s="316"/>
    </row>
    <row r="1277" spans="3:3" x14ac:dyDescent="0.25">
      <c r="C1277" s="316"/>
    </row>
    <row r="1278" spans="3:3" x14ac:dyDescent="0.25">
      <c r="C1278" s="316"/>
    </row>
    <row r="1279" spans="3:3" x14ac:dyDescent="0.25">
      <c r="C1279" s="316"/>
    </row>
    <row r="1280" spans="3:3" x14ac:dyDescent="0.25">
      <c r="C1280" s="316"/>
    </row>
    <row r="1281" spans="3:3" x14ac:dyDescent="0.25">
      <c r="C1281" s="316"/>
    </row>
    <row r="1282" spans="3:3" x14ac:dyDescent="0.25">
      <c r="C1282" s="316"/>
    </row>
    <row r="1283" spans="3:3" x14ac:dyDescent="0.25">
      <c r="C1283" s="316"/>
    </row>
    <row r="1284" spans="3:3" x14ac:dyDescent="0.25">
      <c r="C1284" s="316"/>
    </row>
    <row r="1285" spans="3:3" x14ac:dyDescent="0.25">
      <c r="C1285" s="316"/>
    </row>
    <row r="1286" spans="3:3" x14ac:dyDescent="0.25">
      <c r="C1286" s="316"/>
    </row>
    <row r="1287" spans="3:3" x14ac:dyDescent="0.25">
      <c r="C1287" s="316"/>
    </row>
    <row r="1288" spans="3:3" x14ac:dyDescent="0.25">
      <c r="C1288" s="316"/>
    </row>
    <row r="1289" spans="3:3" x14ac:dyDescent="0.25">
      <c r="C1289" s="316"/>
    </row>
    <row r="1290" spans="3:3" x14ac:dyDescent="0.25">
      <c r="C1290" s="316"/>
    </row>
    <row r="1291" spans="3:3" x14ac:dyDescent="0.25">
      <c r="C1291" s="316"/>
    </row>
    <row r="1292" spans="3:3" x14ac:dyDescent="0.25">
      <c r="C1292" s="316"/>
    </row>
    <row r="1293" spans="3:3" x14ac:dyDescent="0.25">
      <c r="C1293" s="316"/>
    </row>
    <row r="1294" spans="3:3" x14ac:dyDescent="0.25">
      <c r="C1294" s="316"/>
    </row>
    <row r="1295" spans="3:3" x14ac:dyDescent="0.25">
      <c r="C1295" s="316"/>
    </row>
    <row r="1296" spans="3:3" x14ac:dyDescent="0.25">
      <c r="C1296" s="316"/>
    </row>
    <row r="1297" spans="3:3" x14ac:dyDescent="0.25">
      <c r="C1297" s="316"/>
    </row>
    <row r="1298" spans="3:3" x14ac:dyDescent="0.25">
      <c r="C1298" s="316"/>
    </row>
    <row r="1299" spans="3:3" x14ac:dyDescent="0.25">
      <c r="C1299" s="316"/>
    </row>
    <row r="1300" spans="3:3" x14ac:dyDescent="0.25">
      <c r="C1300" s="316"/>
    </row>
    <row r="1301" spans="3:3" x14ac:dyDescent="0.25">
      <c r="C1301" s="316"/>
    </row>
    <row r="1302" spans="3:3" x14ac:dyDescent="0.25">
      <c r="C1302" s="316"/>
    </row>
    <row r="1303" spans="3:3" x14ac:dyDescent="0.25">
      <c r="C1303" s="316"/>
    </row>
    <row r="1304" spans="3:3" x14ac:dyDescent="0.25">
      <c r="C1304" s="316"/>
    </row>
    <row r="1305" spans="3:3" x14ac:dyDescent="0.25">
      <c r="C1305" s="316"/>
    </row>
    <row r="1306" spans="3:3" x14ac:dyDescent="0.25">
      <c r="C1306" s="316"/>
    </row>
    <row r="1307" spans="3:3" x14ac:dyDescent="0.25">
      <c r="C1307" s="316"/>
    </row>
    <row r="1308" spans="3:3" x14ac:dyDescent="0.25">
      <c r="C1308" s="316"/>
    </row>
    <row r="1309" spans="3:3" x14ac:dyDescent="0.25">
      <c r="C1309" s="316"/>
    </row>
    <row r="1310" spans="3:3" x14ac:dyDescent="0.25">
      <c r="C1310" s="316"/>
    </row>
    <row r="1311" spans="3:3" x14ac:dyDescent="0.25">
      <c r="C1311" s="316"/>
    </row>
    <row r="1312" spans="3:3" x14ac:dyDescent="0.25">
      <c r="C1312" s="316"/>
    </row>
    <row r="1313" spans="3:3" x14ac:dyDescent="0.25">
      <c r="C1313" s="316"/>
    </row>
    <row r="1314" spans="3:3" x14ac:dyDescent="0.25">
      <c r="C1314" s="316"/>
    </row>
    <row r="1315" spans="3:3" x14ac:dyDescent="0.25">
      <c r="C1315" s="316"/>
    </row>
    <row r="1316" spans="3:3" x14ac:dyDescent="0.25">
      <c r="C1316" s="316"/>
    </row>
    <row r="1317" spans="3:3" x14ac:dyDescent="0.25">
      <c r="C1317" s="316"/>
    </row>
    <row r="1318" spans="3:3" x14ac:dyDescent="0.25">
      <c r="C1318" s="316"/>
    </row>
    <row r="1319" spans="3:3" x14ac:dyDescent="0.25">
      <c r="C1319" s="316"/>
    </row>
    <row r="1320" spans="3:3" x14ac:dyDescent="0.25">
      <c r="C1320" s="316"/>
    </row>
    <row r="1321" spans="3:3" x14ac:dyDescent="0.25">
      <c r="C1321" s="316"/>
    </row>
    <row r="1322" spans="3:3" x14ac:dyDescent="0.25">
      <c r="C1322" s="316"/>
    </row>
    <row r="1323" spans="3:3" x14ac:dyDescent="0.25">
      <c r="C1323" s="316"/>
    </row>
    <row r="1324" spans="3:3" x14ac:dyDescent="0.25">
      <c r="C1324" s="316"/>
    </row>
    <row r="1325" spans="3:3" x14ac:dyDescent="0.25">
      <c r="C1325" s="316"/>
    </row>
    <row r="1326" spans="3:3" x14ac:dyDescent="0.25">
      <c r="C1326" s="316"/>
    </row>
    <row r="1327" spans="3:3" x14ac:dyDescent="0.25">
      <c r="C1327" s="316"/>
    </row>
    <row r="1328" spans="3:3" x14ac:dyDescent="0.25">
      <c r="C1328" s="316"/>
    </row>
    <row r="1329" spans="3:3" x14ac:dyDescent="0.25">
      <c r="C1329" s="316"/>
    </row>
    <row r="1330" spans="3:3" x14ac:dyDescent="0.25">
      <c r="C1330" s="316"/>
    </row>
    <row r="1331" spans="3:3" x14ac:dyDescent="0.25">
      <c r="C1331" s="316"/>
    </row>
    <row r="1332" spans="3:3" x14ac:dyDescent="0.25">
      <c r="C1332" s="316"/>
    </row>
    <row r="1333" spans="3:3" x14ac:dyDescent="0.25">
      <c r="C1333" s="316"/>
    </row>
    <row r="1334" spans="3:3" x14ac:dyDescent="0.25">
      <c r="C1334" s="316"/>
    </row>
    <row r="1335" spans="3:3" x14ac:dyDescent="0.25">
      <c r="C1335" s="316"/>
    </row>
    <row r="1336" spans="3:3" x14ac:dyDescent="0.25">
      <c r="C1336" s="316"/>
    </row>
    <row r="1337" spans="3:3" x14ac:dyDescent="0.25">
      <c r="C1337" s="316"/>
    </row>
    <row r="1338" spans="3:3" x14ac:dyDescent="0.25">
      <c r="C1338" s="316"/>
    </row>
    <row r="1339" spans="3:3" x14ac:dyDescent="0.25">
      <c r="C1339" s="316"/>
    </row>
    <row r="1340" spans="3:3" x14ac:dyDescent="0.25">
      <c r="C1340" s="316"/>
    </row>
    <row r="1341" spans="3:3" x14ac:dyDescent="0.25">
      <c r="C1341" s="316"/>
    </row>
    <row r="1342" spans="3:3" x14ac:dyDescent="0.25">
      <c r="C1342" s="316"/>
    </row>
    <row r="1343" spans="3:3" x14ac:dyDescent="0.25">
      <c r="C1343" s="316"/>
    </row>
    <row r="1344" spans="3:3" x14ac:dyDescent="0.25">
      <c r="C1344" s="316"/>
    </row>
    <row r="1345" spans="3:3" x14ac:dyDescent="0.25">
      <c r="C1345" s="316"/>
    </row>
    <row r="1346" spans="3:3" x14ac:dyDescent="0.25">
      <c r="C1346" s="316"/>
    </row>
    <row r="1347" spans="3:3" x14ac:dyDescent="0.25">
      <c r="C1347" s="316"/>
    </row>
    <row r="1348" spans="3:3" x14ac:dyDescent="0.25">
      <c r="C1348" s="316"/>
    </row>
    <row r="1349" spans="3:3" x14ac:dyDescent="0.25">
      <c r="C1349" s="316"/>
    </row>
    <row r="1350" spans="3:3" x14ac:dyDescent="0.25">
      <c r="C1350" s="316"/>
    </row>
    <row r="1351" spans="3:3" x14ac:dyDescent="0.25">
      <c r="C1351" s="316"/>
    </row>
    <row r="1352" spans="3:3" x14ac:dyDescent="0.25">
      <c r="C1352" s="316"/>
    </row>
    <row r="1353" spans="3:3" x14ac:dyDescent="0.25">
      <c r="C1353" s="316"/>
    </row>
    <row r="1354" spans="3:3" x14ac:dyDescent="0.25">
      <c r="C1354" s="316"/>
    </row>
    <row r="1355" spans="3:3" x14ac:dyDescent="0.25">
      <c r="C1355" s="316"/>
    </row>
    <row r="1356" spans="3:3" x14ac:dyDescent="0.25">
      <c r="C1356" s="316"/>
    </row>
    <row r="1357" spans="3:3" x14ac:dyDescent="0.25">
      <c r="C1357" s="316"/>
    </row>
    <row r="1358" spans="3:3" x14ac:dyDescent="0.25">
      <c r="C1358" s="316"/>
    </row>
    <row r="1359" spans="3:3" x14ac:dyDescent="0.25">
      <c r="C1359" s="316"/>
    </row>
    <row r="1360" spans="3:3" x14ac:dyDescent="0.25">
      <c r="C1360" s="316"/>
    </row>
    <row r="1361" spans="3:3" x14ac:dyDescent="0.25">
      <c r="C1361" s="316"/>
    </row>
    <row r="1362" spans="3:3" x14ac:dyDescent="0.25">
      <c r="C1362" s="316"/>
    </row>
    <row r="1363" spans="3:3" x14ac:dyDescent="0.25">
      <c r="C1363" s="316"/>
    </row>
    <row r="1364" spans="3:3" x14ac:dyDescent="0.25">
      <c r="C1364" s="316"/>
    </row>
    <row r="1365" spans="3:3" x14ac:dyDescent="0.25">
      <c r="C1365" s="316"/>
    </row>
    <row r="1366" spans="3:3" x14ac:dyDescent="0.25">
      <c r="C1366" s="316"/>
    </row>
    <row r="1367" spans="3:3" x14ac:dyDescent="0.25">
      <c r="C1367" s="316"/>
    </row>
    <row r="1368" spans="3:3" x14ac:dyDescent="0.25">
      <c r="C1368" s="316"/>
    </row>
    <row r="1369" spans="3:3" x14ac:dyDescent="0.25">
      <c r="C1369" s="316"/>
    </row>
    <row r="1370" spans="3:3" x14ac:dyDescent="0.25">
      <c r="C1370" s="316"/>
    </row>
    <row r="1371" spans="3:3" x14ac:dyDescent="0.25">
      <c r="C1371" s="316"/>
    </row>
    <row r="1372" spans="3:3" x14ac:dyDescent="0.25">
      <c r="C1372" s="316"/>
    </row>
    <row r="1373" spans="3:3" x14ac:dyDescent="0.25">
      <c r="C1373" s="316"/>
    </row>
    <row r="1374" spans="3:3" x14ac:dyDescent="0.25">
      <c r="C1374" s="316"/>
    </row>
    <row r="1375" spans="3:3" x14ac:dyDescent="0.25">
      <c r="C1375" s="316"/>
    </row>
    <row r="1376" spans="3:3" x14ac:dyDescent="0.25">
      <c r="C1376" s="316"/>
    </row>
    <row r="1377" spans="3:3" x14ac:dyDescent="0.25">
      <c r="C1377" s="316"/>
    </row>
    <row r="1378" spans="3:3" x14ac:dyDescent="0.25">
      <c r="C1378" s="316"/>
    </row>
    <row r="1379" spans="3:3" x14ac:dyDescent="0.25">
      <c r="C1379" s="316"/>
    </row>
    <row r="1380" spans="3:3" x14ac:dyDescent="0.25">
      <c r="C1380" s="316"/>
    </row>
    <row r="1381" spans="3:3" x14ac:dyDescent="0.25">
      <c r="C1381" s="316"/>
    </row>
    <row r="1382" spans="3:3" x14ac:dyDescent="0.25">
      <c r="C1382" s="316"/>
    </row>
    <row r="1383" spans="3:3" x14ac:dyDescent="0.25">
      <c r="C1383" s="316"/>
    </row>
    <row r="1384" spans="3:3" x14ac:dyDescent="0.25">
      <c r="C1384" s="316"/>
    </row>
    <row r="1385" spans="3:3" x14ac:dyDescent="0.25">
      <c r="C1385" s="316"/>
    </row>
    <row r="1386" spans="3:3" x14ac:dyDescent="0.25">
      <c r="C1386" s="316"/>
    </row>
    <row r="1387" spans="3:3" x14ac:dyDescent="0.25">
      <c r="C1387" s="316"/>
    </row>
    <row r="1388" spans="3:3" x14ac:dyDescent="0.25">
      <c r="C1388" s="316"/>
    </row>
    <row r="1389" spans="3:3" x14ac:dyDescent="0.25">
      <c r="C1389" s="316"/>
    </row>
    <row r="1390" spans="3:3" x14ac:dyDescent="0.25">
      <c r="C1390" s="316"/>
    </row>
    <row r="1391" spans="3:3" x14ac:dyDescent="0.25">
      <c r="C1391" s="316"/>
    </row>
    <row r="1392" spans="3:3" x14ac:dyDescent="0.25">
      <c r="C1392" s="316"/>
    </row>
    <row r="1393" spans="3:3" x14ac:dyDescent="0.25">
      <c r="C1393" s="316"/>
    </row>
    <row r="1394" spans="3:3" x14ac:dyDescent="0.25">
      <c r="C1394" s="316"/>
    </row>
    <row r="1395" spans="3:3" x14ac:dyDescent="0.25">
      <c r="C1395" s="316"/>
    </row>
    <row r="1396" spans="3:3" x14ac:dyDescent="0.25">
      <c r="C1396" s="316"/>
    </row>
    <row r="1397" spans="3:3" x14ac:dyDescent="0.25">
      <c r="C1397" s="316"/>
    </row>
    <row r="1398" spans="3:3" x14ac:dyDescent="0.25">
      <c r="C1398" s="316"/>
    </row>
    <row r="1399" spans="3:3" x14ac:dyDescent="0.25">
      <c r="C1399" s="316"/>
    </row>
    <row r="1400" spans="3:3" x14ac:dyDescent="0.25">
      <c r="C1400" s="316"/>
    </row>
    <row r="1401" spans="3:3" x14ac:dyDescent="0.25">
      <c r="C1401" s="316"/>
    </row>
    <row r="1402" spans="3:3" x14ac:dyDescent="0.25">
      <c r="C1402" s="316"/>
    </row>
    <row r="1403" spans="3:3" x14ac:dyDescent="0.25">
      <c r="C1403" s="316"/>
    </row>
    <row r="1404" spans="3:3" x14ac:dyDescent="0.25">
      <c r="C1404" s="316"/>
    </row>
    <row r="1405" spans="3:3" x14ac:dyDescent="0.25">
      <c r="C1405" s="316"/>
    </row>
    <row r="1406" spans="3:3" x14ac:dyDescent="0.25">
      <c r="C1406" s="316"/>
    </row>
    <row r="1407" spans="3:3" x14ac:dyDescent="0.25">
      <c r="C1407" s="316"/>
    </row>
    <row r="1408" spans="3:3" x14ac:dyDescent="0.25">
      <c r="C1408" s="316"/>
    </row>
    <row r="1409" spans="3:3" x14ac:dyDescent="0.25">
      <c r="C1409" s="316"/>
    </row>
    <row r="1410" spans="3:3" x14ac:dyDescent="0.25">
      <c r="C1410" s="316"/>
    </row>
    <row r="1411" spans="3:3" x14ac:dyDescent="0.25">
      <c r="C1411" s="316"/>
    </row>
    <row r="1412" spans="3:3" x14ac:dyDescent="0.25">
      <c r="C1412" s="316"/>
    </row>
    <row r="1413" spans="3:3" x14ac:dyDescent="0.25">
      <c r="C1413" s="316"/>
    </row>
    <row r="1414" spans="3:3" x14ac:dyDescent="0.25">
      <c r="C1414" s="316"/>
    </row>
    <row r="1415" spans="3:3" x14ac:dyDescent="0.25">
      <c r="C1415" s="316"/>
    </row>
    <row r="1416" spans="3:3" x14ac:dyDescent="0.25">
      <c r="C1416" s="316"/>
    </row>
    <row r="1417" spans="3:3" x14ac:dyDescent="0.25">
      <c r="C1417" s="316"/>
    </row>
    <row r="1418" spans="3:3" x14ac:dyDescent="0.25">
      <c r="C1418" s="316"/>
    </row>
    <row r="1419" spans="3:3" x14ac:dyDescent="0.25">
      <c r="C1419" s="316"/>
    </row>
    <row r="1420" spans="3:3" x14ac:dyDescent="0.25">
      <c r="C1420" s="316"/>
    </row>
    <row r="1421" spans="3:3" x14ac:dyDescent="0.25">
      <c r="C1421" s="316"/>
    </row>
    <row r="1422" spans="3:3" x14ac:dyDescent="0.25">
      <c r="C1422" s="316"/>
    </row>
    <row r="1423" spans="3:3" x14ac:dyDescent="0.25">
      <c r="C1423" s="316"/>
    </row>
    <row r="1424" spans="3:3" x14ac:dyDescent="0.25">
      <c r="C1424" s="316"/>
    </row>
    <row r="1425" spans="3:3" x14ac:dyDescent="0.25">
      <c r="C1425" s="316"/>
    </row>
    <row r="1426" spans="3:3" x14ac:dyDescent="0.25">
      <c r="C1426" s="316"/>
    </row>
    <row r="1427" spans="3:3" x14ac:dyDescent="0.25">
      <c r="C1427" s="316"/>
    </row>
    <row r="1428" spans="3:3" x14ac:dyDescent="0.25">
      <c r="C1428" s="316"/>
    </row>
    <row r="1429" spans="3:3" x14ac:dyDescent="0.25">
      <c r="C1429" s="316"/>
    </row>
    <row r="1430" spans="3:3" x14ac:dyDescent="0.25">
      <c r="C1430" s="316"/>
    </row>
    <row r="1431" spans="3:3" x14ac:dyDescent="0.25">
      <c r="C1431" s="316"/>
    </row>
    <row r="1432" spans="3:3" x14ac:dyDescent="0.25">
      <c r="C1432" s="316"/>
    </row>
    <row r="1433" spans="3:3" x14ac:dyDescent="0.25">
      <c r="C1433" s="316"/>
    </row>
    <row r="1434" spans="3:3" x14ac:dyDescent="0.25">
      <c r="C1434" s="316"/>
    </row>
    <row r="1435" spans="3:3" x14ac:dyDescent="0.25">
      <c r="C1435" s="316"/>
    </row>
    <row r="1436" spans="3:3" x14ac:dyDescent="0.25">
      <c r="C1436" s="316"/>
    </row>
    <row r="1437" spans="3:3" x14ac:dyDescent="0.25">
      <c r="C1437" s="316"/>
    </row>
    <row r="1438" spans="3:3" x14ac:dyDescent="0.25">
      <c r="C1438" s="316"/>
    </row>
    <row r="1439" spans="3:3" x14ac:dyDescent="0.25">
      <c r="C1439" s="316"/>
    </row>
    <row r="1440" spans="3:3" x14ac:dyDescent="0.25">
      <c r="C1440" s="316"/>
    </row>
    <row r="1441" spans="3:3" x14ac:dyDescent="0.25">
      <c r="C1441" s="316"/>
    </row>
    <row r="1442" spans="3:3" x14ac:dyDescent="0.25">
      <c r="C1442" s="316"/>
    </row>
    <row r="1443" spans="3:3" x14ac:dyDescent="0.25">
      <c r="C1443" s="316"/>
    </row>
    <row r="1444" spans="3:3" x14ac:dyDescent="0.25">
      <c r="C1444" s="316"/>
    </row>
    <row r="1445" spans="3:3" x14ac:dyDescent="0.25">
      <c r="C1445" s="316"/>
    </row>
    <row r="1446" spans="3:3" x14ac:dyDescent="0.25">
      <c r="C1446" s="316"/>
    </row>
    <row r="1447" spans="3:3" x14ac:dyDescent="0.25">
      <c r="C1447" s="316"/>
    </row>
    <row r="1448" spans="3:3" x14ac:dyDescent="0.25">
      <c r="C1448" s="316"/>
    </row>
    <row r="1449" spans="3:3" x14ac:dyDescent="0.25">
      <c r="C1449" s="316"/>
    </row>
    <row r="1450" spans="3:3" x14ac:dyDescent="0.25">
      <c r="C1450" s="316"/>
    </row>
    <row r="1451" spans="3:3" x14ac:dyDescent="0.25">
      <c r="C1451" s="316"/>
    </row>
    <row r="1452" spans="3:3" x14ac:dyDescent="0.25">
      <c r="C1452" s="316"/>
    </row>
    <row r="1453" spans="3:3" x14ac:dyDescent="0.25">
      <c r="C1453" s="316"/>
    </row>
    <row r="1454" spans="3:3" x14ac:dyDescent="0.25">
      <c r="C1454" s="316"/>
    </row>
    <row r="1455" spans="3:3" x14ac:dyDescent="0.25">
      <c r="C1455" s="316"/>
    </row>
    <row r="1456" spans="3:3" x14ac:dyDescent="0.25">
      <c r="C1456" s="316"/>
    </row>
    <row r="1457" spans="3:3" x14ac:dyDescent="0.25">
      <c r="C1457" s="316"/>
    </row>
    <row r="1458" spans="3:3" x14ac:dyDescent="0.25">
      <c r="C1458" s="316"/>
    </row>
    <row r="1459" spans="3:3" x14ac:dyDescent="0.25">
      <c r="C1459" s="316"/>
    </row>
    <row r="1460" spans="3:3" x14ac:dyDescent="0.25">
      <c r="C1460" s="316"/>
    </row>
    <row r="1461" spans="3:3" x14ac:dyDescent="0.25">
      <c r="C1461" s="316"/>
    </row>
    <row r="1462" spans="3:3" x14ac:dyDescent="0.25">
      <c r="C1462" s="316"/>
    </row>
    <row r="1463" spans="3:3" x14ac:dyDescent="0.25">
      <c r="C1463" s="316"/>
    </row>
    <row r="1464" spans="3:3" x14ac:dyDescent="0.25">
      <c r="C1464" s="316"/>
    </row>
    <row r="1465" spans="3:3" x14ac:dyDescent="0.25">
      <c r="C1465" s="316"/>
    </row>
    <row r="1466" spans="3:3" x14ac:dyDescent="0.25">
      <c r="C1466" s="316"/>
    </row>
    <row r="1467" spans="3:3" x14ac:dyDescent="0.25">
      <c r="C1467" s="316"/>
    </row>
    <row r="1468" spans="3:3" x14ac:dyDescent="0.25">
      <c r="C1468" s="316"/>
    </row>
    <row r="1469" spans="3:3" x14ac:dyDescent="0.25">
      <c r="C1469" s="316"/>
    </row>
    <row r="1470" spans="3:3" x14ac:dyDescent="0.25">
      <c r="C1470" s="316"/>
    </row>
    <row r="1471" spans="3:3" x14ac:dyDescent="0.25">
      <c r="C1471" s="316"/>
    </row>
    <row r="1472" spans="3:3" x14ac:dyDescent="0.25">
      <c r="C1472" s="316"/>
    </row>
    <row r="1473" spans="3:3" x14ac:dyDescent="0.25">
      <c r="C1473" s="316"/>
    </row>
    <row r="1474" spans="3:3" x14ac:dyDescent="0.25">
      <c r="C1474" s="316"/>
    </row>
    <row r="1475" spans="3:3" x14ac:dyDescent="0.25">
      <c r="C1475" s="316"/>
    </row>
    <row r="1476" spans="3:3" x14ac:dyDescent="0.25">
      <c r="C1476" s="316"/>
    </row>
    <row r="1477" spans="3:3" x14ac:dyDescent="0.25">
      <c r="C1477" s="316"/>
    </row>
    <row r="1478" spans="3:3" x14ac:dyDescent="0.25">
      <c r="C1478" s="316"/>
    </row>
    <row r="1479" spans="3:3" x14ac:dyDescent="0.25">
      <c r="C1479" s="316"/>
    </row>
    <row r="1480" spans="3:3" x14ac:dyDescent="0.25">
      <c r="C1480" s="316"/>
    </row>
    <row r="1481" spans="3:3" x14ac:dyDescent="0.25">
      <c r="C1481" s="316"/>
    </row>
    <row r="1482" spans="3:3" x14ac:dyDescent="0.25">
      <c r="C1482" s="316"/>
    </row>
    <row r="1483" spans="3:3" x14ac:dyDescent="0.25">
      <c r="C1483" s="316"/>
    </row>
    <row r="1484" spans="3:3" x14ac:dyDescent="0.25">
      <c r="C1484" s="316"/>
    </row>
    <row r="1485" spans="3:3" x14ac:dyDescent="0.25">
      <c r="C1485" s="316"/>
    </row>
    <row r="1486" spans="3:3" x14ac:dyDescent="0.25">
      <c r="C1486" s="316"/>
    </row>
    <row r="1487" spans="3:3" x14ac:dyDescent="0.25">
      <c r="C1487" s="316"/>
    </row>
    <row r="1488" spans="3:3" x14ac:dyDescent="0.25">
      <c r="C1488" s="316"/>
    </row>
    <row r="1489" spans="3:3" x14ac:dyDescent="0.25">
      <c r="C1489" s="316"/>
    </row>
    <row r="1490" spans="3:3" x14ac:dyDescent="0.25">
      <c r="C1490" s="316"/>
    </row>
    <row r="1491" spans="3:3" x14ac:dyDescent="0.25">
      <c r="C1491" s="316"/>
    </row>
    <row r="1492" spans="3:3" x14ac:dyDescent="0.25">
      <c r="C1492" s="316"/>
    </row>
    <row r="1493" spans="3:3" x14ac:dyDescent="0.25">
      <c r="C1493" s="316"/>
    </row>
    <row r="1494" spans="3:3" x14ac:dyDescent="0.25">
      <c r="C1494" s="316"/>
    </row>
    <row r="1495" spans="3:3" x14ac:dyDescent="0.25">
      <c r="C1495" s="316"/>
    </row>
    <row r="1496" spans="3:3" x14ac:dyDescent="0.25">
      <c r="C1496" s="316"/>
    </row>
    <row r="1497" spans="3:3" x14ac:dyDescent="0.25">
      <c r="C1497" s="316"/>
    </row>
    <row r="1498" spans="3:3" x14ac:dyDescent="0.25">
      <c r="C1498" s="316"/>
    </row>
    <row r="1499" spans="3:3" x14ac:dyDescent="0.25">
      <c r="C1499" s="316"/>
    </row>
    <row r="1500" spans="3:3" x14ac:dyDescent="0.25">
      <c r="C1500" s="316"/>
    </row>
    <row r="1501" spans="3:3" x14ac:dyDescent="0.25">
      <c r="C1501" s="316"/>
    </row>
    <row r="1502" spans="3:3" x14ac:dyDescent="0.25">
      <c r="C1502" s="316"/>
    </row>
    <row r="1503" spans="3:3" x14ac:dyDescent="0.25">
      <c r="C1503" s="316"/>
    </row>
    <row r="1504" spans="3:3" x14ac:dyDescent="0.25">
      <c r="C1504" s="316"/>
    </row>
    <row r="1505" spans="3:3" x14ac:dyDescent="0.25">
      <c r="C1505" s="316"/>
    </row>
    <row r="1506" spans="3:3" x14ac:dyDescent="0.25">
      <c r="C1506" s="316"/>
    </row>
    <row r="1507" spans="3:3" x14ac:dyDescent="0.25">
      <c r="C1507" s="316"/>
    </row>
    <row r="1508" spans="3:3" x14ac:dyDescent="0.25">
      <c r="C1508" s="316"/>
    </row>
    <row r="1509" spans="3:3" x14ac:dyDescent="0.25">
      <c r="C1509" s="316"/>
    </row>
    <row r="1510" spans="3:3" x14ac:dyDescent="0.25">
      <c r="C1510" s="316"/>
    </row>
    <row r="1511" spans="3:3" x14ac:dyDescent="0.25">
      <c r="C1511" s="316"/>
    </row>
    <row r="1512" spans="3:3" x14ac:dyDescent="0.25">
      <c r="C1512" s="316"/>
    </row>
    <row r="1513" spans="3:3" x14ac:dyDescent="0.25">
      <c r="C1513" s="316"/>
    </row>
    <row r="1514" spans="3:3" x14ac:dyDescent="0.25">
      <c r="C1514" s="316"/>
    </row>
    <row r="1515" spans="3:3" x14ac:dyDescent="0.25">
      <c r="C1515" s="316"/>
    </row>
    <row r="1516" spans="3:3" x14ac:dyDescent="0.25">
      <c r="C1516" s="316"/>
    </row>
    <row r="1517" spans="3:3" x14ac:dyDescent="0.25">
      <c r="C1517" s="316"/>
    </row>
    <row r="1518" spans="3:3" x14ac:dyDescent="0.25">
      <c r="C1518" s="316"/>
    </row>
    <row r="1519" spans="3:3" x14ac:dyDescent="0.25">
      <c r="C1519" s="316"/>
    </row>
    <row r="1520" spans="3:3" x14ac:dyDescent="0.25">
      <c r="C1520" s="316"/>
    </row>
    <row r="1521" spans="3:3" x14ac:dyDescent="0.25">
      <c r="C1521" s="316"/>
    </row>
    <row r="1522" spans="3:3" x14ac:dyDescent="0.25">
      <c r="C1522" s="316"/>
    </row>
    <row r="1523" spans="3:3" x14ac:dyDescent="0.25">
      <c r="C1523" s="316"/>
    </row>
    <row r="1524" spans="3:3" x14ac:dyDescent="0.25">
      <c r="C1524" s="316"/>
    </row>
    <row r="1525" spans="3:3" x14ac:dyDescent="0.25">
      <c r="C1525" s="316"/>
    </row>
    <row r="1526" spans="3:3" x14ac:dyDescent="0.25">
      <c r="C1526" s="316"/>
    </row>
    <row r="1527" spans="3:3" x14ac:dyDescent="0.25">
      <c r="C1527" s="316"/>
    </row>
    <row r="1528" spans="3:3" x14ac:dyDescent="0.25">
      <c r="C1528" s="316"/>
    </row>
    <row r="1529" spans="3:3" x14ac:dyDescent="0.25">
      <c r="C1529" s="316"/>
    </row>
    <row r="1530" spans="3:3" x14ac:dyDescent="0.25">
      <c r="C1530" s="316"/>
    </row>
    <row r="1531" spans="3:3" x14ac:dyDescent="0.25">
      <c r="C1531" s="316"/>
    </row>
    <row r="1532" spans="3:3" x14ac:dyDescent="0.25">
      <c r="C1532" s="316"/>
    </row>
    <row r="1533" spans="3:3" x14ac:dyDescent="0.25">
      <c r="C1533" s="316"/>
    </row>
    <row r="1534" spans="3:3" x14ac:dyDescent="0.25">
      <c r="C1534" s="316"/>
    </row>
    <row r="1535" spans="3:3" x14ac:dyDescent="0.25">
      <c r="C1535" s="316"/>
    </row>
    <row r="1536" spans="3:3" x14ac:dyDescent="0.25">
      <c r="C1536" s="316"/>
    </row>
    <row r="1537" spans="3:3" x14ac:dyDescent="0.25">
      <c r="C1537" s="316"/>
    </row>
    <row r="1538" spans="3:3" x14ac:dyDescent="0.25">
      <c r="C1538" s="316"/>
    </row>
    <row r="1539" spans="3:3" x14ac:dyDescent="0.25">
      <c r="C1539" s="316"/>
    </row>
    <row r="1540" spans="3:3" x14ac:dyDescent="0.25">
      <c r="C1540" s="316"/>
    </row>
    <row r="1541" spans="3:3" x14ac:dyDescent="0.25">
      <c r="C1541" s="316"/>
    </row>
    <row r="1542" spans="3:3" x14ac:dyDescent="0.25">
      <c r="C1542" s="316"/>
    </row>
    <row r="1543" spans="3:3" x14ac:dyDescent="0.25">
      <c r="C1543" s="316"/>
    </row>
    <row r="1544" spans="3:3" x14ac:dyDescent="0.25">
      <c r="C1544" s="316"/>
    </row>
    <row r="1545" spans="3:3" x14ac:dyDescent="0.25">
      <c r="C1545" s="316"/>
    </row>
    <row r="1546" spans="3:3" x14ac:dyDescent="0.25">
      <c r="C1546" s="316"/>
    </row>
    <row r="1547" spans="3:3" x14ac:dyDescent="0.25">
      <c r="C1547" s="316"/>
    </row>
    <row r="1548" spans="3:3" x14ac:dyDescent="0.25">
      <c r="C1548" s="316"/>
    </row>
    <row r="1549" spans="3:3" x14ac:dyDescent="0.25">
      <c r="C1549" s="316"/>
    </row>
    <row r="1550" spans="3:3" x14ac:dyDescent="0.25">
      <c r="C1550" s="316"/>
    </row>
    <row r="1551" spans="3:3" x14ac:dyDescent="0.25">
      <c r="C1551" s="316"/>
    </row>
    <row r="1552" spans="3:3" x14ac:dyDescent="0.25">
      <c r="C1552" s="316"/>
    </row>
    <row r="1553" spans="3:3" x14ac:dyDescent="0.25">
      <c r="C1553" s="316"/>
    </row>
    <row r="1554" spans="3:3" x14ac:dyDescent="0.25">
      <c r="C1554" s="316"/>
    </row>
    <row r="1555" spans="3:3" x14ac:dyDescent="0.25">
      <c r="C1555" s="316"/>
    </row>
    <row r="1556" spans="3:3" x14ac:dyDescent="0.25">
      <c r="C1556" s="316"/>
    </row>
    <row r="1557" spans="3:3" x14ac:dyDescent="0.25">
      <c r="C1557" s="316"/>
    </row>
    <row r="1558" spans="3:3" x14ac:dyDescent="0.25">
      <c r="C1558" s="316"/>
    </row>
    <row r="1559" spans="3:3" x14ac:dyDescent="0.25">
      <c r="C1559" s="316"/>
    </row>
    <row r="1560" spans="3:3" x14ac:dyDescent="0.25">
      <c r="C1560" s="316"/>
    </row>
    <row r="1561" spans="3:3" x14ac:dyDescent="0.25">
      <c r="C1561" s="316"/>
    </row>
    <row r="1562" spans="3:3" x14ac:dyDescent="0.25">
      <c r="C1562" s="316"/>
    </row>
    <row r="1563" spans="3:3" x14ac:dyDescent="0.25">
      <c r="C1563" s="316"/>
    </row>
    <row r="1564" spans="3:3" x14ac:dyDescent="0.25">
      <c r="C1564" s="316"/>
    </row>
    <row r="1565" spans="3:3" x14ac:dyDescent="0.25">
      <c r="C1565" s="316"/>
    </row>
    <row r="1566" spans="3:3" x14ac:dyDescent="0.25">
      <c r="C1566" s="316"/>
    </row>
    <row r="1567" spans="3:3" x14ac:dyDescent="0.25">
      <c r="C1567" s="316"/>
    </row>
    <row r="1568" spans="3:3" x14ac:dyDescent="0.25">
      <c r="C1568" s="316"/>
    </row>
    <row r="1569" spans="3:3" x14ac:dyDescent="0.25">
      <c r="C1569" s="316"/>
    </row>
    <row r="1570" spans="3:3" x14ac:dyDescent="0.25">
      <c r="C1570" s="316"/>
    </row>
    <row r="1571" spans="3:3" x14ac:dyDescent="0.25">
      <c r="C1571" s="316"/>
    </row>
    <row r="1572" spans="3:3" x14ac:dyDescent="0.25">
      <c r="C1572" s="316"/>
    </row>
    <row r="1573" spans="3:3" x14ac:dyDescent="0.25">
      <c r="C1573" s="316"/>
    </row>
    <row r="1574" spans="3:3" x14ac:dyDescent="0.25">
      <c r="C1574" s="316"/>
    </row>
    <row r="1575" spans="3:3" x14ac:dyDescent="0.25">
      <c r="C1575" s="316"/>
    </row>
    <row r="1576" spans="3:3" x14ac:dyDescent="0.25">
      <c r="C1576" s="316"/>
    </row>
    <row r="1577" spans="3:3" x14ac:dyDescent="0.25">
      <c r="C1577" s="316"/>
    </row>
    <row r="1578" spans="3:3" x14ac:dyDescent="0.25">
      <c r="C1578" s="316"/>
    </row>
    <row r="1579" spans="3:3" x14ac:dyDescent="0.25">
      <c r="C1579" s="316"/>
    </row>
    <row r="1580" spans="3:3" x14ac:dyDescent="0.25">
      <c r="C1580" s="316"/>
    </row>
    <row r="1581" spans="3:3" x14ac:dyDescent="0.25">
      <c r="C1581" s="316"/>
    </row>
    <row r="1582" spans="3:3" x14ac:dyDescent="0.25">
      <c r="C1582" s="316"/>
    </row>
    <row r="1583" spans="3:3" x14ac:dyDescent="0.25">
      <c r="C1583" s="316"/>
    </row>
    <row r="1584" spans="3:3" x14ac:dyDescent="0.25">
      <c r="C1584" s="316"/>
    </row>
    <row r="1585" spans="3:3" x14ac:dyDescent="0.25">
      <c r="C1585" s="316"/>
    </row>
    <row r="1586" spans="3:3" x14ac:dyDescent="0.25">
      <c r="C1586" s="316"/>
    </row>
    <row r="1587" spans="3:3" x14ac:dyDescent="0.25">
      <c r="C1587" s="316"/>
    </row>
    <row r="1588" spans="3:3" x14ac:dyDescent="0.25">
      <c r="C1588" s="316"/>
    </row>
    <row r="1589" spans="3:3" x14ac:dyDescent="0.25">
      <c r="C1589" s="316"/>
    </row>
    <row r="1590" spans="3:3" x14ac:dyDescent="0.25">
      <c r="C1590" s="316"/>
    </row>
    <row r="1591" spans="3:3" x14ac:dyDescent="0.25">
      <c r="C1591" s="316"/>
    </row>
    <row r="1592" spans="3:3" x14ac:dyDescent="0.25">
      <c r="C1592" s="316"/>
    </row>
    <row r="1593" spans="3:3" x14ac:dyDescent="0.25">
      <c r="C1593" s="316"/>
    </row>
    <row r="1594" spans="3:3" x14ac:dyDescent="0.25">
      <c r="C1594" s="316"/>
    </row>
    <row r="1595" spans="3:3" x14ac:dyDescent="0.25">
      <c r="C1595" s="316"/>
    </row>
    <row r="1596" spans="3:3" x14ac:dyDescent="0.25">
      <c r="C1596" s="316"/>
    </row>
    <row r="1597" spans="3:3" x14ac:dyDescent="0.25">
      <c r="C1597" s="316"/>
    </row>
    <row r="1598" spans="3:3" x14ac:dyDescent="0.25">
      <c r="C1598" s="316"/>
    </row>
    <row r="1599" spans="3:3" x14ac:dyDescent="0.25">
      <c r="C1599" s="316"/>
    </row>
    <row r="1600" spans="3:3" x14ac:dyDescent="0.25">
      <c r="C1600" s="316"/>
    </row>
    <row r="1601" spans="3:3" x14ac:dyDescent="0.25">
      <c r="C1601" s="316"/>
    </row>
    <row r="1602" spans="3:3" x14ac:dyDescent="0.25">
      <c r="C1602" s="316"/>
    </row>
    <row r="1603" spans="3:3" x14ac:dyDescent="0.25">
      <c r="C1603" s="316"/>
    </row>
    <row r="1604" spans="3:3" x14ac:dyDescent="0.25">
      <c r="C1604" s="316"/>
    </row>
    <row r="1605" spans="3:3" x14ac:dyDescent="0.25">
      <c r="C1605" s="316"/>
    </row>
    <row r="1606" spans="3:3" x14ac:dyDescent="0.25">
      <c r="C1606" s="316"/>
    </row>
    <row r="1607" spans="3:3" x14ac:dyDescent="0.25">
      <c r="C1607" s="316"/>
    </row>
    <row r="1608" spans="3:3" x14ac:dyDescent="0.25">
      <c r="C1608" s="316"/>
    </row>
    <row r="1609" spans="3:3" x14ac:dyDescent="0.25">
      <c r="C1609" s="316"/>
    </row>
    <row r="1610" spans="3:3" x14ac:dyDescent="0.25">
      <c r="C1610" s="316"/>
    </row>
    <row r="1611" spans="3:3" x14ac:dyDescent="0.25">
      <c r="C1611" s="316"/>
    </row>
    <row r="1612" spans="3:3" x14ac:dyDescent="0.25">
      <c r="C1612" s="316"/>
    </row>
    <row r="1613" spans="3:3" x14ac:dyDescent="0.25">
      <c r="C1613" s="316"/>
    </row>
    <row r="1614" spans="3:3" x14ac:dyDescent="0.25">
      <c r="C1614" s="316"/>
    </row>
    <row r="1615" spans="3:3" x14ac:dyDescent="0.25">
      <c r="C1615" s="316"/>
    </row>
    <row r="1616" spans="3:3" x14ac:dyDescent="0.25">
      <c r="C1616" s="316"/>
    </row>
    <row r="1617" spans="3:3" x14ac:dyDescent="0.25">
      <c r="C1617" s="316"/>
    </row>
    <row r="1618" spans="3:3" x14ac:dyDescent="0.25">
      <c r="C1618" s="316"/>
    </row>
    <row r="1619" spans="3:3" x14ac:dyDescent="0.25">
      <c r="C1619" s="316"/>
    </row>
    <row r="1620" spans="3:3" x14ac:dyDescent="0.25">
      <c r="C1620" s="316"/>
    </row>
    <row r="1621" spans="3:3" x14ac:dyDescent="0.25">
      <c r="C1621" s="316"/>
    </row>
    <row r="1622" spans="3:3" x14ac:dyDescent="0.25">
      <c r="C1622" s="316"/>
    </row>
    <row r="1623" spans="3:3" x14ac:dyDescent="0.25">
      <c r="C1623" s="316"/>
    </row>
    <row r="1624" spans="3:3" x14ac:dyDescent="0.25">
      <c r="C1624" s="316"/>
    </row>
    <row r="1625" spans="3:3" x14ac:dyDescent="0.25">
      <c r="C1625" s="316"/>
    </row>
    <row r="1626" spans="3:3" x14ac:dyDescent="0.25">
      <c r="C1626" s="316"/>
    </row>
    <row r="1627" spans="3:3" x14ac:dyDescent="0.25">
      <c r="C1627" s="316"/>
    </row>
    <row r="1628" spans="3:3" x14ac:dyDescent="0.25">
      <c r="C1628" s="316"/>
    </row>
    <row r="1629" spans="3:3" x14ac:dyDescent="0.25">
      <c r="C1629" s="316"/>
    </row>
    <row r="1630" spans="3:3" x14ac:dyDescent="0.25">
      <c r="C1630" s="316"/>
    </row>
    <row r="1631" spans="3:3" x14ac:dyDescent="0.25">
      <c r="C1631" s="316"/>
    </row>
    <row r="1632" spans="3:3" x14ac:dyDescent="0.25">
      <c r="C1632" s="316"/>
    </row>
    <row r="1633" spans="3:3" x14ac:dyDescent="0.25">
      <c r="C1633" s="316"/>
    </row>
    <row r="1634" spans="3:3" x14ac:dyDescent="0.25">
      <c r="C1634" s="316"/>
    </row>
    <row r="1635" spans="3:3" x14ac:dyDescent="0.25">
      <c r="C1635" s="316"/>
    </row>
    <row r="1636" spans="3:3" x14ac:dyDescent="0.25">
      <c r="C1636" s="316"/>
    </row>
    <row r="1637" spans="3:3" x14ac:dyDescent="0.25">
      <c r="C1637" s="316"/>
    </row>
    <row r="1638" spans="3:3" x14ac:dyDescent="0.25">
      <c r="C1638" s="316"/>
    </row>
    <row r="1639" spans="3:3" x14ac:dyDescent="0.25">
      <c r="C1639" s="316"/>
    </row>
    <row r="1640" spans="3:3" x14ac:dyDescent="0.25">
      <c r="C1640" s="316"/>
    </row>
    <row r="1641" spans="3:3" x14ac:dyDescent="0.25">
      <c r="C1641" s="316"/>
    </row>
    <row r="1642" spans="3:3" x14ac:dyDescent="0.25">
      <c r="C1642" s="316"/>
    </row>
    <row r="1643" spans="3:3" x14ac:dyDescent="0.25">
      <c r="C1643" s="316"/>
    </row>
    <row r="1644" spans="3:3" x14ac:dyDescent="0.25">
      <c r="C1644" s="316"/>
    </row>
    <row r="1645" spans="3:3" x14ac:dyDescent="0.25">
      <c r="C1645" s="316"/>
    </row>
    <row r="1646" spans="3:3" x14ac:dyDescent="0.25">
      <c r="C1646" s="316"/>
    </row>
    <row r="1647" spans="3:3" x14ac:dyDescent="0.25">
      <c r="C1647" s="316"/>
    </row>
    <row r="1648" spans="3:3" x14ac:dyDescent="0.25">
      <c r="C1648" s="316"/>
    </row>
    <row r="1649" spans="3:3" x14ac:dyDescent="0.25">
      <c r="C1649" s="316"/>
    </row>
    <row r="1650" spans="3:3" x14ac:dyDescent="0.25">
      <c r="C1650" s="316"/>
    </row>
    <row r="1651" spans="3:3" x14ac:dyDescent="0.25">
      <c r="C1651" s="316"/>
    </row>
    <row r="1652" spans="3:3" x14ac:dyDescent="0.25">
      <c r="C1652" s="316"/>
    </row>
    <row r="1653" spans="3:3" x14ac:dyDescent="0.25">
      <c r="C1653" s="316"/>
    </row>
    <row r="1654" spans="3:3" x14ac:dyDescent="0.25">
      <c r="C1654" s="316"/>
    </row>
    <row r="1655" spans="3:3" x14ac:dyDescent="0.25">
      <c r="C1655" s="316"/>
    </row>
    <row r="1656" spans="3:3" x14ac:dyDescent="0.25">
      <c r="C1656" s="316"/>
    </row>
    <row r="1657" spans="3:3" x14ac:dyDescent="0.25">
      <c r="C1657" s="316"/>
    </row>
    <row r="1658" spans="3:3" x14ac:dyDescent="0.25">
      <c r="C1658" s="316"/>
    </row>
    <row r="1659" spans="3:3" x14ac:dyDescent="0.25">
      <c r="C1659" s="316"/>
    </row>
    <row r="1660" spans="3:3" x14ac:dyDescent="0.25">
      <c r="C1660" s="316"/>
    </row>
    <row r="1661" spans="3:3" x14ac:dyDescent="0.25">
      <c r="C1661" s="316"/>
    </row>
    <row r="1662" spans="3:3" x14ac:dyDescent="0.25">
      <c r="C1662" s="316"/>
    </row>
    <row r="1663" spans="3:3" x14ac:dyDescent="0.25">
      <c r="C1663" s="316"/>
    </row>
    <row r="1664" spans="3:3" x14ac:dyDescent="0.25">
      <c r="C1664" s="316"/>
    </row>
    <row r="1665" spans="3:3" x14ac:dyDescent="0.25">
      <c r="C1665" s="316"/>
    </row>
    <row r="1666" spans="3:3" x14ac:dyDescent="0.25">
      <c r="C1666" s="316"/>
    </row>
    <row r="1667" spans="3:3" x14ac:dyDescent="0.25">
      <c r="C1667" s="316"/>
    </row>
    <row r="1668" spans="3:3" x14ac:dyDescent="0.25">
      <c r="C1668" s="316"/>
    </row>
    <row r="1669" spans="3:3" x14ac:dyDescent="0.25">
      <c r="C1669" s="316"/>
    </row>
    <row r="1670" spans="3:3" x14ac:dyDescent="0.25">
      <c r="C1670" s="316"/>
    </row>
    <row r="1671" spans="3:3" x14ac:dyDescent="0.25">
      <c r="C1671" s="316"/>
    </row>
    <row r="1672" spans="3:3" x14ac:dyDescent="0.25">
      <c r="C1672" s="316"/>
    </row>
    <row r="1673" spans="3:3" x14ac:dyDescent="0.25">
      <c r="C1673" s="316"/>
    </row>
    <row r="1674" spans="3:3" x14ac:dyDescent="0.25">
      <c r="C1674" s="316"/>
    </row>
    <row r="1675" spans="3:3" x14ac:dyDescent="0.25">
      <c r="C1675" s="316"/>
    </row>
    <row r="1676" spans="3:3" x14ac:dyDescent="0.25">
      <c r="C1676" s="316"/>
    </row>
    <row r="1677" spans="3:3" x14ac:dyDescent="0.25">
      <c r="C1677" s="316"/>
    </row>
    <row r="1678" spans="3:3" x14ac:dyDescent="0.25">
      <c r="C1678" s="316"/>
    </row>
    <row r="1679" spans="3:3" x14ac:dyDescent="0.25">
      <c r="C1679" s="316"/>
    </row>
    <row r="1680" spans="3:3" x14ac:dyDescent="0.25">
      <c r="C1680" s="316"/>
    </row>
    <row r="1681" spans="3:3" x14ac:dyDescent="0.25">
      <c r="C1681" s="316"/>
    </row>
    <row r="1682" spans="3:3" x14ac:dyDescent="0.25">
      <c r="C1682" s="316"/>
    </row>
    <row r="1683" spans="3:3" x14ac:dyDescent="0.25">
      <c r="C1683" s="316"/>
    </row>
    <row r="1684" spans="3:3" x14ac:dyDescent="0.25">
      <c r="C1684" s="316"/>
    </row>
    <row r="1685" spans="3:3" x14ac:dyDescent="0.25">
      <c r="C1685" s="316"/>
    </row>
    <row r="1686" spans="3:3" x14ac:dyDescent="0.25">
      <c r="C1686" s="316"/>
    </row>
    <row r="1687" spans="3:3" x14ac:dyDescent="0.25">
      <c r="C1687" s="316"/>
    </row>
    <row r="1688" spans="3:3" x14ac:dyDescent="0.25">
      <c r="C1688" s="316"/>
    </row>
    <row r="1689" spans="3:3" x14ac:dyDescent="0.25">
      <c r="C1689" s="316"/>
    </row>
    <row r="1690" spans="3:3" x14ac:dyDescent="0.25">
      <c r="C1690" s="316"/>
    </row>
    <row r="1691" spans="3:3" x14ac:dyDescent="0.25">
      <c r="C1691" s="316"/>
    </row>
    <row r="1692" spans="3:3" x14ac:dyDescent="0.25">
      <c r="C1692" s="316"/>
    </row>
    <row r="1693" spans="3:3" x14ac:dyDescent="0.25">
      <c r="C1693" s="316"/>
    </row>
    <row r="1694" spans="3:3" x14ac:dyDescent="0.25">
      <c r="C1694" s="316"/>
    </row>
    <row r="1695" spans="3:3" x14ac:dyDescent="0.25">
      <c r="C1695" s="316"/>
    </row>
    <row r="1696" spans="3:3" x14ac:dyDescent="0.25">
      <c r="C1696" s="316"/>
    </row>
    <row r="1697" spans="3:3" x14ac:dyDescent="0.25">
      <c r="C1697" s="316"/>
    </row>
    <row r="1698" spans="3:3" x14ac:dyDescent="0.25">
      <c r="C1698" s="316"/>
    </row>
    <row r="1699" spans="3:3" x14ac:dyDescent="0.25">
      <c r="C1699" s="316"/>
    </row>
    <row r="1700" spans="3:3" x14ac:dyDescent="0.25">
      <c r="C1700" s="316"/>
    </row>
    <row r="1701" spans="3:3" x14ac:dyDescent="0.25">
      <c r="C1701" s="316"/>
    </row>
    <row r="1702" spans="3:3" x14ac:dyDescent="0.25">
      <c r="C1702" s="316"/>
    </row>
    <row r="1703" spans="3:3" x14ac:dyDescent="0.25">
      <c r="C1703" s="316"/>
    </row>
    <row r="1704" spans="3:3" x14ac:dyDescent="0.25">
      <c r="C1704" s="316"/>
    </row>
    <row r="1705" spans="3:3" x14ac:dyDescent="0.25">
      <c r="C1705" s="316"/>
    </row>
    <row r="1706" spans="3:3" x14ac:dyDescent="0.25">
      <c r="C1706" s="316"/>
    </row>
    <row r="1707" spans="3:3" x14ac:dyDescent="0.25">
      <c r="C1707" s="316"/>
    </row>
    <row r="1708" spans="3:3" x14ac:dyDescent="0.25">
      <c r="C1708" s="316"/>
    </row>
    <row r="1709" spans="3:3" x14ac:dyDescent="0.25">
      <c r="C1709" s="316"/>
    </row>
    <row r="1710" spans="3:3" x14ac:dyDescent="0.25">
      <c r="C1710" s="316"/>
    </row>
    <row r="1711" spans="3:3" x14ac:dyDescent="0.25">
      <c r="C1711" s="316"/>
    </row>
    <row r="1712" spans="3:3" x14ac:dyDescent="0.25">
      <c r="C1712" s="316"/>
    </row>
    <row r="1713" spans="3:3" x14ac:dyDescent="0.25">
      <c r="C1713" s="316"/>
    </row>
    <row r="1714" spans="3:3" x14ac:dyDescent="0.25">
      <c r="C1714" s="316"/>
    </row>
    <row r="1715" spans="3:3" x14ac:dyDescent="0.25">
      <c r="C1715" s="316"/>
    </row>
    <row r="1716" spans="3:3" x14ac:dyDescent="0.25">
      <c r="C1716" s="316"/>
    </row>
    <row r="1717" spans="3:3" x14ac:dyDescent="0.25">
      <c r="C1717" s="316"/>
    </row>
    <row r="1718" spans="3:3" x14ac:dyDescent="0.25">
      <c r="C1718" s="316"/>
    </row>
    <row r="1719" spans="3:3" x14ac:dyDescent="0.25">
      <c r="C1719" s="316"/>
    </row>
    <row r="1720" spans="3:3" x14ac:dyDescent="0.25">
      <c r="C1720" s="316"/>
    </row>
    <row r="1721" spans="3:3" x14ac:dyDescent="0.25">
      <c r="C1721" s="316"/>
    </row>
    <row r="1722" spans="3:3" x14ac:dyDescent="0.25">
      <c r="C1722" s="316"/>
    </row>
    <row r="1723" spans="3:3" x14ac:dyDescent="0.25">
      <c r="C1723" s="316"/>
    </row>
    <row r="1724" spans="3:3" x14ac:dyDescent="0.25">
      <c r="C1724" s="316"/>
    </row>
    <row r="1725" spans="3:3" x14ac:dyDescent="0.25">
      <c r="C1725" s="316"/>
    </row>
    <row r="1726" spans="3:3" x14ac:dyDescent="0.25">
      <c r="C1726" s="316"/>
    </row>
    <row r="1727" spans="3:3" x14ac:dyDescent="0.25">
      <c r="C1727" s="316"/>
    </row>
    <row r="1728" spans="3:3" x14ac:dyDescent="0.25">
      <c r="C1728" s="316"/>
    </row>
    <row r="1729" spans="3:3" x14ac:dyDescent="0.25">
      <c r="C1729" s="316"/>
    </row>
    <row r="1730" spans="3:3" x14ac:dyDescent="0.25">
      <c r="C1730" s="316"/>
    </row>
    <row r="1731" spans="3:3" x14ac:dyDescent="0.25">
      <c r="C1731" s="316"/>
    </row>
    <row r="1732" spans="3:3" x14ac:dyDescent="0.25">
      <c r="C1732" s="316"/>
    </row>
    <row r="1733" spans="3:3" x14ac:dyDescent="0.25">
      <c r="C1733" s="316"/>
    </row>
    <row r="1734" spans="3:3" x14ac:dyDescent="0.25">
      <c r="C1734" s="316"/>
    </row>
    <row r="1735" spans="3:3" x14ac:dyDescent="0.25">
      <c r="C1735" s="316"/>
    </row>
    <row r="1736" spans="3:3" x14ac:dyDescent="0.25">
      <c r="C1736" s="316"/>
    </row>
    <row r="1737" spans="3:3" x14ac:dyDescent="0.25">
      <c r="C1737" s="316"/>
    </row>
    <row r="1738" spans="3:3" x14ac:dyDescent="0.25">
      <c r="C1738" s="316"/>
    </row>
    <row r="1739" spans="3:3" x14ac:dyDescent="0.25">
      <c r="C1739" s="316"/>
    </row>
    <row r="1740" spans="3:3" x14ac:dyDescent="0.25">
      <c r="C1740" s="316"/>
    </row>
    <row r="1741" spans="3:3" x14ac:dyDescent="0.25">
      <c r="C1741" s="316"/>
    </row>
    <row r="1742" spans="3:3" x14ac:dyDescent="0.25">
      <c r="C1742" s="316"/>
    </row>
    <row r="1743" spans="3:3" x14ac:dyDescent="0.25">
      <c r="C1743" s="316"/>
    </row>
    <row r="1744" spans="3:3" x14ac:dyDescent="0.25">
      <c r="C1744" s="316"/>
    </row>
    <row r="1745" spans="3:3" x14ac:dyDescent="0.25">
      <c r="C1745" s="316"/>
    </row>
    <row r="1746" spans="3:3" x14ac:dyDescent="0.25">
      <c r="C1746" s="316"/>
    </row>
    <row r="1747" spans="3:3" x14ac:dyDescent="0.25">
      <c r="C1747" s="316"/>
    </row>
    <row r="1748" spans="3:3" x14ac:dyDescent="0.25">
      <c r="C1748" s="316"/>
    </row>
    <row r="1749" spans="3:3" x14ac:dyDescent="0.25">
      <c r="C1749" s="316"/>
    </row>
    <row r="1750" spans="3:3" x14ac:dyDescent="0.25">
      <c r="C1750" s="316"/>
    </row>
    <row r="1751" spans="3:3" x14ac:dyDescent="0.25">
      <c r="C1751" s="316"/>
    </row>
    <row r="1752" spans="3:3" x14ac:dyDescent="0.25">
      <c r="C1752" s="316"/>
    </row>
    <row r="1753" spans="3:3" x14ac:dyDescent="0.25">
      <c r="C1753" s="316"/>
    </row>
    <row r="1754" spans="3:3" x14ac:dyDescent="0.25">
      <c r="C1754" s="316"/>
    </row>
    <row r="1755" spans="3:3" x14ac:dyDescent="0.25">
      <c r="C1755" s="316"/>
    </row>
    <row r="1756" spans="3:3" x14ac:dyDescent="0.25">
      <c r="C1756" s="316"/>
    </row>
    <row r="1757" spans="3:3" x14ac:dyDescent="0.25">
      <c r="C1757" s="316"/>
    </row>
    <row r="1758" spans="3:3" x14ac:dyDescent="0.25">
      <c r="C1758" s="316"/>
    </row>
    <row r="1759" spans="3:3" x14ac:dyDescent="0.25">
      <c r="C1759" s="316"/>
    </row>
    <row r="1760" spans="3:3" x14ac:dyDescent="0.25">
      <c r="C1760" s="316"/>
    </row>
    <row r="1761" spans="3:3" x14ac:dyDescent="0.25">
      <c r="C1761" s="316"/>
    </row>
    <row r="1762" spans="3:3" x14ac:dyDescent="0.25">
      <c r="C1762" s="316"/>
    </row>
    <row r="1763" spans="3:3" x14ac:dyDescent="0.25">
      <c r="C1763" s="316"/>
    </row>
    <row r="1764" spans="3:3" x14ac:dyDescent="0.25">
      <c r="C1764" s="316"/>
    </row>
    <row r="1765" spans="3:3" x14ac:dyDescent="0.25">
      <c r="C1765" s="316"/>
    </row>
    <row r="1766" spans="3:3" x14ac:dyDescent="0.25">
      <c r="C1766" s="316"/>
    </row>
    <row r="1767" spans="3:3" x14ac:dyDescent="0.25">
      <c r="C1767" s="316"/>
    </row>
    <row r="1768" spans="3:3" x14ac:dyDescent="0.25">
      <c r="C1768" s="316"/>
    </row>
    <row r="1769" spans="3:3" x14ac:dyDescent="0.25">
      <c r="C1769" s="316"/>
    </row>
    <row r="1770" spans="3:3" x14ac:dyDescent="0.25">
      <c r="C1770" s="316"/>
    </row>
    <row r="1771" spans="3:3" x14ac:dyDescent="0.25">
      <c r="C1771" s="316"/>
    </row>
    <row r="1772" spans="3:3" x14ac:dyDescent="0.25">
      <c r="C1772" s="316"/>
    </row>
    <row r="1773" spans="3:3" x14ac:dyDescent="0.25">
      <c r="C1773" s="316"/>
    </row>
    <row r="1774" spans="3:3" x14ac:dyDescent="0.25">
      <c r="C1774" s="316"/>
    </row>
    <row r="1775" spans="3:3" x14ac:dyDescent="0.25">
      <c r="C1775" s="316"/>
    </row>
    <row r="1776" spans="3:3" x14ac:dyDescent="0.25">
      <c r="C1776" s="316"/>
    </row>
    <row r="1777" spans="3:3" x14ac:dyDescent="0.25">
      <c r="C1777" s="316"/>
    </row>
    <row r="1778" spans="3:3" x14ac:dyDescent="0.25">
      <c r="C1778" s="316"/>
    </row>
    <row r="1779" spans="3:3" x14ac:dyDescent="0.25">
      <c r="C1779" s="316"/>
    </row>
    <row r="1780" spans="3:3" x14ac:dyDescent="0.25">
      <c r="C1780" s="316"/>
    </row>
    <row r="1781" spans="3:3" x14ac:dyDescent="0.25">
      <c r="C1781" s="316"/>
    </row>
    <row r="1782" spans="3:3" x14ac:dyDescent="0.25">
      <c r="C1782" s="316"/>
    </row>
    <row r="1783" spans="3:3" x14ac:dyDescent="0.25">
      <c r="C1783" s="316"/>
    </row>
    <row r="1784" spans="3:3" x14ac:dyDescent="0.25">
      <c r="C1784" s="316"/>
    </row>
    <row r="1785" spans="3:3" x14ac:dyDescent="0.25">
      <c r="C1785" s="316"/>
    </row>
    <row r="1786" spans="3:3" x14ac:dyDescent="0.25">
      <c r="C1786" s="316"/>
    </row>
    <row r="1787" spans="3:3" x14ac:dyDescent="0.25">
      <c r="C1787" s="316"/>
    </row>
    <row r="1788" spans="3:3" x14ac:dyDescent="0.25">
      <c r="C1788" s="316"/>
    </row>
    <row r="1789" spans="3:3" x14ac:dyDescent="0.25">
      <c r="C1789" s="316"/>
    </row>
    <row r="1790" spans="3:3" x14ac:dyDescent="0.25">
      <c r="C1790" s="316"/>
    </row>
    <row r="1791" spans="3:3" x14ac:dyDescent="0.25">
      <c r="C1791" s="316"/>
    </row>
    <row r="1792" spans="3:3" x14ac:dyDescent="0.25">
      <c r="C1792" s="316"/>
    </row>
    <row r="1793" spans="3:3" x14ac:dyDescent="0.25">
      <c r="C1793" s="316"/>
    </row>
    <row r="1794" spans="3:3" x14ac:dyDescent="0.25">
      <c r="C1794" s="316"/>
    </row>
    <row r="1795" spans="3:3" x14ac:dyDescent="0.25">
      <c r="C1795" s="316"/>
    </row>
    <row r="1796" spans="3:3" x14ac:dyDescent="0.25">
      <c r="C1796" s="316"/>
    </row>
    <row r="1797" spans="3:3" x14ac:dyDescent="0.25">
      <c r="C1797" s="316"/>
    </row>
    <row r="1798" spans="3:3" x14ac:dyDescent="0.25">
      <c r="C1798" s="316"/>
    </row>
    <row r="1799" spans="3:3" x14ac:dyDescent="0.25">
      <c r="C1799" s="316"/>
    </row>
    <row r="1800" spans="3:3" x14ac:dyDescent="0.25">
      <c r="C1800" s="316"/>
    </row>
    <row r="1801" spans="3:3" x14ac:dyDescent="0.25">
      <c r="C1801" s="316"/>
    </row>
    <row r="1802" spans="3:3" x14ac:dyDescent="0.25">
      <c r="C1802" s="316"/>
    </row>
    <row r="1803" spans="3:3" x14ac:dyDescent="0.25">
      <c r="C1803" s="316"/>
    </row>
    <row r="1804" spans="3:3" x14ac:dyDescent="0.25">
      <c r="C1804" s="316"/>
    </row>
    <row r="1805" spans="3:3" x14ac:dyDescent="0.25">
      <c r="C1805" s="316"/>
    </row>
    <row r="1806" spans="3:3" x14ac:dyDescent="0.25">
      <c r="C1806" s="316"/>
    </row>
    <row r="1807" spans="3:3" x14ac:dyDescent="0.25">
      <c r="C1807" s="316"/>
    </row>
    <row r="1808" spans="3:3" x14ac:dyDescent="0.25">
      <c r="C1808" s="316"/>
    </row>
    <row r="1809" spans="3:3" x14ac:dyDescent="0.25">
      <c r="C1809" s="316"/>
    </row>
    <row r="1810" spans="3:3" x14ac:dyDescent="0.25">
      <c r="C1810" s="316"/>
    </row>
    <row r="1811" spans="3:3" x14ac:dyDescent="0.25">
      <c r="C1811" s="316"/>
    </row>
    <row r="1812" spans="3:3" x14ac:dyDescent="0.25">
      <c r="C1812" s="316"/>
    </row>
    <row r="1813" spans="3:3" x14ac:dyDescent="0.25">
      <c r="C1813" s="316"/>
    </row>
    <row r="1814" spans="3:3" x14ac:dyDescent="0.25">
      <c r="C1814" s="316"/>
    </row>
    <row r="1815" spans="3:3" x14ac:dyDescent="0.25">
      <c r="C1815" s="316"/>
    </row>
    <row r="1816" spans="3:3" x14ac:dyDescent="0.25">
      <c r="C1816" s="316"/>
    </row>
    <row r="1817" spans="3:3" x14ac:dyDescent="0.25">
      <c r="C1817" s="316"/>
    </row>
    <row r="1818" spans="3:3" x14ac:dyDescent="0.25">
      <c r="C1818" s="316"/>
    </row>
    <row r="1819" spans="3:3" x14ac:dyDescent="0.25">
      <c r="C1819" s="316"/>
    </row>
    <row r="1820" spans="3:3" x14ac:dyDescent="0.25">
      <c r="C1820" s="316"/>
    </row>
    <row r="1821" spans="3:3" x14ac:dyDescent="0.25">
      <c r="C1821" s="316"/>
    </row>
    <row r="1822" spans="3:3" x14ac:dyDescent="0.25">
      <c r="C1822" s="316"/>
    </row>
    <row r="1823" spans="3:3" x14ac:dyDescent="0.25">
      <c r="C1823" s="316"/>
    </row>
    <row r="1824" spans="3:3" x14ac:dyDescent="0.25">
      <c r="C1824" s="316"/>
    </row>
    <row r="1825" spans="3:3" x14ac:dyDescent="0.25">
      <c r="C1825" s="316"/>
    </row>
    <row r="1826" spans="3:3" x14ac:dyDescent="0.25">
      <c r="C1826" s="316"/>
    </row>
    <row r="1827" spans="3:3" x14ac:dyDescent="0.25">
      <c r="C1827" s="316"/>
    </row>
    <row r="1828" spans="3:3" x14ac:dyDescent="0.25">
      <c r="C1828" s="316"/>
    </row>
    <row r="1829" spans="3:3" x14ac:dyDescent="0.25">
      <c r="C1829" s="316"/>
    </row>
    <row r="1830" spans="3:3" x14ac:dyDescent="0.25">
      <c r="C1830" s="316"/>
    </row>
    <row r="1831" spans="3:3" x14ac:dyDescent="0.25">
      <c r="C1831" s="316"/>
    </row>
    <row r="1832" spans="3:3" x14ac:dyDescent="0.25">
      <c r="C1832" s="316"/>
    </row>
    <row r="1833" spans="3:3" x14ac:dyDescent="0.25">
      <c r="C1833" s="316"/>
    </row>
    <row r="1834" spans="3:3" x14ac:dyDescent="0.25">
      <c r="C1834" s="316"/>
    </row>
    <row r="1835" spans="3:3" x14ac:dyDescent="0.25">
      <c r="C1835" s="316"/>
    </row>
    <row r="1836" spans="3:3" x14ac:dyDescent="0.25">
      <c r="C1836" s="316"/>
    </row>
    <row r="1837" spans="3:3" x14ac:dyDescent="0.25">
      <c r="C1837" s="316"/>
    </row>
    <row r="1838" spans="3:3" x14ac:dyDescent="0.25">
      <c r="C1838" s="316"/>
    </row>
    <row r="1839" spans="3:3" x14ac:dyDescent="0.25">
      <c r="C1839" s="316"/>
    </row>
    <row r="1840" spans="3:3" x14ac:dyDescent="0.25">
      <c r="C1840" s="316"/>
    </row>
    <row r="1841" spans="3:3" x14ac:dyDescent="0.25">
      <c r="C1841" s="316"/>
    </row>
    <row r="1842" spans="3:3" x14ac:dyDescent="0.25">
      <c r="C1842" s="316"/>
    </row>
    <row r="1843" spans="3:3" x14ac:dyDescent="0.25">
      <c r="C1843" s="316"/>
    </row>
    <row r="1844" spans="3:3" x14ac:dyDescent="0.25">
      <c r="C1844" s="316"/>
    </row>
    <row r="1845" spans="3:3" x14ac:dyDescent="0.25">
      <c r="C1845" s="316"/>
    </row>
    <row r="1846" spans="3:3" x14ac:dyDescent="0.25">
      <c r="C1846" s="316"/>
    </row>
    <row r="1847" spans="3:3" x14ac:dyDescent="0.25">
      <c r="C1847" s="316"/>
    </row>
    <row r="1848" spans="3:3" x14ac:dyDescent="0.25">
      <c r="C1848" s="316"/>
    </row>
    <row r="1849" spans="3:3" x14ac:dyDescent="0.25">
      <c r="C1849" s="316"/>
    </row>
    <row r="1850" spans="3:3" x14ac:dyDescent="0.25">
      <c r="C1850" s="316"/>
    </row>
    <row r="1851" spans="3:3" x14ac:dyDescent="0.25">
      <c r="C1851" s="316"/>
    </row>
    <row r="1852" spans="3:3" x14ac:dyDescent="0.25">
      <c r="C1852" s="316"/>
    </row>
    <row r="1853" spans="3:3" x14ac:dyDescent="0.25">
      <c r="C1853" s="316"/>
    </row>
    <row r="1854" spans="3:3" x14ac:dyDescent="0.25">
      <c r="C1854" s="316"/>
    </row>
    <row r="1855" spans="3:3" x14ac:dyDescent="0.25">
      <c r="C1855" s="316"/>
    </row>
    <row r="1856" spans="3:3" x14ac:dyDescent="0.25">
      <c r="C1856" s="316"/>
    </row>
    <row r="1857" spans="3:3" x14ac:dyDescent="0.25">
      <c r="C1857" s="316"/>
    </row>
    <row r="1858" spans="3:3" x14ac:dyDescent="0.25">
      <c r="C1858" s="316"/>
    </row>
    <row r="1859" spans="3:3" x14ac:dyDescent="0.25">
      <c r="C1859" s="316"/>
    </row>
    <row r="1860" spans="3:3" x14ac:dyDescent="0.25">
      <c r="C1860" s="316"/>
    </row>
    <row r="1861" spans="3:3" x14ac:dyDescent="0.25">
      <c r="C1861" s="316"/>
    </row>
    <row r="1862" spans="3:3" x14ac:dyDescent="0.25">
      <c r="C1862" s="316"/>
    </row>
    <row r="1863" spans="3:3" x14ac:dyDescent="0.25">
      <c r="C1863" s="316"/>
    </row>
    <row r="1864" spans="3:3" x14ac:dyDescent="0.25">
      <c r="C1864" s="316"/>
    </row>
    <row r="1865" spans="3:3" x14ac:dyDescent="0.25">
      <c r="C1865" s="316"/>
    </row>
    <row r="1866" spans="3:3" x14ac:dyDescent="0.25">
      <c r="C1866" s="316"/>
    </row>
    <row r="1867" spans="3:3" x14ac:dyDescent="0.25">
      <c r="C1867" s="316"/>
    </row>
    <row r="1868" spans="3:3" x14ac:dyDescent="0.25">
      <c r="C1868" s="316"/>
    </row>
    <row r="1869" spans="3:3" x14ac:dyDescent="0.25">
      <c r="C1869" s="316"/>
    </row>
    <row r="1870" spans="3:3" x14ac:dyDescent="0.25">
      <c r="C1870" s="316"/>
    </row>
    <row r="1871" spans="3:3" x14ac:dyDescent="0.25">
      <c r="C1871" s="316"/>
    </row>
    <row r="1872" spans="3:3" x14ac:dyDescent="0.25">
      <c r="C1872" s="316"/>
    </row>
    <row r="1873" spans="3:3" x14ac:dyDescent="0.25">
      <c r="C1873" s="316"/>
    </row>
    <row r="1874" spans="3:3" x14ac:dyDescent="0.25">
      <c r="C1874" s="316"/>
    </row>
    <row r="1875" spans="3:3" x14ac:dyDescent="0.25">
      <c r="C1875" s="316"/>
    </row>
    <row r="1876" spans="3:3" x14ac:dyDescent="0.25">
      <c r="C1876" s="316"/>
    </row>
    <row r="1877" spans="3:3" x14ac:dyDescent="0.25">
      <c r="C1877" s="316"/>
    </row>
    <row r="1878" spans="3:3" x14ac:dyDescent="0.25">
      <c r="C1878" s="316"/>
    </row>
    <row r="1879" spans="3:3" x14ac:dyDescent="0.25">
      <c r="C1879" s="316"/>
    </row>
    <row r="1880" spans="3:3" x14ac:dyDescent="0.25">
      <c r="C1880" s="316"/>
    </row>
    <row r="1881" spans="3:3" x14ac:dyDescent="0.25">
      <c r="C1881" s="316"/>
    </row>
    <row r="1882" spans="3:3" x14ac:dyDescent="0.25">
      <c r="C1882" s="316"/>
    </row>
    <row r="1883" spans="3:3" x14ac:dyDescent="0.25">
      <c r="C1883" s="316"/>
    </row>
    <row r="1884" spans="3:3" x14ac:dyDescent="0.25">
      <c r="C1884" s="316"/>
    </row>
    <row r="1885" spans="3:3" x14ac:dyDescent="0.25">
      <c r="C1885" s="316"/>
    </row>
    <row r="1886" spans="3:3" x14ac:dyDescent="0.25">
      <c r="C1886" s="316"/>
    </row>
    <row r="1887" spans="3:3" x14ac:dyDescent="0.25">
      <c r="C1887" s="316"/>
    </row>
    <row r="1888" spans="3:3" x14ac:dyDescent="0.25">
      <c r="C1888" s="316"/>
    </row>
    <row r="1889" spans="3:3" x14ac:dyDescent="0.25">
      <c r="C1889" s="316"/>
    </row>
    <row r="1890" spans="3:3" x14ac:dyDescent="0.25">
      <c r="C1890" s="316"/>
    </row>
    <row r="1891" spans="3:3" x14ac:dyDescent="0.25">
      <c r="C1891" s="316"/>
    </row>
    <row r="1892" spans="3:3" x14ac:dyDescent="0.25">
      <c r="C1892" s="316"/>
    </row>
    <row r="1893" spans="3:3" x14ac:dyDescent="0.25">
      <c r="C1893" s="316"/>
    </row>
    <row r="1894" spans="3:3" x14ac:dyDescent="0.25">
      <c r="C1894" s="316"/>
    </row>
    <row r="1895" spans="3:3" x14ac:dyDescent="0.25">
      <c r="C1895" s="316"/>
    </row>
    <row r="1896" spans="3:3" x14ac:dyDescent="0.25">
      <c r="C1896" s="316"/>
    </row>
    <row r="1897" spans="3:3" x14ac:dyDescent="0.25">
      <c r="C1897" s="316"/>
    </row>
    <row r="1898" spans="3:3" x14ac:dyDescent="0.25">
      <c r="C1898" s="316"/>
    </row>
    <row r="1899" spans="3:3" x14ac:dyDescent="0.25">
      <c r="C1899" s="316"/>
    </row>
    <row r="1900" spans="3:3" x14ac:dyDescent="0.25">
      <c r="C1900" s="316"/>
    </row>
    <row r="1901" spans="3:3" x14ac:dyDescent="0.25">
      <c r="C1901" s="316"/>
    </row>
    <row r="1902" spans="3:3" x14ac:dyDescent="0.25">
      <c r="C1902" s="316"/>
    </row>
    <row r="1903" spans="3:3" x14ac:dyDescent="0.25">
      <c r="C1903" s="316"/>
    </row>
    <row r="1904" spans="3:3" x14ac:dyDescent="0.25">
      <c r="C1904" s="316"/>
    </row>
    <row r="1905" spans="3:3" x14ac:dyDescent="0.25">
      <c r="C1905" s="316"/>
    </row>
    <row r="1906" spans="3:3" x14ac:dyDescent="0.25">
      <c r="C1906" s="316"/>
    </row>
    <row r="1907" spans="3:3" x14ac:dyDescent="0.25">
      <c r="C1907" s="316"/>
    </row>
    <row r="1908" spans="3:3" x14ac:dyDescent="0.25">
      <c r="C1908" s="316"/>
    </row>
    <row r="1909" spans="3:3" x14ac:dyDescent="0.25">
      <c r="C1909" s="316"/>
    </row>
    <row r="1910" spans="3:3" x14ac:dyDescent="0.25">
      <c r="C1910" s="316"/>
    </row>
    <row r="1911" spans="3:3" x14ac:dyDescent="0.25">
      <c r="C1911" s="316"/>
    </row>
    <row r="1912" spans="3:3" x14ac:dyDescent="0.25">
      <c r="C1912" s="316"/>
    </row>
    <row r="1913" spans="3:3" x14ac:dyDescent="0.25">
      <c r="C1913" s="316"/>
    </row>
    <row r="1914" spans="3:3" x14ac:dyDescent="0.25">
      <c r="C1914" s="316"/>
    </row>
    <row r="1915" spans="3:3" x14ac:dyDescent="0.25">
      <c r="C1915" s="316"/>
    </row>
    <row r="1916" spans="3:3" x14ac:dyDescent="0.25">
      <c r="C1916" s="316"/>
    </row>
    <row r="1917" spans="3:3" x14ac:dyDescent="0.25">
      <c r="C1917" s="316"/>
    </row>
    <row r="1918" spans="3:3" x14ac:dyDescent="0.25">
      <c r="C1918" s="316"/>
    </row>
    <row r="1919" spans="3:3" x14ac:dyDescent="0.25">
      <c r="C1919" s="316"/>
    </row>
    <row r="1920" spans="3:3" x14ac:dyDescent="0.25">
      <c r="C1920" s="316"/>
    </row>
    <row r="1921" spans="3:3" x14ac:dyDescent="0.25">
      <c r="C1921" s="316"/>
    </row>
    <row r="1922" spans="3:3" x14ac:dyDescent="0.25">
      <c r="C1922" s="316"/>
    </row>
    <row r="1923" spans="3:3" x14ac:dyDescent="0.25">
      <c r="C1923" s="316"/>
    </row>
    <row r="1924" spans="3:3" x14ac:dyDescent="0.25">
      <c r="C1924" s="316"/>
    </row>
    <row r="1925" spans="3:3" x14ac:dyDescent="0.25">
      <c r="C1925" s="316"/>
    </row>
    <row r="1926" spans="3:3" x14ac:dyDescent="0.25">
      <c r="C1926" s="316"/>
    </row>
    <row r="1927" spans="3:3" x14ac:dyDescent="0.25">
      <c r="C1927" s="316"/>
    </row>
    <row r="1928" spans="3:3" x14ac:dyDescent="0.25">
      <c r="C1928" s="316"/>
    </row>
    <row r="1929" spans="3:3" x14ac:dyDescent="0.25">
      <c r="C1929" s="316"/>
    </row>
    <row r="1930" spans="3:3" x14ac:dyDescent="0.25">
      <c r="C1930" s="316"/>
    </row>
    <row r="1931" spans="3:3" x14ac:dyDescent="0.25">
      <c r="C1931" s="316"/>
    </row>
    <row r="1932" spans="3:3" x14ac:dyDescent="0.25">
      <c r="C1932" s="316"/>
    </row>
    <row r="1933" spans="3:3" x14ac:dyDescent="0.25">
      <c r="C1933" s="316"/>
    </row>
    <row r="1934" spans="3:3" x14ac:dyDescent="0.25">
      <c r="C1934" s="316"/>
    </row>
    <row r="1935" spans="3:3" x14ac:dyDescent="0.25">
      <c r="C1935" s="316"/>
    </row>
    <row r="1936" spans="3:3" x14ac:dyDescent="0.25">
      <c r="C1936" s="316"/>
    </row>
    <row r="1937" spans="3:3" x14ac:dyDescent="0.25">
      <c r="C1937" s="316"/>
    </row>
    <row r="1938" spans="3:3" x14ac:dyDescent="0.25">
      <c r="C1938" s="316"/>
    </row>
    <row r="1939" spans="3:3" x14ac:dyDescent="0.25">
      <c r="C1939" s="316"/>
    </row>
    <row r="1940" spans="3:3" x14ac:dyDescent="0.25">
      <c r="C1940" s="316"/>
    </row>
    <row r="1941" spans="3:3" x14ac:dyDescent="0.25">
      <c r="C1941" s="316"/>
    </row>
    <row r="1942" spans="3:3" x14ac:dyDescent="0.25">
      <c r="C1942" s="316"/>
    </row>
    <row r="1943" spans="3:3" x14ac:dyDescent="0.25">
      <c r="C1943" s="316"/>
    </row>
    <row r="1944" spans="3:3" x14ac:dyDescent="0.25">
      <c r="C1944" s="316"/>
    </row>
    <row r="1945" spans="3:3" x14ac:dyDescent="0.25">
      <c r="C1945" s="316"/>
    </row>
    <row r="1946" spans="3:3" x14ac:dyDescent="0.25">
      <c r="C1946" s="316"/>
    </row>
    <row r="1947" spans="3:3" x14ac:dyDescent="0.25">
      <c r="C1947" s="316"/>
    </row>
    <row r="1948" spans="3:3" x14ac:dyDescent="0.25">
      <c r="C1948" s="316"/>
    </row>
    <row r="1949" spans="3:3" x14ac:dyDescent="0.25">
      <c r="C1949" s="316"/>
    </row>
    <row r="1950" spans="3:3" x14ac:dyDescent="0.25">
      <c r="C1950" s="316"/>
    </row>
    <row r="1951" spans="3:3" x14ac:dyDescent="0.25">
      <c r="C1951" s="316"/>
    </row>
    <row r="1952" spans="3:3" x14ac:dyDescent="0.25">
      <c r="C1952" s="316"/>
    </row>
    <row r="1953" spans="3:3" x14ac:dyDescent="0.25">
      <c r="C1953" s="316"/>
    </row>
    <row r="1954" spans="3:3" x14ac:dyDescent="0.25">
      <c r="C1954" s="316"/>
    </row>
    <row r="1955" spans="3:3" x14ac:dyDescent="0.25">
      <c r="C1955" s="316"/>
    </row>
    <row r="1956" spans="3:3" x14ac:dyDescent="0.25">
      <c r="C1956" s="316"/>
    </row>
    <row r="1957" spans="3:3" x14ac:dyDescent="0.25">
      <c r="C1957" s="316"/>
    </row>
    <row r="1958" spans="3:3" x14ac:dyDescent="0.25">
      <c r="C1958" s="316"/>
    </row>
    <row r="1959" spans="3:3" x14ac:dyDescent="0.25">
      <c r="C1959" s="316"/>
    </row>
    <row r="1960" spans="3:3" x14ac:dyDescent="0.25">
      <c r="C1960" s="316"/>
    </row>
    <row r="1961" spans="3:3" x14ac:dyDescent="0.25">
      <c r="C1961" s="316"/>
    </row>
    <row r="1962" spans="3:3" x14ac:dyDescent="0.25">
      <c r="C1962" s="316"/>
    </row>
    <row r="1963" spans="3:3" x14ac:dyDescent="0.25">
      <c r="C1963" s="316"/>
    </row>
    <row r="1964" spans="3:3" x14ac:dyDescent="0.25">
      <c r="C1964" s="316"/>
    </row>
    <row r="1965" spans="3:3" x14ac:dyDescent="0.25">
      <c r="C1965" s="316"/>
    </row>
    <row r="1966" spans="3:3" x14ac:dyDescent="0.25">
      <c r="C1966" s="316"/>
    </row>
    <row r="1967" spans="3:3" x14ac:dyDescent="0.25">
      <c r="C1967" s="316"/>
    </row>
    <row r="1968" spans="3:3" x14ac:dyDescent="0.25">
      <c r="C1968" s="316"/>
    </row>
    <row r="1969" spans="3:3" x14ac:dyDescent="0.25">
      <c r="C1969" s="316"/>
    </row>
    <row r="1970" spans="3:3" x14ac:dyDescent="0.25">
      <c r="C1970" s="316"/>
    </row>
    <row r="1971" spans="3:3" x14ac:dyDescent="0.25">
      <c r="C1971" s="316"/>
    </row>
    <row r="1972" spans="3:3" x14ac:dyDescent="0.25">
      <c r="C1972" s="316"/>
    </row>
    <row r="1973" spans="3:3" x14ac:dyDescent="0.25">
      <c r="C1973" s="316"/>
    </row>
    <row r="1974" spans="3:3" x14ac:dyDescent="0.25">
      <c r="C1974" s="316"/>
    </row>
    <row r="1975" spans="3:3" x14ac:dyDescent="0.25">
      <c r="C1975" s="316"/>
    </row>
    <row r="1976" spans="3:3" x14ac:dyDescent="0.25">
      <c r="C1976" s="316"/>
    </row>
    <row r="1977" spans="3:3" x14ac:dyDescent="0.25">
      <c r="C1977" s="316"/>
    </row>
    <row r="1978" spans="3:3" x14ac:dyDescent="0.25">
      <c r="C1978" s="316"/>
    </row>
    <row r="1979" spans="3:3" x14ac:dyDescent="0.25">
      <c r="C1979" s="316"/>
    </row>
    <row r="1980" spans="3:3" x14ac:dyDescent="0.25">
      <c r="C1980" s="316"/>
    </row>
    <row r="1981" spans="3:3" x14ac:dyDescent="0.25">
      <c r="C1981" s="316"/>
    </row>
    <row r="1982" spans="3:3" x14ac:dyDescent="0.25">
      <c r="C1982" s="316"/>
    </row>
    <row r="1983" spans="3:3" x14ac:dyDescent="0.25">
      <c r="C1983" s="316"/>
    </row>
    <row r="1984" spans="3:3" x14ac:dyDescent="0.25">
      <c r="C1984" s="316"/>
    </row>
    <row r="1985" spans="3:3" x14ac:dyDescent="0.25">
      <c r="C1985" s="316"/>
    </row>
    <row r="1986" spans="3:3" x14ac:dyDescent="0.25">
      <c r="C1986" s="316"/>
    </row>
    <row r="1987" spans="3:3" x14ac:dyDescent="0.25">
      <c r="C1987" s="316"/>
    </row>
    <row r="1988" spans="3:3" x14ac:dyDescent="0.25">
      <c r="C1988" s="316"/>
    </row>
    <row r="1989" spans="3:3" x14ac:dyDescent="0.25">
      <c r="C1989" s="316"/>
    </row>
    <row r="1990" spans="3:3" x14ac:dyDescent="0.25">
      <c r="C1990" s="316"/>
    </row>
    <row r="1991" spans="3:3" x14ac:dyDescent="0.25">
      <c r="C1991" s="316"/>
    </row>
    <row r="1992" spans="3:3" x14ac:dyDescent="0.25">
      <c r="C1992" s="316"/>
    </row>
    <row r="1993" spans="3:3" x14ac:dyDescent="0.25">
      <c r="C1993" s="316"/>
    </row>
    <row r="1994" spans="3:3" x14ac:dyDescent="0.25">
      <c r="C1994" s="316"/>
    </row>
    <row r="1995" spans="3:3" x14ac:dyDescent="0.25">
      <c r="C1995" s="316"/>
    </row>
    <row r="1996" spans="3:3" x14ac:dyDescent="0.25">
      <c r="C1996" s="316"/>
    </row>
    <row r="1997" spans="3:3" x14ac:dyDescent="0.25">
      <c r="C1997" s="316"/>
    </row>
    <row r="1998" spans="3:3" x14ac:dyDescent="0.25">
      <c r="C1998" s="316"/>
    </row>
    <row r="1999" spans="3:3" x14ac:dyDescent="0.25">
      <c r="C1999" s="316"/>
    </row>
    <row r="2000" spans="3:3" x14ac:dyDescent="0.25">
      <c r="C2000" s="316"/>
    </row>
    <row r="2001" spans="3:3" x14ac:dyDescent="0.25">
      <c r="C2001" s="316"/>
    </row>
    <row r="2002" spans="3:3" x14ac:dyDescent="0.25">
      <c r="C2002" s="316"/>
    </row>
    <row r="2003" spans="3:3" x14ac:dyDescent="0.25">
      <c r="C2003" s="316"/>
    </row>
    <row r="2004" spans="3:3" x14ac:dyDescent="0.25">
      <c r="C2004" s="316"/>
    </row>
    <row r="2005" spans="3:3" x14ac:dyDescent="0.25">
      <c r="C2005" s="316"/>
    </row>
    <row r="2006" spans="3:3" x14ac:dyDescent="0.25">
      <c r="C2006" s="316"/>
    </row>
    <row r="2007" spans="3:3" x14ac:dyDescent="0.25">
      <c r="C2007" s="316"/>
    </row>
    <row r="2008" spans="3:3" x14ac:dyDescent="0.25">
      <c r="C2008" s="316"/>
    </row>
    <row r="2009" spans="3:3" x14ac:dyDescent="0.25">
      <c r="C2009" s="316"/>
    </row>
    <row r="2010" spans="3:3" x14ac:dyDescent="0.25">
      <c r="C2010" s="316"/>
    </row>
    <row r="2011" spans="3:3" x14ac:dyDescent="0.25">
      <c r="C2011" s="316"/>
    </row>
    <row r="2012" spans="3:3" x14ac:dyDescent="0.25">
      <c r="C2012" s="316"/>
    </row>
    <row r="2013" spans="3:3" x14ac:dyDescent="0.25">
      <c r="C2013" s="316"/>
    </row>
    <row r="2014" spans="3:3" x14ac:dyDescent="0.25">
      <c r="C2014" s="316"/>
    </row>
    <row r="2015" spans="3:3" x14ac:dyDescent="0.25">
      <c r="C2015" s="316"/>
    </row>
    <row r="2016" spans="3:3" x14ac:dyDescent="0.25">
      <c r="C2016" s="316"/>
    </row>
    <row r="2017" spans="3:3" x14ac:dyDescent="0.25">
      <c r="C2017" s="316"/>
    </row>
    <row r="2018" spans="3:3" x14ac:dyDescent="0.25">
      <c r="C2018" s="316"/>
    </row>
    <row r="2019" spans="3:3" x14ac:dyDescent="0.25">
      <c r="C2019" s="316"/>
    </row>
    <row r="2020" spans="3:3" x14ac:dyDescent="0.25">
      <c r="C2020" s="316"/>
    </row>
    <row r="2021" spans="3:3" x14ac:dyDescent="0.25">
      <c r="C2021" s="316"/>
    </row>
    <row r="2022" spans="3:3" x14ac:dyDescent="0.25">
      <c r="C2022" s="316"/>
    </row>
    <row r="2023" spans="3:3" x14ac:dyDescent="0.25">
      <c r="C2023" s="316"/>
    </row>
    <row r="2024" spans="3:3" x14ac:dyDescent="0.25">
      <c r="C2024" s="316"/>
    </row>
    <row r="2025" spans="3:3" x14ac:dyDescent="0.25">
      <c r="C2025" s="316"/>
    </row>
    <row r="2026" spans="3:3" x14ac:dyDescent="0.25">
      <c r="C2026" s="316"/>
    </row>
    <row r="2027" spans="3:3" x14ac:dyDescent="0.25">
      <c r="C2027" s="316"/>
    </row>
    <row r="2028" spans="3:3" x14ac:dyDescent="0.25">
      <c r="C2028" s="316"/>
    </row>
    <row r="2029" spans="3:3" x14ac:dyDescent="0.25">
      <c r="C2029" s="316"/>
    </row>
    <row r="2030" spans="3:3" x14ac:dyDescent="0.25">
      <c r="C2030" s="316"/>
    </row>
    <row r="2031" spans="3:3" x14ac:dyDescent="0.25">
      <c r="C2031" s="316"/>
    </row>
    <row r="2032" spans="3:3" x14ac:dyDescent="0.25">
      <c r="C2032" s="316"/>
    </row>
    <row r="2033" spans="3:3" x14ac:dyDescent="0.25">
      <c r="C2033" s="316"/>
    </row>
    <row r="2034" spans="3:3" x14ac:dyDescent="0.25">
      <c r="C2034" s="316"/>
    </row>
    <row r="2035" spans="3:3" x14ac:dyDescent="0.25">
      <c r="C2035" s="316"/>
    </row>
    <row r="2036" spans="3:3" x14ac:dyDescent="0.25">
      <c r="C2036" s="316"/>
    </row>
    <row r="2037" spans="3:3" x14ac:dyDescent="0.25">
      <c r="C2037" s="316"/>
    </row>
    <row r="2038" spans="3:3" x14ac:dyDescent="0.25">
      <c r="C2038" s="316"/>
    </row>
    <row r="2039" spans="3:3" x14ac:dyDescent="0.25">
      <c r="C2039" s="316"/>
    </row>
    <row r="2040" spans="3:3" x14ac:dyDescent="0.25">
      <c r="C2040" s="316"/>
    </row>
    <row r="2041" spans="3:3" x14ac:dyDescent="0.25">
      <c r="C2041" s="316"/>
    </row>
    <row r="2042" spans="3:3" x14ac:dyDescent="0.25">
      <c r="C2042" s="316"/>
    </row>
    <row r="2043" spans="3:3" x14ac:dyDescent="0.25">
      <c r="C2043" s="316"/>
    </row>
    <row r="2044" spans="3:3" x14ac:dyDescent="0.25">
      <c r="C2044" s="316"/>
    </row>
    <row r="2045" spans="3:3" x14ac:dyDescent="0.25">
      <c r="C2045" s="316"/>
    </row>
    <row r="2046" spans="3:3" x14ac:dyDescent="0.25">
      <c r="C2046" s="316"/>
    </row>
    <row r="2047" spans="3:3" x14ac:dyDescent="0.25">
      <c r="C2047" s="316"/>
    </row>
    <row r="2048" spans="3:3" x14ac:dyDescent="0.25">
      <c r="C2048" s="316"/>
    </row>
    <row r="2049" spans="3:3" x14ac:dyDescent="0.25">
      <c r="C2049" s="316"/>
    </row>
    <row r="2050" spans="3:3" x14ac:dyDescent="0.25">
      <c r="C2050" s="316"/>
    </row>
    <row r="2051" spans="3:3" x14ac:dyDescent="0.25">
      <c r="C2051" s="316"/>
    </row>
    <row r="2052" spans="3:3" x14ac:dyDescent="0.25">
      <c r="C2052" s="316"/>
    </row>
    <row r="2053" spans="3:3" x14ac:dyDescent="0.25">
      <c r="C2053" s="316"/>
    </row>
    <row r="2054" spans="3:3" x14ac:dyDescent="0.25">
      <c r="C2054" s="316"/>
    </row>
    <row r="2055" spans="3:3" x14ac:dyDescent="0.25">
      <c r="C2055" s="316"/>
    </row>
    <row r="2056" spans="3:3" x14ac:dyDescent="0.25">
      <c r="C2056" s="316"/>
    </row>
    <row r="2057" spans="3:3" x14ac:dyDescent="0.25">
      <c r="C2057" s="316"/>
    </row>
    <row r="2058" spans="3:3" x14ac:dyDescent="0.25">
      <c r="C2058" s="316"/>
    </row>
    <row r="2059" spans="3:3" x14ac:dyDescent="0.25">
      <c r="C2059" s="316"/>
    </row>
    <row r="2060" spans="3:3" x14ac:dyDescent="0.25">
      <c r="C2060" s="316"/>
    </row>
    <row r="2061" spans="3:3" x14ac:dyDescent="0.25">
      <c r="C2061" s="316"/>
    </row>
    <row r="2062" spans="3:3" x14ac:dyDescent="0.25">
      <c r="C2062" s="316"/>
    </row>
    <row r="2063" spans="3:3" x14ac:dyDescent="0.25">
      <c r="C2063" s="316"/>
    </row>
    <row r="2064" spans="3:3" x14ac:dyDescent="0.25">
      <c r="C2064" s="316"/>
    </row>
    <row r="2065" spans="3:3" x14ac:dyDescent="0.25">
      <c r="C2065" s="316"/>
    </row>
    <row r="2066" spans="3:3" x14ac:dyDescent="0.25">
      <c r="C2066" s="316"/>
    </row>
    <row r="2067" spans="3:3" x14ac:dyDescent="0.25">
      <c r="C2067" s="316"/>
    </row>
    <row r="2068" spans="3:3" x14ac:dyDescent="0.25">
      <c r="C2068" s="316"/>
    </row>
    <row r="2069" spans="3:3" x14ac:dyDescent="0.25">
      <c r="C2069" s="316"/>
    </row>
    <row r="2070" spans="3:3" x14ac:dyDescent="0.25">
      <c r="C2070" s="316"/>
    </row>
    <row r="2071" spans="3:3" x14ac:dyDescent="0.25">
      <c r="C2071" s="316"/>
    </row>
    <row r="2072" spans="3:3" x14ac:dyDescent="0.25">
      <c r="C2072" s="316"/>
    </row>
    <row r="2073" spans="3:3" x14ac:dyDescent="0.25">
      <c r="C2073" s="316"/>
    </row>
    <row r="2074" spans="3:3" x14ac:dyDescent="0.25">
      <c r="C2074" s="316"/>
    </row>
    <row r="2075" spans="3:3" x14ac:dyDescent="0.25">
      <c r="C2075" s="316"/>
    </row>
    <row r="2076" spans="3:3" x14ac:dyDescent="0.25">
      <c r="C2076" s="316"/>
    </row>
    <row r="2077" spans="3:3" x14ac:dyDescent="0.25">
      <c r="C2077" s="316"/>
    </row>
    <row r="2078" spans="3:3" x14ac:dyDescent="0.25">
      <c r="C2078" s="316"/>
    </row>
    <row r="2079" spans="3:3" x14ac:dyDescent="0.25">
      <c r="C2079" s="316"/>
    </row>
    <row r="2080" spans="3:3" x14ac:dyDescent="0.25">
      <c r="C2080" s="316"/>
    </row>
    <row r="2081" spans="3:3" x14ac:dyDescent="0.25">
      <c r="C2081" s="316"/>
    </row>
    <row r="2082" spans="3:3" x14ac:dyDescent="0.25">
      <c r="C2082" s="316"/>
    </row>
    <row r="2083" spans="3:3" x14ac:dyDescent="0.25">
      <c r="C2083" s="316"/>
    </row>
    <row r="2084" spans="3:3" x14ac:dyDescent="0.25">
      <c r="C2084" s="316"/>
    </row>
    <row r="2085" spans="3:3" x14ac:dyDescent="0.25">
      <c r="C2085" s="316"/>
    </row>
    <row r="2086" spans="3:3" x14ac:dyDescent="0.25">
      <c r="C2086" s="316"/>
    </row>
    <row r="2087" spans="3:3" x14ac:dyDescent="0.25">
      <c r="C2087" s="316"/>
    </row>
    <row r="2088" spans="3:3" x14ac:dyDescent="0.25">
      <c r="C2088" s="316"/>
    </row>
    <row r="2089" spans="3:3" x14ac:dyDescent="0.25">
      <c r="C2089" s="316"/>
    </row>
    <row r="2090" spans="3:3" x14ac:dyDescent="0.25">
      <c r="C2090" s="316"/>
    </row>
    <row r="2091" spans="3:3" x14ac:dyDescent="0.25">
      <c r="C2091" s="316"/>
    </row>
    <row r="2092" spans="3:3" x14ac:dyDescent="0.25">
      <c r="C2092" s="316"/>
    </row>
    <row r="2093" spans="3:3" x14ac:dyDescent="0.25">
      <c r="C2093" s="316"/>
    </row>
    <row r="2094" spans="3:3" x14ac:dyDescent="0.25">
      <c r="C2094" s="316"/>
    </row>
    <row r="2095" spans="3:3" x14ac:dyDescent="0.25">
      <c r="C2095" s="316"/>
    </row>
    <row r="2096" spans="3:3" x14ac:dyDescent="0.25">
      <c r="C2096" s="316"/>
    </row>
    <row r="2097" spans="3:3" x14ac:dyDescent="0.25">
      <c r="C2097" s="316"/>
    </row>
    <row r="2098" spans="3:3" x14ac:dyDescent="0.25">
      <c r="C2098" s="316"/>
    </row>
    <row r="2099" spans="3:3" x14ac:dyDescent="0.25">
      <c r="C2099" s="316"/>
    </row>
    <row r="2100" spans="3:3" x14ac:dyDescent="0.25">
      <c r="C2100" s="316"/>
    </row>
    <row r="2101" spans="3:3" x14ac:dyDescent="0.25">
      <c r="C2101" s="316"/>
    </row>
    <row r="2102" spans="3:3" x14ac:dyDescent="0.25">
      <c r="C2102" s="316"/>
    </row>
    <row r="2103" spans="3:3" x14ac:dyDescent="0.25">
      <c r="C2103" s="316"/>
    </row>
    <row r="2104" spans="3:3" x14ac:dyDescent="0.25">
      <c r="C2104" s="316"/>
    </row>
    <row r="2105" spans="3:3" x14ac:dyDescent="0.25">
      <c r="C2105" s="316"/>
    </row>
    <row r="2106" spans="3:3" x14ac:dyDescent="0.25">
      <c r="C2106" s="316"/>
    </row>
    <row r="2107" spans="3:3" x14ac:dyDescent="0.25">
      <c r="C2107" s="316"/>
    </row>
    <row r="2108" spans="3:3" x14ac:dyDescent="0.25">
      <c r="C2108" s="316"/>
    </row>
    <row r="2109" spans="3:3" x14ac:dyDescent="0.25">
      <c r="C2109" s="316"/>
    </row>
    <row r="2110" spans="3:3" x14ac:dyDescent="0.25">
      <c r="C2110" s="316"/>
    </row>
    <row r="2111" spans="3:3" x14ac:dyDescent="0.25">
      <c r="C2111" s="316"/>
    </row>
    <row r="2112" spans="3:3" x14ac:dyDescent="0.25">
      <c r="C2112" s="316"/>
    </row>
    <row r="2113" spans="3:3" x14ac:dyDescent="0.25">
      <c r="C2113" s="316"/>
    </row>
    <row r="2114" spans="3:3" x14ac:dyDescent="0.25">
      <c r="C2114" s="316"/>
    </row>
    <row r="2115" spans="3:3" x14ac:dyDescent="0.25">
      <c r="C2115" s="316"/>
    </row>
    <row r="2116" spans="3:3" x14ac:dyDescent="0.25">
      <c r="C2116" s="316"/>
    </row>
    <row r="2117" spans="3:3" x14ac:dyDescent="0.25">
      <c r="C2117" s="316"/>
    </row>
    <row r="2118" spans="3:3" x14ac:dyDescent="0.25">
      <c r="C2118" s="316"/>
    </row>
    <row r="2119" spans="3:3" x14ac:dyDescent="0.25">
      <c r="C2119" s="316"/>
    </row>
    <row r="2120" spans="3:3" x14ac:dyDescent="0.25">
      <c r="C2120" s="316"/>
    </row>
    <row r="2121" spans="3:3" x14ac:dyDescent="0.25">
      <c r="C2121" s="316"/>
    </row>
    <row r="2122" spans="3:3" x14ac:dyDescent="0.25">
      <c r="C2122" s="316"/>
    </row>
    <row r="2123" spans="3:3" x14ac:dyDescent="0.25">
      <c r="C2123" s="316"/>
    </row>
    <row r="2124" spans="3:3" x14ac:dyDescent="0.25">
      <c r="C2124" s="316"/>
    </row>
    <row r="2125" spans="3:3" x14ac:dyDescent="0.25">
      <c r="C2125" s="316"/>
    </row>
    <row r="2126" spans="3:3" x14ac:dyDescent="0.25">
      <c r="C2126" s="316"/>
    </row>
    <row r="2127" spans="3:3" x14ac:dyDescent="0.25">
      <c r="C2127" s="316"/>
    </row>
    <row r="2128" spans="3:3" x14ac:dyDescent="0.25">
      <c r="C2128" s="316"/>
    </row>
    <row r="2129" spans="3:3" x14ac:dyDescent="0.25">
      <c r="C2129" s="316"/>
    </row>
    <row r="2130" spans="3:3" x14ac:dyDescent="0.25">
      <c r="C2130" s="316"/>
    </row>
    <row r="2131" spans="3:3" x14ac:dyDescent="0.25">
      <c r="C2131" s="316"/>
    </row>
    <row r="2132" spans="3:3" x14ac:dyDescent="0.25">
      <c r="C2132" s="316"/>
    </row>
    <row r="2133" spans="3:3" x14ac:dyDescent="0.25">
      <c r="C2133" s="316"/>
    </row>
    <row r="2134" spans="3:3" x14ac:dyDescent="0.25">
      <c r="C2134" s="316"/>
    </row>
    <row r="2135" spans="3:3" x14ac:dyDescent="0.25">
      <c r="C2135" s="316"/>
    </row>
    <row r="2136" spans="3:3" x14ac:dyDescent="0.25">
      <c r="C2136" s="316"/>
    </row>
    <row r="2137" spans="3:3" x14ac:dyDescent="0.25">
      <c r="C2137" s="316"/>
    </row>
    <row r="2138" spans="3:3" x14ac:dyDescent="0.25">
      <c r="C2138" s="316"/>
    </row>
    <row r="2139" spans="3:3" x14ac:dyDescent="0.25">
      <c r="C2139" s="316"/>
    </row>
    <row r="2140" spans="3:3" x14ac:dyDescent="0.25">
      <c r="C2140" s="316"/>
    </row>
    <row r="2141" spans="3:3" x14ac:dyDescent="0.25">
      <c r="C2141" s="316"/>
    </row>
    <row r="2142" spans="3:3" x14ac:dyDescent="0.25">
      <c r="C2142" s="316"/>
    </row>
    <row r="2143" spans="3:3" x14ac:dyDescent="0.25">
      <c r="C2143" s="316"/>
    </row>
    <row r="2144" spans="3:3" x14ac:dyDescent="0.25">
      <c r="C2144" s="316"/>
    </row>
    <row r="2145" spans="3:3" x14ac:dyDescent="0.25">
      <c r="C2145" s="316"/>
    </row>
    <row r="2146" spans="3:3" x14ac:dyDescent="0.25">
      <c r="C2146" s="316"/>
    </row>
    <row r="2147" spans="3:3" x14ac:dyDescent="0.25">
      <c r="C2147" s="316"/>
    </row>
    <row r="2148" spans="3:3" x14ac:dyDescent="0.25">
      <c r="C2148" s="316"/>
    </row>
    <row r="2149" spans="3:3" x14ac:dyDescent="0.25">
      <c r="C2149" s="316"/>
    </row>
    <row r="2150" spans="3:3" x14ac:dyDescent="0.25">
      <c r="C2150" s="316"/>
    </row>
    <row r="2151" spans="3:3" x14ac:dyDescent="0.25">
      <c r="C2151" s="316"/>
    </row>
    <row r="2152" spans="3:3" x14ac:dyDescent="0.25">
      <c r="C2152" s="316"/>
    </row>
    <row r="2153" spans="3:3" x14ac:dyDescent="0.25">
      <c r="C2153" s="316"/>
    </row>
    <row r="2154" spans="3:3" x14ac:dyDescent="0.25">
      <c r="C2154" s="316"/>
    </row>
    <row r="2155" spans="3:3" x14ac:dyDescent="0.25">
      <c r="C2155" s="316"/>
    </row>
    <row r="2156" spans="3:3" x14ac:dyDescent="0.25">
      <c r="C2156" s="316"/>
    </row>
    <row r="2157" spans="3:3" x14ac:dyDescent="0.25">
      <c r="C2157" s="316"/>
    </row>
    <row r="2158" spans="3:3" x14ac:dyDescent="0.25">
      <c r="C2158" s="316"/>
    </row>
    <row r="2159" spans="3:3" x14ac:dyDescent="0.25">
      <c r="C2159" s="316"/>
    </row>
    <row r="2160" spans="3:3" x14ac:dyDescent="0.25">
      <c r="C2160" s="316"/>
    </row>
    <row r="2161" spans="3:3" x14ac:dyDescent="0.25">
      <c r="C2161" s="316"/>
    </row>
    <row r="2162" spans="3:3" x14ac:dyDescent="0.25">
      <c r="C2162" s="316"/>
    </row>
    <row r="2163" spans="3:3" x14ac:dyDescent="0.25">
      <c r="C2163" s="316"/>
    </row>
    <row r="2164" spans="3:3" x14ac:dyDescent="0.25">
      <c r="C2164" s="316"/>
    </row>
    <row r="2165" spans="3:3" x14ac:dyDescent="0.25">
      <c r="C2165" s="316"/>
    </row>
    <row r="2166" spans="3:3" x14ac:dyDescent="0.25">
      <c r="C2166" s="316"/>
    </row>
    <row r="2167" spans="3:3" x14ac:dyDescent="0.25">
      <c r="C2167" s="316"/>
    </row>
    <row r="2168" spans="3:3" x14ac:dyDescent="0.25">
      <c r="C2168" s="316"/>
    </row>
    <row r="2169" spans="3:3" x14ac:dyDescent="0.25">
      <c r="C2169" s="316"/>
    </row>
    <row r="2170" spans="3:3" x14ac:dyDescent="0.25">
      <c r="C2170" s="316"/>
    </row>
    <row r="2171" spans="3:3" x14ac:dyDescent="0.25">
      <c r="C2171" s="316"/>
    </row>
    <row r="2172" spans="3:3" x14ac:dyDescent="0.25">
      <c r="C2172" s="316"/>
    </row>
    <row r="2173" spans="3:3" x14ac:dyDescent="0.25">
      <c r="C2173" s="316"/>
    </row>
    <row r="2174" spans="3:3" x14ac:dyDescent="0.25">
      <c r="C2174" s="316"/>
    </row>
    <row r="2175" spans="3:3" x14ac:dyDescent="0.25">
      <c r="C2175" s="316"/>
    </row>
    <row r="2176" spans="3:3" x14ac:dyDescent="0.25">
      <c r="C2176" s="316"/>
    </row>
    <row r="2177" spans="3:3" x14ac:dyDescent="0.25">
      <c r="C2177" s="316"/>
    </row>
    <row r="2178" spans="3:3" x14ac:dyDescent="0.25">
      <c r="C2178" s="316"/>
    </row>
    <row r="2179" spans="3:3" x14ac:dyDescent="0.25">
      <c r="C2179" s="316"/>
    </row>
    <row r="2180" spans="3:3" x14ac:dyDescent="0.25">
      <c r="C2180" s="316"/>
    </row>
    <row r="2181" spans="3:3" x14ac:dyDescent="0.25">
      <c r="C2181" s="316"/>
    </row>
    <row r="2182" spans="3:3" x14ac:dyDescent="0.25">
      <c r="C2182" s="316"/>
    </row>
    <row r="2183" spans="3:3" x14ac:dyDescent="0.25">
      <c r="C2183" s="316"/>
    </row>
    <row r="2184" spans="3:3" x14ac:dyDescent="0.25">
      <c r="C2184" s="316"/>
    </row>
    <row r="2185" spans="3:3" x14ac:dyDescent="0.25">
      <c r="C2185" s="316"/>
    </row>
    <row r="2186" spans="3:3" x14ac:dyDescent="0.25">
      <c r="C2186" s="316"/>
    </row>
    <row r="2187" spans="3:3" x14ac:dyDescent="0.25">
      <c r="C2187" s="316"/>
    </row>
    <row r="2188" spans="3:3" x14ac:dyDescent="0.25">
      <c r="C2188" s="316"/>
    </row>
    <row r="2189" spans="3:3" x14ac:dyDescent="0.25">
      <c r="C2189" s="316"/>
    </row>
    <row r="2190" spans="3:3" x14ac:dyDescent="0.25">
      <c r="C2190" s="316"/>
    </row>
    <row r="2191" spans="3:3" x14ac:dyDescent="0.25">
      <c r="C2191" s="316"/>
    </row>
    <row r="2192" spans="3:3" x14ac:dyDescent="0.25">
      <c r="C2192" s="316"/>
    </row>
    <row r="2193" spans="3:3" x14ac:dyDescent="0.25">
      <c r="C2193" s="316"/>
    </row>
    <row r="2194" spans="3:3" x14ac:dyDescent="0.25">
      <c r="C2194" s="316"/>
    </row>
    <row r="2195" spans="3:3" x14ac:dyDescent="0.25">
      <c r="C2195" s="316"/>
    </row>
    <row r="2196" spans="3:3" x14ac:dyDescent="0.25">
      <c r="C2196" s="316"/>
    </row>
    <row r="2197" spans="3:3" x14ac:dyDescent="0.25">
      <c r="C2197" s="316"/>
    </row>
    <row r="2198" spans="3:3" x14ac:dyDescent="0.25">
      <c r="C2198" s="316"/>
    </row>
    <row r="2199" spans="3:3" x14ac:dyDescent="0.25">
      <c r="C2199" s="316"/>
    </row>
    <row r="2200" spans="3:3" x14ac:dyDescent="0.25">
      <c r="C2200" s="316"/>
    </row>
    <row r="2201" spans="3:3" x14ac:dyDescent="0.25">
      <c r="C2201" s="316"/>
    </row>
    <row r="2202" spans="3:3" x14ac:dyDescent="0.25">
      <c r="C2202" s="316"/>
    </row>
    <row r="2203" spans="3:3" x14ac:dyDescent="0.25">
      <c r="C2203" s="316"/>
    </row>
    <row r="2204" spans="3:3" x14ac:dyDescent="0.25">
      <c r="C2204" s="316"/>
    </row>
    <row r="2205" spans="3:3" x14ac:dyDescent="0.25">
      <c r="C2205" s="316"/>
    </row>
    <row r="2206" spans="3:3" x14ac:dyDescent="0.25">
      <c r="C2206" s="316"/>
    </row>
    <row r="2207" spans="3:3" x14ac:dyDescent="0.25">
      <c r="C2207" s="316"/>
    </row>
    <row r="2208" spans="3:3" x14ac:dyDescent="0.25">
      <c r="C2208" s="316"/>
    </row>
    <row r="2209" spans="3:3" x14ac:dyDescent="0.25">
      <c r="C2209" s="316"/>
    </row>
    <row r="2210" spans="3:3" x14ac:dyDescent="0.25">
      <c r="C2210" s="316"/>
    </row>
    <row r="2211" spans="3:3" x14ac:dyDescent="0.25">
      <c r="C2211" s="316"/>
    </row>
    <row r="2212" spans="3:3" x14ac:dyDescent="0.25">
      <c r="C2212" s="316"/>
    </row>
    <row r="2213" spans="3:3" x14ac:dyDescent="0.25">
      <c r="C2213" s="316"/>
    </row>
    <row r="2214" spans="3:3" x14ac:dyDescent="0.25">
      <c r="C2214" s="316"/>
    </row>
    <row r="2215" spans="3:3" x14ac:dyDescent="0.25">
      <c r="C2215" s="316"/>
    </row>
    <row r="2216" spans="3:3" x14ac:dyDescent="0.25">
      <c r="C2216" s="316"/>
    </row>
    <row r="2217" spans="3:3" x14ac:dyDescent="0.25">
      <c r="C2217" s="316"/>
    </row>
    <row r="2218" spans="3:3" x14ac:dyDescent="0.25">
      <c r="C2218" s="316"/>
    </row>
    <row r="2219" spans="3:3" x14ac:dyDescent="0.25">
      <c r="C2219" s="316"/>
    </row>
    <row r="2220" spans="3:3" x14ac:dyDescent="0.25">
      <c r="C2220" s="316"/>
    </row>
    <row r="2221" spans="3:3" x14ac:dyDescent="0.25">
      <c r="C2221" s="316"/>
    </row>
    <row r="2222" spans="3:3" x14ac:dyDescent="0.25">
      <c r="C2222" s="316"/>
    </row>
    <row r="2223" spans="3:3" x14ac:dyDescent="0.25">
      <c r="C2223" s="316"/>
    </row>
    <row r="2224" spans="3:3" x14ac:dyDescent="0.25">
      <c r="C2224" s="316"/>
    </row>
    <row r="2225" spans="3:3" x14ac:dyDescent="0.25">
      <c r="C2225" s="316"/>
    </row>
    <row r="2226" spans="3:3" x14ac:dyDescent="0.25">
      <c r="C2226" s="316"/>
    </row>
    <row r="2227" spans="3:3" x14ac:dyDescent="0.25">
      <c r="C2227" s="316"/>
    </row>
    <row r="2228" spans="3:3" x14ac:dyDescent="0.25">
      <c r="C2228" s="316"/>
    </row>
    <row r="2229" spans="3:3" x14ac:dyDescent="0.25">
      <c r="C2229" s="316"/>
    </row>
    <row r="2230" spans="3:3" x14ac:dyDescent="0.25">
      <c r="C2230" s="316"/>
    </row>
    <row r="2231" spans="3:3" x14ac:dyDescent="0.25">
      <c r="C2231" s="316"/>
    </row>
    <row r="2232" spans="3:3" x14ac:dyDescent="0.25">
      <c r="C2232" s="316"/>
    </row>
    <row r="2233" spans="3:3" x14ac:dyDescent="0.25">
      <c r="C2233" s="316"/>
    </row>
    <row r="2234" spans="3:3" x14ac:dyDescent="0.25">
      <c r="C2234" s="316"/>
    </row>
    <row r="2235" spans="3:3" x14ac:dyDescent="0.25">
      <c r="C2235" s="316"/>
    </row>
    <row r="2236" spans="3:3" x14ac:dyDescent="0.25">
      <c r="C2236" s="316"/>
    </row>
    <row r="2237" spans="3:3" x14ac:dyDescent="0.25">
      <c r="C2237" s="316"/>
    </row>
    <row r="2238" spans="3:3" x14ac:dyDescent="0.25">
      <c r="C2238" s="316"/>
    </row>
    <row r="2239" spans="3:3" x14ac:dyDescent="0.25">
      <c r="C2239" s="316"/>
    </row>
    <row r="2240" spans="3:3" x14ac:dyDescent="0.25">
      <c r="C2240" s="316"/>
    </row>
    <row r="2241" spans="3:3" x14ac:dyDescent="0.25">
      <c r="C2241" s="316"/>
    </row>
    <row r="2242" spans="3:3" x14ac:dyDescent="0.25">
      <c r="C2242" s="316"/>
    </row>
    <row r="2243" spans="3:3" x14ac:dyDescent="0.25">
      <c r="C2243" s="316"/>
    </row>
    <row r="2244" spans="3:3" x14ac:dyDescent="0.25">
      <c r="C2244" s="316"/>
    </row>
    <row r="2245" spans="3:3" x14ac:dyDescent="0.25">
      <c r="C2245" s="316"/>
    </row>
    <row r="2246" spans="3:3" x14ac:dyDescent="0.25">
      <c r="C2246" s="316"/>
    </row>
    <row r="2247" spans="3:3" x14ac:dyDescent="0.25">
      <c r="C2247" s="316"/>
    </row>
    <row r="2248" spans="3:3" x14ac:dyDescent="0.25">
      <c r="C2248" s="316"/>
    </row>
    <row r="2249" spans="3:3" x14ac:dyDescent="0.25">
      <c r="C2249" s="316"/>
    </row>
    <row r="2250" spans="3:3" x14ac:dyDescent="0.25">
      <c r="C2250" s="316"/>
    </row>
    <row r="2251" spans="3:3" x14ac:dyDescent="0.25">
      <c r="C2251" s="316"/>
    </row>
    <row r="2252" spans="3:3" x14ac:dyDescent="0.25">
      <c r="C2252" s="316"/>
    </row>
    <row r="2253" spans="3:3" x14ac:dyDescent="0.25">
      <c r="C2253" s="316"/>
    </row>
    <row r="2254" spans="3:3" x14ac:dyDescent="0.25">
      <c r="C2254" s="316"/>
    </row>
    <row r="2255" spans="3:3" x14ac:dyDescent="0.25">
      <c r="C2255" s="316"/>
    </row>
    <row r="2256" spans="3:3" x14ac:dyDescent="0.25">
      <c r="C2256" s="316"/>
    </row>
    <row r="2257" spans="3:3" x14ac:dyDescent="0.25">
      <c r="C2257" s="316"/>
    </row>
    <row r="2258" spans="3:3" x14ac:dyDescent="0.25">
      <c r="C2258" s="316"/>
    </row>
    <row r="2259" spans="3:3" x14ac:dyDescent="0.25">
      <c r="C2259" s="316"/>
    </row>
    <row r="2260" spans="3:3" x14ac:dyDescent="0.25">
      <c r="C2260" s="316"/>
    </row>
    <row r="2261" spans="3:3" x14ac:dyDescent="0.25">
      <c r="C2261" s="316"/>
    </row>
    <row r="2262" spans="3:3" x14ac:dyDescent="0.25">
      <c r="C2262" s="316"/>
    </row>
    <row r="2263" spans="3:3" x14ac:dyDescent="0.25">
      <c r="C2263" s="316"/>
    </row>
    <row r="2264" spans="3:3" x14ac:dyDescent="0.25">
      <c r="C2264" s="316"/>
    </row>
    <row r="2265" spans="3:3" x14ac:dyDescent="0.25">
      <c r="C2265" s="316"/>
    </row>
    <row r="2266" spans="3:3" x14ac:dyDescent="0.25">
      <c r="C2266" s="316"/>
    </row>
    <row r="2267" spans="3:3" x14ac:dyDescent="0.25">
      <c r="C2267" s="316"/>
    </row>
    <row r="2268" spans="3:3" x14ac:dyDescent="0.25">
      <c r="C2268" s="316"/>
    </row>
    <row r="2269" spans="3:3" x14ac:dyDescent="0.25">
      <c r="C2269" s="316"/>
    </row>
    <row r="2270" spans="3:3" x14ac:dyDescent="0.25">
      <c r="C2270" s="316"/>
    </row>
    <row r="2271" spans="3:3" x14ac:dyDescent="0.25">
      <c r="C2271" s="316"/>
    </row>
    <row r="2272" spans="3:3" x14ac:dyDescent="0.25">
      <c r="C2272" s="316"/>
    </row>
    <row r="2273" spans="3:3" x14ac:dyDescent="0.25">
      <c r="C2273" s="316"/>
    </row>
    <row r="2274" spans="3:3" x14ac:dyDescent="0.25">
      <c r="C2274" s="316"/>
    </row>
    <row r="2275" spans="3:3" x14ac:dyDescent="0.25">
      <c r="C2275" s="316"/>
    </row>
    <row r="2276" spans="3:3" x14ac:dyDescent="0.25">
      <c r="C2276" s="316"/>
    </row>
    <row r="2277" spans="3:3" x14ac:dyDescent="0.25">
      <c r="C2277" s="316"/>
    </row>
    <row r="2278" spans="3:3" x14ac:dyDescent="0.25">
      <c r="C2278" s="316"/>
    </row>
    <row r="2279" spans="3:3" x14ac:dyDescent="0.25">
      <c r="C2279" s="316"/>
    </row>
    <row r="2280" spans="3:3" x14ac:dyDescent="0.25">
      <c r="C2280" s="316"/>
    </row>
    <row r="2281" spans="3:3" x14ac:dyDescent="0.25">
      <c r="C2281" s="316"/>
    </row>
    <row r="2282" spans="3:3" x14ac:dyDescent="0.25">
      <c r="C2282" s="316"/>
    </row>
    <row r="2283" spans="3:3" x14ac:dyDescent="0.25">
      <c r="C2283" s="316"/>
    </row>
    <row r="2284" spans="3:3" x14ac:dyDescent="0.25">
      <c r="C2284" s="316"/>
    </row>
    <row r="2285" spans="3:3" x14ac:dyDescent="0.25">
      <c r="C2285" s="316"/>
    </row>
    <row r="2286" spans="3:3" x14ac:dyDescent="0.25">
      <c r="C2286" s="316"/>
    </row>
    <row r="2287" spans="3:3" x14ac:dyDescent="0.25">
      <c r="C2287" s="316"/>
    </row>
    <row r="2288" spans="3:3" x14ac:dyDescent="0.25">
      <c r="C2288" s="316"/>
    </row>
    <row r="2289" spans="3:3" x14ac:dyDescent="0.25">
      <c r="C2289" s="316"/>
    </row>
    <row r="2290" spans="3:3" x14ac:dyDescent="0.25">
      <c r="C2290" s="316"/>
    </row>
    <row r="2291" spans="3:3" x14ac:dyDescent="0.25">
      <c r="C2291" s="316"/>
    </row>
    <row r="2292" spans="3:3" x14ac:dyDescent="0.25">
      <c r="C2292" s="316"/>
    </row>
    <row r="2293" spans="3:3" x14ac:dyDescent="0.25">
      <c r="C2293" s="316"/>
    </row>
    <row r="2294" spans="3:3" x14ac:dyDescent="0.25">
      <c r="C2294" s="316"/>
    </row>
    <row r="2295" spans="3:3" x14ac:dyDescent="0.25">
      <c r="C2295" s="316"/>
    </row>
    <row r="2296" spans="3:3" x14ac:dyDescent="0.25">
      <c r="C2296" s="316"/>
    </row>
    <row r="2297" spans="3:3" x14ac:dyDescent="0.25">
      <c r="C2297" s="316"/>
    </row>
    <row r="2298" spans="3:3" x14ac:dyDescent="0.25">
      <c r="C2298" s="316"/>
    </row>
    <row r="2299" spans="3:3" x14ac:dyDescent="0.25">
      <c r="C2299" s="316"/>
    </row>
    <row r="2300" spans="3:3" x14ac:dyDescent="0.25">
      <c r="C2300" s="316"/>
    </row>
    <row r="2301" spans="3:3" x14ac:dyDescent="0.25">
      <c r="C2301" s="316"/>
    </row>
    <row r="2302" spans="3:3" x14ac:dyDescent="0.25">
      <c r="C2302" s="316"/>
    </row>
    <row r="2303" spans="3:3" x14ac:dyDescent="0.25">
      <c r="C2303" s="316"/>
    </row>
    <row r="2304" spans="3:3" x14ac:dyDescent="0.25">
      <c r="C2304" s="316"/>
    </row>
    <row r="2305" spans="3:3" x14ac:dyDescent="0.25">
      <c r="C2305" s="316"/>
    </row>
    <row r="2306" spans="3:3" x14ac:dyDescent="0.25">
      <c r="C2306" s="316"/>
    </row>
    <row r="2307" spans="3:3" x14ac:dyDescent="0.25">
      <c r="C2307" s="316"/>
    </row>
    <row r="2308" spans="3:3" x14ac:dyDescent="0.25">
      <c r="C2308" s="316"/>
    </row>
    <row r="2309" spans="3:3" x14ac:dyDescent="0.25">
      <c r="C2309" s="316"/>
    </row>
    <row r="2310" spans="3:3" x14ac:dyDescent="0.25">
      <c r="C2310" s="316"/>
    </row>
    <row r="2311" spans="3:3" x14ac:dyDescent="0.25">
      <c r="C2311" s="316"/>
    </row>
    <row r="2312" spans="3:3" x14ac:dyDescent="0.25">
      <c r="C2312" s="316"/>
    </row>
    <row r="2313" spans="3:3" x14ac:dyDescent="0.25">
      <c r="C2313" s="316"/>
    </row>
    <row r="2314" spans="3:3" x14ac:dyDescent="0.25">
      <c r="C2314" s="316"/>
    </row>
    <row r="2315" spans="3:3" x14ac:dyDescent="0.25">
      <c r="C2315" s="316"/>
    </row>
    <row r="2316" spans="3:3" x14ac:dyDescent="0.25">
      <c r="C2316" s="316"/>
    </row>
    <row r="2317" spans="3:3" x14ac:dyDescent="0.25">
      <c r="C2317" s="316"/>
    </row>
    <row r="2318" spans="3:3" x14ac:dyDescent="0.25">
      <c r="C2318" s="316"/>
    </row>
    <row r="2319" spans="3:3" x14ac:dyDescent="0.25">
      <c r="C2319" s="316"/>
    </row>
    <row r="2320" spans="3:3" x14ac:dyDescent="0.25">
      <c r="C2320" s="316"/>
    </row>
    <row r="2321" spans="3:3" x14ac:dyDescent="0.25">
      <c r="C2321" s="316"/>
    </row>
    <row r="2322" spans="3:3" x14ac:dyDescent="0.25">
      <c r="C2322" s="316"/>
    </row>
    <row r="2323" spans="3:3" x14ac:dyDescent="0.25">
      <c r="C2323" s="316"/>
    </row>
    <row r="2324" spans="3:3" x14ac:dyDescent="0.25">
      <c r="C2324" s="316"/>
    </row>
    <row r="2325" spans="3:3" x14ac:dyDescent="0.25">
      <c r="C2325" s="316"/>
    </row>
    <row r="2326" spans="3:3" x14ac:dyDescent="0.25">
      <c r="C2326" s="316"/>
    </row>
    <row r="2327" spans="3:3" x14ac:dyDescent="0.25">
      <c r="C2327" s="316"/>
    </row>
    <row r="2328" spans="3:3" x14ac:dyDescent="0.25">
      <c r="C2328" s="316"/>
    </row>
    <row r="2329" spans="3:3" x14ac:dyDescent="0.25">
      <c r="C2329" s="316"/>
    </row>
    <row r="2330" spans="3:3" x14ac:dyDescent="0.25">
      <c r="C2330" s="316"/>
    </row>
    <row r="2331" spans="3:3" x14ac:dyDescent="0.25">
      <c r="C2331" s="316"/>
    </row>
    <row r="2332" spans="3:3" x14ac:dyDescent="0.25">
      <c r="C2332" s="316"/>
    </row>
    <row r="2333" spans="3:3" x14ac:dyDescent="0.25">
      <c r="C2333" s="316"/>
    </row>
    <row r="2334" spans="3:3" x14ac:dyDescent="0.25">
      <c r="C2334" s="316"/>
    </row>
    <row r="2335" spans="3:3" x14ac:dyDescent="0.25">
      <c r="C2335" s="316"/>
    </row>
    <row r="2336" spans="3:3" x14ac:dyDescent="0.25">
      <c r="C2336" s="316"/>
    </row>
    <row r="2337" spans="3:3" x14ac:dyDescent="0.25">
      <c r="C2337" s="316"/>
    </row>
    <row r="2338" spans="3:3" x14ac:dyDescent="0.25">
      <c r="C2338" s="316"/>
    </row>
    <row r="2339" spans="3:3" x14ac:dyDescent="0.25">
      <c r="C2339" s="316"/>
    </row>
    <row r="2340" spans="3:3" x14ac:dyDescent="0.25">
      <c r="C2340" s="316"/>
    </row>
    <row r="2341" spans="3:3" x14ac:dyDescent="0.25">
      <c r="C2341" s="316"/>
    </row>
    <row r="2342" spans="3:3" x14ac:dyDescent="0.25">
      <c r="C2342" s="316"/>
    </row>
    <row r="2343" spans="3:3" x14ac:dyDescent="0.25">
      <c r="C2343" s="316"/>
    </row>
    <row r="2344" spans="3:3" x14ac:dyDescent="0.25">
      <c r="C2344" s="316"/>
    </row>
    <row r="2345" spans="3:3" x14ac:dyDescent="0.25">
      <c r="C2345" s="316"/>
    </row>
    <row r="2346" spans="3:3" x14ac:dyDescent="0.25">
      <c r="C2346" s="316"/>
    </row>
    <row r="2347" spans="3:3" x14ac:dyDescent="0.25">
      <c r="C2347" s="316"/>
    </row>
    <row r="2348" spans="3:3" x14ac:dyDescent="0.25">
      <c r="C2348" s="316"/>
    </row>
    <row r="2349" spans="3:3" x14ac:dyDescent="0.25">
      <c r="C2349" s="316"/>
    </row>
    <row r="2350" spans="3:3" x14ac:dyDescent="0.25">
      <c r="C2350" s="316"/>
    </row>
    <row r="2351" spans="3:3" x14ac:dyDescent="0.25">
      <c r="C2351" s="316"/>
    </row>
    <row r="2352" spans="3:3" x14ac:dyDescent="0.25">
      <c r="C2352" s="316"/>
    </row>
    <row r="2353" spans="3:3" x14ac:dyDescent="0.25">
      <c r="C2353" s="316"/>
    </row>
    <row r="2354" spans="3:3" x14ac:dyDescent="0.25">
      <c r="C2354" s="316"/>
    </row>
    <row r="2355" spans="3:3" x14ac:dyDescent="0.25">
      <c r="C2355" s="316"/>
    </row>
    <row r="2356" spans="3:3" x14ac:dyDescent="0.25">
      <c r="C2356" s="316"/>
    </row>
    <row r="2357" spans="3:3" x14ac:dyDescent="0.25">
      <c r="C2357" s="316"/>
    </row>
    <row r="2358" spans="3:3" x14ac:dyDescent="0.25">
      <c r="C2358" s="316"/>
    </row>
    <row r="2359" spans="3:3" x14ac:dyDescent="0.25">
      <c r="C2359" s="316"/>
    </row>
    <row r="2360" spans="3:3" x14ac:dyDescent="0.25">
      <c r="C2360" s="316"/>
    </row>
    <row r="2361" spans="3:3" x14ac:dyDescent="0.25">
      <c r="C2361" s="316"/>
    </row>
    <row r="2362" spans="3:3" x14ac:dyDescent="0.25">
      <c r="C2362" s="316"/>
    </row>
    <row r="2363" spans="3:3" x14ac:dyDescent="0.25">
      <c r="C2363" s="316"/>
    </row>
    <row r="2364" spans="3:3" x14ac:dyDescent="0.25">
      <c r="C2364" s="316"/>
    </row>
    <row r="2365" spans="3:3" x14ac:dyDescent="0.25">
      <c r="C2365" s="316"/>
    </row>
    <row r="2366" spans="3:3" x14ac:dyDescent="0.25">
      <c r="C2366" s="316"/>
    </row>
    <row r="2367" spans="3:3" x14ac:dyDescent="0.25">
      <c r="C2367" s="316"/>
    </row>
    <row r="2368" spans="3:3" x14ac:dyDescent="0.25">
      <c r="C2368" s="316"/>
    </row>
    <row r="2369" spans="3:3" x14ac:dyDescent="0.25">
      <c r="C2369" s="316"/>
    </row>
    <row r="2370" spans="3:3" x14ac:dyDescent="0.25">
      <c r="C2370" s="316"/>
    </row>
    <row r="2371" spans="3:3" x14ac:dyDescent="0.25">
      <c r="C2371" s="316"/>
    </row>
    <row r="2372" spans="3:3" x14ac:dyDescent="0.25">
      <c r="C2372" s="316"/>
    </row>
    <row r="2373" spans="3:3" x14ac:dyDescent="0.25">
      <c r="C2373" s="316"/>
    </row>
    <row r="2374" spans="3:3" x14ac:dyDescent="0.25">
      <c r="C2374" s="316"/>
    </row>
    <row r="2375" spans="3:3" x14ac:dyDescent="0.25">
      <c r="C2375" s="316"/>
    </row>
    <row r="2376" spans="3:3" x14ac:dyDescent="0.25">
      <c r="C2376" s="316"/>
    </row>
    <row r="2377" spans="3:3" x14ac:dyDescent="0.25">
      <c r="C2377" s="316"/>
    </row>
    <row r="2378" spans="3:3" x14ac:dyDescent="0.25">
      <c r="C2378" s="316"/>
    </row>
    <row r="2379" spans="3:3" x14ac:dyDescent="0.25">
      <c r="C2379" s="316"/>
    </row>
    <row r="2380" spans="3:3" x14ac:dyDescent="0.25">
      <c r="C2380" s="316"/>
    </row>
    <row r="2381" spans="3:3" x14ac:dyDescent="0.25">
      <c r="C2381" s="316"/>
    </row>
    <row r="2382" spans="3:3" x14ac:dyDescent="0.25">
      <c r="C2382" s="316"/>
    </row>
    <row r="2383" spans="3:3" x14ac:dyDescent="0.25">
      <c r="C2383" s="316"/>
    </row>
    <row r="2384" spans="3:3" x14ac:dyDescent="0.25">
      <c r="C2384" s="316"/>
    </row>
    <row r="2385" spans="3:3" x14ac:dyDescent="0.25">
      <c r="C2385" s="316"/>
    </row>
    <row r="2386" spans="3:3" x14ac:dyDescent="0.25">
      <c r="C2386" s="316"/>
    </row>
    <row r="2387" spans="3:3" x14ac:dyDescent="0.25">
      <c r="C2387" s="316"/>
    </row>
    <row r="2388" spans="3:3" x14ac:dyDescent="0.25">
      <c r="C2388" s="316"/>
    </row>
    <row r="2389" spans="3:3" x14ac:dyDescent="0.25">
      <c r="C2389" s="316"/>
    </row>
    <row r="2390" spans="3:3" x14ac:dyDescent="0.25">
      <c r="C2390" s="316"/>
    </row>
    <row r="2391" spans="3:3" x14ac:dyDescent="0.25">
      <c r="C2391" s="316"/>
    </row>
    <row r="2392" spans="3:3" x14ac:dyDescent="0.25">
      <c r="C2392" s="316"/>
    </row>
    <row r="2393" spans="3:3" x14ac:dyDescent="0.25">
      <c r="C2393" s="316"/>
    </row>
    <row r="2394" spans="3:3" x14ac:dyDescent="0.25">
      <c r="C2394" s="316"/>
    </row>
    <row r="2395" spans="3:3" x14ac:dyDescent="0.25">
      <c r="C2395" s="316"/>
    </row>
    <row r="2396" spans="3:3" x14ac:dyDescent="0.25">
      <c r="C2396" s="316"/>
    </row>
    <row r="2397" spans="3:3" x14ac:dyDescent="0.25">
      <c r="C2397" s="316"/>
    </row>
    <row r="2398" spans="3:3" x14ac:dyDescent="0.25">
      <c r="C2398" s="316"/>
    </row>
    <row r="2399" spans="3:3" x14ac:dyDescent="0.25">
      <c r="C2399" s="316"/>
    </row>
    <row r="2400" spans="3:3" x14ac:dyDescent="0.25">
      <c r="C2400" s="316"/>
    </row>
    <row r="2401" spans="3:3" x14ac:dyDescent="0.25">
      <c r="C2401" s="316"/>
    </row>
    <row r="2402" spans="3:3" x14ac:dyDescent="0.25">
      <c r="C2402" s="316"/>
    </row>
    <row r="2403" spans="3:3" x14ac:dyDescent="0.25">
      <c r="C2403" s="316"/>
    </row>
    <row r="2404" spans="3:3" x14ac:dyDescent="0.25">
      <c r="C2404" s="316"/>
    </row>
    <row r="2405" spans="3:3" x14ac:dyDescent="0.25">
      <c r="C2405" s="316"/>
    </row>
    <row r="2406" spans="3:3" x14ac:dyDescent="0.25">
      <c r="C2406" s="316"/>
    </row>
    <row r="2407" spans="3:3" x14ac:dyDescent="0.25">
      <c r="C2407" s="316"/>
    </row>
    <row r="2408" spans="3:3" x14ac:dyDescent="0.25">
      <c r="C2408" s="316"/>
    </row>
    <row r="2409" spans="3:3" x14ac:dyDescent="0.25">
      <c r="C2409" s="316"/>
    </row>
    <row r="2410" spans="3:3" x14ac:dyDescent="0.25">
      <c r="C2410" s="316"/>
    </row>
    <row r="2411" spans="3:3" x14ac:dyDescent="0.25">
      <c r="C2411" s="316"/>
    </row>
    <row r="2412" spans="3:3" x14ac:dyDescent="0.25">
      <c r="C2412" s="316"/>
    </row>
    <row r="2413" spans="3:3" x14ac:dyDescent="0.25">
      <c r="C2413" s="316"/>
    </row>
    <row r="2414" spans="3:3" x14ac:dyDescent="0.25">
      <c r="C2414" s="316"/>
    </row>
    <row r="2415" spans="3:3" x14ac:dyDescent="0.25">
      <c r="C2415" s="316"/>
    </row>
    <row r="2416" spans="3:3" x14ac:dyDescent="0.25">
      <c r="C2416" s="316"/>
    </row>
    <row r="2417" spans="3:3" x14ac:dyDescent="0.25">
      <c r="C2417" s="316"/>
    </row>
    <row r="2418" spans="3:3" x14ac:dyDescent="0.25">
      <c r="C2418" s="316"/>
    </row>
    <row r="2419" spans="3:3" x14ac:dyDescent="0.25">
      <c r="C2419" s="316"/>
    </row>
    <row r="2420" spans="3:3" x14ac:dyDescent="0.25">
      <c r="C2420" s="316"/>
    </row>
    <row r="2421" spans="3:3" x14ac:dyDescent="0.25">
      <c r="C2421" s="316"/>
    </row>
    <row r="2422" spans="3:3" x14ac:dyDescent="0.25">
      <c r="C2422" s="316"/>
    </row>
    <row r="2423" spans="3:3" x14ac:dyDescent="0.25">
      <c r="C2423" s="316"/>
    </row>
    <row r="2424" spans="3:3" x14ac:dyDescent="0.25">
      <c r="C2424" s="316"/>
    </row>
    <row r="2425" spans="3:3" x14ac:dyDescent="0.25">
      <c r="C2425" s="316"/>
    </row>
    <row r="2426" spans="3:3" x14ac:dyDescent="0.25">
      <c r="C2426" s="316"/>
    </row>
    <row r="2427" spans="3:3" x14ac:dyDescent="0.25">
      <c r="C2427" s="316"/>
    </row>
    <row r="2428" spans="3:3" x14ac:dyDescent="0.25">
      <c r="C2428" s="316"/>
    </row>
    <row r="2429" spans="3:3" x14ac:dyDescent="0.25">
      <c r="C2429" s="316"/>
    </row>
    <row r="2430" spans="3:3" x14ac:dyDescent="0.25">
      <c r="C2430" s="316"/>
    </row>
    <row r="2431" spans="3:3" x14ac:dyDescent="0.25">
      <c r="C2431" s="316"/>
    </row>
    <row r="2432" spans="3:3" x14ac:dyDescent="0.25">
      <c r="C2432" s="316"/>
    </row>
    <row r="2433" spans="3:3" x14ac:dyDescent="0.25">
      <c r="C2433" s="316"/>
    </row>
    <row r="2434" spans="3:3" x14ac:dyDescent="0.25">
      <c r="C2434" s="316"/>
    </row>
    <row r="2435" spans="3:3" x14ac:dyDescent="0.25">
      <c r="C2435" s="316"/>
    </row>
    <row r="2436" spans="3:3" x14ac:dyDescent="0.25">
      <c r="C2436" s="316"/>
    </row>
    <row r="2437" spans="3:3" x14ac:dyDescent="0.25">
      <c r="C2437" s="316"/>
    </row>
    <row r="2438" spans="3:3" x14ac:dyDescent="0.25">
      <c r="C2438" s="316"/>
    </row>
    <row r="2439" spans="3:3" x14ac:dyDescent="0.25">
      <c r="C2439" s="316"/>
    </row>
    <row r="2440" spans="3:3" x14ac:dyDescent="0.25">
      <c r="C2440" s="316"/>
    </row>
    <row r="2441" spans="3:3" x14ac:dyDescent="0.25">
      <c r="C2441" s="316"/>
    </row>
    <row r="2442" spans="3:3" x14ac:dyDescent="0.25">
      <c r="C2442" s="316"/>
    </row>
    <row r="2443" spans="3:3" x14ac:dyDescent="0.25">
      <c r="C2443" s="316"/>
    </row>
    <row r="2444" spans="3:3" x14ac:dyDescent="0.25">
      <c r="C2444" s="316"/>
    </row>
    <row r="2445" spans="3:3" x14ac:dyDescent="0.25">
      <c r="C2445" s="316"/>
    </row>
    <row r="2446" spans="3:3" x14ac:dyDescent="0.25">
      <c r="C2446" s="316"/>
    </row>
    <row r="2447" spans="3:3" x14ac:dyDescent="0.25">
      <c r="C2447" s="316"/>
    </row>
    <row r="2448" spans="3:3" x14ac:dyDescent="0.25">
      <c r="C2448" s="316"/>
    </row>
    <row r="2449" spans="3:3" x14ac:dyDescent="0.25">
      <c r="C2449" s="316"/>
    </row>
    <row r="2450" spans="3:3" x14ac:dyDescent="0.25">
      <c r="C2450" s="316"/>
    </row>
    <row r="2451" spans="3:3" x14ac:dyDescent="0.25">
      <c r="C2451" s="316"/>
    </row>
    <row r="2452" spans="3:3" x14ac:dyDescent="0.25">
      <c r="C2452" s="316"/>
    </row>
    <row r="2453" spans="3:3" x14ac:dyDescent="0.25">
      <c r="C2453" s="316"/>
    </row>
    <row r="2454" spans="3:3" x14ac:dyDescent="0.25">
      <c r="C2454" s="316"/>
    </row>
    <row r="2455" spans="3:3" x14ac:dyDescent="0.25">
      <c r="C2455" s="316"/>
    </row>
    <row r="2456" spans="3:3" x14ac:dyDescent="0.25">
      <c r="C2456" s="316"/>
    </row>
    <row r="2457" spans="3:3" x14ac:dyDescent="0.25">
      <c r="C2457" s="316"/>
    </row>
    <row r="2458" spans="3:3" x14ac:dyDescent="0.25">
      <c r="C2458" s="316"/>
    </row>
    <row r="2459" spans="3:3" x14ac:dyDescent="0.25">
      <c r="C2459" s="316"/>
    </row>
    <row r="2460" spans="3:3" x14ac:dyDescent="0.25">
      <c r="C2460" s="316"/>
    </row>
    <row r="2461" spans="3:3" x14ac:dyDescent="0.25">
      <c r="C2461" s="316"/>
    </row>
    <row r="2462" spans="3:3" x14ac:dyDescent="0.25">
      <c r="C2462" s="316"/>
    </row>
    <row r="2463" spans="3:3" x14ac:dyDescent="0.25">
      <c r="C2463" s="316"/>
    </row>
    <row r="2464" spans="3:3" x14ac:dyDescent="0.25">
      <c r="C2464" s="316"/>
    </row>
    <row r="2465" spans="3:3" x14ac:dyDescent="0.25">
      <c r="C2465" s="316"/>
    </row>
    <row r="2466" spans="3:3" x14ac:dyDescent="0.25">
      <c r="C2466" s="316"/>
    </row>
    <row r="2467" spans="3:3" x14ac:dyDescent="0.25">
      <c r="C2467" s="316"/>
    </row>
    <row r="2468" spans="3:3" x14ac:dyDescent="0.25">
      <c r="C2468" s="316"/>
    </row>
    <row r="2469" spans="3:3" x14ac:dyDescent="0.25">
      <c r="C2469" s="316"/>
    </row>
    <row r="2470" spans="3:3" x14ac:dyDescent="0.25">
      <c r="C2470" s="316"/>
    </row>
    <row r="2471" spans="3:3" x14ac:dyDescent="0.25">
      <c r="C2471" s="316"/>
    </row>
    <row r="2472" spans="3:3" x14ac:dyDescent="0.25">
      <c r="C2472" s="316"/>
    </row>
    <row r="2473" spans="3:3" x14ac:dyDescent="0.25">
      <c r="C2473" s="316"/>
    </row>
    <row r="2474" spans="3:3" x14ac:dyDescent="0.25">
      <c r="C2474" s="316"/>
    </row>
    <row r="2475" spans="3:3" x14ac:dyDescent="0.25">
      <c r="C2475" s="316"/>
    </row>
    <row r="2476" spans="3:3" x14ac:dyDescent="0.25">
      <c r="C2476" s="316"/>
    </row>
    <row r="2477" spans="3:3" x14ac:dyDescent="0.25">
      <c r="C2477" s="316"/>
    </row>
    <row r="2478" spans="3:3" x14ac:dyDescent="0.25">
      <c r="C2478" s="316"/>
    </row>
    <row r="2479" spans="3:3" x14ac:dyDescent="0.25">
      <c r="C2479" s="316"/>
    </row>
    <row r="2480" spans="3:3" x14ac:dyDescent="0.25">
      <c r="C2480" s="316"/>
    </row>
    <row r="2481" spans="3:3" x14ac:dyDescent="0.25">
      <c r="C2481" s="316"/>
    </row>
    <row r="2482" spans="3:3" x14ac:dyDescent="0.25">
      <c r="C2482" s="316"/>
    </row>
    <row r="2483" spans="3:3" x14ac:dyDescent="0.25">
      <c r="C2483" s="316"/>
    </row>
    <row r="2484" spans="3:3" x14ac:dyDescent="0.25">
      <c r="C2484" s="316"/>
    </row>
    <row r="2485" spans="3:3" x14ac:dyDescent="0.25">
      <c r="C2485" s="316"/>
    </row>
    <row r="2486" spans="3:3" x14ac:dyDescent="0.25">
      <c r="C2486" s="316"/>
    </row>
    <row r="2487" spans="3:3" x14ac:dyDescent="0.25">
      <c r="C2487" s="316"/>
    </row>
    <row r="2488" spans="3:3" x14ac:dyDescent="0.25">
      <c r="C2488" s="316"/>
    </row>
    <row r="2489" spans="3:3" x14ac:dyDescent="0.25">
      <c r="C2489" s="316"/>
    </row>
    <row r="2490" spans="3:3" x14ac:dyDescent="0.25">
      <c r="C2490" s="316"/>
    </row>
    <row r="2491" spans="3:3" x14ac:dyDescent="0.25">
      <c r="C2491" s="316"/>
    </row>
    <row r="2492" spans="3:3" x14ac:dyDescent="0.25">
      <c r="C2492" s="316"/>
    </row>
    <row r="2493" spans="3:3" x14ac:dyDescent="0.25">
      <c r="C2493" s="316"/>
    </row>
    <row r="2494" spans="3:3" x14ac:dyDescent="0.25">
      <c r="C2494" s="316"/>
    </row>
    <row r="2495" spans="3:3" x14ac:dyDescent="0.25">
      <c r="C2495" s="316"/>
    </row>
    <row r="2496" spans="3:3" x14ac:dyDescent="0.25">
      <c r="C2496" s="316"/>
    </row>
    <row r="2497" spans="3:3" x14ac:dyDescent="0.25">
      <c r="C2497" s="316"/>
    </row>
    <row r="2498" spans="3:3" x14ac:dyDescent="0.25">
      <c r="C2498" s="316"/>
    </row>
    <row r="2499" spans="3:3" x14ac:dyDescent="0.25">
      <c r="C2499" s="316"/>
    </row>
    <row r="2500" spans="3:3" x14ac:dyDescent="0.25">
      <c r="C2500" s="316"/>
    </row>
    <row r="2501" spans="3:3" x14ac:dyDescent="0.25">
      <c r="C2501" s="316"/>
    </row>
    <row r="2502" spans="3:3" x14ac:dyDescent="0.25">
      <c r="C2502" s="316"/>
    </row>
    <row r="2503" spans="3:3" x14ac:dyDescent="0.25">
      <c r="C2503" s="316"/>
    </row>
    <row r="2504" spans="3:3" x14ac:dyDescent="0.25">
      <c r="C2504" s="316"/>
    </row>
    <row r="2505" spans="3:3" x14ac:dyDescent="0.25">
      <c r="C2505" s="316"/>
    </row>
    <row r="2506" spans="3:3" x14ac:dyDescent="0.25">
      <c r="C2506" s="316"/>
    </row>
    <row r="2507" spans="3:3" x14ac:dyDescent="0.25">
      <c r="C2507" s="316"/>
    </row>
    <row r="2508" spans="3:3" x14ac:dyDescent="0.25">
      <c r="C2508" s="316"/>
    </row>
    <row r="2509" spans="3:3" x14ac:dyDescent="0.25">
      <c r="C2509" s="316"/>
    </row>
    <row r="2510" spans="3:3" x14ac:dyDescent="0.25">
      <c r="C2510" s="316"/>
    </row>
    <row r="2511" spans="3:3" x14ac:dyDescent="0.25">
      <c r="C2511" s="316"/>
    </row>
    <row r="2512" spans="3:3" x14ac:dyDescent="0.25">
      <c r="C2512" s="316"/>
    </row>
    <row r="2513" spans="3:3" x14ac:dyDescent="0.25">
      <c r="C2513" s="316"/>
    </row>
    <row r="2514" spans="3:3" x14ac:dyDescent="0.25">
      <c r="C2514" s="316"/>
    </row>
    <row r="2515" spans="3:3" x14ac:dyDescent="0.25">
      <c r="C2515" s="316"/>
    </row>
    <row r="2516" spans="3:3" x14ac:dyDescent="0.25">
      <c r="C2516" s="316"/>
    </row>
    <row r="2517" spans="3:3" x14ac:dyDescent="0.25">
      <c r="C2517" s="316"/>
    </row>
    <row r="2518" spans="3:3" x14ac:dyDescent="0.25">
      <c r="C2518" s="316"/>
    </row>
    <row r="2519" spans="3:3" x14ac:dyDescent="0.25">
      <c r="C2519" s="316"/>
    </row>
    <row r="2520" spans="3:3" x14ac:dyDescent="0.25">
      <c r="C2520" s="316"/>
    </row>
    <row r="2521" spans="3:3" x14ac:dyDescent="0.25">
      <c r="C2521" s="316"/>
    </row>
    <row r="2522" spans="3:3" x14ac:dyDescent="0.25">
      <c r="C2522" s="316"/>
    </row>
    <row r="2523" spans="3:3" x14ac:dyDescent="0.25">
      <c r="C2523" s="316"/>
    </row>
    <row r="2524" spans="3:3" x14ac:dyDescent="0.25">
      <c r="C2524" s="316"/>
    </row>
    <row r="2525" spans="3:3" x14ac:dyDescent="0.25">
      <c r="C2525" s="316"/>
    </row>
    <row r="2526" spans="3:3" x14ac:dyDescent="0.25">
      <c r="C2526" s="316"/>
    </row>
    <row r="2527" spans="3:3" x14ac:dyDescent="0.25">
      <c r="C2527" s="316"/>
    </row>
    <row r="2528" spans="3:3" x14ac:dyDescent="0.25">
      <c r="C2528" s="316"/>
    </row>
    <row r="2529" spans="3:3" x14ac:dyDescent="0.25">
      <c r="C2529" s="316"/>
    </row>
    <row r="2530" spans="3:3" x14ac:dyDescent="0.25">
      <c r="C2530" s="316"/>
    </row>
    <row r="2531" spans="3:3" x14ac:dyDescent="0.25">
      <c r="C2531" s="316"/>
    </row>
    <row r="2532" spans="3:3" x14ac:dyDescent="0.25">
      <c r="C2532" s="316"/>
    </row>
    <row r="2533" spans="3:3" x14ac:dyDescent="0.25">
      <c r="C2533" s="316"/>
    </row>
    <row r="2534" spans="3:3" x14ac:dyDescent="0.25">
      <c r="C2534" s="316"/>
    </row>
    <row r="2535" spans="3:3" x14ac:dyDescent="0.25">
      <c r="C2535" s="316"/>
    </row>
    <row r="2536" spans="3:3" x14ac:dyDescent="0.25">
      <c r="C2536" s="316"/>
    </row>
    <row r="2537" spans="3:3" x14ac:dyDescent="0.25">
      <c r="C2537" s="316"/>
    </row>
    <row r="2538" spans="3:3" x14ac:dyDescent="0.25">
      <c r="C2538" s="316"/>
    </row>
    <row r="2539" spans="3:3" x14ac:dyDescent="0.25">
      <c r="C2539" s="316"/>
    </row>
    <row r="2540" spans="3:3" x14ac:dyDescent="0.25">
      <c r="C2540" s="316"/>
    </row>
    <row r="2541" spans="3:3" x14ac:dyDescent="0.25">
      <c r="C2541" s="316"/>
    </row>
    <row r="2542" spans="3:3" x14ac:dyDescent="0.25">
      <c r="C2542" s="316"/>
    </row>
    <row r="2543" spans="3:3" x14ac:dyDescent="0.25">
      <c r="C2543" s="316"/>
    </row>
    <row r="2544" spans="3:3" x14ac:dyDescent="0.25">
      <c r="C2544" s="316"/>
    </row>
    <row r="2545" spans="3:3" x14ac:dyDescent="0.25">
      <c r="C2545" s="316"/>
    </row>
    <row r="2546" spans="3:3" x14ac:dyDescent="0.25">
      <c r="C2546" s="316"/>
    </row>
    <row r="2547" spans="3:3" x14ac:dyDescent="0.25">
      <c r="C2547" s="316"/>
    </row>
    <row r="2548" spans="3:3" x14ac:dyDescent="0.25">
      <c r="C2548" s="316"/>
    </row>
    <row r="2549" spans="3:3" x14ac:dyDescent="0.25">
      <c r="C2549" s="316"/>
    </row>
    <row r="2550" spans="3:3" x14ac:dyDescent="0.25">
      <c r="C2550" s="316"/>
    </row>
    <row r="2551" spans="3:3" x14ac:dyDescent="0.25">
      <c r="C2551" s="316"/>
    </row>
    <row r="2552" spans="3:3" x14ac:dyDescent="0.25">
      <c r="C2552" s="316"/>
    </row>
    <row r="2553" spans="3:3" x14ac:dyDescent="0.25">
      <c r="C2553" s="316"/>
    </row>
    <row r="2554" spans="3:3" x14ac:dyDescent="0.25">
      <c r="C2554" s="316"/>
    </row>
    <row r="2555" spans="3:3" x14ac:dyDescent="0.25">
      <c r="C2555" s="316"/>
    </row>
    <row r="2556" spans="3:3" x14ac:dyDescent="0.25">
      <c r="C2556" s="316"/>
    </row>
    <row r="2557" spans="3:3" x14ac:dyDescent="0.25">
      <c r="C2557" s="316"/>
    </row>
    <row r="2558" spans="3:3" x14ac:dyDescent="0.25">
      <c r="C2558" s="316"/>
    </row>
    <row r="2559" spans="3:3" x14ac:dyDescent="0.25">
      <c r="C2559" s="316"/>
    </row>
    <row r="2560" spans="3:3" x14ac:dyDescent="0.25">
      <c r="C2560" s="316"/>
    </row>
    <row r="2561" spans="3:3" x14ac:dyDescent="0.25">
      <c r="C2561" s="316"/>
    </row>
    <row r="2562" spans="3:3" x14ac:dyDescent="0.25">
      <c r="C2562" s="316"/>
    </row>
    <row r="2563" spans="3:3" x14ac:dyDescent="0.25">
      <c r="C2563" s="316"/>
    </row>
    <row r="2564" spans="3:3" x14ac:dyDescent="0.25">
      <c r="C2564" s="316"/>
    </row>
    <row r="2565" spans="3:3" x14ac:dyDescent="0.25">
      <c r="C2565" s="316"/>
    </row>
    <row r="2566" spans="3:3" x14ac:dyDescent="0.25">
      <c r="C2566" s="316"/>
    </row>
    <row r="2567" spans="3:3" x14ac:dyDescent="0.25">
      <c r="C2567" s="316"/>
    </row>
    <row r="2568" spans="3:3" x14ac:dyDescent="0.25">
      <c r="C2568" s="316"/>
    </row>
    <row r="2569" spans="3:3" x14ac:dyDescent="0.25">
      <c r="C2569" s="316"/>
    </row>
    <row r="2570" spans="3:3" x14ac:dyDescent="0.25">
      <c r="C2570" s="316"/>
    </row>
    <row r="2571" spans="3:3" x14ac:dyDescent="0.25">
      <c r="C2571" s="316"/>
    </row>
    <row r="2572" spans="3:3" x14ac:dyDescent="0.25">
      <c r="C2572" s="316"/>
    </row>
    <row r="2573" spans="3:3" x14ac:dyDescent="0.25">
      <c r="C2573" s="316"/>
    </row>
    <row r="2574" spans="3:3" x14ac:dyDescent="0.25">
      <c r="C2574" s="316"/>
    </row>
    <row r="2575" spans="3:3" x14ac:dyDescent="0.25">
      <c r="C2575" s="316"/>
    </row>
    <row r="2576" spans="3:3" x14ac:dyDescent="0.25">
      <c r="C2576" s="316"/>
    </row>
    <row r="2577" spans="3:3" x14ac:dyDescent="0.25">
      <c r="C2577" s="316"/>
    </row>
    <row r="2578" spans="3:3" x14ac:dyDescent="0.25">
      <c r="C2578" s="316"/>
    </row>
    <row r="2579" spans="3:3" x14ac:dyDescent="0.25">
      <c r="C2579" s="316"/>
    </row>
    <row r="2580" spans="3:3" x14ac:dyDescent="0.25">
      <c r="C2580" s="316"/>
    </row>
    <row r="2581" spans="3:3" x14ac:dyDescent="0.25">
      <c r="C2581" s="316"/>
    </row>
    <row r="2582" spans="3:3" x14ac:dyDescent="0.25">
      <c r="C2582" s="316"/>
    </row>
    <row r="2583" spans="3:3" x14ac:dyDescent="0.25">
      <c r="C2583" s="316"/>
    </row>
    <row r="2584" spans="3:3" x14ac:dyDescent="0.25">
      <c r="C2584" s="316"/>
    </row>
    <row r="2585" spans="3:3" x14ac:dyDescent="0.25">
      <c r="C2585" s="316"/>
    </row>
    <row r="2586" spans="3:3" x14ac:dyDescent="0.25">
      <c r="C2586" s="316"/>
    </row>
    <row r="2587" spans="3:3" x14ac:dyDescent="0.25">
      <c r="C2587" s="316"/>
    </row>
    <row r="2588" spans="3:3" x14ac:dyDescent="0.25">
      <c r="C2588" s="316"/>
    </row>
    <row r="2589" spans="3:3" x14ac:dyDescent="0.25">
      <c r="C2589" s="316"/>
    </row>
    <row r="2590" spans="3:3" x14ac:dyDescent="0.25">
      <c r="C2590" s="316"/>
    </row>
    <row r="2591" spans="3:3" x14ac:dyDescent="0.25">
      <c r="C2591" s="316"/>
    </row>
    <row r="2592" spans="3:3" x14ac:dyDescent="0.25">
      <c r="C2592" s="316"/>
    </row>
    <row r="2593" spans="3:3" x14ac:dyDescent="0.25">
      <c r="C2593" s="316"/>
    </row>
    <row r="2594" spans="3:3" x14ac:dyDescent="0.25">
      <c r="C2594" s="316"/>
    </row>
    <row r="2595" spans="3:3" x14ac:dyDescent="0.25">
      <c r="C2595" s="316"/>
    </row>
    <row r="2596" spans="3:3" x14ac:dyDescent="0.25">
      <c r="C2596" s="316"/>
    </row>
    <row r="2597" spans="3:3" x14ac:dyDescent="0.25">
      <c r="C2597" s="316"/>
    </row>
    <row r="2598" spans="3:3" x14ac:dyDescent="0.25">
      <c r="C2598" s="316"/>
    </row>
    <row r="2599" spans="3:3" x14ac:dyDescent="0.25">
      <c r="C2599" s="316"/>
    </row>
    <row r="2600" spans="3:3" x14ac:dyDescent="0.25">
      <c r="C2600" s="316"/>
    </row>
    <row r="2601" spans="3:3" x14ac:dyDescent="0.25">
      <c r="C2601" s="316"/>
    </row>
    <row r="2602" spans="3:3" x14ac:dyDescent="0.25">
      <c r="C2602" s="316"/>
    </row>
    <row r="2603" spans="3:3" x14ac:dyDescent="0.25">
      <c r="C2603" s="316"/>
    </row>
    <row r="2604" spans="3:3" x14ac:dyDescent="0.25">
      <c r="C2604" s="316"/>
    </row>
    <row r="2605" spans="3:3" x14ac:dyDescent="0.25">
      <c r="C2605" s="316"/>
    </row>
    <row r="2606" spans="3:3" x14ac:dyDescent="0.25">
      <c r="C2606" s="316"/>
    </row>
    <row r="2607" spans="3:3" x14ac:dyDescent="0.25">
      <c r="C2607" s="316"/>
    </row>
    <row r="2608" spans="3:3" x14ac:dyDescent="0.25">
      <c r="C2608" s="316"/>
    </row>
    <row r="2609" spans="3:3" x14ac:dyDescent="0.25">
      <c r="C2609" s="316"/>
    </row>
    <row r="2610" spans="3:3" x14ac:dyDescent="0.25">
      <c r="C2610" s="316"/>
    </row>
    <row r="2611" spans="3:3" x14ac:dyDescent="0.25">
      <c r="C2611" s="316"/>
    </row>
    <row r="2612" spans="3:3" x14ac:dyDescent="0.25">
      <c r="C2612" s="316"/>
    </row>
    <row r="2613" spans="3:3" x14ac:dyDescent="0.25">
      <c r="C2613" s="316"/>
    </row>
    <row r="2614" spans="3:3" x14ac:dyDescent="0.25">
      <c r="C2614" s="316"/>
    </row>
    <row r="2615" spans="3:3" x14ac:dyDescent="0.25">
      <c r="C2615" s="316"/>
    </row>
    <row r="2616" spans="3:3" x14ac:dyDescent="0.25">
      <c r="C2616" s="316"/>
    </row>
    <row r="2617" spans="3:3" x14ac:dyDescent="0.25">
      <c r="C2617" s="316"/>
    </row>
    <row r="2618" spans="3:3" x14ac:dyDescent="0.25">
      <c r="C2618" s="316"/>
    </row>
    <row r="2619" spans="3:3" x14ac:dyDescent="0.25">
      <c r="C2619" s="316"/>
    </row>
    <row r="2620" spans="3:3" x14ac:dyDescent="0.25">
      <c r="C2620" s="316"/>
    </row>
    <row r="2621" spans="3:3" x14ac:dyDescent="0.25">
      <c r="C2621" s="316"/>
    </row>
    <row r="2622" spans="3:3" x14ac:dyDescent="0.25">
      <c r="C2622" s="316"/>
    </row>
    <row r="2623" spans="3:3" x14ac:dyDescent="0.25">
      <c r="C2623" s="316"/>
    </row>
    <row r="2624" spans="3:3" x14ac:dyDescent="0.25">
      <c r="C2624" s="316"/>
    </row>
    <row r="2625" spans="3:3" x14ac:dyDescent="0.25">
      <c r="C2625" s="316"/>
    </row>
    <row r="2626" spans="3:3" x14ac:dyDescent="0.25">
      <c r="C2626" s="316"/>
    </row>
    <row r="2627" spans="3:3" x14ac:dyDescent="0.25">
      <c r="C2627" s="316"/>
    </row>
    <row r="2628" spans="3:3" x14ac:dyDescent="0.25">
      <c r="C2628" s="316"/>
    </row>
    <row r="2629" spans="3:3" x14ac:dyDescent="0.25">
      <c r="C2629" s="316"/>
    </row>
    <row r="2630" spans="3:3" x14ac:dyDescent="0.25">
      <c r="C2630" s="316"/>
    </row>
    <row r="2631" spans="3:3" x14ac:dyDescent="0.25">
      <c r="C2631" s="316"/>
    </row>
    <row r="2632" spans="3:3" x14ac:dyDescent="0.25">
      <c r="C2632" s="316"/>
    </row>
    <row r="2633" spans="3:3" x14ac:dyDescent="0.25">
      <c r="C2633" s="316"/>
    </row>
    <row r="2634" spans="3:3" x14ac:dyDescent="0.25">
      <c r="C2634" s="316"/>
    </row>
    <row r="2635" spans="3:3" x14ac:dyDescent="0.25">
      <c r="C2635" s="316"/>
    </row>
    <row r="2636" spans="3:3" x14ac:dyDescent="0.25">
      <c r="C2636" s="316"/>
    </row>
    <row r="2637" spans="3:3" x14ac:dyDescent="0.25">
      <c r="C2637" s="316"/>
    </row>
    <row r="2638" spans="3:3" x14ac:dyDescent="0.25">
      <c r="C2638" s="316"/>
    </row>
    <row r="2639" spans="3:3" x14ac:dyDescent="0.25">
      <c r="C2639" s="316"/>
    </row>
    <row r="2640" spans="3:3" x14ac:dyDescent="0.25">
      <c r="C2640" s="316"/>
    </row>
    <row r="2641" spans="3:3" x14ac:dyDescent="0.25">
      <c r="C2641" s="316"/>
    </row>
    <row r="2642" spans="3:3" x14ac:dyDescent="0.25">
      <c r="C2642" s="316"/>
    </row>
    <row r="2643" spans="3:3" x14ac:dyDescent="0.25">
      <c r="C2643" s="316"/>
    </row>
    <row r="2644" spans="3:3" x14ac:dyDescent="0.25">
      <c r="C2644" s="316"/>
    </row>
    <row r="2645" spans="3:3" x14ac:dyDescent="0.25">
      <c r="C2645" s="316"/>
    </row>
    <row r="2646" spans="3:3" x14ac:dyDescent="0.25">
      <c r="C2646" s="316"/>
    </row>
    <row r="2647" spans="3:3" x14ac:dyDescent="0.25">
      <c r="C2647" s="316"/>
    </row>
    <row r="2648" spans="3:3" x14ac:dyDescent="0.25">
      <c r="C2648" s="316"/>
    </row>
    <row r="2649" spans="3:3" x14ac:dyDescent="0.25">
      <c r="C2649" s="316"/>
    </row>
    <row r="2650" spans="3:3" x14ac:dyDescent="0.25">
      <c r="C2650" s="316"/>
    </row>
    <row r="2651" spans="3:3" x14ac:dyDescent="0.25">
      <c r="C2651" s="316"/>
    </row>
    <row r="2652" spans="3:3" x14ac:dyDescent="0.25">
      <c r="C2652" s="316"/>
    </row>
    <row r="2653" spans="3:3" x14ac:dyDescent="0.25">
      <c r="C2653" s="316"/>
    </row>
    <row r="2654" spans="3:3" x14ac:dyDescent="0.25">
      <c r="C2654" s="316"/>
    </row>
    <row r="2655" spans="3:3" x14ac:dyDescent="0.25">
      <c r="C2655" s="316"/>
    </row>
    <row r="2656" spans="3:3" x14ac:dyDescent="0.25">
      <c r="C2656" s="316"/>
    </row>
    <row r="2657" spans="3:3" x14ac:dyDescent="0.25">
      <c r="C2657" s="316"/>
    </row>
    <row r="2658" spans="3:3" x14ac:dyDescent="0.25">
      <c r="C2658" s="316"/>
    </row>
    <row r="2659" spans="3:3" x14ac:dyDescent="0.25">
      <c r="C2659" s="316"/>
    </row>
    <row r="2660" spans="3:3" x14ac:dyDescent="0.25">
      <c r="C2660" s="316"/>
    </row>
    <row r="2661" spans="3:3" x14ac:dyDescent="0.25">
      <c r="C2661" s="316"/>
    </row>
    <row r="2662" spans="3:3" x14ac:dyDescent="0.25">
      <c r="C2662" s="316"/>
    </row>
    <row r="2663" spans="3:3" x14ac:dyDescent="0.25">
      <c r="C2663" s="316"/>
    </row>
    <row r="2664" spans="3:3" x14ac:dyDescent="0.25">
      <c r="C2664" s="316"/>
    </row>
    <row r="2665" spans="3:3" x14ac:dyDescent="0.25">
      <c r="C2665" s="316"/>
    </row>
    <row r="2666" spans="3:3" x14ac:dyDescent="0.25">
      <c r="C2666" s="316"/>
    </row>
    <row r="2667" spans="3:3" x14ac:dyDescent="0.25">
      <c r="C2667" s="316"/>
    </row>
    <row r="2668" spans="3:3" x14ac:dyDescent="0.25">
      <c r="C2668" s="316"/>
    </row>
    <row r="2669" spans="3:3" x14ac:dyDescent="0.25">
      <c r="C2669" s="316"/>
    </row>
    <row r="2670" spans="3:3" x14ac:dyDescent="0.25">
      <c r="C2670" s="316"/>
    </row>
    <row r="2671" spans="3:3" x14ac:dyDescent="0.25">
      <c r="C2671" s="316"/>
    </row>
    <row r="2672" spans="3:3" x14ac:dyDescent="0.25">
      <c r="C2672" s="316"/>
    </row>
    <row r="2673" spans="3:3" x14ac:dyDescent="0.25">
      <c r="C2673" s="316"/>
    </row>
    <row r="2674" spans="3:3" x14ac:dyDescent="0.25">
      <c r="C2674" s="316"/>
    </row>
    <row r="2675" spans="3:3" x14ac:dyDescent="0.25">
      <c r="C2675" s="316"/>
    </row>
    <row r="2676" spans="3:3" x14ac:dyDescent="0.25">
      <c r="C2676" s="316"/>
    </row>
    <row r="2677" spans="3:3" x14ac:dyDescent="0.25">
      <c r="C2677" s="316"/>
    </row>
    <row r="2678" spans="3:3" x14ac:dyDescent="0.25">
      <c r="C2678" s="316"/>
    </row>
    <row r="2679" spans="3:3" x14ac:dyDescent="0.25">
      <c r="C2679" s="316"/>
    </row>
    <row r="2680" spans="3:3" x14ac:dyDescent="0.25">
      <c r="C2680" s="316"/>
    </row>
    <row r="2681" spans="3:3" x14ac:dyDescent="0.25">
      <c r="C2681" s="316"/>
    </row>
    <row r="2682" spans="3:3" x14ac:dyDescent="0.25">
      <c r="C2682" s="316"/>
    </row>
    <row r="2683" spans="3:3" x14ac:dyDescent="0.25">
      <c r="C2683" s="316"/>
    </row>
    <row r="2684" spans="3:3" x14ac:dyDescent="0.25">
      <c r="C2684" s="316"/>
    </row>
    <row r="2685" spans="3:3" x14ac:dyDescent="0.25">
      <c r="C2685" s="316"/>
    </row>
    <row r="2686" spans="3:3" x14ac:dyDescent="0.25">
      <c r="C2686" s="316"/>
    </row>
    <row r="2687" spans="3:3" x14ac:dyDescent="0.25">
      <c r="C2687" s="316"/>
    </row>
    <row r="2688" spans="3:3" x14ac:dyDescent="0.25">
      <c r="C2688" s="316"/>
    </row>
    <row r="2689" spans="3:3" x14ac:dyDescent="0.25">
      <c r="C2689" s="316"/>
    </row>
    <row r="2690" spans="3:3" x14ac:dyDescent="0.25">
      <c r="C2690" s="316"/>
    </row>
    <row r="2691" spans="3:3" x14ac:dyDescent="0.25">
      <c r="C2691" s="316"/>
    </row>
    <row r="2692" spans="3:3" x14ac:dyDescent="0.25">
      <c r="C2692" s="316"/>
    </row>
    <row r="2693" spans="3:3" x14ac:dyDescent="0.25">
      <c r="C2693" s="316"/>
    </row>
    <row r="2694" spans="3:3" x14ac:dyDescent="0.25">
      <c r="C2694" s="316"/>
    </row>
    <row r="2695" spans="3:3" x14ac:dyDescent="0.25">
      <c r="C2695" s="316"/>
    </row>
    <row r="2696" spans="3:3" x14ac:dyDescent="0.25">
      <c r="C2696" s="316"/>
    </row>
    <row r="2697" spans="3:3" x14ac:dyDescent="0.25">
      <c r="C2697" s="316"/>
    </row>
    <row r="2698" spans="3:3" x14ac:dyDescent="0.25">
      <c r="C2698" s="316"/>
    </row>
    <row r="2699" spans="3:3" x14ac:dyDescent="0.25">
      <c r="C2699" s="316"/>
    </row>
    <row r="2700" spans="3:3" x14ac:dyDescent="0.25">
      <c r="C2700" s="316"/>
    </row>
    <row r="2701" spans="3:3" x14ac:dyDescent="0.25">
      <c r="C2701" s="316"/>
    </row>
    <row r="2702" spans="3:3" x14ac:dyDescent="0.25">
      <c r="C2702" s="316"/>
    </row>
    <row r="2703" spans="3:3" x14ac:dyDescent="0.25">
      <c r="C2703" s="316"/>
    </row>
    <row r="2704" spans="3:3" x14ac:dyDescent="0.25">
      <c r="C2704" s="316"/>
    </row>
    <row r="2705" spans="3:3" x14ac:dyDescent="0.25">
      <c r="C2705" s="316"/>
    </row>
    <row r="2706" spans="3:3" x14ac:dyDescent="0.25">
      <c r="C2706" s="316"/>
    </row>
    <row r="2707" spans="3:3" x14ac:dyDescent="0.25">
      <c r="C2707" s="316"/>
    </row>
    <row r="2708" spans="3:3" x14ac:dyDescent="0.25">
      <c r="C2708" s="316"/>
    </row>
    <row r="2709" spans="3:3" x14ac:dyDescent="0.25">
      <c r="C2709" s="316"/>
    </row>
    <row r="2710" spans="3:3" x14ac:dyDescent="0.25">
      <c r="C2710" s="316"/>
    </row>
    <row r="2711" spans="3:3" x14ac:dyDescent="0.25">
      <c r="C2711" s="316"/>
    </row>
    <row r="2712" spans="3:3" x14ac:dyDescent="0.25">
      <c r="C2712" s="316"/>
    </row>
    <row r="2713" spans="3:3" x14ac:dyDescent="0.25">
      <c r="C2713" s="316"/>
    </row>
    <row r="2714" spans="3:3" x14ac:dyDescent="0.25">
      <c r="C2714" s="316"/>
    </row>
    <row r="2715" spans="3:3" x14ac:dyDescent="0.25">
      <c r="C2715" s="316"/>
    </row>
    <row r="2716" spans="3:3" x14ac:dyDescent="0.25">
      <c r="C2716" s="316"/>
    </row>
    <row r="2717" spans="3:3" x14ac:dyDescent="0.25">
      <c r="C2717" s="316"/>
    </row>
    <row r="2718" spans="3:3" x14ac:dyDescent="0.25">
      <c r="C2718" s="316"/>
    </row>
    <row r="2719" spans="3:3" x14ac:dyDescent="0.25">
      <c r="C2719" s="316"/>
    </row>
    <row r="2720" spans="3:3" x14ac:dyDescent="0.25">
      <c r="C2720" s="316"/>
    </row>
    <row r="2721" spans="3:3" x14ac:dyDescent="0.25">
      <c r="C2721" s="316"/>
    </row>
    <row r="2722" spans="3:3" x14ac:dyDescent="0.25">
      <c r="C2722" s="316"/>
    </row>
    <row r="2723" spans="3:3" x14ac:dyDescent="0.25">
      <c r="C2723" s="316"/>
    </row>
    <row r="2724" spans="3:3" x14ac:dyDescent="0.25">
      <c r="C2724" s="316"/>
    </row>
    <row r="2725" spans="3:3" x14ac:dyDescent="0.25">
      <c r="C2725" s="316"/>
    </row>
    <row r="2726" spans="3:3" x14ac:dyDescent="0.25">
      <c r="C2726" s="316"/>
    </row>
    <row r="2727" spans="3:3" x14ac:dyDescent="0.25">
      <c r="C2727" s="316"/>
    </row>
    <row r="2728" spans="3:3" x14ac:dyDescent="0.25">
      <c r="C2728" s="316"/>
    </row>
    <row r="2729" spans="3:3" x14ac:dyDescent="0.25">
      <c r="C2729" s="316"/>
    </row>
    <row r="2730" spans="3:3" x14ac:dyDescent="0.25">
      <c r="C2730" s="316"/>
    </row>
    <row r="2731" spans="3:3" x14ac:dyDescent="0.25">
      <c r="C2731" s="316"/>
    </row>
    <row r="2732" spans="3:3" x14ac:dyDescent="0.25">
      <c r="C2732" s="316"/>
    </row>
    <row r="2733" spans="3:3" x14ac:dyDescent="0.25">
      <c r="C2733" s="316"/>
    </row>
    <row r="2734" spans="3:3" x14ac:dyDescent="0.25">
      <c r="C2734" s="316"/>
    </row>
    <row r="2735" spans="3:3" x14ac:dyDescent="0.25">
      <c r="C2735" s="316"/>
    </row>
    <row r="2736" spans="3:3" x14ac:dyDescent="0.25">
      <c r="C2736" s="316"/>
    </row>
    <row r="2737" spans="3:3" x14ac:dyDescent="0.25">
      <c r="C2737" s="316"/>
    </row>
    <row r="2738" spans="3:3" x14ac:dyDescent="0.25">
      <c r="C2738" s="316"/>
    </row>
    <row r="2739" spans="3:3" x14ac:dyDescent="0.25">
      <c r="C2739" s="316"/>
    </row>
    <row r="2740" spans="3:3" x14ac:dyDescent="0.25">
      <c r="C2740" s="316"/>
    </row>
    <row r="2741" spans="3:3" x14ac:dyDescent="0.25">
      <c r="C2741" s="316"/>
    </row>
    <row r="2742" spans="3:3" x14ac:dyDescent="0.25">
      <c r="C2742" s="316"/>
    </row>
    <row r="2743" spans="3:3" x14ac:dyDescent="0.25">
      <c r="C2743" s="316"/>
    </row>
    <row r="2744" spans="3:3" x14ac:dyDescent="0.25">
      <c r="C2744" s="316"/>
    </row>
    <row r="2745" spans="3:3" x14ac:dyDescent="0.25">
      <c r="C2745" s="316"/>
    </row>
    <row r="2746" spans="3:3" x14ac:dyDescent="0.25">
      <c r="C2746" s="316"/>
    </row>
    <row r="2747" spans="3:3" x14ac:dyDescent="0.25">
      <c r="C2747" s="316"/>
    </row>
    <row r="2748" spans="3:3" x14ac:dyDescent="0.25">
      <c r="C2748" s="316"/>
    </row>
    <row r="2749" spans="3:3" x14ac:dyDescent="0.25">
      <c r="C2749" s="316"/>
    </row>
    <row r="2750" spans="3:3" x14ac:dyDescent="0.25">
      <c r="C2750" s="316"/>
    </row>
    <row r="2751" spans="3:3" x14ac:dyDescent="0.25">
      <c r="C2751" s="316"/>
    </row>
    <row r="2752" spans="3:3" x14ac:dyDescent="0.25">
      <c r="C2752" s="316"/>
    </row>
    <row r="2753" spans="3:3" x14ac:dyDescent="0.25">
      <c r="C2753" s="316"/>
    </row>
    <row r="2754" spans="3:3" x14ac:dyDescent="0.25">
      <c r="C2754" s="316"/>
    </row>
    <row r="2755" spans="3:3" x14ac:dyDescent="0.25">
      <c r="C2755" s="316"/>
    </row>
    <row r="2756" spans="3:3" x14ac:dyDescent="0.25">
      <c r="C2756" s="316"/>
    </row>
    <row r="2757" spans="3:3" x14ac:dyDescent="0.25">
      <c r="C2757" s="316"/>
    </row>
    <row r="2758" spans="3:3" x14ac:dyDescent="0.25">
      <c r="C2758" s="316"/>
    </row>
    <row r="2759" spans="3:3" x14ac:dyDescent="0.25">
      <c r="C2759" s="316"/>
    </row>
    <row r="2760" spans="3:3" x14ac:dyDescent="0.25">
      <c r="C2760" s="316"/>
    </row>
    <row r="2761" spans="3:3" x14ac:dyDescent="0.25">
      <c r="C2761" s="316"/>
    </row>
    <row r="2762" spans="3:3" x14ac:dyDescent="0.25">
      <c r="C2762" s="316"/>
    </row>
    <row r="2763" spans="3:3" x14ac:dyDescent="0.25">
      <c r="C2763" s="316"/>
    </row>
    <row r="2764" spans="3:3" x14ac:dyDescent="0.25">
      <c r="C2764" s="316"/>
    </row>
    <row r="2765" spans="3:3" x14ac:dyDescent="0.25">
      <c r="C2765" s="316"/>
    </row>
    <row r="2766" spans="3:3" x14ac:dyDescent="0.25">
      <c r="C2766" s="316"/>
    </row>
    <row r="2767" spans="3:3" x14ac:dyDescent="0.25">
      <c r="C2767" s="316"/>
    </row>
    <row r="2768" spans="3:3" x14ac:dyDescent="0.25">
      <c r="C2768" s="316"/>
    </row>
    <row r="2769" spans="3:3" x14ac:dyDescent="0.25">
      <c r="C2769" s="316"/>
    </row>
    <row r="2770" spans="3:3" x14ac:dyDescent="0.25">
      <c r="C2770" s="316"/>
    </row>
    <row r="2771" spans="3:3" x14ac:dyDescent="0.25">
      <c r="C2771" s="316"/>
    </row>
    <row r="2772" spans="3:3" x14ac:dyDescent="0.25">
      <c r="C2772" s="316"/>
    </row>
    <row r="2773" spans="3:3" x14ac:dyDescent="0.25">
      <c r="C2773" s="316"/>
    </row>
    <row r="2774" spans="3:3" x14ac:dyDescent="0.25">
      <c r="C2774" s="316"/>
    </row>
    <row r="2775" spans="3:3" x14ac:dyDescent="0.25">
      <c r="C2775" s="316"/>
    </row>
    <row r="2776" spans="3:3" x14ac:dyDescent="0.25">
      <c r="C2776" s="316"/>
    </row>
    <row r="2777" spans="3:3" x14ac:dyDescent="0.25">
      <c r="C2777" s="316"/>
    </row>
    <row r="2778" spans="3:3" x14ac:dyDescent="0.25">
      <c r="C2778" s="316"/>
    </row>
    <row r="2779" spans="3:3" x14ac:dyDescent="0.25">
      <c r="C2779" s="316"/>
    </row>
    <row r="2780" spans="3:3" x14ac:dyDescent="0.25">
      <c r="C2780" s="316"/>
    </row>
    <row r="2781" spans="3:3" x14ac:dyDescent="0.25">
      <c r="C2781" s="316"/>
    </row>
    <row r="2782" spans="3:3" x14ac:dyDescent="0.25">
      <c r="C2782" s="316"/>
    </row>
    <row r="2783" spans="3:3" x14ac:dyDescent="0.25">
      <c r="C2783" s="316"/>
    </row>
    <row r="2784" spans="3:3" x14ac:dyDescent="0.25">
      <c r="C2784" s="316"/>
    </row>
    <row r="2785" spans="3:3" x14ac:dyDescent="0.25">
      <c r="C2785" s="316"/>
    </row>
    <row r="2786" spans="3:3" x14ac:dyDescent="0.25">
      <c r="C2786" s="316"/>
    </row>
    <row r="2787" spans="3:3" x14ac:dyDescent="0.25">
      <c r="C2787" s="316"/>
    </row>
    <row r="2788" spans="3:3" x14ac:dyDescent="0.25">
      <c r="C2788" s="316"/>
    </row>
    <row r="2789" spans="3:3" x14ac:dyDescent="0.25">
      <c r="C2789" s="316"/>
    </row>
    <row r="2790" spans="3:3" x14ac:dyDescent="0.25">
      <c r="C2790" s="316"/>
    </row>
    <row r="2791" spans="3:3" x14ac:dyDescent="0.25">
      <c r="C2791" s="316"/>
    </row>
    <row r="2792" spans="3:3" x14ac:dyDescent="0.25">
      <c r="C2792" s="316"/>
    </row>
    <row r="2793" spans="3:3" x14ac:dyDescent="0.25">
      <c r="C2793" s="316"/>
    </row>
    <row r="2794" spans="3:3" x14ac:dyDescent="0.25">
      <c r="C2794" s="316"/>
    </row>
    <row r="2795" spans="3:3" x14ac:dyDescent="0.25">
      <c r="C2795" s="316"/>
    </row>
    <row r="2796" spans="3:3" x14ac:dyDescent="0.25">
      <c r="C2796" s="316"/>
    </row>
    <row r="2797" spans="3:3" x14ac:dyDescent="0.25">
      <c r="C2797" s="316"/>
    </row>
    <row r="2798" spans="3:3" x14ac:dyDescent="0.25">
      <c r="C2798" s="316"/>
    </row>
    <row r="2799" spans="3:3" x14ac:dyDescent="0.25">
      <c r="C2799" s="316"/>
    </row>
    <row r="2800" spans="3:3" x14ac:dyDescent="0.25">
      <c r="C2800" s="316"/>
    </row>
    <row r="2801" spans="3:3" x14ac:dyDescent="0.25">
      <c r="C2801" s="316"/>
    </row>
    <row r="2802" spans="3:3" x14ac:dyDescent="0.25">
      <c r="C2802" s="316"/>
    </row>
    <row r="2803" spans="3:3" x14ac:dyDescent="0.25">
      <c r="C2803" s="316"/>
    </row>
    <row r="2804" spans="3:3" x14ac:dyDescent="0.25">
      <c r="C2804" s="316"/>
    </row>
    <row r="2805" spans="3:3" x14ac:dyDescent="0.25">
      <c r="C2805" s="316"/>
    </row>
    <row r="2806" spans="3:3" x14ac:dyDescent="0.25">
      <c r="C2806" s="316"/>
    </row>
    <row r="2807" spans="3:3" x14ac:dyDescent="0.25">
      <c r="C2807" s="316"/>
    </row>
    <row r="2808" spans="3:3" x14ac:dyDescent="0.25">
      <c r="C2808" s="316"/>
    </row>
    <row r="2809" spans="3:3" x14ac:dyDescent="0.25">
      <c r="C2809" s="316"/>
    </row>
    <row r="2810" spans="3:3" x14ac:dyDescent="0.25">
      <c r="C2810" s="316"/>
    </row>
    <row r="2811" spans="3:3" x14ac:dyDescent="0.25">
      <c r="C2811" s="316"/>
    </row>
    <row r="2812" spans="3:3" x14ac:dyDescent="0.25">
      <c r="C2812" s="316"/>
    </row>
    <row r="2813" spans="3:3" x14ac:dyDescent="0.25">
      <c r="C2813" s="316"/>
    </row>
    <row r="2814" spans="3:3" x14ac:dyDescent="0.25">
      <c r="C2814" s="316"/>
    </row>
    <row r="2815" spans="3:3" x14ac:dyDescent="0.25">
      <c r="C2815" s="316"/>
    </row>
    <row r="2816" spans="3:3" x14ac:dyDescent="0.25">
      <c r="C2816" s="316"/>
    </row>
    <row r="2817" spans="3:3" x14ac:dyDescent="0.25">
      <c r="C2817" s="316"/>
    </row>
    <row r="2818" spans="3:3" x14ac:dyDescent="0.25">
      <c r="C2818" s="316"/>
    </row>
    <row r="2819" spans="3:3" x14ac:dyDescent="0.25">
      <c r="C2819" s="316"/>
    </row>
    <row r="2820" spans="3:3" x14ac:dyDescent="0.25">
      <c r="C2820" s="316"/>
    </row>
    <row r="2821" spans="3:3" x14ac:dyDescent="0.25">
      <c r="C2821" s="316"/>
    </row>
    <row r="2822" spans="3:3" x14ac:dyDescent="0.25">
      <c r="C2822" s="316"/>
    </row>
    <row r="2823" spans="3:3" x14ac:dyDescent="0.25">
      <c r="C2823" s="316"/>
    </row>
    <row r="2824" spans="3:3" x14ac:dyDescent="0.25">
      <c r="C2824" s="316"/>
    </row>
    <row r="2825" spans="3:3" x14ac:dyDescent="0.25">
      <c r="C2825" s="316"/>
    </row>
    <row r="2826" spans="3:3" x14ac:dyDescent="0.25">
      <c r="C2826" s="316"/>
    </row>
    <row r="2827" spans="3:3" x14ac:dyDescent="0.25">
      <c r="C2827" s="316"/>
    </row>
    <row r="2828" spans="3:3" x14ac:dyDescent="0.25">
      <c r="C2828" s="316"/>
    </row>
    <row r="2829" spans="3:3" x14ac:dyDescent="0.25">
      <c r="C2829" s="316"/>
    </row>
    <row r="2830" spans="3:3" x14ac:dyDescent="0.25">
      <c r="C2830" s="316"/>
    </row>
    <row r="2831" spans="3:3" x14ac:dyDescent="0.25">
      <c r="C2831" s="316"/>
    </row>
    <row r="2832" spans="3:3" x14ac:dyDescent="0.25">
      <c r="C2832" s="316"/>
    </row>
    <row r="2833" spans="3:3" x14ac:dyDescent="0.25">
      <c r="C2833" s="316"/>
    </row>
    <row r="2834" spans="3:3" x14ac:dyDescent="0.25">
      <c r="C2834" s="316"/>
    </row>
    <row r="2835" spans="3:3" x14ac:dyDescent="0.25">
      <c r="C2835" s="316"/>
    </row>
    <row r="2836" spans="3:3" x14ac:dyDescent="0.25">
      <c r="C2836" s="316"/>
    </row>
    <row r="2837" spans="3:3" x14ac:dyDescent="0.25">
      <c r="C2837" s="316"/>
    </row>
    <row r="2838" spans="3:3" x14ac:dyDescent="0.25">
      <c r="C2838" s="316"/>
    </row>
    <row r="2839" spans="3:3" x14ac:dyDescent="0.25">
      <c r="C2839" s="316"/>
    </row>
    <row r="2840" spans="3:3" x14ac:dyDescent="0.25">
      <c r="C2840" s="316"/>
    </row>
    <row r="2841" spans="3:3" x14ac:dyDescent="0.25">
      <c r="C2841" s="316"/>
    </row>
    <row r="2842" spans="3:3" x14ac:dyDescent="0.25">
      <c r="C2842" s="316"/>
    </row>
    <row r="2843" spans="3:3" x14ac:dyDescent="0.25">
      <c r="C2843" s="316"/>
    </row>
    <row r="2844" spans="3:3" x14ac:dyDescent="0.25">
      <c r="C2844" s="316"/>
    </row>
    <row r="2845" spans="3:3" x14ac:dyDescent="0.25">
      <c r="C2845" s="316"/>
    </row>
    <row r="2846" spans="3:3" x14ac:dyDescent="0.25">
      <c r="C2846" s="316"/>
    </row>
    <row r="2847" spans="3:3" x14ac:dyDescent="0.25">
      <c r="C2847" s="316"/>
    </row>
    <row r="2848" spans="3:3" x14ac:dyDescent="0.25">
      <c r="C2848" s="316"/>
    </row>
    <row r="2849" spans="3:3" x14ac:dyDescent="0.25">
      <c r="C2849" s="316"/>
    </row>
    <row r="2850" spans="3:3" x14ac:dyDescent="0.25">
      <c r="C2850" s="316"/>
    </row>
    <row r="2851" spans="3:3" x14ac:dyDescent="0.25">
      <c r="C2851" s="316"/>
    </row>
    <row r="2852" spans="3:3" x14ac:dyDescent="0.25">
      <c r="C2852" s="316"/>
    </row>
    <row r="2853" spans="3:3" x14ac:dyDescent="0.25">
      <c r="C2853" s="316"/>
    </row>
    <row r="2854" spans="3:3" x14ac:dyDescent="0.25">
      <c r="C2854" s="316"/>
    </row>
    <row r="2855" spans="3:3" x14ac:dyDescent="0.25">
      <c r="C2855" s="316"/>
    </row>
    <row r="2856" spans="3:3" x14ac:dyDescent="0.25">
      <c r="C2856" s="316"/>
    </row>
    <row r="2857" spans="3:3" x14ac:dyDescent="0.25">
      <c r="C2857" s="316"/>
    </row>
    <row r="2858" spans="3:3" x14ac:dyDescent="0.25">
      <c r="C2858" s="316"/>
    </row>
    <row r="2859" spans="3:3" x14ac:dyDescent="0.25">
      <c r="C2859" s="316"/>
    </row>
    <row r="2860" spans="3:3" x14ac:dyDescent="0.25">
      <c r="C2860" s="316"/>
    </row>
    <row r="2861" spans="3:3" x14ac:dyDescent="0.25">
      <c r="C2861" s="316"/>
    </row>
    <row r="2862" spans="3:3" x14ac:dyDescent="0.25">
      <c r="C2862" s="316"/>
    </row>
    <row r="2863" spans="3:3" x14ac:dyDescent="0.25">
      <c r="C2863" s="316"/>
    </row>
    <row r="2864" spans="3:3" x14ac:dyDescent="0.25">
      <c r="C2864" s="316"/>
    </row>
    <row r="2865" spans="3:3" x14ac:dyDescent="0.25">
      <c r="C2865" s="316"/>
    </row>
    <row r="2866" spans="3:3" x14ac:dyDescent="0.25">
      <c r="C2866" s="316"/>
    </row>
    <row r="2867" spans="3:3" x14ac:dyDescent="0.25">
      <c r="C2867" s="316"/>
    </row>
    <row r="2868" spans="3:3" x14ac:dyDescent="0.25">
      <c r="C2868" s="316"/>
    </row>
    <row r="2869" spans="3:3" x14ac:dyDescent="0.25">
      <c r="C2869" s="316"/>
    </row>
    <row r="2870" spans="3:3" x14ac:dyDescent="0.25">
      <c r="C2870" s="316"/>
    </row>
    <row r="2871" spans="3:3" x14ac:dyDescent="0.25">
      <c r="C2871" s="316"/>
    </row>
    <row r="2872" spans="3:3" x14ac:dyDescent="0.25">
      <c r="C2872" s="316"/>
    </row>
    <row r="2873" spans="3:3" x14ac:dyDescent="0.25">
      <c r="C2873" s="316"/>
    </row>
    <row r="2874" spans="3:3" x14ac:dyDescent="0.25">
      <c r="C2874" s="316"/>
    </row>
    <row r="2875" spans="3:3" x14ac:dyDescent="0.25">
      <c r="C2875" s="316"/>
    </row>
    <row r="2876" spans="3:3" x14ac:dyDescent="0.25">
      <c r="C2876" s="316"/>
    </row>
    <row r="2877" spans="3:3" x14ac:dyDescent="0.25">
      <c r="C2877" s="316"/>
    </row>
    <row r="2878" spans="3:3" x14ac:dyDescent="0.25">
      <c r="C2878" s="316"/>
    </row>
    <row r="2879" spans="3:3" x14ac:dyDescent="0.25">
      <c r="C2879" s="316"/>
    </row>
    <row r="2880" spans="3:3" x14ac:dyDescent="0.25">
      <c r="C2880" s="316"/>
    </row>
    <row r="2881" spans="3:3" x14ac:dyDescent="0.25">
      <c r="C2881" s="316"/>
    </row>
    <row r="2882" spans="3:3" x14ac:dyDescent="0.25">
      <c r="C2882" s="316"/>
    </row>
    <row r="2883" spans="3:3" x14ac:dyDescent="0.25">
      <c r="C2883" s="316"/>
    </row>
    <row r="2884" spans="3:3" x14ac:dyDescent="0.25">
      <c r="C2884" s="316"/>
    </row>
    <row r="2885" spans="3:3" x14ac:dyDescent="0.25">
      <c r="C2885" s="316"/>
    </row>
    <row r="2886" spans="3:3" x14ac:dyDescent="0.25">
      <c r="C2886" s="316"/>
    </row>
    <row r="2887" spans="3:3" x14ac:dyDescent="0.25">
      <c r="C2887" s="316"/>
    </row>
    <row r="2888" spans="3:3" x14ac:dyDescent="0.25">
      <c r="C2888" s="316"/>
    </row>
    <row r="2889" spans="3:3" x14ac:dyDescent="0.25">
      <c r="C2889" s="316"/>
    </row>
    <row r="2890" spans="3:3" x14ac:dyDescent="0.25">
      <c r="C2890" s="316"/>
    </row>
    <row r="2891" spans="3:3" x14ac:dyDescent="0.25">
      <c r="C2891" s="316"/>
    </row>
    <row r="2892" spans="3:3" x14ac:dyDescent="0.25">
      <c r="C2892" s="316"/>
    </row>
    <row r="2893" spans="3:3" x14ac:dyDescent="0.25">
      <c r="C2893" s="316"/>
    </row>
    <row r="2894" spans="3:3" x14ac:dyDescent="0.25">
      <c r="C2894" s="316"/>
    </row>
    <row r="2895" spans="3:3" x14ac:dyDescent="0.25">
      <c r="C2895" s="316"/>
    </row>
    <row r="2896" spans="3:3" x14ac:dyDescent="0.25">
      <c r="C2896" s="316"/>
    </row>
    <row r="2897" spans="3:3" x14ac:dyDescent="0.25">
      <c r="C2897" s="316"/>
    </row>
    <row r="2898" spans="3:3" x14ac:dyDescent="0.25">
      <c r="C2898" s="316"/>
    </row>
    <row r="2899" spans="3:3" x14ac:dyDescent="0.25">
      <c r="C2899" s="316"/>
    </row>
    <row r="2900" spans="3:3" x14ac:dyDescent="0.25">
      <c r="C2900" s="316"/>
    </row>
    <row r="2901" spans="3:3" x14ac:dyDescent="0.25">
      <c r="C2901" s="316"/>
    </row>
    <row r="2902" spans="3:3" x14ac:dyDescent="0.25">
      <c r="C2902" s="316"/>
    </row>
    <row r="2903" spans="3:3" x14ac:dyDescent="0.25">
      <c r="C2903" s="316"/>
    </row>
    <row r="2904" spans="3:3" x14ac:dyDescent="0.25">
      <c r="C2904" s="316"/>
    </row>
    <row r="2905" spans="3:3" x14ac:dyDescent="0.25">
      <c r="C2905" s="316"/>
    </row>
    <row r="2906" spans="3:3" x14ac:dyDescent="0.25">
      <c r="C2906" s="316"/>
    </row>
    <row r="2907" spans="3:3" x14ac:dyDescent="0.25">
      <c r="C2907" s="316"/>
    </row>
    <row r="2908" spans="3:3" x14ac:dyDescent="0.25">
      <c r="C2908" s="316"/>
    </row>
    <row r="2909" spans="3:3" x14ac:dyDescent="0.25">
      <c r="C2909" s="316"/>
    </row>
    <row r="2910" spans="3:3" x14ac:dyDescent="0.25">
      <c r="C2910" s="316"/>
    </row>
    <row r="2911" spans="3:3" x14ac:dyDescent="0.25">
      <c r="C2911" s="316"/>
    </row>
    <row r="2912" spans="3:3" x14ac:dyDescent="0.25">
      <c r="C2912" s="316"/>
    </row>
    <row r="2913" spans="3:3" x14ac:dyDescent="0.25">
      <c r="C2913" s="316"/>
    </row>
    <row r="2914" spans="3:3" x14ac:dyDescent="0.25">
      <c r="C2914" s="316"/>
    </row>
    <row r="2915" spans="3:3" x14ac:dyDescent="0.25">
      <c r="C2915" s="316"/>
    </row>
    <row r="2916" spans="3:3" x14ac:dyDescent="0.25">
      <c r="C2916" s="316"/>
    </row>
    <row r="2917" spans="3:3" x14ac:dyDescent="0.25">
      <c r="C2917" s="316"/>
    </row>
    <row r="2918" spans="3:3" x14ac:dyDescent="0.25">
      <c r="C2918" s="316"/>
    </row>
    <row r="2919" spans="3:3" x14ac:dyDescent="0.25">
      <c r="C2919" s="316"/>
    </row>
    <row r="2920" spans="3:3" x14ac:dyDescent="0.25">
      <c r="C2920" s="316"/>
    </row>
    <row r="2921" spans="3:3" x14ac:dyDescent="0.25">
      <c r="C2921" s="316"/>
    </row>
    <row r="2922" spans="3:3" x14ac:dyDescent="0.25">
      <c r="C2922" s="316"/>
    </row>
    <row r="2923" spans="3:3" x14ac:dyDescent="0.25">
      <c r="C2923" s="316"/>
    </row>
    <row r="2924" spans="3:3" x14ac:dyDescent="0.25">
      <c r="C2924" s="316"/>
    </row>
    <row r="2925" spans="3:3" x14ac:dyDescent="0.25">
      <c r="C2925" s="316"/>
    </row>
    <row r="2926" spans="3:3" x14ac:dyDescent="0.25">
      <c r="C2926" s="316"/>
    </row>
    <row r="2927" spans="3:3" x14ac:dyDescent="0.25">
      <c r="C2927" s="316"/>
    </row>
    <row r="2928" spans="3:3" x14ac:dyDescent="0.25">
      <c r="C2928" s="316"/>
    </row>
    <row r="2929" spans="3:3" x14ac:dyDescent="0.25">
      <c r="C2929" s="316"/>
    </row>
    <row r="2930" spans="3:3" x14ac:dyDescent="0.25">
      <c r="C2930" s="316"/>
    </row>
    <row r="2931" spans="3:3" x14ac:dyDescent="0.25">
      <c r="C2931" s="316"/>
    </row>
    <row r="2932" spans="3:3" x14ac:dyDescent="0.25">
      <c r="C2932" s="316"/>
    </row>
    <row r="2933" spans="3:3" x14ac:dyDescent="0.25">
      <c r="C2933" s="316"/>
    </row>
    <row r="2934" spans="3:3" x14ac:dyDescent="0.25">
      <c r="C2934" s="316"/>
    </row>
    <row r="2935" spans="3:3" x14ac:dyDescent="0.25">
      <c r="C2935" s="316"/>
    </row>
    <row r="2936" spans="3:3" x14ac:dyDescent="0.25">
      <c r="C2936" s="316"/>
    </row>
    <row r="2937" spans="3:3" x14ac:dyDescent="0.25">
      <c r="C2937" s="316"/>
    </row>
    <row r="2938" spans="3:3" x14ac:dyDescent="0.25">
      <c r="C2938" s="316"/>
    </row>
    <row r="2939" spans="3:3" x14ac:dyDescent="0.25">
      <c r="C2939" s="316"/>
    </row>
    <row r="2940" spans="3:3" x14ac:dyDescent="0.25">
      <c r="C2940" s="316"/>
    </row>
    <row r="2941" spans="3:3" x14ac:dyDescent="0.25">
      <c r="C2941" s="316"/>
    </row>
    <row r="2942" spans="3:3" x14ac:dyDescent="0.25">
      <c r="C2942" s="316"/>
    </row>
    <row r="2943" spans="3:3" x14ac:dyDescent="0.25">
      <c r="C2943" s="316"/>
    </row>
    <row r="2944" spans="3:3" x14ac:dyDescent="0.25">
      <c r="C2944" s="316"/>
    </row>
    <row r="2945" spans="3:3" x14ac:dyDescent="0.25">
      <c r="C2945" s="316"/>
    </row>
    <row r="2946" spans="3:3" x14ac:dyDescent="0.25">
      <c r="C2946" s="316"/>
    </row>
    <row r="2947" spans="3:3" x14ac:dyDescent="0.25">
      <c r="C2947" s="316"/>
    </row>
    <row r="2948" spans="3:3" x14ac:dyDescent="0.25">
      <c r="C2948" s="316"/>
    </row>
    <row r="2949" spans="3:3" x14ac:dyDescent="0.25">
      <c r="C2949" s="316"/>
    </row>
    <row r="2950" spans="3:3" x14ac:dyDescent="0.25">
      <c r="C2950" s="316"/>
    </row>
    <row r="2951" spans="3:3" x14ac:dyDescent="0.25">
      <c r="C2951" s="316"/>
    </row>
    <row r="2952" spans="3:3" x14ac:dyDescent="0.25">
      <c r="C2952" s="316"/>
    </row>
    <row r="2953" spans="3:3" x14ac:dyDescent="0.25">
      <c r="C2953" s="316"/>
    </row>
    <row r="2954" spans="3:3" x14ac:dyDescent="0.25">
      <c r="C2954" s="316"/>
    </row>
    <row r="2955" spans="3:3" x14ac:dyDescent="0.25">
      <c r="C2955" s="316"/>
    </row>
    <row r="2956" spans="3:3" x14ac:dyDescent="0.25">
      <c r="C2956" s="316"/>
    </row>
    <row r="2957" spans="3:3" x14ac:dyDescent="0.25">
      <c r="C2957" s="316"/>
    </row>
    <row r="2958" spans="3:3" x14ac:dyDescent="0.25">
      <c r="C2958" s="316"/>
    </row>
    <row r="2959" spans="3:3" x14ac:dyDescent="0.25">
      <c r="C2959" s="316"/>
    </row>
    <row r="2960" spans="3:3" x14ac:dyDescent="0.25">
      <c r="C2960" s="316"/>
    </row>
    <row r="2961" spans="3:3" x14ac:dyDescent="0.25">
      <c r="C2961" s="316"/>
    </row>
    <row r="2962" spans="3:3" x14ac:dyDescent="0.25">
      <c r="C2962" s="316"/>
    </row>
    <row r="2963" spans="3:3" x14ac:dyDescent="0.25">
      <c r="C2963" s="316"/>
    </row>
    <row r="2964" spans="3:3" x14ac:dyDescent="0.25">
      <c r="C2964" s="316"/>
    </row>
    <row r="2965" spans="3:3" x14ac:dyDescent="0.25">
      <c r="C2965" s="316"/>
    </row>
    <row r="2966" spans="3:3" x14ac:dyDescent="0.25">
      <c r="C2966" s="316"/>
    </row>
    <row r="2967" spans="3:3" x14ac:dyDescent="0.25">
      <c r="C2967" s="316"/>
    </row>
    <row r="2968" spans="3:3" x14ac:dyDescent="0.25">
      <c r="C2968" s="316"/>
    </row>
    <row r="2969" spans="3:3" x14ac:dyDescent="0.25">
      <c r="C2969" s="316"/>
    </row>
    <row r="2970" spans="3:3" x14ac:dyDescent="0.25">
      <c r="C2970" s="316"/>
    </row>
    <row r="2971" spans="3:3" x14ac:dyDescent="0.25">
      <c r="C2971" s="316"/>
    </row>
    <row r="2972" spans="3:3" x14ac:dyDescent="0.25">
      <c r="C2972" s="316"/>
    </row>
    <row r="2973" spans="3:3" x14ac:dyDescent="0.25">
      <c r="C2973" s="316"/>
    </row>
    <row r="2974" spans="3:3" x14ac:dyDescent="0.25">
      <c r="C2974" s="316"/>
    </row>
    <row r="2975" spans="3:3" x14ac:dyDescent="0.25">
      <c r="C2975" s="316"/>
    </row>
    <row r="2976" spans="3:3" x14ac:dyDescent="0.25">
      <c r="C2976" s="316"/>
    </row>
    <row r="2977" spans="3:3" x14ac:dyDescent="0.25">
      <c r="C2977" s="316"/>
    </row>
    <row r="2978" spans="3:3" x14ac:dyDescent="0.25">
      <c r="C2978" s="316"/>
    </row>
    <row r="2979" spans="3:3" x14ac:dyDescent="0.25">
      <c r="C2979" s="316"/>
    </row>
    <row r="2980" spans="3:3" x14ac:dyDescent="0.25">
      <c r="C2980" s="316"/>
    </row>
    <row r="2981" spans="3:3" x14ac:dyDescent="0.25">
      <c r="C2981" s="316"/>
    </row>
    <row r="2982" spans="3:3" x14ac:dyDescent="0.25">
      <c r="C2982" s="316"/>
    </row>
    <row r="2983" spans="3:3" x14ac:dyDescent="0.25">
      <c r="C2983" s="316"/>
    </row>
    <row r="2984" spans="3:3" x14ac:dyDescent="0.25">
      <c r="C2984" s="316"/>
    </row>
    <row r="2985" spans="3:3" x14ac:dyDescent="0.25">
      <c r="C2985" s="316"/>
    </row>
    <row r="2986" spans="3:3" x14ac:dyDescent="0.25">
      <c r="C2986" s="316"/>
    </row>
    <row r="2987" spans="3:3" x14ac:dyDescent="0.25">
      <c r="C2987" s="316"/>
    </row>
    <row r="2988" spans="3:3" x14ac:dyDescent="0.25">
      <c r="C2988" s="316"/>
    </row>
    <row r="2989" spans="3:3" x14ac:dyDescent="0.25">
      <c r="C2989" s="316"/>
    </row>
    <row r="2990" spans="3:3" x14ac:dyDescent="0.25">
      <c r="C2990" s="316"/>
    </row>
    <row r="2991" spans="3:3" x14ac:dyDescent="0.25">
      <c r="C2991" s="316"/>
    </row>
    <row r="2992" spans="3:3" x14ac:dyDescent="0.25">
      <c r="C2992" s="316"/>
    </row>
    <row r="2993" spans="3:3" x14ac:dyDescent="0.25">
      <c r="C2993" s="316"/>
    </row>
    <row r="2994" spans="3:3" x14ac:dyDescent="0.25">
      <c r="C2994" s="316"/>
    </row>
    <row r="2995" spans="3:3" x14ac:dyDescent="0.25">
      <c r="C2995" s="316"/>
    </row>
    <row r="2996" spans="3:3" x14ac:dyDescent="0.25">
      <c r="C2996" s="316"/>
    </row>
    <row r="2997" spans="3:3" x14ac:dyDescent="0.25">
      <c r="C2997" s="316"/>
    </row>
    <row r="2998" spans="3:3" x14ac:dyDescent="0.25">
      <c r="C2998" s="316"/>
    </row>
    <row r="2999" spans="3:3" x14ac:dyDescent="0.25">
      <c r="C2999" s="316"/>
    </row>
    <row r="3000" spans="3:3" x14ac:dyDescent="0.25">
      <c r="C3000" s="316"/>
    </row>
    <row r="3001" spans="3:3" x14ac:dyDescent="0.25">
      <c r="C3001" s="316"/>
    </row>
    <row r="3002" spans="3:3" x14ac:dyDescent="0.25">
      <c r="C3002" s="316"/>
    </row>
    <row r="3003" spans="3:3" x14ac:dyDescent="0.25">
      <c r="C3003" s="316"/>
    </row>
    <row r="3004" spans="3:3" x14ac:dyDescent="0.25">
      <c r="C3004" s="316"/>
    </row>
    <row r="3005" spans="3:3" x14ac:dyDescent="0.25">
      <c r="C3005" s="316"/>
    </row>
    <row r="3006" spans="3:3" x14ac:dyDescent="0.25">
      <c r="C3006" s="316"/>
    </row>
    <row r="3007" spans="3:3" x14ac:dyDescent="0.25">
      <c r="C3007" s="316"/>
    </row>
    <row r="3008" spans="3:3" x14ac:dyDescent="0.25">
      <c r="C3008" s="316"/>
    </row>
    <row r="3009" spans="3:3" x14ac:dyDescent="0.25">
      <c r="C3009" s="316"/>
    </row>
    <row r="3010" spans="3:3" x14ac:dyDescent="0.25">
      <c r="C3010" s="316"/>
    </row>
    <row r="3011" spans="3:3" x14ac:dyDescent="0.25">
      <c r="C3011" s="316"/>
    </row>
    <row r="3012" spans="3:3" x14ac:dyDescent="0.25">
      <c r="C3012" s="316"/>
    </row>
    <row r="3013" spans="3:3" x14ac:dyDescent="0.25">
      <c r="C3013" s="316"/>
    </row>
    <row r="3014" spans="3:3" x14ac:dyDescent="0.25">
      <c r="C3014" s="316"/>
    </row>
    <row r="3015" spans="3:3" x14ac:dyDescent="0.25">
      <c r="C3015" s="316"/>
    </row>
    <row r="3016" spans="3:3" x14ac:dyDescent="0.25">
      <c r="C3016" s="316"/>
    </row>
    <row r="3017" spans="3:3" x14ac:dyDescent="0.25">
      <c r="C3017" s="316"/>
    </row>
    <row r="3018" spans="3:3" x14ac:dyDescent="0.25">
      <c r="C3018" s="316"/>
    </row>
    <row r="3019" spans="3:3" x14ac:dyDescent="0.25">
      <c r="C3019" s="316"/>
    </row>
    <row r="3020" spans="3:3" x14ac:dyDescent="0.25">
      <c r="C3020" s="316"/>
    </row>
    <row r="3021" spans="3:3" x14ac:dyDescent="0.25">
      <c r="C3021" s="316"/>
    </row>
    <row r="3022" spans="3:3" x14ac:dyDescent="0.25">
      <c r="C3022" s="316"/>
    </row>
    <row r="3023" spans="3:3" x14ac:dyDescent="0.25">
      <c r="C3023" s="316"/>
    </row>
    <row r="3024" spans="3:3" x14ac:dyDescent="0.25">
      <c r="C3024" s="316"/>
    </row>
    <row r="3025" spans="3:3" x14ac:dyDescent="0.25">
      <c r="C3025" s="316"/>
    </row>
    <row r="3026" spans="3:3" x14ac:dyDescent="0.25">
      <c r="C3026" s="316"/>
    </row>
    <row r="3027" spans="3:3" x14ac:dyDescent="0.25">
      <c r="C3027" s="316"/>
    </row>
    <row r="3028" spans="3:3" x14ac:dyDescent="0.25">
      <c r="C3028" s="316"/>
    </row>
    <row r="3029" spans="3:3" x14ac:dyDescent="0.25">
      <c r="C3029" s="316"/>
    </row>
    <row r="3030" spans="3:3" x14ac:dyDescent="0.25">
      <c r="C3030" s="316"/>
    </row>
    <row r="3031" spans="3:3" x14ac:dyDescent="0.25">
      <c r="C3031" s="316"/>
    </row>
    <row r="3032" spans="3:3" x14ac:dyDescent="0.25">
      <c r="C3032" s="316"/>
    </row>
    <row r="3033" spans="3:3" x14ac:dyDescent="0.25">
      <c r="C3033" s="316"/>
    </row>
    <row r="3034" spans="3:3" x14ac:dyDescent="0.25">
      <c r="C3034" s="316"/>
    </row>
    <row r="3035" spans="3:3" x14ac:dyDescent="0.25">
      <c r="C3035" s="316"/>
    </row>
    <row r="3036" spans="3:3" x14ac:dyDescent="0.25">
      <c r="C3036" s="316"/>
    </row>
    <row r="3037" spans="3:3" x14ac:dyDescent="0.25">
      <c r="C3037" s="316"/>
    </row>
    <row r="3038" spans="3:3" x14ac:dyDescent="0.25">
      <c r="C3038" s="316"/>
    </row>
    <row r="3039" spans="3:3" x14ac:dyDescent="0.25">
      <c r="C3039" s="316"/>
    </row>
    <row r="3040" spans="3:3" x14ac:dyDescent="0.25">
      <c r="C3040" s="316"/>
    </row>
    <row r="3041" spans="3:3" x14ac:dyDescent="0.25">
      <c r="C3041" s="316"/>
    </row>
    <row r="3042" spans="3:3" x14ac:dyDescent="0.25">
      <c r="C3042" s="316"/>
    </row>
    <row r="3043" spans="3:3" x14ac:dyDescent="0.25">
      <c r="C3043" s="316"/>
    </row>
    <row r="3044" spans="3:3" x14ac:dyDescent="0.25">
      <c r="C3044" s="316"/>
    </row>
    <row r="3045" spans="3:3" x14ac:dyDescent="0.25">
      <c r="C3045" s="316"/>
    </row>
    <row r="3046" spans="3:3" x14ac:dyDescent="0.25">
      <c r="C3046" s="316"/>
    </row>
    <row r="3047" spans="3:3" x14ac:dyDescent="0.25">
      <c r="C3047" s="316"/>
    </row>
    <row r="3048" spans="3:3" x14ac:dyDescent="0.25">
      <c r="C3048" s="316"/>
    </row>
    <row r="3049" spans="3:3" x14ac:dyDescent="0.25">
      <c r="C3049" s="316"/>
    </row>
    <row r="3050" spans="3:3" x14ac:dyDescent="0.25">
      <c r="C3050" s="316"/>
    </row>
    <row r="3051" spans="3:3" x14ac:dyDescent="0.25">
      <c r="C3051" s="316"/>
    </row>
    <row r="3052" spans="3:3" x14ac:dyDescent="0.25">
      <c r="C3052" s="316"/>
    </row>
    <row r="3053" spans="3:3" x14ac:dyDescent="0.25">
      <c r="C3053" s="316"/>
    </row>
    <row r="3054" spans="3:3" x14ac:dyDescent="0.25">
      <c r="C3054" s="316"/>
    </row>
    <row r="3055" spans="3:3" x14ac:dyDescent="0.25">
      <c r="C3055" s="316"/>
    </row>
    <row r="3056" spans="3:3" x14ac:dyDescent="0.25">
      <c r="C3056" s="316"/>
    </row>
    <row r="3057" spans="3:3" x14ac:dyDescent="0.25">
      <c r="C3057" s="316"/>
    </row>
    <row r="3058" spans="3:3" x14ac:dyDescent="0.25">
      <c r="C3058" s="316"/>
    </row>
    <row r="3059" spans="3:3" x14ac:dyDescent="0.25">
      <c r="C3059" s="316"/>
    </row>
    <row r="3060" spans="3:3" x14ac:dyDescent="0.25">
      <c r="C3060" s="316"/>
    </row>
    <row r="3061" spans="3:3" x14ac:dyDescent="0.25">
      <c r="C3061" s="316"/>
    </row>
    <row r="3062" spans="3:3" x14ac:dyDescent="0.25">
      <c r="C3062" s="316"/>
    </row>
    <row r="3063" spans="3:3" x14ac:dyDescent="0.25">
      <c r="C3063" s="316"/>
    </row>
    <row r="3064" spans="3:3" x14ac:dyDescent="0.25">
      <c r="C3064" s="316"/>
    </row>
    <row r="3065" spans="3:3" x14ac:dyDescent="0.25">
      <c r="C3065" s="316"/>
    </row>
    <row r="3066" spans="3:3" x14ac:dyDescent="0.25">
      <c r="C3066" s="316"/>
    </row>
    <row r="3067" spans="3:3" x14ac:dyDescent="0.25">
      <c r="C3067" s="316"/>
    </row>
    <row r="3068" spans="3:3" x14ac:dyDescent="0.25">
      <c r="C3068" s="316"/>
    </row>
    <row r="3069" spans="3:3" x14ac:dyDescent="0.25">
      <c r="C3069" s="316"/>
    </row>
    <row r="3070" spans="3:3" x14ac:dyDescent="0.25">
      <c r="C3070" s="316"/>
    </row>
    <row r="3071" spans="3:3" x14ac:dyDescent="0.25">
      <c r="C3071" s="316"/>
    </row>
    <row r="3072" spans="3:3" x14ac:dyDescent="0.25">
      <c r="C3072" s="316"/>
    </row>
    <row r="3073" spans="3:3" x14ac:dyDescent="0.25">
      <c r="C3073" s="316"/>
    </row>
    <row r="3074" spans="3:3" x14ac:dyDescent="0.25">
      <c r="C3074" s="316"/>
    </row>
    <row r="3075" spans="3:3" x14ac:dyDescent="0.25">
      <c r="C3075" s="316"/>
    </row>
    <row r="3076" spans="3:3" x14ac:dyDescent="0.25">
      <c r="C3076" s="316"/>
    </row>
    <row r="3077" spans="3:3" x14ac:dyDescent="0.25">
      <c r="C3077" s="316"/>
    </row>
    <row r="3078" spans="3:3" x14ac:dyDescent="0.25">
      <c r="C3078" s="316"/>
    </row>
    <row r="3079" spans="3:3" x14ac:dyDescent="0.25">
      <c r="C3079" s="316"/>
    </row>
    <row r="3080" spans="3:3" x14ac:dyDescent="0.25">
      <c r="C3080" s="316"/>
    </row>
    <row r="3081" spans="3:3" x14ac:dyDescent="0.25">
      <c r="C3081" s="316"/>
    </row>
    <row r="3082" spans="3:3" x14ac:dyDescent="0.25">
      <c r="C3082" s="316"/>
    </row>
    <row r="3083" spans="3:3" x14ac:dyDescent="0.25">
      <c r="C3083" s="316"/>
    </row>
    <row r="3084" spans="3:3" x14ac:dyDescent="0.25">
      <c r="C3084" s="316"/>
    </row>
    <row r="3085" spans="3:3" x14ac:dyDescent="0.25">
      <c r="C3085" s="316"/>
    </row>
    <row r="3086" spans="3:3" x14ac:dyDescent="0.25">
      <c r="C3086" s="316"/>
    </row>
    <row r="3087" spans="3:3" x14ac:dyDescent="0.25">
      <c r="C3087" s="316"/>
    </row>
    <row r="3088" spans="3:3" x14ac:dyDescent="0.25">
      <c r="C3088" s="316"/>
    </row>
    <row r="3089" spans="3:3" x14ac:dyDescent="0.25">
      <c r="C3089" s="316"/>
    </row>
    <row r="3090" spans="3:3" x14ac:dyDescent="0.25">
      <c r="C3090" s="316"/>
    </row>
    <row r="3091" spans="3:3" x14ac:dyDescent="0.25">
      <c r="C3091" s="316"/>
    </row>
    <row r="3092" spans="3:3" x14ac:dyDescent="0.25">
      <c r="C3092" s="316"/>
    </row>
    <row r="3093" spans="3:3" x14ac:dyDescent="0.25">
      <c r="C3093" s="316"/>
    </row>
    <row r="3094" spans="3:3" x14ac:dyDescent="0.25">
      <c r="C3094" s="316"/>
    </row>
    <row r="3095" spans="3:3" x14ac:dyDescent="0.25">
      <c r="C3095" s="316"/>
    </row>
    <row r="3096" spans="3:3" x14ac:dyDescent="0.25">
      <c r="C3096" s="316"/>
    </row>
    <row r="3097" spans="3:3" x14ac:dyDescent="0.25">
      <c r="C3097" s="316"/>
    </row>
    <row r="3098" spans="3:3" x14ac:dyDescent="0.25">
      <c r="C3098" s="316"/>
    </row>
    <row r="3099" spans="3:3" x14ac:dyDescent="0.25">
      <c r="C3099" s="316"/>
    </row>
    <row r="3100" spans="3:3" x14ac:dyDescent="0.25">
      <c r="C3100" s="316"/>
    </row>
    <row r="3101" spans="3:3" x14ac:dyDescent="0.25">
      <c r="C3101" s="316"/>
    </row>
    <row r="3102" spans="3:3" x14ac:dyDescent="0.25">
      <c r="C3102" s="316"/>
    </row>
    <row r="3103" spans="3:3" x14ac:dyDescent="0.25">
      <c r="C3103" s="316"/>
    </row>
    <row r="3104" spans="3:3" x14ac:dyDescent="0.25">
      <c r="C3104" s="316"/>
    </row>
    <row r="3105" spans="3:3" x14ac:dyDescent="0.25">
      <c r="C3105" s="316"/>
    </row>
    <row r="3106" spans="3:3" x14ac:dyDescent="0.25">
      <c r="C3106" s="316"/>
    </row>
    <row r="3107" spans="3:3" x14ac:dyDescent="0.25">
      <c r="C3107" s="316"/>
    </row>
    <row r="3108" spans="3:3" x14ac:dyDescent="0.25">
      <c r="C3108" s="316"/>
    </row>
    <row r="3109" spans="3:3" x14ac:dyDescent="0.25">
      <c r="C3109" s="316"/>
    </row>
    <row r="3110" spans="3:3" x14ac:dyDescent="0.25">
      <c r="C3110" s="316"/>
    </row>
    <row r="3111" spans="3:3" x14ac:dyDescent="0.25">
      <c r="C3111" s="316"/>
    </row>
    <row r="3112" spans="3:3" x14ac:dyDescent="0.25">
      <c r="C3112" s="316"/>
    </row>
    <row r="3113" spans="3:3" x14ac:dyDescent="0.25">
      <c r="C3113" s="316"/>
    </row>
    <row r="3114" spans="3:3" x14ac:dyDescent="0.25">
      <c r="C3114" s="316"/>
    </row>
    <row r="3115" spans="3:3" x14ac:dyDescent="0.25">
      <c r="C3115" s="316"/>
    </row>
    <row r="3116" spans="3:3" x14ac:dyDescent="0.25">
      <c r="C3116" s="316"/>
    </row>
    <row r="3117" spans="3:3" x14ac:dyDescent="0.25">
      <c r="C3117" s="316"/>
    </row>
    <row r="3118" spans="3:3" x14ac:dyDescent="0.25">
      <c r="C3118" s="316"/>
    </row>
    <row r="3119" spans="3:3" x14ac:dyDescent="0.25">
      <c r="C3119" s="316"/>
    </row>
    <row r="3120" spans="3:3" x14ac:dyDescent="0.25">
      <c r="C3120" s="316"/>
    </row>
    <row r="3121" spans="3:3" x14ac:dyDescent="0.25">
      <c r="C3121" s="316"/>
    </row>
    <row r="3122" spans="3:3" x14ac:dyDescent="0.25">
      <c r="C3122" s="316"/>
    </row>
    <row r="3123" spans="3:3" x14ac:dyDescent="0.25">
      <c r="C3123" s="316"/>
    </row>
    <row r="3124" spans="3:3" x14ac:dyDescent="0.25">
      <c r="C3124" s="316"/>
    </row>
    <row r="3125" spans="3:3" x14ac:dyDescent="0.25">
      <c r="C3125" s="316"/>
    </row>
    <row r="3126" spans="3:3" x14ac:dyDescent="0.25">
      <c r="C3126" s="316"/>
    </row>
    <row r="3127" spans="3:3" x14ac:dyDescent="0.25">
      <c r="C3127" s="316"/>
    </row>
    <row r="3128" spans="3:3" x14ac:dyDescent="0.25">
      <c r="C3128" s="316"/>
    </row>
    <row r="3129" spans="3:3" x14ac:dyDescent="0.25">
      <c r="C3129" s="316"/>
    </row>
    <row r="3130" spans="3:3" x14ac:dyDescent="0.25">
      <c r="C3130" s="316"/>
    </row>
    <row r="3131" spans="3:3" x14ac:dyDescent="0.25">
      <c r="C3131" s="316"/>
    </row>
    <row r="3132" spans="3:3" x14ac:dyDescent="0.25">
      <c r="C3132" s="316"/>
    </row>
    <row r="3133" spans="3:3" x14ac:dyDescent="0.25">
      <c r="C3133" s="316"/>
    </row>
    <row r="3134" spans="3:3" x14ac:dyDescent="0.25">
      <c r="C3134" s="316"/>
    </row>
    <row r="3135" spans="3:3" x14ac:dyDescent="0.25">
      <c r="C3135" s="316"/>
    </row>
    <row r="3136" spans="3:3" x14ac:dyDescent="0.25">
      <c r="C3136" s="316"/>
    </row>
    <row r="3137" spans="3:3" x14ac:dyDescent="0.25">
      <c r="C3137" s="316"/>
    </row>
    <row r="3138" spans="3:3" x14ac:dyDescent="0.25">
      <c r="C3138" s="316"/>
    </row>
    <row r="3139" spans="3:3" x14ac:dyDescent="0.25">
      <c r="C3139" s="316"/>
    </row>
    <row r="3140" spans="3:3" x14ac:dyDescent="0.25">
      <c r="C3140" s="316"/>
    </row>
    <row r="3141" spans="3:3" x14ac:dyDescent="0.25">
      <c r="C3141" s="316"/>
    </row>
    <row r="3142" spans="3:3" x14ac:dyDescent="0.25">
      <c r="C3142" s="316"/>
    </row>
    <row r="3143" spans="3:3" x14ac:dyDescent="0.25">
      <c r="C3143" s="316"/>
    </row>
    <row r="3144" spans="3:3" x14ac:dyDescent="0.25">
      <c r="C3144" s="316"/>
    </row>
    <row r="3145" spans="3:3" x14ac:dyDescent="0.25">
      <c r="C3145" s="316"/>
    </row>
    <row r="3146" spans="3:3" x14ac:dyDescent="0.25">
      <c r="C3146" s="316"/>
    </row>
    <row r="3147" spans="3:3" x14ac:dyDescent="0.25">
      <c r="C3147" s="316"/>
    </row>
    <row r="3148" spans="3:3" x14ac:dyDescent="0.25">
      <c r="C3148" s="316"/>
    </row>
    <row r="3149" spans="3:3" x14ac:dyDescent="0.25">
      <c r="C3149" s="316"/>
    </row>
    <row r="3150" spans="3:3" x14ac:dyDescent="0.25">
      <c r="C3150" s="316"/>
    </row>
    <row r="3151" spans="3:3" x14ac:dyDescent="0.25">
      <c r="C3151" s="316"/>
    </row>
    <row r="3152" spans="3:3" x14ac:dyDescent="0.25">
      <c r="C3152" s="316"/>
    </row>
    <row r="3153" spans="3:3" x14ac:dyDescent="0.25">
      <c r="C3153" s="316"/>
    </row>
    <row r="3154" spans="3:3" x14ac:dyDescent="0.25">
      <c r="C3154" s="316"/>
    </row>
    <row r="3155" spans="3:3" x14ac:dyDescent="0.25">
      <c r="C3155" s="316"/>
    </row>
    <row r="3156" spans="3:3" x14ac:dyDescent="0.25">
      <c r="C3156" s="316"/>
    </row>
    <row r="3157" spans="3:3" x14ac:dyDescent="0.25">
      <c r="C3157" s="316"/>
    </row>
    <row r="3158" spans="3:3" x14ac:dyDescent="0.25">
      <c r="C3158" s="316"/>
    </row>
    <row r="3159" spans="3:3" x14ac:dyDescent="0.25">
      <c r="C3159" s="316"/>
    </row>
    <row r="3160" spans="3:3" x14ac:dyDescent="0.25">
      <c r="C3160" s="316"/>
    </row>
    <row r="3161" spans="3:3" x14ac:dyDescent="0.25">
      <c r="C3161" s="316"/>
    </row>
    <row r="3162" spans="3:3" x14ac:dyDescent="0.25">
      <c r="C3162" s="316"/>
    </row>
    <row r="3163" spans="3:3" x14ac:dyDescent="0.25">
      <c r="C3163" s="316"/>
    </row>
    <row r="3164" spans="3:3" x14ac:dyDescent="0.25">
      <c r="C3164" s="316"/>
    </row>
    <row r="3165" spans="3:3" x14ac:dyDescent="0.25">
      <c r="C3165" s="316"/>
    </row>
    <row r="3166" spans="3:3" x14ac:dyDescent="0.25">
      <c r="C3166" s="316"/>
    </row>
    <row r="3167" spans="3:3" x14ac:dyDescent="0.25">
      <c r="C3167" s="316"/>
    </row>
    <row r="3168" spans="3:3" x14ac:dyDescent="0.25">
      <c r="C3168" s="316"/>
    </row>
    <row r="3169" spans="3:3" x14ac:dyDescent="0.25">
      <c r="C3169" s="316"/>
    </row>
    <row r="3170" spans="3:3" x14ac:dyDescent="0.25">
      <c r="C3170" s="316"/>
    </row>
    <row r="3171" spans="3:3" x14ac:dyDescent="0.25">
      <c r="C3171" s="316"/>
    </row>
    <row r="3172" spans="3:3" x14ac:dyDescent="0.25">
      <c r="C3172" s="316"/>
    </row>
    <row r="3173" spans="3:3" x14ac:dyDescent="0.25">
      <c r="C3173" s="316"/>
    </row>
    <row r="3174" spans="3:3" x14ac:dyDescent="0.25">
      <c r="C3174" s="316"/>
    </row>
    <row r="3175" spans="3:3" x14ac:dyDescent="0.25">
      <c r="C3175" s="316"/>
    </row>
    <row r="3176" spans="3:3" x14ac:dyDescent="0.25">
      <c r="C3176" s="316"/>
    </row>
    <row r="3177" spans="3:3" x14ac:dyDescent="0.25">
      <c r="C3177" s="316"/>
    </row>
    <row r="3178" spans="3:3" x14ac:dyDescent="0.25">
      <c r="C3178" s="316"/>
    </row>
    <row r="3179" spans="3:3" x14ac:dyDescent="0.25">
      <c r="C3179" s="316"/>
    </row>
    <row r="3180" spans="3:3" x14ac:dyDescent="0.25">
      <c r="C3180" s="316"/>
    </row>
    <row r="3181" spans="3:3" x14ac:dyDescent="0.25">
      <c r="C3181" s="316"/>
    </row>
    <row r="3182" spans="3:3" x14ac:dyDescent="0.25">
      <c r="C3182" s="316"/>
    </row>
    <row r="3183" spans="3:3" x14ac:dyDescent="0.25">
      <c r="C3183" s="316"/>
    </row>
    <row r="3184" spans="3:3" x14ac:dyDescent="0.25">
      <c r="C3184" s="316"/>
    </row>
    <row r="3185" spans="3:3" x14ac:dyDescent="0.25">
      <c r="C3185" s="316"/>
    </row>
    <row r="3186" spans="3:3" x14ac:dyDescent="0.25">
      <c r="C3186" s="316"/>
    </row>
    <row r="3187" spans="3:3" x14ac:dyDescent="0.25">
      <c r="C3187" s="316"/>
    </row>
    <row r="3188" spans="3:3" x14ac:dyDescent="0.25">
      <c r="C3188" s="316"/>
    </row>
    <row r="3189" spans="3:3" x14ac:dyDescent="0.25">
      <c r="C3189" s="316"/>
    </row>
    <row r="3190" spans="3:3" x14ac:dyDescent="0.25">
      <c r="C3190" s="316"/>
    </row>
    <row r="3191" spans="3:3" x14ac:dyDescent="0.25">
      <c r="C3191" s="316"/>
    </row>
    <row r="3192" spans="3:3" x14ac:dyDescent="0.25">
      <c r="C3192" s="316"/>
    </row>
    <row r="3193" spans="3:3" x14ac:dyDescent="0.25">
      <c r="C3193" s="316"/>
    </row>
    <row r="3194" spans="3:3" x14ac:dyDescent="0.25">
      <c r="C3194" s="316"/>
    </row>
    <row r="3195" spans="3:3" x14ac:dyDescent="0.25">
      <c r="C3195" s="316"/>
    </row>
    <row r="3196" spans="3:3" x14ac:dyDescent="0.25">
      <c r="C3196" s="316"/>
    </row>
    <row r="3197" spans="3:3" x14ac:dyDescent="0.25">
      <c r="C3197" s="316"/>
    </row>
    <row r="3198" spans="3:3" x14ac:dyDescent="0.25">
      <c r="C3198" s="316"/>
    </row>
    <row r="3199" spans="3:3" x14ac:dyDescent="0.25">
      <c r="C3199" s="316"/>
    </row>
    <row r="3200" spans="3:3" x14ac:dyDescent="0.25">
      <c r="C3200" s="316"/>
    </row>
    <row r="3201" spans="3:3" x14ac:dyDescent="0.25">
      <c r="C3201" s="316"/>
    </row>
    <row r="3202" spans="3:3" x14ac:dyDescent="0.25">
      <c r="C3202" s="316"/>
    </row>
    <row r="3203" spans="3:3" x14ac:dyDescent="0.25">
      <c r="C3203" s="316"/>
    </row>
    <row r="3204" spans="3:3" x14ac:dyDescent="0.25">
      <c r="C3204" s="316"/>
    </row>
    <row r="3205" spans="3:3" x14ac:dyDescent="0.25">
      <c r="C3205" s="316"/>
    </row>
    <row r="3206" spans="3:3" x14ac:dyDescent="0.25">
      <c r="C3206" s="316"/>
    </row>
    <row r="3207" spans="3:3" x14ac:dyDescent="0.25">
      <c r="C3207" s="316"/>
    </row>
    <row r="3208" spans="3:3" x14ac:dyDescent="0.25">
      <c r="C3208" s="316"/>
    </row>
    <row r="3209" spans="3:3" x14ac:dyDescent="0.25">
      <c r="C3209" s="316"/>
    </row>
    <row r="3210" spans="3:3" x14ac:dyDescent="0.25">
      <c r="C3210" s="316"/>
    </row>
    <row r="3211" spans="3:3" x14ac:dyDescent="0.25">
      <c r="C3211" s="316"/>
    </row>
    <row r="3212" spans="3:3" x14ac:dyDescent="0.25">
      <c r="C3212" s="316"/>
    </row>
    <row r="3213" spans="3:3" x14ac:dyDescent="0.25">
      <c r="C3213" s="316"/>
    </row>
    <row r="3214" spans="3:3" x14ac:dyDescent="0.25">
      <c r="C3214" s="316"/>
    </row>
    <row r="3215" spans="3:3" x14ac:dyDescent="0.25">
      <c r="C3215" s="316"/>
    </row>
    <row r="3216" spans="3:3" x14ac:dyDescent="0.25">
      <c r="C3216" s="316"/>
    </row>
    <row r="3217" spans="3:3" x14ac:dyDescent="0.25">
      <c r="C3217" s="316"/>
    </row>
    <row r="3218" spans="3:3" x14ac:dyDescent="0.25">
      <c r="C3218" s="316"/>
    </row>
    <row r="3219" spans="3:3" x14ac:dyDescent="0.25">
      <c r="C3219" s="316"/>
    </row>
    <row r="3220" spans="3:3" x14ac:dyDescent="0.25">
      <c r="C3220" s="316"/>
    </row>
    <row r="3221" spans="3:3" x14ac:dyDescent="0.25">
      <c r="C3221" s="316"/>
    </row>
    <row r="3222" spans="3:3" x14ac:dyDescent="0.25">
      <c r="C3222" s="316"/>
    </row>
    <row r="3223" spans="3:3" x14ac:dyDescent="0.25">
      <c r="C3223" s="316"/>
    </row>
    <row r="3224" spans="3:3" x14ac:dyDescent="0.25">
      <c r="C3224" s="316"/>
    </row>
    <row r="3225" spans="3:3" x14ac:dyDescent="0.25">
      <c r="C3225" s="316"/>
    </row>
    <row r="3226" spans="3:3" x14ac:dyDescent="0.25">
      <c r="C3226" s="316"/>
    </row>
    <row r="3227" spans="3:3" x14ac:dyDescent="0.25">
      <c r="C3227" s="316"/>
    </row>
    <row r="3228" spans="3:3" x14ac:dyDescent="0.25">
      <c r="C3228" s="316"/>
    </row>
    <row r="3229" spans="3:3" x14ac:dyDescent="0.25">
      <c r="C3229" s="316"/>
    </row>
    <row r="3230" spans="3:3" x14ac:dyDescent="0.25">
      <c r="C3230" s="316"/>
    </row>
    <row r="3231" spans="3:3" x14ac:dyDescent="0.25">
      <c r="C3231" s="316"/>
    </row>
    <row r="3232" spans="3:3" x14ac:dyDescent="0.25">
      <c r="C3232" s="316"/>
    </row>
    <row r="3233" spans="3:3" x14ac:dyDescent="0.25">
      <c r="C3233" s="316"/>
    </row>
    <row r="3234" spans="3:3" x14ac:dyDescent="0.25">
      <c r="C3234" s="316"/>
    </row>
    <row r="3235" spans="3:3" x14ac:dyDescent="0.25">
      <c r="C3235" s="316"/>
    </row>
    <row r="3236" spans="3:3" x14ac:dyDescent="0.25">
      <c r="C3236" s="316"/>
    </row>
    <row r="3237" spans="3:3" x14ac:dyDescent="0.25">
      <c r="C3237" s="316"/>
    </row>
    <row r="3238" spans="3:3" x14ac:dyDescent="0.25">
      <c r="C3238" s="316"/>
    </row>
    <row r="3239" spans="3:3" x14ac:dyDescent="0.25">
      <c r="C3239" s="316"/>
    </row>
    <row r="3240" spans="3:3" x14ac:dyDescent="0.25">
      <c r="C3240" s="316"/>
    </row>
    <row r="3241" spans="3:3" x14ac:dyDescent="0.25">
      <c r="C3241" s="316"/>
    </row>
    <row r="3242" spans="3:3" x14ac:dyDescent="0.25">
      <c r="C3242" s="316"/>
    </row>
    <row r="3243" spans="3:3" x14ac:dyDescent="0.25">
      <c r="C3243" s="316"/>
    </row>
    <row r="3244" spans="3:3" x14ac:dyDescent="0.25">
      <c r="C3244" s="316"/>
    </row>
    <row r="3245" spans="3:3" x14ac:dyDescent="0.25">
      <c r="C3245" s="316"/>
    </row>
    <row r="3246" spans="3:3" x14ac:dyDescent="0.25">
      <c r="C3246" s="316"/>
    </row>
    <row r="3247" spans="3:3" x14ac:dyDescent="0.25">
      <c r="C3247" s="316"/>
    </row>
    <row r="3248" spans="3:3" x14ac:dyDescent="0.25">
      <c r="C3248" s="316"/>
    </row>
    <row r="3249" spans="3:3" x14ac:dyDescent="0.25">
      <c r="C3249" s="316"/>
    </row>
    <row r="3250" spans="3:3" x14ac:dyDescent="0.25">
      <c r="C3250" s="316"/>
    </row>
    <row r="3251" spans="3:3" x14ac:dyDescent="0.25">
      <c r="C3251" s="316"/>
    </row>
    <row r="3252" spans="3:3" x14ac:dyDescent="0.25">
      <c r="C3252" s="316"/>
    </row>
    <row r="3253" spans="3:3" x14ac:dyDescent="0.25">
      <c r="C3253" s="316"/>
    </row>
    <row r="3254" spans="3:3" x14ac:dyDescent="0.25">
      <c r="C3254" s="316"/>
    </row>
    <row r="3255" spans="3:3" x14ac:dyDescent="0.25">
      <c r="C3255" s="316"/>
    </row>
    <row r="3256" spans="3:3" x14ac:dyDescent="0.25">
      <c r="C3256" s="316"/>
    </row>
    <row r="3257" spans="3:3" x14ac:dyDescent="0.25">
      <c r="C3257" s="316"/>
    </row>
    <row r="3258" spans="3:3" x14ac:dyDescent="0.25">
      <c r="C3258" s="316"/>
    </row>
    <row r="3259" spans="3:3" x14ac:dyDescent="0.25">
      <c r="C3259" s="316"/>
    </row>
    <row r="3260" spans="3:3" x14ac:dyDescent="0.25">
      <c r="C3260" s="316"/>
    </row>
    <row r="3261" spans="3:3" x14ac:dyDescent="0.25">
      <c r="C3261" s="316"/>
    </row>
    <row r="3262" spans="3:3" x14ac:dyDescent="0.25">
      <c r="C3262" s="316"/>
    </row>
    <row r="3263" spans="3:3" x14ac:dyDescent="0.25">
      <c r="C3263" s="316"/>
    </row>
    <row r="3264" spans="3:3" x14ac:dyDescent="0.25">
      <c r="C3264" s="316"/>
    </row>
    <row r="3265" spans="3:3" x14ac:dyDescent="0.25">
      <c r="C3265" s="316"/>
    </row>
    <row r="3266" spans="3:3" x14ac:dyDescent="0.25">
      <c r="C3266" s="316"/>
    </row>
    <row r="3267" spans="3:3" x14ac:dyDescent="0.25">
      <c r="C3267" s="316"/>
    </row>
    <row r="3268" spans="3:3" x14ac:dyDescent="0.25">
      <c r="C3268" s="316"/>
    </row>
    <row r="3269" spans="3:3" x14ac:dyDescent="0.25">
      <c r="C3269" s="316"/>
    </row>
    <row r="3270" spans="3:3" x14ac:dyDescent="0.25">
      <c r="C3270" s="316"/>
    </row>
    <row r="3271" spans="3:3" x14ac:dyDescent="0.25">
      <c r="C3271" s="316"/>
    </row>
    <row r="3272" spans="3:3" x14ac:dyDescent="0.25">
      <c r="C3272" s="316"/>
    </row>
    <row r="3273" spans="3:3" x14ac:dyDescent="0.25">
      <c r="C3273" s="316"/>
    </row>
    <row r="3274" spans="3:3" x14ac:dyDescent="0.25">
      <c r="C3274" s="316"/>
    </row>
    <row r="3275" spans="3:3" x14ac:dyDescent="0.25">
      <c r="C3275" s="316"/>
    </row>
    <row r="3276" spans="3:3" x14ac:dyDescent="0.25">
      <c r="C3276" s="316"/>
    </row>
    <row r="3277" spans="3:3" x14ac:dyDescent="0.25">
      <c r="C3277" s="316"/>
    </row>
    <row r="3278" spans="3:3" x14ac:dyDescent="0.25">
      <c r="C3278" s="316"/>
    </row>
    <row r="3279" spans="3:3" x14ac:dyDescent="0.25">
      <c r="C3279" s="316"/>
    </row>
    <row r="3280" spans="3:3" x14ac:dyDescent="0.25">
      <c r="C3280" s="316"/>
    </row>
    <row r="3281" spans="3:3" x14ac:dyDescent="0.25">
      <c r="C3281" s="316"/>
    </row>
    <row r="3282" spans="3:3" x14ac:dyDescent="0.25">
      <c r="C3282" s="316"/>
    </row>
    <row r="3283" spans="3:3" x14ac:dyDescent="0.25">
      <c r="C3283" s="316"/>
    </row>
    <row r="3284" spans="3:3" x14ac:dyDescent="0.25">
      <c r="C3284" s="316"/>
    </row>
    <row r="3285" spans="3:3" x14ac:dyDescent="0.25">
      <c r="C3285" s="316"/>
    </row>
    <row r="3286" spans="3:3" x14ac:dyDescent="0.25">
      <c r="C3286" s="316"/>
    </row>
    <row r="3287" spans="3:3" x14ac:dyDescent="0.25">
      <c r="C3287" s="316"/>
    </row>
    <row r="3288" spans="3:3" x14ac:dyDescent="0.25">
      <c r="C3288" s="316"/>
    </row>
    <row r="3289" spans="3:3" x14ac:dyDescent="0.25">
      <c r="C3289" s="316"/>
    </row>
    <row r="3290" spans="3:3" x14ac:dyDescent="0.25">
      <c r="C3290" s="316"/>
    </row>
    <row r="3291" spans="3:3" x14ac:dyDescent="0.25">
      <c r="C3291" s="316"/>
    </row>
    <row r="3292" spans="3:3" x14ac:dyDescent="0.25">
      <c r="C3292" s="316"/>
    </row>
    <row r="3293" spans="3:3" x14ac:dyDescent="0.25">
      <c r="C3293" s="316"/>
    </row>
    <row r="3294" spans="3:3" x14ac:dyDescent="0.25">
      <c r="C3294" s="316"/>
    </row>
    <row r="3295" spans="3:3" x14ac:dyDescent="0.25">
      <c r="C3295" s="316"/>
    </row>
    <row r="3296" spans="3:3" x14ac:dyDescent="0.25">
      <c r="C3296" s="316"/>
    </row>
    <row r="3297" spans="3:3" x14ac:dyDescent="0.25">
      <c r="C3297" s="316"/>
    </row>
    <row r="3298" spans="3:3" x14ac:dyDescent="0.25">
      <c r="C3298" s="316"/>
    </row>
    <row r="3299" spans="3:3" x14ac:dyDescent="0.25">
      <c r="C3299" s="316"/>
    </row>
    <row r="3300" spans="3:3" x14ac:dyDescent="0.25">
      <c r="C3300" s="316"/>
    </row>
    <row r="3301" spans="3:3" x14ac:dyDescent="0.25">
      <c r="C3301" s="316"/>
    </row>
    <row r="3302" spans="3:3" x14ac:dyDescent="0.25">
      <c r="C3302" s="316"/>
    </row>
    <row r="3303" spans="3:3" x14ac:dyDescent="0.25">
      <c r="C3303" s="316"/>
    </row>
    <row r="3304" spans="3:3" x14ac:dyDescent="0.25">
      <c r="C3304" s="316"/>
    </row>
    <row r="3305" spans="3:3" x14ac:dyDescent="0.25">
      <c r="C3305" s="316"/>
    </row>
    <row r="3306" spans="3:3" x14ac:dyDescent="0.25">
      <c r="C3306" s="316"/>
    </row>
    <row r="3307" spans="3:3" x14ac:dyDescent="0.25">
      <c r="C3307" s="316"/>
    </row>
    <row r="3308" spans="3:3" x14ac:dyDescent="0.25">
      <c r="C3308" s="316"/>
    </row>
    <row r="3309" spans="3:3" x14ac:dyDescent="0.25">
      <c r="C3309" s="316"/>
    </row>
    <row r="3310" spans="3:3" x14ac:dyDescent="0.25">
      <c r="C3310" s="316"/>
    </row>
    <row r="3311" spans="3:3" x14ac:dyDescent="0.25">
      <c r="C3311" s="316"/>
    </row>
    <row r="3312" spans="3:3" x14ac:dyDescent="0.25">
      <c r="C3312" s="316"/>
    </row>
    <row r="3313" spans="3:3" x14ac:dyDescent="0.25">
      <c r="C3313" s="316"/>
    </row>
    <row r="3314" spans="3:3" x14ac:dyDescent="0.25">
      <c r="C3314" s="316"/>
    </row>
    <row r="3315" spans="3:3" x14ac:dyDescent="0.25">
      <c r="C3315" s="316"/>
    </row>
    <row r="3316" spans="3:3" x14ac:dyDescent="0.25">
      <c r="C3316" s="316"/>
    </row>
    <row r="3317" spans="3:3" x14ac:dyDescent="0.25">
      <c r="C3317" s="316"/>
    </row>
    <row r="3318" spans="3:3" x14ac:dyDescent="0.25">
      <c r="C3318" s="316"/>
    </row>
    <row r="3319" spans="3:3" x14ac:dyDescent="0.25">
      <c r="C3319" s="316"/>
    </row>
    <row r="3320" spans="3:3" x14ac:dyDescent="0.25">
      <c r="C3320" s="316"/>
    </row>
    <row r="3321" spans="3:3" x14ac:dyDescent="0.25">
      <c r="C3321" s="316"/>
    </row>
    <row r="3322" spans="3:3" x14ac:dyDescent="0.25">
      <c r="C3322" s="316"/>
    </row>
    <row r="3323" spans="3:3" x14ac:dyDescent="0.25">
      <c r="C3323" s="316"/>
    </row>
    <row r="3324" spans="3:3" x14ac:dyDescent="0.25">
      <c r="C3324" s="316"/>
    </row>
    <row r="3325" spans="3:3" x14ac:dyDescent="0.25">
      <c r="C3325" s="316"/>
    </row>
    <row r="3326" spans="3:3" x14ac:dyDescent="0.25">
      <c r="C3326" s="316"/>
    </row>
    <row r="3327" spans="3:3" x14ac:dyDescent="0.25">
      <c r="C3327" s="316"/>
    </row>
    <row r="3328" spans="3:3" x14ac:dyDescent="0.25">
      <c r="C3328" s="316"/>
    </row>
    <row r="3329" spans="3:3" x14ac:dyDescent="0.25">
      <c r="C3329" s="316"/>
    </row>
    <row r="3330" spans="3:3" x14ac:dyDescent="0.25">
      <c r="C3330" s="316"/>
    </row>
    <row r="3331" spans="3:3" x14ac:dyDescent="0.25">
      <c r="C3331" s="316"/>
    </row>
    <row r="3332" spans="3:3" x14ac:dyDescent="0.25">
      <c r="C3332" s="316"/>
    </row>
    <row r="3333" spans="3:3" x14ac:dyDescent="0.25">
      <c r="C3333" s="316"/>
    </row>
    <row r="3334" spans="3:3" x14ac:dyDescent="0.25">
      <c r="C3334" s="316"/>
    </row>
    <row r="3335" spans="3:3" x14ac:dyDescent="0.25">
      <c r="C3335" s="316"/>
    </row>
    <row r="3336" spans="3:3" x14ac:dyDescent="0.25">
      <c r="C3336" s="316"/>
    </row>
    <row r="3337" spans="3:3" x14ac:dyDescent="0.25">
      <c r="C3337" s="316"/>
    </row>
    <row r="3338" spans="3:3" x14ac:dyDescent="0.25">
      <c r="C3338" s="316"/>
    </row>
    <row r="3339" spans="3:3" x14ac:dyDescent="0.25">
      <c r="C3339" s="316"/>
    </row>
    <row r="3340" spans="3:3" x14ac:dyDescent="0.25">
      <c r="C3340" s="316"/>
    </row>
    <row r="3341" spans="3:3" x14ac:dyDescent="0.25">
      <c r="C3341" s="316"/>
    </row>
    <row r="3342" spans="3:3" x14ac:dyDescent="0.25">
      <c r="C3342" s="316"/>
    </row>
    <row r="3343" spans="3:3" x14ac:dyDescent="0.25">
      <c r="C3343" s="316"/>
    </row>
    <row r="3344" spans="3:3" x14ac:dyDescent="0.25">
      <c r="C3344" s="316"/>
    </row>
    <row r="3345" spans="3:3" x14ac:dyDescent="0.25">
      <c r="C3345" s="316"/>
    </row>
    <row r="3346" spans="3:3" x14ac:dyDescent="0.25">
      <c r="C3346" s="316"/>
    </row>
    <row r="3347" spans="3:3" x14ac:dyDescent="0.25">
      <c r="C3347" s="316"/>
    </row>
    <row r="3348" spans="3:3" x14ac:dyDescent="0.25">
      <c r="C3348" s="316"/>
    </row>
    <row r="3349" spans="3:3" x14ac:dyDescent="0.25">
      <c r="C3349" s="316"/>
    </row>
    <row r="3350" spans="3:3" x14ac:dyDescent="0.25">
      <c r="C3350" s="316"/>
    </row>
    <row r="3351" spans="3:3" x14ac:dyDescent="0.25">
      <c r="C3351" s="316"/>
    </row>
    <row r="3352" spans="3:3" x14ac:dyDescent="0.25">
      <c r="C3352" s="316"/>
    </row>
    <row r="3353" spans="3:3" x14ac:dyDescent="0.25">
      <c r="C3353" s="316"/>
    </row>
    <row r="3354" spans="3:3" x14ac:dyDescent="0.25">
      <c r="C3354" s="316"/>
    </row>
    <row r="3355" spans="3:3" x14ac:dyDescent="0.25">
      <c r="C3355" s="316"/>
    </row>
    <row r="3356" spans="3:3" x14ac:dyDescent="0.25">
      <c r="C3356" s="316"/>
    </row>
    <row r="3357" spans="3:3" x14ac:dyDescent="0.25">
      <c r="C3357" s="316"/>
    </row>
    <row r="3358" spans="3:3" x14ac:dyDescent="0.25">
      <c r="C3358" s="316"/>
    </row>
    <row r="3359" spans="3:3" x14ac:dyDescent="0.25">
      <c r="C3359" s="316"/>
    </row>
    <row r="3360" spans="3:3" x14ac:dyDescent="0.25">
      <c r="C3360" s="316"/>
    </row>
    <row r="3361" spans="3:3" x14ac:dyDescent="0.25">
      <c r="C3361" s="316"/>
    </row>
    <row r="3362" spans="3:3" x14ac:dyDescent="0.25">
      <c r="C3362" s="316"/>
    </row>
    <row r="3363" spans="3:3" x14ac:dyDescent="0.25">
      <c r="C3363" s="316"/>
    </row>
    <row r="3364" spans="3:3" x14ac:dyDescent="0.25">
      <c r="C3364" s="316"/>
    </row>
    <row r="3365" spans="3:3" x14ac:dyDescent="0.25">
      <c r="C3365" s="316"/>
    </row>
    <row r="3366" spans="3:3" x14ac:dyDescent="0.25">
      <c r="C3366" s="316"/>
    </row>
    <row r="3367" spans="3:3" x14ac:dyDescent="0.25">
      <c r="C3367" s="316"/>
    </row>
    <row r="3368" spans="3:3" x14ac:dyDescent="0.25">
      <c r="C3368" s="316"/>
    </row>
    <row r="3369" spans="3:3" x14ac:dyDescent="0.25">
      <c r="C3369" s="316"/>
    </row>
    <row r="3370" spans="3:3" x14ac:dyDescent="0.25">
      <c r="C3370" s="316"/>
    </row>
    <row r="3371" spans="3:3" x14ac:dyDescent="0.25">
      <c r="C3371" s="316"/>
    </row>
    <row r="3372" spans="3:3" x14ac:dyDescent="0.25">
      <c r="C3372" s="316"/>
    </row>
    <row r="3373" spans="3:3" x14ac:dyDescent="0.25">
      <c r="C3373" s="316"/>
    </row>
    <row r="3374" spans="3:3" x14ac:dyDescent="0.25">
      <c r="C3374" s="316"/>
    </row>
    <row r="3375" spans="3:3" x14ac:dyDescent="0.25">
      <c r="C3375" s="316"/>
    </row>
    <row r="3376" spans="3:3" x14ac:dyDescent="0.25">
      <c r="C3376" s="316"/>
    </row>
    <row r="3377" spans="3:3" x14ac:dyDescent="0.25">
      <c r="C3377" s="316"/>
    </row>
    <row r="3378" spans="3:3" x14ac:dyDescent="0.25">
      <c r="C3378" s="316"/>
    </row>
    <row r="3379" spans="3:3" x14ac:dyDescent="0.25">
      <c r="C3379" s="316"/>
    </row>
    <row r="3380" spans="3:3" x14ac:dyDescent="0.25">
      <c r="C3380" s="316"/>
    </row>
    <row r="3381" spans="3:3" x14ac:dyDescent="0.25">
      <c r="C3381" s="316"/>
    </row>
    <row r="3382" spans="3:3" x14ac:dyDescent="0.25">
      <c r="C3382" s="316"/>
    </row>
    <row r="3383" spans="3:3" x14ac:dyDescent="0.25">
      <c r="C3383" s="316"/>
    </row>
    <row r="3384" spans="3:3" x14ac:dyDescent="0.25">
      <c r="C3384" s="316"/>
    </row>
    <row r="3385" spans="3:3" x14ac:dyDescent="0.25">
      <c r="C3385" s="316"/>
    </row>
    <row r="3386" spans="3:3" x14ac:dyDescent="0.25">
      <c r="C3386" s="316"/>
    </row>
    <row r="3387" spans="3:3" x14ac:dyDescent="0.25">
      <c r="C3387" s="316"/>
    </row>
    <row r="3388" spans="3:3" x14ac:dyDescent="0.25">
      <c r="C3388" s="316"/>
    </row>
    <row r="3389" spans="3:3" x14ac:dyDescent="0.25">
      <c r="C3389" s="316"/>
    </row>
    <row r="3390" spans="3:3" x14ac:dyDescent="0.25">
      <c r="C3390" s="316"/>
    </row>
    <row r="3391" spans="3:3" x14ac:dyDescent="0.25">
      <c r="C3391" s="316"/>
    </row>
    <row r="3392" spans="3:3" x14ac:dyDescent="0.25">
      <c r="C3392" s="316"/>
    </row>
    <row r="3393" spans="3:3" x14ac:dyDescent="0.25">
      <c r="C3393" s="316"/>
    </row>
    <row r="3394" spans="3:3" x14ac:dyDescent="0.25">
      <c r="C3394" s="316"/>
    </row>
    <row r="3395" spans="3:3" x14ac:dyDescent="0.25">
      <c r="C3395" s="316"/>
    </row>
    <row r="3396" spans="3:3" x14ac:dyDescent="0.25">
      <c r="C3396" s="316"/>
    </row>
    <row r="3397" spans="3:3" x14ac:dyDescent="0.25">
      <c r="C3397" s="316"/>
    </row>
    <row r="3398" spans="3:3" x14ac:dyDescent="0.25">
      <c r="C3398" s="316"/>
    </row>
    <row r="3399" spans="3:3" x14ac:dyDescent="0.25">
      <c r="C3399" s="316"/>
    </row>
    <row r="3400" spans="3:3" x14ac:dyDescent="0.25">
      <c r="C3400" s="316"/>
    </row>
    <row r="3401" spans="3:3" x14ac:dyDescent="0.25">
      <c r="C3401" s="316"/>
    </row>
    <row r="3402" spans="3:3" x14ac:dyDescent="0.25">
      <c r="C3402" s="316"/>
    </row>
    <row r="3403" spans="3:3" x14ac:dyDescent="0.25">
      <c r="C3403" s="316"/>
    </row>
    <row r="3404" spans="3:3" x14ac:dyDescent="0.25">
      <c r="C3404" s="316"/>
    </row>
    <row r="3405" spans="3:3" x14ac:dyDescent="0.25">
      <c r="C3405" s="316"/>
    </row>
    <row r="3406" spans="3:3" x14ac:dyDescent="0.25">
      <c r="C3406" s="316"/>
    </row>
    <row r="3407" spans="3:3" x14ac:dyDescent="0.25">
      <c r="C3407" s="316"/>
    </row>
    <row r="3408" spans="3:3" x14ac:dyDescent="0.25">
      <c r="C3408" s="316"/>
    </row>
    <row r="3409" spans="3:3" x14ac:dyDescent="0.25">
      <c r="C3409" s="316"/>
    </row>
    <row r="3410" spans="3:3" x14ac:dyDescent="0.25">
      <c r="C3410" s="316"/>
    </row>
    <row r="3411" spans="3:3" x14ac:dyDescent="0.25">
      <c r="C3411" s="316"/>
    </row>
    <row r="3412" spans="3:3" x14ac:dyDescent="0.25">
      <c r="C3412" s="316"/>
    </row>
    <row r="3413" spans="3:3" x14ac:dyDescent="0.25">
      <c r="C3413" s="316"/>
    </row>
    <row r="3414" spans="3:3" x14ac:dyDescent="0.25">
      <c r="C3414" s="316"/>
    </row>
    <row r="3415" spans="3:3" x14ac:dyDescent="0.25">
      <c r="C3415" s="316"/>
    </row>
    <row r="3416" spans="3:3" x14ac:dyDescent="0.25">
      <c r="C3416" s="316"/>
    </row>
    <row r="3417" spans="3:3" x14ac:dyDescent="0.25">
      <c r="C3417" s="316"/>
    </row>
    <row r="3418" spans="3:3" x14ac:dyDescent="0.25">
      <c r="C3418" s="316"/>
    </row>
    <row r="3419" spans="3:3" x14ac:dyDescent="0.25">
      <c r="C3419" s="316"/>
    </row>
    <row r="3420" spans="3:3" x14ac:dyDescent="0.25">
      <c r="C3420" s="316"/>
    </row>
    <row r="3421" spans="3:3" x14ac:dyDescent="0.25">
      <c r="C3421" s="316"/>
    </row>
    <row r="3422" spans="3:3" x14ac:dyDescent="0.25">
      <c r="C3422" s="316"/>
    </row>
    <row r="3423" spans="3:3" x14ac:dyDescent="0.25">
      <c r="C3423" s="316"/>
    </row>
    <row r="3424" spans="3:3" x14ac:dyDescent="0.25">
      <c r="C3424" s="316"/>
    </row>
    <row r="3425" spans="3:3" x14ac:dyDescent="0.25">
      <c r="C3425" s="316"/>
    </row>
    <row r="3426" spans="3:3" x14ac:dyDescent="0.25">
      <c r="C3426" s="316"/>
    </row>
    <row r="3427" spans="3:3" x14ac:dyDescent="0.25">
      <c r="C3427" s="316"/>
    </row>
    <row r="3428" spans="3:3" x14ac:dyDescent="0.25">
      <c r="C3428" s="316"/>
    </row>
    <row r="3429" spans="3:3" x14ac:dyDescent="0.25">
      <c r="C3429" s="316"/>
    </row>
    <row r="3430" spans="3:3" x14ac:dyDescent="0.25">
      <c r="C3430" s="316"/>
    </row>
    <row r="3431" spans="3:3" x14ac:dyDescent="0.25">
      <c r="C3431" s="316"/>
    </row>
    <row r="3432" spans="3:3" x14ac:dyDescent="0.25">
      <c r="C3432" s="316"/>
    </row>
    <row r="3433" spans="3:3" x14ac:dyDescent="0.25">
      <c r="C3433" s="316"/>
    </row>
    <row r="3434" spans="3:3" x14ac:dyDescent="0.25">
      <c r="C3434" s="316"/>
    </row>
    <row r="3435" spans="3:3" x14ac:dyDescent="0.25">
      <c r="C3435" s="316"/>
    </row>
    <row r="3436" spans="3:3" x14ac:dyDescent="0.25">
      <c r="C3436" s="316"/>
    </row>
    <row r="3437" spans="3:3" x14ac:dyDescent="0.25">
      <c r="C3437" s="316"/>
    </row>
    <row r="3438" spans="3:3" x14ac:dyDescent="0.25">
      <c r="C3438" s="316"/>
    </row>
    <row r="3439" spans="3:3" x14ac:dyDescent="0.25">
      <c r="C3439" s="316"/>
    </row>
    <row r="3440" spans="3:3" x14ac:dyDescent="0.25">
      <c r="C3440" s="316"/>
    </row>
    <row r="3441" spans="3:3" x14ac:dyDescent="0.25">
      <c r="C3441" s="316"/>
    </row>
    <row r="3442" spans="3:3" x14ac:dyDescent="0.25">
      <c r="C3442" s="316"/>
    </row>
    <row r="3443" spans="3:3" x14ac:dyDescent="0.25">
      <c r="C3443" s="316"/>
    </row>
    <row r="3444" spans="3:3" x14ac:dyDescent="0.25">
      <c r="C3444" s="316"/>
    </row>
    <row r="3445" spans="3:3" x14ac:dyDescent="0.25">
      <c r="C3445" s="316"/>
    </row>
    <row r="3446" spans="3:3" x14ac:dyDescent="0.25">
      <c r="C3446" s="316"/>
    </row>
    <row r="3447" spans="3:3" x14ac:dyDescent="0.25">
      <c r="C3447" s="316"/>
    </row>
    <row r="3448" spans="3:3" x14ac:dyDescent="0.25">
      <c r="C3448" s="316"/>
    </row>
    <row r="3449" spans="3:3" x14ac:dyDescent="0.25">
      <c r="C3449" s="316"/>
    </row>
    <row r="3450" spans="3:3" x14ac:dyDescent="0.25">
      <c r="C3450" s="316"/>
    </row>
    <row r="3451" spans="3:3" x14ac:dyDescent="0.25">
      <c r="C3451" s="316"/>
    </row>
    <row r="3452" spans="3:3" x14ac:dyDescent="0.25">
      <c r="C3452" s="316"/>
    </row>
    <row r="3453" spans="3:3" x14ac:dyDescent="0.25">
      <c r="C3453" s="316"/>
    </row>
    <row r="3454" spans="3:3" x14ac:dyDescent="0.25">
      <c r="C3454" s="316"/>
    </row>
    <row r="3455" spans="3:3" x14ac:dyDescent="0.25">
      <c r="C3455" s="316"/>
    </row>
    <row r="3456" spans="3:3" x14ac:dyDescent="0.25">
      <c r="C3456" s="316"/>
    </row>
    <row r="3457" spans="3:3" x14ac:dyDescent="0.25">
      <c r="C3457" s="316"/>
    </row>
    <row r="3458" spans="3:3" x14ac:dyDescent="0.25">
      <c r="C3458" s="316"/>
    </row>
    <row r="3459" spans="3:3" x14ac:dyDescent="0.25">
      <c r="C3459" s="316"/>
    </row>
    <row r="3460" spans="3:3" x14ac:dyDescent="0.25">
      <c r="C3460" s="316"/>
    </row>
    <row r="3461" spans="3:3" x14ac:dyDescent="0.25">
      <c r="C3461" s="316"/>
    </row>
    <row r="3462" spans="3:3" x14ac:dyDescent="0.25">
      <c r="C3462" s="316"/>
    </row>
    <row r="3463" spans="3:3" x14ac:dyDescent="0.25">
      <c r="C3463" s="316"/>
    </row>
    <row r="3464" spans="3:3" x14ac:dyDescent="0.25">
      <c r="C3464" s="316"/>
    </row>
    <row r="3465" spans="3:3" x14ac:dyDescent="0.25">
      <c r="C3465" s="316"/>
    </row>
    <row r="3466" spans="3:3" x14ac:dyDescent="0.25">
      <c r="C3466" s="316"/>
    </row>
    <row r="3467" spans="3:3" x14ac:dyDescent="0.25">
      <c r="C3467" s="316"/>
    </row>
    <row r="3468" spans="3:3" x14ac:dyDescent="0.25">
      <c r="C3468" s="316"/>
    </row>
    <row r="3469" spans="3:3" x14ac:dyDescent="0.25">
      <c r="C3469" s="316"/>
    </row>
    <row r="3470" spans="3:3" x14ac:dyDescent="0.25">
      <c r="C3470" s="316"/>
    </row>
    <row r="3471" spans="3:3" x14ac:dyDescent="0.25">
      <c r="C3471" s="316"/>
    </row>
    <row r="3472" spans="3:3" x14ac:dyDescent="0.25">
      <c r="C3472" s="316"/>
    </row>
    <row r="3473" spans="3:3" x14ac:dyDescent="0.25">
      <c r="C3473" s="316"/>
    </row>
    <row r="3474" spans="3:3" x14ac:dyDescent="0.25">
      <c r="C3474" s="316"/>
    </row>
    <row r="3475" spans="3:3" x14ac:dyDescent="0.25">
      <c r="C3475" s="316"/>
    </row>
    <row r="3476" spans="3:3" x14ac:dyDescent="0.25">
      <c r="C3476" s="316"/>
    </row>
    <row r="3477" spans="3:3" x14ac:dyDescent="0.25">
      <c r="C3477" s="316"/>
    </row>
    <row r="3478" spans="3:3" x14ac:dyDescent="0.25">
      <c r="C3478" s="316"/>
    </row>
    <row r="3479" spans="3:3" x14ac:dyDescent="0.25">
      <c r="C3479" s="316"/>
    </row>
    <row r="3480" spans="3:3" x14ac:dyDescent="0.25">
      <c r="C3480" s="316"/>
    </row>
    <row r="3481" spans="3:3" x14ac:dyDescent="0.25">
      <c r="C3481" s="316"/>
    </row>
    <row r="3482" spans="3:3" x14ac:dyDescent="0.25">
      <c r="C3482" s="316"/>
    </row>
    <row r="3483" spans="3:3" x14ac:dyDescent="0.25">
      <c r="C3483" s="316"/>
    </row>
    <row r="3484" spans="3:3" x14ac:dyDescent="0.25">
      <c r="C3484" s="316"/>
    </row>
    <row r="3485" spans="3:3" x14ac:dyDescent="0.25">
      <c r="C3485" s="316"/>
    </row>
    <row r="3486" spans="3:3" x14ac:dyDescent="0.25">
      <c r="C3486" s="316"/>
    </row>
    <row r="3487" spans="3:3" x14ac:dyDescent="0.25">
      <c r="C3487" s="316"/>
    </row>
    <row r="3488" spans="3:3" x14ac:dyDescent="0.25">
      <c r="C3488" s="316"/>
    </row>
    <row r="3489" spans="3:3" x14ac:dyDescent="0.25">
      <c r="C3489" s="316"/>
    </row>
    <row r="3490" spans="3:3" x14ac:dyDescent="0.25">
      <c r="C3490" s="316"/>
    </row>
    <row r="3491" spans="3:3" x14ac:dyDescent="0.25">
      <c r="C3491" s="316"/>
    </row>
    <row r="3492" spans="3:3" x14ac:dyDescent="0.25">
      <c r="C3492" s="316"/>
    </row>
    <row r="3493" spans="3:3" x14ac:dyDescent="0.25">
      <c r="C3493" s="316"/>
    </row>
    <row r="3494" spans="3:3" x14ac:dyDescent="0.25">
      <c r="C3494" s="316"/>
    </row>
    <row r="3495" spans="3:3" x14ac:dyDescent="0.25">
      <c r="C3495" s="316"/>
    </row>
    <row r="3496" spans="3:3" x14ac:dyDescent="0.25">
      <c r="C3496" s="316"/>
    </row>
    <row r="3497" spans="3:3" x14ac:dyDescent="0.25">
      <c r="C3497" s="316"/>
    </row>
    <row r="3498" spans="3:3" x14ac:dyDescent="0.25">
      <c r="C3498" s="316"/>
    </row>
    <row r="3499" spans="3:3" x14ac:dyDescent="0.25">
      <c r="C3499" s="316"/>
    </row>
    <row r="3500" spans="3:3" x14ac:dyDescent="0.25">
      <c r="C3500" s="316"/>
    </row>
    <row r="3501" spans="3:3" x14ac:dyDescent="0.25">
      <c r="C3501" s="316"/>
    </row>
    <row r="3502" spans="3:3" x14ac:dyDescent="0.25">
      <c r="C3502" s="316"/>
    </row>
    <row r="3503" spans="3:3" x14ac:dyDescent="0.25">
      <c r="C3503" s="316"/>
    </row>
    <row r="3504" spans="3:3" x14ac:dyDescent="0.25">
      <c r="C3504" s="316"/>
    </row>
    <row r="3505" spans="3:3" x14ac:dyDescent="0.25">
      <c r="C3505" s="316"/>
    </row>
    <row r="3506" spans="3:3" x14ac:dyDescent="0.25">
      <c r="C3506" s="316"/>
    </row>
    <row r="3507" spans="3:3" x14ac:dyDescent="0.25">
      <c r="C3507" s="316"/>
    </row>
    <row r="3508" spans="3:3" x14ac:dyDescent="0.25">
      <c r="C3508" s="316"/>
    </row>
    <row r="3509" spans="3:3" x14ac:dyDescent="0.25">
      <c r="C3509" s="316"/>
    </row>
    <row r="3510" spans="3:3" x14ac:dyDescent="0.25">
      <c r="C3510" s="316"/>
    </row>
    <row r="3511" spans="3:3" x14ac:dyDescent="0.25">
      <c r="C3511" s="316"/>
    </row>
    <row r="3512" spans="3:3" x14ac:dyDescent="0.25">
      <c r="C3512" s="316"/>
    </row>
    <row r="3513" spans="3:3" x14ac:dyDescent="0.25">
      <c r="C3513" s="316"/>
    </row>
    <row r="3514" spans="3:3" x14ac:dyDescent="0.25">
      <c r="C3514" s="316"/>
    </row>
    <row r="3515" spans="3:3" x14ac:dyDescent="0.25">
      <c r="C3515" s="316"/>
    </row>
    <row r="3516" spans="3:3" x14ac:dyDescent="0.25">
      <c r="C3516" s="316"/>
    </row>
    <row r="3517" spans="3:3" x14ac:dyDescent="0.25">
      <c r="C3517" s="316"/>
    </row>
    <row r="3518" spans="3:3" x14ac:dyDescent="0.25">
      <c r="C3518" s="316"/>
    </row>
    <row r="3519" spans="3:3" x14ac:dyDescent="0.25">
      <c r="C3519" s="316"/>
    </row>
    <row r="3520" spans="3:3" x14ac:dyDescent="0.25">
      <c r="C3520" s="316"/>
    </row>
    <row r="3521" spans="3:3" x14ac:dyDescent="0.25">
      <c r="C3521" s="316"/>
    </row>
    <row r="3522" spans="3:3" x14ac:dyDescent="0.25">
      <c r="C3522" s="316"/>
    </row>
    <row r="3523" spans="3:3" x14ac:dyDescent="0.25">
      <c r="C3523" s="316"/>
    </row>
    <row r="3524" spans="3:3" x14ac:dyDescent="0.25">
      <c r="C3524" s="316"/>
    </row>
    <row r="3525" spans="3:3" x14ac:dyDescent="0.25">
      <c r="C3525" s="316"/>
    </row>
    <row r="3526" spans="3:3" x14ac:dyDescent="0.25">
      <c r="C3526" s="316"/>
    </row>
    <row r="3527" spans="3:3" x14ac:dyDescent="0.25">
      <c r="C3527" s="316"/>
    </row>
    <row r="3528" spans="3:3" x14ac:dyDescent="0.25">
      <c r="C3528" s="316"/>
    </row>
    <row r="3529" spans="3:3" x14ac:dyDescent="0.25">
      <c r="C3529" s="316"/>
    </row>
    <row r="3530" spans="3:3" x14ac:dyDescent="0.25">
      <c r="C3530" s="316"/>
    </row>
    <row r="3531" spans="3:3" x14ac:dyDescent="0.25">
      <c r="C3531" s="316"/>
    </row>
    <row r="3532" spans="3:3" x14ac:dyDescent="0.25">
      <c r="C3532" s="316"/>
    </row>
    <row r="3533" spans="3:3" x14ac:dyDescent="0.25">
      <c r="C3533" s="316"/>
    </row>
    <row r="3534" spans="3:3" x14ac:dyDescent="0.25">
      <c r="C3534" s="316"/>
    </row>
    <row r="3535" spans="3:3" x14ac:dyDescent="0.25">
      <c r="C3535" s="316"/>
    </row>
    <row r="3536" spans="3:3" x14ac:dyDescent="0.25">
      <c r="C3536" s="316"/>
    </row>
    <row r="3537" spans="3:3" x14ac:dyDescent="0.25">
      <c r="C3537" s="316"/>
    </row>
    <row r="3538" spans="3:3" x14ac:dyDescent="0.25">
      <c r="C3538" s="316"/>
    </row>
    <row r="3539" spans="3:3" x14ac:dyDescent="0.25">
      <c r="C3539" s="316"/>
    </row>
    <row r="3540" spans="3:3" x14ac:dyDescent="0.25">
      <c r="C3540" s="316"/>
    </row>
    <row r="3541" spans="3:3" x14ac:dyDescent="0.25">
      <c r="C3541" s="316"/>
    </row>
    <row r="3542" spans="3:3" x14ac:dyDescent="0.25">
      <c r="C3542" s="316"/>
    </row>
    <row r="3543" spans="3:3" x14ac:dyDescent="0.25">
      <c r="C3543" s="316"/>
    </row>
    <row r="3544" spans="3:3" x14ac:dyDescent="0.25">
      <c r="C3544" s="316"/>
    </row>
    <row r="3545" spans="3:3" x14ac:dyDescent="0.25">
      <c r="C3545" s="316"/>
    </row>
    <row r="3546" spans="3:3" x14ac:dyDescent="0.25">
      <c r="C3546" s="316"/>
    </row>
    <row r="3547" spans="3:3" x14ac:dyDescent="0.25">
      <c r="C3547" s="316"/>
    </row>
    <row r="3548" spans="3:3" x14ac:dyDescent="0.25">
      <c r="C3548" s="316"/>
    </row>
    <row r="3549" spans="3:3" x14ac:dyDescent="0.25">
      <c r="C3549" s="316"/>
    </row>
    <row r="3550" spans="3:3" x14ac:dyDescent="0.25">
      <c r="C3550" s="316"/>
    </row>
    <row r="3551" spans="3:3" x14ac:dyDescent="0.25">
      <c r="C3551" s="316"/>
    </row>
    <row r="3552" spans="3:3" x14ac:dyDescent="0.25">
      <c r="C3552" s="316"/>
    </row>
    <row r="3553" spans="3:3" x14ac:dyDescent="0.25">
      <c r="C3553" s="316"/>
    </row>
    <row r="3554" spans="3:3" x14ac:dyDescent="0.25">
      <c r="C3554" s="316"/>
    </row>
    <row r="3555" spans="3:3" x14ac:dyDescent="0.25">
      <c r="C3555" s="316"/>
    </row>
    <row r="3556" spans="3:3" x14ac:dyDescent="0.25">
      <c r="C3556" s="316"/>
    </row>
    <row r="3557" spans="3:3" x14ac:dyDescent="0.25">
      <c r="C3557" s="316"/>
    </row>
    <row r="3558" spans="3:3" x14ac:dyDescent="0.25">
      <c r="C3558" s="316"/>
    </row>
    <row r="3559" spans="3:3" x14ac:dyDescent="0.25">
      <c r="C3559" s="316"/>
    </row>
    <row r="3560" spans="3:3" x14ac:dyDescent="0.25">
      <c r="C3560" s="316"/>
    </row>
    <row r="3561" spans="3:3" x14ac:dyDescent="0.25">
      <c r="C3561" s="316"/>
    </row>
    <row r="3562" spans="3:3" x14ac:dyDescent="0.25">
      <c r="C3562" s="316"/>
    </row>
    <row r="3563" spans="3:3" x14ac:dyDescent="0.25">
      <c r="C3563" s="316"/>
    </row>
    <row r="3564" spans="3:3" x14ac:dyDescent="0.25">
      <c r="C3564" s="316"/>
    </row>
    <row r="3565" spans="3:3" x14ac:dyDescent="0.25">
      <c r="C3565" s="316"/>
    </row>
    <row r="3566" spans="3:3" x14ac:dyDescent="0.25">
      <c r="C3566" s="316"/>
    </row>
    <row r="3567" spans="3:3" x14ac:dyDescent="0.25">
      <c r="C3567" s="316"/>
    </row>
    <row r="3568" spans="3:3" x14ac:dyDescent="0.25">
      <c r="C3568" s="316"/>
    </row>
    <row r="3569" spans="3:3" x14ac:dyDescent="0.25">
      <c r="C3569" s="316"/>
    </row>
    <row r="3570" spans="3:3" x14ac:dyDescent="0.25">
      <c r="C3570" s="316"/>
    </row>
    <row r="3571" spans="3:3" x14ac:dyDescent="0.25">
      <c r="C3571" s="316"/>
    </row>
    <row r="3572" spans="3:3" x14ac:dyDescent="0.25">
      <c r="C3572" s="316"/>
    </row>
    <row r="3573" spans="3:3" x14ac:dyDescent="0.25">
      <c r="C3573" s="316"/>
    </row>
    <row r="3574" spans="3:3" x14ac:dyDescent="0.25">
      <c r="C3574" s="316"/>
    </row>
    <row r="3575" spans="3:3" x14ac:dyDescent="0.25">
      <c r="C3575" s="316"/>
    </row>
    <row r="3576" spans="3:3" x14ac:dyDescent="0.25">
      <c r="C3576" s="316"/>
    </row>
    <row r="3577" spans="3:3" x14ac:dyDescent="0.25">
      <c r="C3577" s="316"/>
    </row>
    <row r="3578" spans="3:3" x14ac:dyDescent="0.25">
      <c r="C3578" s="316"/>
    </row>
    <row r="3579" spans="3:3" x14ac:dyDescent="0.25">
      <c r="C3579" s="316"/>
    </row>
    <row r="3580" spans="3:3" x14ac:dyDescent="0.25">
      <c r="C3580" s="316"/>
    </row>
    <row r="3581" spans="3:3" x14ac:dyDescent="0.25">
      <c r="C3581" s="316"/>
    </row>
    <row r="3582" spans="3:3" x14ac:dyDescent="0.25">
      <c r="C3582" s="316"/>
    </row>
    <row r="3583" spans="3:3" x14ac:dyDescent="0.25">
      <c r="C3583" s="316"/>
    </row>
    <row r="3584" spans="3:3" x14ac:dyDescent="0.25">
      <c r="C3584" s="316"/>
    </row>
    <row r="3585" spans="3:3" x14ac:dyDescent="0.25">
      <c r="C3585" s="316"/>
    </row>
    <row r="3586" spans="3:3" x14ac:dyDescent="0.25">
      <c r="C3586" s="316"/>
    </row>
    <row r="3587" spans="3:3" x14ac:dyDescent="0.25">
      <c r="C3587" s="316"/>
    </row>
    <row r="3588" spans="3:3" x14ac:dyDescent="0.25">
      <c r="C3588" s="316"/>
    </row>
    <row r="3589" spans="3:3" x14ac:dyDescent="0.25">
      <c r="C3589" s="316"/>
    </row>
    <row r="3590" spans="3:3" x14ac:dyDescent="0.25">
      <c r="C3590" s="316"/>
    </row>
    <row r="3591" spans="3:3" x14ac:dyDescent="0.25">
      <c r="C3591" s="316"/>
    </row>
    <row r="3592" spans="3:3" x14ac:dyDescent="0.25">
      <c r="C3592" s="316"/>
    </row>
    <row r="3593" spans="3:3" x14ac:dyDescent="0.25">
      <c r="C3593" s="316"/>
    </row>
    <row r="3594" spans="3:3" x14ac:dyDescent="0.25">
      <c r="C3594" s="316"/>
    </row>
    <row r="3595" spans="3:3" x14ac:dyDescent="0.25">
      <c r="C3595" s="316"/>
    </row>
    <row r="3596" spans="3:3" x14ac:dyDescent="0.25">
      <c r="C3596" s="316"/>
    </row>
    <row r="3597" spans="3:3" x14ac:dyDescent="0.25">
      <c r="C3597" s="316"/>
    </row>
    <row r="3598" spans="3:3" x14ac:dyDescent="0.25">
      <c r="C3598" s="316"/>
    </row>
    <row r="3599" spans="3:3" x14ac:dyDescent="0.25">
      <c r="C3599" s="316"/>
    </row>
    <row r="3600" spans="3:3" x14ac:dyDescent="0.25">
      <c r="C3600" s="316"/>
    </row>
    <row r="3601" spans="3:3" x14ac:dyDescent="0.25">
      <c r="C3601" s="316"/>
    </row>
    <row r="3602" spans="3:3" x14ac:dyDescent="0.25">
      <c r="C3602" s="316"/>
    </row>
    <row r="3603" spans="3:3" x14ac:dyDescent="0.25">
      <c r="C3603" s="316"/>
    </row>
    <row r="3604" spans="3:3" x14ac:dyDescent="0.25">
      <c r="C3604" s="316"/>
    </row>
    <row r="3605" spans="3:3" x14ac:dyDescent="0.25">
      <c r="C3605" s="316"/>
    </row>
    <row r="3606" spans="3:3" x14ac:dyDescent="0.25">
      <c r="C3606" s="316"/>
    </row>
    <row r="3607" spans="3:3" x14ac:dyDescent="0.25">
      <c r="C3607" s="316"/>
    </row>
    <row r="3608" spans="3:3" x14ac:dyDescent="0.25">
      <c r="C3608" s="316"/>
    </row>
    <row r="3609" spans="3:3" x14ac:dyDescent="0.25">
      <c r="C3609" s="316"/>
    </row>
    <row r="3610" spans="3:3" x14ac:dyDescent="0.25">
      <c r="C3610" s="316"/>
    </row>
    <row r="3611" spans="3:3" x14ac:dyDescent="0.25">
      <c r="C3611" s="316"/>
    </row>
    <row r="3612" spans="3:3" x14ac:dyDescent="0.25">
      <c r="C3612" s="316"/>
    </row>
    <row r="3613" spans="3:3" x14ac:dyDescent="0.25">
      <c r="C3613" s="316"/>
    </row>
    <row r="3614" spans="3:3" x14ac:dyDescent="0.25">
      <c r="C3614" s="316"/>
    </row>
    <row r="3615" spans="3:3" x14ac:dyDescent="0.25">
      <c r="C3615" s="316"/>
    </row>
    <row r="3616" spans="3:3" x14ac:dyDescent="0.25">
      <c r="C3616" s="316"/>
    </row>
    <row r="3617" spans="3:3" x14ac:dyDescent="0.25">
      <c r="C3617" s="316"/>
    </row>
    <row r="3618" spans="3:3" x14ac:dyDescent="0.25">
      <c r="C3618" s="316"/>
    </row>
    <row r="3619" spans="3:3" x14ac:dyDescent="0.25">
      <c r="C3619" s="316"/>
    </row>
    <row r="3620" spans="3:3" x14ac:dyDescent="0.25">
      <c r="C3620" s="316"/>
    </row>
    <row r="3621" spans="3:3" x14ac:dyDescent="0.25">
      <c r="C3621" s="316"/>
    </row>
    <row r="3622" spans="3:3" x14ac:dyDescent="0.25">
      <c r="C3622" s="316"/>
    </row>
    <row r="3623" spans="3:3" x14ac:dyDescent="0.25">
      <c r="C3623" s="316"/>
    </row>
    <row r="3624" spans="3:3" x14ac:dyDescent="0.25">
      <c r="C3624" s="316"/>
    </row>
    <row r="3625" spans="3:3" x14ac:dyDescent="0.25">
      <c r="C3625" s="316"/>
    </row>
    <row r="3626" spans="3:3" x14ac:dyDescent="0.25">
      <c r="C3626" s="316"/>
    </row>
    <row r="3627" spans="3:3" x14ac:dyDescent="0.25">
      <c r="C3627" s="316"/>
    </row>
    <row r="3628" spans="3:3" x14ac:dyDescent="0.25">
      <c r="C3628" s="316"/>
    </row>
    <row r="3629" spans="3:3" x14ac:dyDescent="0.25">
      <c r="C3629" s="316"/>
    </row>
    <row r="3630" spans="3:3" x14ac:dyDescent="0.25">
      <c r="C3630" s="316"/>
    </row>
    <row r="3631" spans="3:3" x14ac:dyDescent="0.25">
      <c r="C3631" s="316"/>
    </row>
    <row r="3632" spans="3:3" x14ac:dyDescent="0.25">
      <c r="C3632" s="316"/>
    </row>
    <row r="3633" spans="3:3" x14ac:dyDescent="0.25">
      <c r="C3633" s="316"/>
    </row>
    <row r="3634" spans="3:3" x14ac:dyDescent="0.25">
      <c r="C3634" s="316"/>
    </row>
    <row r="3635" spans="3:3" x14ac:dyDescent="0.25">
      <c r="C3635" s="316"/>
    </row>
    <row r="3636" spans="3:3" x14ac:dyDescent="0.25">
      <c r="C3636" s="316"/>
    </row>
    <row r="3637" spans="3:3" x14ac:dyDescent="0.25">
      <c r="C3637" s="316"/>
    </row>
    <row r="3638" spans="3:3" x14ac:dyDescent="0.25">
      <c r="C3638" s="316"/>
    </row>
    <row r="3639" spans="3:3" x14ac:dyDescent="0.25">
      <c r="C3639" s="316"/>
    </row>
    <row r="3640" spans="3:3" x14ac:dyDescent="0.25">
      <c r="C3640" s="316"/>
    </row>
    <row r="3641" spans="3:3" x14ac:dyDescent="0.25">
      <c r="C3641" s="316"/>
    </row>
    <row r="3642" spans="3:3" x14ac:dyDescent="0.25">
      <c r="C3642" s="316"/>
    </row>
    <row r="3643" spans="3:3" x14ac:dyDescent="0.25">
      <c r="C3643" s="316"/>
    </row>
    <row r="3644" spans="3:3" x14ac:dyDescent="0.25">
      <c r="C3644" s="316"/>
    </row>
    <row r="3645" spans="3:3" x14ac:dyDescent="0.25">
      <c r="C3645" s="316"/>
    </row>
    <row r="3646" spans="3:3" x14ac:dyDescent="0.25">
      <c r="C3646" s="316"/>
    </row>
    <row r="3647" spans="3:3" x14ac:dyDescent="0.25">
      <c r="C3647" s="316"/>
    </row>
    <row r="3648" spans="3:3" x14ac:dyDescent="0.25">
      <c r="C3648" s="316"/>
    </row>
    <row r="3649" spans="3:3" x14ac:dyDescent="0.25">
      <c r="C3649" s="316"/>
    </row>
    <row r="3650" spans="3:3" x14ac:dyDescent="0.25">
      <c r="C3650" s="316"/>
    </row>
    <row r="3651" spans="3:3" x14ac:dyDescent="0.25">
      <c r="C3651" s="316"/>
    </row>
    <row r="3652" spans="3:3" x14ac:dyDescent="0.25">
      <c r="C3652" s="316"/>
    </row>
    <row r="3653" spans="3:3" x14ac:dyDescent="0.25">
      <c r="C3653" s="316"/>
    </row>
    <row r="3654" spans="3:3" x14ac:dyDescent="0.25">
      <c r="C3654" s="316"/>
    </row>
    <row r="3655" spans="3:3" x14ac:dyDescent="0.25">
      <c r="C3655" s="316"/>
    </row>
    <row r="3656" spans="3:3" x14ac:dyDescent="0.25">
      <c r="C3656" s="316"/>
    </row>
    <row r="3657" spans="3:3" x14ac:dyDescent="0.25">
      <c r="C3657" s="316"/>
    </row>
    <row r="3658" spans="3:3" x14ac:dyDescent="0.25">
      <c r="C3658" s="316"/>
    </row>
    <row r="3659" spans="3:3" x14ac:dyDescent="0.25">
      <c r="C3659" s="316"/>
    </row>
    <row r="3660" spans="3:3" x14ac:dyDescent="0.25">
      <c r="C3660" s="316"/>
    </row>
    <row r="3661" spans="3:3" x14ac:dyDescent="0.25">
      <c r="C3661" s="316"/>
    </row>
    <row r="3662" spans="3:3" x14ac:dyDescent="0.25">
      <c r="C3662" s="316"/>
    </row>
    <row r="3663" spans="3:3" x14ac:dyDescent="0.25">
      <c r="C3663" s="316"/>
    </row>
    <row r="3664" spans="3:3" x14ac:dyDescent="0.25">
      <c r="C3664" s="316"/>
    </row>
    <row r="3665" spans="3:3" x14ac:dyDescent="0.25">
      <c r="C3665" s="316"/>
    </row>
    <row r="3666" spans="3:3" x14ac:dyDescent="0.25">
      <c r="C3666" s="316"/>
    </row>
    <row r="3667" spans="3:3" x14ac:dyDescent="0.25">
      <c r="C3667" s="316"/>
    </row>
    <row r="3668" spans="3:3" x14ac:dyDescent="0.25">
      <c r="C3668" s="316"/>
    </row>
    <row r="3669" spans="3:3" x14ac:dyDescent="0.25">
      <c r="C3669" s="316"/>
    </row>
    <row r="3670" spans="3:3" x14ac:dyDescent="0.25">
      <c r="C3670" s="316"/>
    </row>
    <row r="3671" spans="3:3" x14ac:dyDescent="0.25">
      <c r="C3671" s="316"/>
    </row>
    <row r="3672" spans="3:3" x14ac:dyDescent="0.25">
      <c r="C3672" s="316"/>
    </row>
    <row r="3673" spans="3:3" x14ac:dyDescent="0.25">
      <c r="C3673" s="316"/>
    </row>
    <row r="3674" spans="3:3" x14ac:dyDescent="0.25">
      <c r="C3674" s="316"/>
    </row>
    <row r="3675" spans="3:3" x14ac:dyDescent="0.25">
      <c r="C3675" s="316"/>
    </row>
    <row r="3676" spans="3:3" x14ac:dyDescent="0.25">
      <c r="C3676" s="316"/>
    </row>
    <row r="3677" spans="3:3" x14ac:dyDescent="0.25">
      <c r="C3677" s="316"/>
    </row>
    <row r="3678" spans="3:3" x14ac:dyDescent="0.25">
      <c r="C3678" s="316"/>
    </row>
    <row r="3679" spans="3:3" x14ac:dyDescent="0.25">
      <c r="C3679" s="316"/>
    </row>
    <row r="3680" spans="3:3" x14ac:dyDescent="0.25">
      <c r="C3680" s="316"/>
    </row>
    <row r="3681" spans="3:3" x14ac:dyDescent="0.25">
      <c r="C3681" s="316"/>
    </row>
    <row r="3682" spans="3:3" x14ac:dyDescent="0.25">
      <c r="C3682" s="316"/>
    </row>
    <row r="3683" spans="3:3" x14ac:dyDescent="0.25">
      <c r="C3683" s="316"/>
    </row>
    <row r="3684" spans="3:3" x14ac:dyDescent="0.25">
      <c r="C3684" s="316"/>
    </row>
    <row r="3685" spans="3:3" x14ac:dyDescent="0.25">
      <c r="C3685" s="316"/>
    </row>
    <row r="3686" spans="3:3" x14ac:dyDescent="0.25">
      <c r="C3686" s="316"/>
    </row>
    <row r="3687" spans="3:3" x14ac:dyDescent="0.25">
      <c r="C3687" s="316"/>
    </row>
    <row r="3688" spans="3:3" x14ac:dyDescent="0.25">
      <c r="C3688" s="316"/>
    </row>
    <row r="3689" spans="3:3" x14ac:dyDescent="0.25">
      <c r="C3689" s="316"/>
    </row>
    <row r="3690" spans="3:3" x14ac:dyDescent="0.25">
      <c r="C3690" s="316"/>
    </row>
    <row r="3691" spans="3:3" x14ac:dyDescent="0.25">
      <c r="C3691" s="316"/>
    </row>
    <row r="3692" spans="3:3" x14ac:dyDescent="0.25">
      <c r="C3692" s="316"/>
    </row>
    <row r="3693" spans="3:3" x14ac:dyDescent="0.25">
      <c r="C3693" s="316"/>
    </row>
    <row r="3694" spans="3:3" x14ac:dyDescent="0.25">
      <c r="C3694" s="316"/>
    </row>
    <row r="3695" spans="3:3" x14ac:dyDescent="0.25">
      <c r="C3695" s="316"/>
    </row>
    <row r="3696" spans="3:3" x14ac:dyDescent="0.25">
      <c r="C3696" s="316"/>
    </row>
    <row r="3697" spans="3:3" x14ac:dyDescent="0.25">
      <c r="C3697" s="316"/>
    </row>
    <row r="3698" spans="3:3" x14ac:dyDescent="0.25">
      <c r="C3698" s="316"/>
    </row>
    <row r="3699" spans="3:3" x14ac:dyDescent="0.25">
      <c r="C3699" s="316"/>
    </row>
    <row r="3700" spans="3:3" x14ac:dyDescent="0.25">
      <c r="C3700" s="316"/>
    </row>
    <row r="3701" spans="3:3" x14ac:dyDescent="0.25">
      <c r="C3701" s="316"/>
    </row>
    <row r="3702" spans="3:3" x14ac:dyDescent="0.25">
      <c r="C3702" s="316"/>
    </row>
    <row r="3703" spans="3:3" x14ac:dyDescent="0.25">
      <c r="C3703" s="316"/>
    </row>
    <row r="3704" spans="3:3" x14ac:dyDescent="0.25">
      <c r="C3704" s="316"/>
    </row>
    <row r="3705" spans="3:3" x14ac:dyDescent="0.25">
      <c r="C3705" s="316"/>
    </row>
    <row r="3706" spans="3:3" x14ac:dyDescent="0.25">
      <c r="C3706" s="316"/>
    </row>
    <row r="3707" spans="3:3" x14ac:dyDescent="0.25">
      <c r="C3707" s="316"/>
    </row>
    <row r="3708" spans="3:3" x14ac:dyDescent="0.25">
      <c r="C3708" s="316"/>
    </row>
    <row r="3709" spans="3:3" x14ac:dyDescent="0.25">
      <c r="C3709" s="316"/>
    </row>
    <row r="3710" spans="3:3" x14ac:dyDescent="0.25">
      <c r="C3710" s="316"/>
    </row>
    <row r="3711" spans="3:3" x14ac:dyDescent="0.25">
      <c r="C3711" s="316"/>
    </row>
    <row r="3712" spans="3:3" x14ac:dyDescent="0.25">
      <c r="C3712" s="316"/>
    </row>
    <row r="3713" spans="3:3" x14ac:dyDescent="0.25">
      <c r="C3713" s="316"/>
    </row>
    <row r="3714" spans="3:3" x14ac:dyDescent="0.25">
      <c r="C3714" s="316"/>
    </row>
    <row r="3715" spans="3:3" x14ac:dyDescent="0.25">
      <c r="C3715" s="316"/>
    </row>
    <row r="3716" spans="3:3" x14ac:dyDescent="0.25">
      <c r="C3716" s="316"/>
    </row>
    <row r="3717" spans="3:3" x14ac:dyDescent="0.25">
      <c r="C3717" s="316"/>
    </row>
    <row r="3718" spans="3:3" x14ac:dyDescent="0.25">
      <c r="C3718" s="316"/>
    </row>
    <row r="3719" spans="3:3" x14ac:dyDescent="0.25">
      <c r="C3719" s="316"/>
    </row>
    <row r="3720" spans="3:3" x14ac:dyDescent="0.25">
      <c r="C3720" s="316"/>
    </row>
    <row r="3721" spans="3:3" x14ac:dyDescent="0.25">
      <c r="C3721" s="316"/>
    </row>
    <row r="3722" spans="3:3" x14ac:dyDescent="0.25">
      <c r="C3722" s="316"/>
    </row>
    <row r="3723" spans="3:3" x14ac:dyDescent="0.25">
      <c r="C3723" s="316"/>
    </row>
    <row r="3724" spans="3:3" x14ac:dyDescent="0.25">
      <c r="C3724" s="316"/>
    </row>
    <row r="3725" spans="3:3" x14ac:dyDescent="0.25">
      <c r="C3725" s="316"/>
    </row>
    <row r="3726" spans="3:3" x14ac:dyDescent="0.25">
      <c r="C3726" s="316"/>
    </row>
    <row r="3727" spans="3:3" x14ac:dyDescent="0.25">
      <c r="C3727" s="316"/>
    </row>
    <row r="3728" spans="3:3" x14ac:dyDescent="0.25">
      <c r="C3728" s="316"/>
    </row>
    <row r="3729" spans="3:3" x14ac:dyDescent="0.25">
      <c r="C3729" s="316"/>
    </row>
    <row r="3730" spans="3:3" x14ac:dyDescent="0.25">
      <c r="C3730" s="316"/>
    </row>
    <row r="3731" spans="3:3" x14ac:dyDescent="0.25">
      <c r="C3731" s="316"/>
    </row>
    <row r="3732" spans="3:3" x14ac:dyDescent="0.25">
      <c r="C3732" s="316"/>
    </row>
    <row r="3733" spans="3:3" x14ac:dyDescent="0.25">
      <c r="C3733" s="316"/>
    </row>
    <row r="3734" spans="3:3" x14ac:dyDescent="0.25">
      <c r="C3734" s="316"/>
    </row>
    <row r="3735" spans="3:3" x14ac:dyDescent="0.25">
      <c r="C3735" s="316"/>
    </row>
    <row r="3736" spans="3:3" x14ac:dyDescent="0.25">
      <c r="C3736" s="316"/>
    </row>
    <row r="3737" spans="3:3" x14ac:dyDescent="0.25">
      <c r="C3737" s="316"/>
    </row>
    <row r="3738" spans="3:3" x14ac:dyDescent="0.25">
      <c r="C3738" s="316"/>
    </row>
    <row r="3739" spans="3:3" x14ac:dyDescent="0.25">
      <c r="C3739" s="316"/>
    </row>
    <row r="3740" spans="3:3" x14ac:dyDescent="0.25">
      <c r="C3740" s="316"/>
    </row>
    <row r="3741" spans="3:3" x14ac:dyDescent="0.25">
      <c r="C3741" s="316"/>
    </row>
    <row r="3742" spans="3:3" x14ac:dyDescent="0.25">
      <c r="C3742" s="316"/>
    </row>
    <row r="3743" spans="3:3" x14ac:dyDescent="0.25">
      <c r="C3743" s="316"/>
    </row>
    <row r="3744" spans="3:3" x14ac:dyDescent="0.25">
      <c r="C3744" s="316"/>
    </row>
    <row r="3745" spans="3:3" x14ac:dyDescent="0.25">
      <c r="C3745" s="316"/>
    </row>
    <row r="3746" spans="3:3" x14ac:dyDescent="0.25">
      <c r="C3746" s="316"/>
    </row>
    <row r="3747" spans="3:3" x14ac:dyDescent="0.25">
      <c r="C3747" s="316"/>
    </row>
    <row r="3748" spans="3:3" x14ac:dyDescent="0.25">
      <c r="C3748" s="316"/>
    </row>
    <row r="3749" spans="3:3" x14ac:dyDescent="0.25">
      <c r="C3749" s="316"/>
    </row>
    <row r="3750" spans="3:3" x14ac:dyDescent="0.25">
      <c r="C3750" s="316"/>
    </row>
    <row r="3751" spans="3:3" x14ac:dyDescent="0.25">
      <c r="C3751" s="316"/>
    </row>
    <row r="3752" spans="3:3" x14ac:dyDescent="0.25">
      <c r="C3752" s="316"/>
    </row>
    <row r="3753" spans="3:3" x14ac:dyDescent="0.25">
      <c r="C3753" s="316"/>
    </row>
    <row r="3754" spans="3:3" x14ac:dyDescent="0.25">
      <c r="C3754" s="316"/>
    </row>
    <row r="3755" spans="3:3" x14ac:dyDescent="0.25">
      <c r="C3755" s="316"/>
    </row>
    <row r="3756" spans="3:3" x14ac:dyDescent="0.25">
      <c r="C3756" s="316"/>
    </row>
    <row r="3757" spans="3:3" x14ac:dyDescent="0.25">
      <c r="C3757" s="316"/>
    </row>
    <row r="3758" spans="3:3" x14ac:dyDescent="0.25">
      <c r="C3758" s="316"/>
    </row>
    <row r="3759" spans="3:3" x14ac:dyDescent="0.25">
      <c r="C3759" s="316"/>
    </row>
    <row r="3760" spans="3:3" x14ac:dyDescent="0.25">
      <c r="C3760" s="316"/>
    </row>
    <row r="3761" spans="3:3" x14ac:dyDescent="0.25">
      <c r="C3761" s="316"/>
    </row>
    <row r="3762" spans="3:3" x14ac:dyDescent="0.25">
      <c r="C3762" s="316"/>
    </row>
    <row r="3763" spans="3:3" x14ac:dyDescent="0.25">
      <c r="C3763" s="316"/>
    </row>
    <row r="3764" spans="3:3" x14ac:dyDescent="0.25">
      <c r="C3764" s="316"/>
    </row>
    <row r="3765" spans="3:3" x14ac:dyDescent="0.25">
      <c r="C3765" s="316"/>
    </row>
    <row r="3766" spans="3:3" x14ac:dyDescent="0.25">
      <c r="C3766" s="316"/>
    </row>
    <row r="3767" spans="3:3" x14ac:dyDescent="0.25">
      <c r="C3767" s="316"/>
    </row>
    <row r="3768" spans="3:3" x14ac:dyDescent="0.25">
      <c r="C3768" s="316"/>
    </row>
    <row r="3769" spans="3:3" x14ac:dyDescent="0.25">
      <c r="C3769" s="316"/>
    </row>
    <row r="3770" spans="3:3" x14ac:dyDescent="0.25">
      <c r="C3770" s="316"/>
    </row>
    <row r="3771" spans="3:3" x14ac:dyDescent="0.25">
      <c r="C3771" s="316"/>
    </row>
    <row r="3772" spans="3:3" x14ac:dyDescent="0.25">
      <c r="C3772" s="316"/>
    </row>
    <row r="3773" spans="3:3" x14ac:dyDescent="0.25">
      <c r="C3773" s="316"/>
    </row>
    <row r="3774" spans="3:3" x14ac:dyDescent="0.25">
      <c r="C3774" s="316"/>
    </row>
    <row r="3775" spans="3:3" x14ac:dyDescent="0.25">
      <c r="C3775" s="316"/>
    </row>
    <row r="3776" spans="3:3" x14ac:dyDescent="0.25">
      <c r="C3776" s="316"/>
    </row>
    <row r="3777" spans="3:3" x14ac:dyDescent="0.25">
      <c r="C3777" s="316"/>
    </row>
    <row r="3778" spans="3:3" x14ac:dyDescent="0.25">
      <c r="C3778" s="316"/>
    </row>
    <row r="3779" spans="3:3" x14ac:dyDescent="0.25">
      <c r="C3779" s="316"/>
    </row>
    <row r="3780" spans="3:3" x14ac:dyDescent="0.25">
      <c r="C3780" s="316"/>
    </row>
    <row r="3781" spans="3:3" x14ac:dyDescent="0.25">
      <c r="C3781" s="316"/>
    </row>
    <row r="3782" spans="3:3" x14ac:dyDescent="0.25">
      <c r="C3782" s="316"/>
    </row>
    <row r="3783" spans="3:3" x14ac:dyDescent="0.25">
      <c r="C3783" s="316"/>
    </row>
    <row r="3784" spans="3:3" x14ac:dyDescent="0.25">
      <c r="C3784" s="316"/>
    </row>
    <row r="3785" spans="3:3" x14ac:dyDescent="0.25">
      <c r="C3785" s="316"/>
    </row>
    <row r="3786" spans="3:3" x14ac:dyDescent="0.25">
      <c r="C3786" s="316"/>
    </row>
    <row r="3787" spans="3:3" x14ac:dyDescent="0.25">
      <c r="C3787" s="316"/>
    </row>
    <row r="3788" spans="3:3" x14ac:dyDescent="0.25">
      <c r="C3788" s="316"/>
    </row>
    <row r="3789" spans="3:3" x14ac:dyDescent="0.25">
      <c r="C3789" s="316"/>
    </row>
    <row r="3790" spans="3:3" x14ac:dyDescent="0.25">
      <c r="C3790" s="316"/>
    </row>
    <row r="3791" spans="3:3" x14ac:dyDescent="0.25">
      <c r="C3791" s="316"/>
    </row>
    <row r="3792" spans="3:3" x14ac:dyDescent="0.25">
      <c r="C3792" s="316"/>
    </row>
    <row r="3793" spans="3:3" x14ac:dyDescent="0.25">
      <c r="C3793" s="316"/>
    </row>
    <row r="3794" spans="3:3" x14ac:dyDescent="0.25">
      <c r="C3794" s="316"/>
    </row>
    <row r="3795" spans="3:3" x14ac:dyDescent="0.25">
      <c r="C3795" s="316"/>
    </row>
    <row r="3796" spans="3:3" x14ac:dyDescent="0.25">
      <c r="C3796" s="316"/>
    </row>
    <row r="3797" spans="3:3" x14ac:dyDescent="0.25">
      <c r="C3797" s="316"/>
    </row>
    <row r="3798" spans="3:3" x14ac:dyDescent="0.25">
      <c r="C3798" s="316"/>
    </row>
    <row r="3799" spans="3:3" x14ac:dyDescent="0.25">
      <c r="C3799" s="316"/>
    </row>
    <row r="3800" spans="3:3" x14ac:dyDescent="0.25">
      <c r="C3800" s="316"/>
    </row>
    <row r="3801" spans="3:3" x14ac:dyDescent="0.25">
      <c r="C3801" s="316"/>
    </row>
    <row r="3802" spans="3:3" x14ac:dyDescent="0.25">
      <c r="C3802" s="316"/>
    </row>
    <row r="3803" spans="3:3" x14ac:dyDescent="0.25">
      <c r="C3803" s="316"/>
    </row>
    <row r="3804" spans="3:3" x14ac:dyDescent="0.25">
      <c r="C3804" s="316"/>
    </row>
    <row r="3805" spans="3:3" x14ac:dyDescent="0.25">
      <c r="C3805" s="316"/>
    </row>
    <row r="3806" spans="3:3" x14ac:dyDescent="0.25">
      <c r="C3806" s="316"/>
    </row>
    <row r="3807" spans="3:3" x14ac:dyDescent="0.25">
      <c r="C3807" s="316"/>
    </row>
    <row r="3808" spans="3:3" x14ac:dyDescent="0.25">
      <c r="C3808" s="316"/>
    </row>
    <row r="3809" spans="3:3" x14ac:dyDescent="0.25">
      <c r="C3809" s="316"/>
    </row>
    <row r="3810" spans="3:3" x14ac:dyDescent="0.25">
      <c r="C3810" s="316"/>
    </row>
    <row r="3811" spans="3:3" x14ac:dyDescent="0.25">
      <c r="C3811" s="316"/>
    </row>
    <row r="3812" spans="3:3" x14ac:dyDescent="0.25">
      <c r="C3812" s="316"/>
    </row>
    <row r="3813" spans="3:3" x14ac:dyDescent="0.25">
      <c r="C3813" s="316"/>
    </row>
    <row r="3814" spans="3:3" x14ac:dyDescent="0.25">
      <c r="C3814" s="316"/>
    </row>
    <row r="3815" spans="3:3" x14ac:dyDescent="0.25">
      <c r="C3815" s="316"/>
    </row>
    <row r="3816" spans="3:3" x14ac:dyDescent="0.25">
      <c r="C3816" s="316"/>
    </row>
    <row r="3817" spans="3:3" x14ac:dyDescent="0.25">
      <c r="C3817" s="316"/>
    </row>
    <row r="3818" spans="3:3" x14ac:dyDescent="0.25">
      <c r="C3818" s="316"/>
    </row>
    <row r="3819" spans="3:3" x14ac:dyDescent="0.25">
      <c r="C3819" s="316"/>
    </row>
    <row r="3820" spans="3:3" x14ac:dyDescent="0.25">
      <c r="C3820" s="316"/>
    </row>
    <row r="3821" spans="3:3" x14ac:dyDescent="0.25">
      <c r="C3821" s="316"/>
    </row>
    <row r="3822" spans="3:3" x14ac:dyDescent="0.25">
      <c r="C3822" s="316"/>
    </row>
    <row r="3823" spans="3:3" x14ac:dyDescent="0.25">
      <c r="C3823" s="316"/>
    </row>
    <row r="3824" spans="3:3" x14ac:dyDescent="0.25">
      <c r="C3824" s="316"/>
    </row>
    <row r="3825" spans="3:3" x14ac:dyDescent="0.25">
      <c r="C3825" s="316"/>
    </row>
    <row r="3826" spans="3:3" x14ac:dyDescent="0.25">
      <c r="C3826" s="316"/>
    </row>
    <row r="3827" spans="3:3" x14ac:dyDescent="0.25">
      <c r="C3827" s="316"/>
    </row>
    <row r="3828" spans="3:3" x14ac:dyDescent="0.25">
      <c r="C3828" s="316"/>
    </row>
    <row r="3829" spans="3:3" x14ac:dyDescent="0.25">
      <c r="C3829" s="316"/>
    </row>
    <row r="3830" spans="3:3" x14ac:dyDescent="0.25">
      <c r="C3830" s="316"/>
    </row>
    <row r="3831" spans="3:3" x14ac:dyDescent="0.25">
      <c r="C3831" s="316"/>
    </row>
    <row r="3832" spans="3:3" x14ac:dyDescent="0.25">
      <c r="C3832" s="316"/>
    </row>
    <row r="3833" spans="3:3" x14ac:dyDescent="0.25">
      <c r="C3833" s="316"/>
    </row>
    <row r="3834" spans="3:3" x14ac:dyDescent="0.25">
      <c r="C3834" s="316"/>
    </row>
    <row r="3835" spans="3:3" x14ac:dyDescent="0.25">
      <c r="C3835" s="316"/>
    </row>
    <row r="3836" spans="3:3" x14ac:dyDescent="0.25">
      <c r="C3836" s="316"/>
    </row>
    <row r="3837" spans="3:3" x14ac:dyDescent="0.25">
      <c r="C3837" s="316"/>
    </row>
    <row r="3838" spans="3:3" x14ac:dyDescent="0.25">
      <c r="C3838" s="316"/>
    </row>
    <row r="3839" spans="3:3" x14ac:dyDescent="0.25">
      <c r="C3839" s="316"/>
    </row>
    <row r="3840" spans="3:3" x14ac:dyDescent="0.25">
      <c r="C3840" s="316"/>
    </row>
    <row r="3841" spans="3:3" x14ac:dyDescent="0.25">
      <c r="C3841" s="316"/>
    </row>
    <row r="3842" spans="3:3" x14ac:dyDescent="0.25">
      <c r="C3842" s="316"/>
    </row>
    <row r="3843" spans="3:3" x14ac:dyDescent="0.25">
      <c r="C3843" s="316"/>
    </row>
    <row r="3844" spans="3:3" x14ac:dyDescent="0.25">
      <c r="C3844" s="316"/>
    </row>
    <row r="3845" spans="3:3" x14ac:dyDescent="0.25">
      <c r="C3845" s="316"/>
    </row>
    <row r="3846" spans="3:3" x14ac:dyDescent="0.25">
      <c r="C3846" s="316"/>
    </row>
    <row r="3847" spans="3:3" x14ac:dyDescent="0.25">
      <c r="C3847" s="316"/>
    </row>
    <row r="3848" spans="3:3" x14ac:dyDescent="0.25">
      <c r="C3848" s="316"/>
    </row>
    <row r="3849" spans="3:3" x14ac:dyDescent="0.25">
      <c r="C3849" s="316"/>
    </row>
    <row r="3850" spans="3:3" x14ac:dyDescent="0.25">
      <c r="C3850" s="316"/>
    </row>
    <row r="3851" spans="3:3" x14ac:dyDescent="0.25">
      <c r="C3851" s="316"/>
    </row>
    <row r="3852" spans="3:3" x14ac:dyDescent="0.25">
      <c r="C3852" s="316"/>
    </row>
    <row r="3853" spans="3:3" x14ac:dyDescent="0.25">
      <c r="C3853" s="316"/>
    </row>
    <row r="3854" spans="3:3" x14ac:dyDescent="0.25">
      <c r="C3854" s="316"/>
    </row>
    <row r="3855" spans="3:3" x14ac:dyDescent="0.25">
      <c r="C3855" s="316"/>
    </row>
    <row r="3856" spans="3:3" x14ac:dyDescent="0.25">
      <c r="C3856" s="316"/>
    </row>
    <row r="3857" spans="3:3" x14ac:dyDescent="0.25">
      <c r="C3857" s="316"/>
    </row>
    <row r="3858" spans="3:3" x14ac:dyDescent="0.25">
      <c r="C3858" s="316"/>
    </row>
    <row r="3859" spans="3:3" x14ac:dyDescent="0.25">
      <c r="C3859" s="316"/>
    </row>
    <row r="3860" spans="3:3" x14ac:dyDescent="0.25">
      <c r="C3860" s="316"/>
    </row>
    <row r="3861" spans="3:3" x14ac:dyDescent="0.25">
      <c r="C3861" s="316"/>
    </row>
    <row r="3862" spans="3:3" x14ac:dyDescent="0.25">
      <c r="C3862" s="316"/>
    </row>
    <row r="3863" spans="3:3" x14ac:dyDescent="0.25">
      <c r="C3863" s="316"/>
    </row>
    <row r="3864" spans="3:3" x14ac:dyDescent="0.25">
      <c r="C3864" s="316"/>
    </row>
    <row r="3865" spans="3:3" x14ac:dyDescent="0.25">
      <c r="C3865" s="316"/>
    </row>
    <row r="3866" spans="3:3" x14ac:dyDescent="0.25">
      <c r="C3866" s="316"/>
    </row>
    <row r="3867" spans="3:3" x14ac:dyDescent="0.25">
      <c r="C3867" s="316"/>
    </row>
    <row r="3868" spans="3:3" x14ac:dyDescent="0.25">
      <c r="C3868" s="316"/>
    </row>
    <row r="3869" spans="3:3" x14ac:dyDescent="0.25">
      <c r="C3869" s="316"/>
    </row>
    <row r="3870" spans="3:3" x14ac:dyDescent="0.25">
      <c r="C3870" s="316"/>
    </row>
    <row r="3871" spans="3:3" x14ac:dyDescent="0.25">
      <c r="C3871" s="316"/>
    </row>
    <row r="3872" spans="3:3" x14ac:dyDescent="0.25">
      <c r="C3872" s="316"/>
    </row>
    <row r="3873" spans="3:3" x14ac:dyDescent="0.25">
      <c r="C3873" s="316"/>
    </row>
    <row r="3874" spans="3:3" x14ac:dyDescent="0.25">
      <c r="C3874" s="316"/>
    </row>
    <row r="3875" spans="3:3" x14ac:dyDescent="0.25">
      <c r="C3875" s="316"/>
    </row>
    <row r="3876" spans="3:3" x14ac:dyDescent="0.25">
      <c r="C3876" s="316"/>
    </row>
    <row r="3877" spans="3:3" x14ac:dyDescent="0.25">
      <c r="C3877" s="316"/>
    </row>
    <row r="3878" spans="3:3" x14ac:dyDescent="0.25">
      <c r="C3878" s="316"/>
    </row>
    <row r="3879" spans="3:3" x14ac:dyDescent="0.25">
      <c r="C3879" s="316"/>
    </row>
    <row r="3880" spans="3:3" x14ac:dyDescent="0.25">
      <c r="C3880" s="316"/>
    </row>
    <row r="3881" spans="3:3" x14ac:dyDescent="0.25">
      <c r="C3881" s="316"/>
    </row>
    <row r="3882" spans="3:3" x14ac:dyDescent="0.25">
      <c r="C3882" s="316"/>
    </row>
    <row r="3883" spans="3:3" x14ac:dyDescent="0.25">
      <c r="C3883" s="316"/>
    </row>
    <row r="3884" spans="3:3" x14ac:dyDescent="0.25">
      <c r="C3884" s="316"/>
    </row>
    <row r="3885" spans="3:3" x14ac:dyDescent="0.25">
      <c r="C3885" s="316"/>
    </row>
    <row r="3886" spans="3:3" x14ac:dyDescent="0.25">
      <c r="C3886" s="316"/>
    </row>
    <row r="3887" spans="3:3" x14ac:dyDescent="0.25">
      <c r="C3887" s="316"/>
    </row>
    <row r="3888" spans="3:3" x14ac:dyDescent="0.25">
      <c r="C3888" s="316"/>
    </row>
    <row r="3889" spans="3:3" x14ac:dyDescent="0.25">
      <c r="C3889" s="316"/>
    </row>
    <row r="3890" spans="3:3" x14ac:dyDescent="0.25">
      <c r="C3890" s="316"/>
    </row>
    <row r="3891" spans="3:3" x14ac:dyDescent="0.25">
      <c r="C3891" s="316"/>
    </row>
    <row r="3892" spans="3:3" x14ac:dyDescent="0.25">
      <c r="C3892" s="316"/>
    </row>
    <row r="3893" spans="3:3" x14ac:dyDescent="0.25">
      <c r="C3893" s="316"/>
    </row>
    <row r="3894" spans="3:3" x14ac:dyDescent="0.25">
      <c r="C3894" s="316"/>
    </row>
    <row r="3895" spans="3:3" x14ac:dyDescent="0.25">
      <c r="C3895" s="316"/>
    </row>
    <row r="3896" spans="3:3" x14ac:dyDescent="0.25">
      <c r="C3896" s="316"/>
    </row>
    <row r="3897" spans="3:3" x14ac:dyDescent="0.25">
      <c r="C3897" s="316"/>
    </row>
    <row r="3898" spans="3:3" x14ac:dyDescent="0.25">
      <c r="C3898" s="316"/>
    </row>
    <row r="3899" spans="3:3" x14ac:dyDescent="0.25">
      <c r="C3899" s="316"/>
    </row>
    <row r="3900" spans="3:3" x14ac:dyDescent="0.25">
      <c r="C3900" s="316"/>
    </row>
    <row r="3901" spans="3:3" x14ac:dyDescent="0.25">
      <c r="C3901" s="316"/>
    </row>
    <row r="3902" spans="3:3" x14ac:dyDescent="0.25">
      <c r="C3902" s="316"/>
    </row>
    <row r="3903" spans="3:3" x14ac:dyDescent="0.25">
      <c r="C3903" s="316"/>
    </row>
    <row r="3904" spans="3:3" x14ac:dyDescent="0.25">
      <c r="C3904" s="316"/>
    </row>
    <row r="3905" spans="3:3" x14ac:dyDescent="0.25">
      <c r="C3905" s="316"/>
    </row>
    <row r="3906" spans="3:3" x14ac:dyDescent="0.25">
      <c r="C3906" s="316"/>
    </row>
    <row r="3907" spans="3:3" x14ac:dyDescent="0.25">
      <c r="C3907" s="316"/>
    </row>
    <row r="3908" spans="3:3" x14ac:dyDescent="0.25">
      <c r="C3908" s="316"/>
    </row>
    <row r="3909" spans="3:3" x14ac:dyDescent="0.25">
      <c r="C3909" s="316"/>
    </row>
    <row r="3910" spans="3:3" x14ac:dyDescent="0.25">
      <c r="C3910" s="316"/>
    </row>
    <row r="3911" spans="3:3" x14ac:dyDescent="0.25">
      <c r="C3911" s="316"/>
    </row>
    <row r="3912" spans="3:3" x14ac:dyDescent="0.25">
      <c r="C3912" s="316"/>
    </row>
    <row r="3913" spans="3:3" x14ac:dyDescent="0.25">
      <c r="C3913" s="316"/>
    </row>
    <row r="3914" spans="3:3" x14ac:dyDescent="0.25">
      <c r="C3914" s="316"/>
    </row>
    <row r="3915" spans="3:3" x14ac:dyDescent="0.25">
      <c r="C3915" s="316"/>
    </row>
    <row r="3916" spans="3:3" x14ac:dyDescent="0.25">
      <c r="C3916" s="316"/>
    </row>
    <row r="3917" spans="3:3" x14ac:dyDescent="0.25">
      <c r="C3917" s="316"/>
    </row>
    <row r="3918" spans="3:3" x14ac:dyDescent="0.25">
      <c r="C3918" s="316"/>
    </row>
    <row r="3919" spans="3:3" x14ac:dyDescent="0.25">
      <c r="C3919" s="316"/>
    </row>
    <row r="3920" spans="3:3" x14ac:dyDescent="0.25">
      <c r="C3920" s="316"/>
    </row>
    <row r="3921" spans="3:3" x14ac:dyDescent="0.25">
      <c r="C3921" s="316"/>
    </row>
    <row r="3922" spans="3:3" x14ac:dyDescent="0.25">
      <c r="C3922" s="316"/>
    </row>
    <row r="3923" spans="3:3" x14ac:dyDescent="0.25">
      <c r="C3923" s="316"/>
    </row>
    <row r="3924" spans="3:3" x14ac:dyDescent="0.25">
      <c r="C3924" s="316"/>
    </row>
    <row r="3925" spans="3:3" x14ac:dyDescent="0.25">
      <c r="C3925" s="316"/>
    </row>
    <row r="3926" spans="3:3" x14ac:dyDescent="0.25">
      <c r="C3926" s="316"/>
    </row>
    <row r="3927" spans="3:3" x14ac:dyDescent="0.25">
      <c r="C3927" s="316"/>
    </row>
    <row r="3928" spans="3:3" x14ac:dyDescent="0.25">
      <c r="C3928" s="316"/>
    </row>
    <row r="3929" spans="3:3" x14ac:dyDescent="0.25">
      <c r="C3929" s="316"/>
    </row>
    <row r="3930" spans="3:3" x14ac:dyDescent="0.25">
      <c r="C3930" s="316"/>
    </row>
    <row r="3931" spans="3:3" x14ac:dyDescent="0.25">
      <c r="C3931" s="316"/>
    </row>
    <row r="3932" spans="3:3" x14ac:dyDescent="0.25">
      <c r="C3932" s="316"/>
    </row>
    <row r="3933" spans="3:3" x14ac:dyDescent="0.25">
      <c r="C3933" s="316"/>
    </row>
    <row r="3934" spans="3:3" x14ac:dyDescent="0.25">
      <c r="C3934" s="316"/>
    </row>
    <row r="3935" spans="3:3" x14ac:dyDescent="0.25">
      <c r="C3935" s="316"/>
    </row>
    <row r="3936" spans="3:3" x14ac:dyDescent="0.25">
      <c r="C3936" s="316"/>
    </row>
    <row r="3937" spans="3:3" x14ac:dyDescent="0.25">
      <c r="C3937" s="316"/>
    </row>
    <row r="3938" spans="3:3" x14ac:dyDescent="0.25">
      <c r="C3938" s="316"/>
    </row>
    <row r="3939" spans="3:3" x14ac:dyDescent="0.25">
      <c r="C3939" s="316"/>
    </row>
    <row r="3940" spans="3:3" x14ac:dyDescent="0.25">
      <c r="C3940" s="316"/>
    </row>
    <row r="3941" spans="3:3" x14ac:dyDescent="0.25">
      <c r="C3941" s="316"/>
    </row>
    <row r="3942" spans="3:3" x14ac:dyDescent="0.25">
      <c r="C3942" s="316"/>
    </row>
    <row r="3943" spans="3:3" x14ac:dyDescent="0.25">
      <c r="C3943" s="316"/>
    </row>
    <row r="3944" spans="3:3" x14ac:dyDescent="0.25">
      <c r="C3944" s="316"/>
    </row>
    <row r="3945" spans="3:3" x14ac:dyDescent="0.25">
      <c r="C3945" s="316"/>
    </row>
    <row r="3946" spans="3:3" x14ac:dyDescent="0.25">
      <c r="C3946" s="316"/>
    </row>
    <row r="3947" spans="3:3" x14ac:dyDescent="0.25">
      <c r="C3947" s="316"/>
    </row>
    <row r="3948" spans="3:3" x14ac:dyDescent="0.25">
      <c r="C3948" s="316"/>
    </row>
    <row r="3949" spans="3:3" x14ac:dyDescent="0.25">
      <c r="C3949" s="316"/>
    </row>
    <row r="3950" spans="3:3" x14ac:dyDescent="0.25">
      <c r="C3950" s="316"/>
    </row>
    <row r="3951" spans="3:3" x14ac:dyDescent="0.25">
      <c r="C3951" s="316"/>
    </row>
    <row r="3952" spans="3:3" x14ac:dyDescent="0.25">
      <c r="C3952" s="316"/>
    </row>
    <row r="3953" spans="3:3" x14ac:dyDescent="0.25">
      <c r="C3953" s="316"/>
    </row>
    <row r="3954" spans="3:3" x14ac:dyDescent="0.25">
      <c r="C3954" s="316"/>
    </row>
    <row r="3955" spans="3:3" x14ac:dyDescent="0.25">
      <c r="C3955" s="316"/>
    </row>
    <row r="3956" spans="3:3" x14ac:dyDescent="0.25">
      <c r="C3956" s="316"/>
    </row>
    <row r="3957" spans="3:3" x14ac:dyDescent="0.25">
      <c r="C3957" s="316"/>
    </row>
    <row r="3958" spans="3:3" x14ac:dyDescent="0.25">
      <c r="C3958" s="316"/>
    </row>
    <row r="3959" spans="3:3" x14ac:dyDescent="0.25">
      <c r="C3959" s="316"/>
    </row>
    <row r="3960" spans="3:3" x14ac:dyDescent="0.25">
      <c r="C3960" s="316"/>
    </row>
    <row r="3961" spans="3:3" x14ac:dyDescent="0.25">
      <c r="C3961" s="316"/>
    </row>
    <row r="3962" spans="3:3" x14ac:dyDescent="0.25">
      <c r="C3962" s="316"/>
    </row>
    <row r="3963" spans="3:3" x14ac:dyDescent="0.25">
      <c r="C3963" s="316"/>
    </row>
    <row r="3964" spans="3:3" x14ac:dyDescent="0.25">
      <c r="C3964" s="316"/>
    </row>
    <row r="3965" spans="3:3" x14ac:dyDescent="0.25">
      <c r="C3965" s="316"/>
    </row>
    <row r="3966" spans="3:3" x14ac:dyDescent="0.25">
      <c r="C3966" s="316"/>
    </row>
    <row r="3967" spans="3:3" x14ac:dyDescent="0.25">
      <c r="C3967" s="316"/>
    </row>
    <row r="3968" spans="3:3" x14ac:dyDescent="0.25">
      <c r="C3968" s="316"/>
    </row>
    <row r="3969" spans="3:3" x14ac:dyDescent="0.25">
      <c r="C3969" s="316"/>
    </row>
    <row r="3970" spans="3:3" x14ac:dyDescent="0.25">
      <c r="C3970" s="316"/>
    </row>
    <row r="3971" spans="3:3" x14ac:dyDescent="0.25">
      <c r="C3971" s="316"/>
    </row>
    <row r="3972" spans="3:3" x14ac:dyDescent="0.25">
      <c r="C3972" s="316"/>
    </row>
    <row r="3973" spans="3:3" x14ac:dyDescent="0.25">
      <c r="C3973" s="316"/>
    </row>
    <row r="3974" spans="3:3" x14ac:dyDescent="0.25">
      <c r="C3974" s="316"/>
    </row>
    <row r="3975" spans="3:3" x14ac:dyDescent="0.25">
      <c r="C3975" s="316"/>
    </row>
    <row r="3976" spans="3:3" x14ac:dyDescent="0.25">
      <c r="C3976" s="316"/>
    </row>
    <row r="3977" spans="3:3" x14ac:dyDescent="0.25">
      <c r="C3977" s="316"/>
    </row>
    <row r="3978" spans="3:3" x14ac:dyDescent="0.25">
      <c r="C3978" s="316"/>
    </row>
    <row r="3979" spans="3:3" x14ac:dyDescent="0.25">
      <c r="C3979" s="316"/>
    </row>
    <row r="3980" spans="3:3" x14ac:dyDescent="0.25">
      <c r="C3980" s="316"/>
    </row>
    <row r="3981" spans="3:3" x14ac:dyDescent="0.25">
      <c r="C3981" s="316"/>
    </row>
    <row r="3982" spans="3:3" x14ac:dyDescent="0.25">
      <c r="C3982" s="316"/>
    </row>
    <row r="3983" spans="3:3" x14ac:dyDescent="0.25">
      <c r="C3983" s="316"/>
    </row>
    <row r="3984" spans="3:3" x14ac:dyDescent="0.25">
      <c r="C3984" s="316"/>
    </row>
    <row r="3985" spans="3:3" x14ac:dyDescent="0.25">
      <c r="C3985" s="316"/>
    </row>
    <row r="3986" spans="3:3" x14ac:dyDescent="0.25">
      <c r="C3986" s="316"/>
    </row>
    <row r="3987" spans="3:3" x14ac:dyDescent="0.25">
      <c r="C3987" s="316"/>
    </row>
    <row r="3988" spans="3:3" x14ac:dyDescent="0.25">
      <c r="C3988" s="316"/>
    </row>
    <row r="3989" spans="3:3" x14ac:dyDescent="0.25">
      <c r="C3989" s="316"/>
    </row>
    <row r="3990" spans="3:3" x14ac:dyDescent="0.25">
      <c r="C3990" s="316"/>
    </row>
    <row r="3991" spans="3:3" x14ac:dyDescent="0.25">
      <c r="C3991" s="316"/>
    </row>
    <row r="3992" spans="3:3" x14ac:dyDescent="0.25">
      <c r="C3992" s="316"/>
    </row>
    <row r="3993" spans="3:3" x14ac:dyDescent="0.25">
      <c r="C3993" s="316"/>
    </row>
    <row r="3994" spans="3:3" x14ac:dyDescent="0.25">
      <c r="C3994" s="316"/>
    </row>
    <row r="3995" spans="3:3" x14ac:dyDescent="0.25">
      <c r="C3995" s="316"/>
    </row>
    <row r="3996" spans="3:3" x14ac:dyDescent="0.25">
      <c r="C3996" s="316"/>
    </row>
    <row r="3997" spans="3:3" x14ac:dyDescent="0.25">
      <c r="C3997" s="316"/>
    </row>
    <row r="3998" spans="3:3" x14ac:dyDescent="0.25">
      <c r="C3998" s="316"/>
    </row>
    <row r="3999" spans="3:3" x14ac:dyDescent="0.25">
      <c r="C3999" s="316"/>
    </row>
    <row r="4000" spans="3:3" x14ac:dyDescent="0.25">
      <c r="C4000" s="316"/>
    </row>
    <row r="4001" spans="3:3" x14ac:dyDescent="0.25">
      <c r="C4001" s="316"/>
    </row>
    <row r="4002" spans="3:3" x14ac:dyDescent="0.25">
      <c r="C4002" s="316"/>
    </row>
    <row r="4003" spans="3:3" x14ac:dyDescent="0.25">
      <c r="C4003" s="316"/>
    </row>
    <row r="4004" spans="3:3" x14ac:dyDescent="0.25">
      <c r="C4004" s="316"/>
    </row>
    <row r="4005" spans="3:3" x14ac:dyDescent="0.25">
      <c r="C4005" s="316"/>
    </row>
    <row r="4006" spans="3:3" x14ac:dyDescent="0.25">
      <c r="C4006" s="316"/>
    </row>
    <row r="4007" spans="3:3" x14ac:dyDescent="0.25">
      <c r="C4007" s="316"/>
    </row>
    <row r="4008" spans="3:3" x14ac:dyDescent="0.25">
      <c r="C4008" s="316"/>
    </row>
    <row r="4009" spans="3:3" x14ac:dyDescent="0.25">
      <c r="C4009" s="316"/>
    </row>
    <row r="4010" spans="3:3" x14ac:dyDescent="0.25">
      <c r="C4010" s="316"/>
    </row>
    <row r="4011" spans="3:3" x14ac:dyDescent="0.25">
      <c r="C4011" s="316"/>
    </row>
    <row r="4012" spans="3:3" x14ac:dyDescent="0.25">
      <c r="C4012" s="316"/>
    </row>
    <row r="4013" spans="3:3" x14ac:dyDescent="0.25">
      <c r="C4013" s="316"/>
    </row>
    <row r="4014" spans="3:3" x14ac:dyDescent="0.25">
      <c r="C4014" s="316"/>
    </row>
    <row r="4015" spans="3:3" x14ac:dyDescent="0.25">
      <c r="C4015" s="316"/>
    </row>
    <row r="4016" spans="3:3" x14ac:dyDescent="0.25">
      <c r="C4016" s="316"/>
    </row>
    <row r="4017" spans="3:3" x14ac:dyDescent="0.25">
      <c r="C4017" s="316"/>
    </row>
    <row r="4018" spans="3:3" x14ac:dyDescent="0.25">
      <c r="C4018" s="316"/>
    </row>
    <row r="4019" spans="3:3" x14ac:dyDescent="0.25">
      <c r="C4019" s="316"/>
    </row>
    <row r="4020" spans="3:3" x14ac:dyDescent="0.25">
      <c r="C4020" s="316"/>
    </row>
    <row r="4021" spans="3:3" x14ac:dyDescent="0.25">
      <c r="C4021" s="316"/>
    </row>
    <row r="4022" spans="3:3" x14ac:dyDescent="0.25">
      <c r="C4022" s="316"/>
    </row>
    <row r="4023" spans="3:3" x14ac:dyDescent="0.25">
      <c r="C4023" s="316"/>
    </row>
    <row r="4024" spans="3:3" x14ac:dyDescent="0.25">
      <c r="C4024" s="316"/>
    </row>
    <row r="4025" spans="3:3" x14ac:dyDescent="0.25">
      <c r="C4025" s="316"/>
    </row>
    <row r="4026" spans="3:3" x14ac:dyDescent="0.25">
      <c r="C4026" s="316"/>
    </row>
    <row r="4027" spans="3:3" x14ac:dyDescent="0.25">
      <c r="C4027" s="316"/>
    </row>
    <row r="4028" spans="3:3" x14ac:dyDescent="0.25">
      <c r="C4028" s="316"/>
    </row>
    <row r="4029" spans="3:3" x14ac:dyDescent="0.25">
      <c r="C4029" s="316"/>
    </row>
    <row r="4030" spans="3:3" x14ac:dyDescent="0.25">
      <c r="C4030" s="316"/>
    </row>
    <row r="4031" spans="3:3" x14ac:dyDescent="0.25">
      <c r="C4031" s="316"/>
    </row>
    <row r="4032" spans="3:3" x14ac:dyDescent="0.25">
      <c r="C4032" s="316"/>
    </row>
    <row r="4033" spans="3:3" x14ac:dyDescent="0.25">
      <c r="C4033" s="316"/>
    </row>
    <row r="4034" spans="3:3" x14ac:dyDescent="0.25">
      <c r="C4034" s="316"/>
    </row>
    <row r="4035" spans="3:3" x14ac:dyDescent="0.25">
      <c r="C4035" s="316"/>
    </row>
    <row r="4036" spans="3:3" x14ac:dyDescent="0.25">
      <c r="C4036" s="316"/>
    </row>
    <row r="4037" spans="3:3" x14ac:dyDescent="0.25">
      <c r="C4037" s="316"/>
    </row>
    <row r="4038" spans="3:3" x14ac:dyDescent="0.25">
      <c r="C4038" s="316"/>
    </row>
    <row r="4039" spans="3:3" x14ac:dyDescent="0.25">
      <c r="C4039" s="316"/>
    </row>
    <row r="4040" spans="3:3" x14ac:dyDescent="0.25">
      <c r="C4040" s="316"/>
    </row>
    <row r="4041" spans="3:3" x14ac:dyDescent="0.25">
      <c r="C4041" s="316"/>
    </row>
    <row r="4042" spans="3:3" x14ac:dyDescent="0.25">
      <c r="C4042" s="316"/>
    </row>
    <row r="4043" spans="3:3" x14ac:dyDescent="0.25">
      <c r="C4043" s="316"/>
    </row>
    <row r="4044" spans="3:3" x14ac:dyDescent="0.25">
      <c r="C4044" s="316"/>
    </row>
    <row r="4045" spans="3:3" x14ac:dyDescent="0.25">
      <c r="C4045" s="316"/>
    </row>
    <row r="4046" spans="3:3" x14ac:dyDescent="0.25">
      <c r="C4046" s="316"/>
    </row>
    <row r="4047" spans="3:3" x14ac:dyDescent="0.25">
      <c r="C4047" s="316"/>
    </row>
    <row r="4048" spans="3:3" x14ac:dyDescent="0.25">
      <c r="C4048" s="316"/>
    </row>
    <row r="4049" spans="3:3" x14ac:dyDescent="0.25">
      <c r="C4049" s="316"/>
    </row>
    <row r="4050" spans="3:3" x14ac:dyDescent="0.25">
      <c r="C4050" s="316"/>
    </row>
    <row r="4051" spans="3:3" x14ac:dyDescent="0.25">
      <c r="C4051" s="316"/>
    </row>
    <row r="4052" spans="3:3" x14ac:dyDescent="0.25">
      <c r="C4052" s="316"/>
    </row>
    <row r="4053" spans="3:3" x14ac:dyDescent="0.25">
      <c r="C4053" s="316"/>
    </row>
    <row r="4054" spans="3:3" x14ac:dyDescent="0.25">
      <c r="C4054" s="316"/>
    </row>
    <row r="4055" spans="3:3" x14ac:dyDescent="0.25">
      <c r="C4055" s="316"/>
    </row>
    <row r="4056" spans="3:3" x14ac:dyDescent="0.25">
      <c r="C4056" s="316"/>
    </row>
    <row r="4057" spans="3:3" x14ac:dyDescent="0.25">
      <c r="C4057" s="316"/>
    </row>
    <row r="4058" spans="3:3" x14ac:dyDescent="0.25">
      <c r="C4058" s="316"/>
    </row>
    <row r="4059" spans="3:3" x14ac:dyDescent="0.25">
      <c r="C4059" s="316"/>
    </row>
    <row r="4060" spans="3:3" x14ac:dyDescent="0.25">
      <c r="C4060" s="316"/>
    </row>
    <row r="4061" spans="3:3" x14ac:dyDescent="0.25">
      <c r="C4061" s="316"/>
    </row>
    <row r="4062" spans="3:3" x14ac:dyDescent="0.25">
      <c r="C4062" s="316"/>
    </row>
    <row r="4063" spans="3:3" x14ac:dyDescent="0.25">
      <c r="C4063" s="316"/>
    </row>
    <row r="4064" spans="3:3" x14ac:dyDescent="0.25">
      <c r="C4064" s="316"/>
    </row>
    <row r="4065" spans="3:3" x14ac:dyDescent="0.25">
      <c r="C4065" s="316"/>
    </row>
    <row r="4066" spans="3:3" x14ac:dyDescent="0.25">
      <c r="C4066" s="316"/>
    </row>
    <row r="4067" spans="3:3" x14ac:dyDescent="0.25">
      <c r="C4067" s="316"/>
    </row>
    <row r="4068" spans="3:3" x14ac:dyDescent="0.25">
      <c r="C4068" s="316"/>
    </row>
    <row r="4069" spans="3:3" x14ac:dyDescent="0.25">
      <c r="C4069" s="316"/>
    </row>
    <row r="4070" spans="3:3" x14ac:dyDescent="0.25">
      <c r="C4070" s="316"/>
    </row>
    <row r="4071" spans="3:3" x14ac:dyDescent="0.25">
      <c r="C4071" s="316"/>
    </row>
    <row r="4072" spans="3:3" x14ac:dyDescent="0.25">
      <c r="C4072" s="316"/>
    </row>
    <row r="4073" spans="3:3" x14ac:dyDescent="0.25">
      <c r="C4073" s="316"/>
    </row>
    <row r="4074" spans="3:3" x14ac:dyDescent="0.25">
      <c r="C4074" s="316"/>
    </row>
    <row r="4075" spans="3:3" x14ac:dyDescent="0.25">
      <c r="C4075" s="316"/>
    </row>
    <row r="4076" spans="3:3" x14ac:dyDescent="0.25">
      <c r="C4076" s="316"/>
    </row>
    <row r="4077" spans="3:3" x14ac:dyDescent="0.25">
      <c r="C4077" s="316"/>
    </row>
    <row r="4078" spans="3:3" x14ac:dyDescent="0.25">
      <c r="C4078" s="316"/>
    </row>
    <row r="4079" spans="3:3" x14ac:dyDescent="0.25">
      <c r="C4079" s="316"/>
    </row>
    <row r="4080" spans="3:3" x14ac:dyDescent="0.25">
      <c r="C4080" s="316"/>
    </row>
    <row r="4081" spans="3:3" x14ac:dyDescent="0.25">
      <c r="C4081" s="316"/>
    </row>
    <row r="4082" spans="3:3" x14ac:dyDescent="0.25">
      <c r="C4082" s="316"/>
    </row>
    <row r="4083" spans="3:3" x14ac:dyDescent="0.25">
      <c r="C4083" s="316"/>
    </row>
    <row r="4084" spans="3:3" x14ac:dyDescent="0.25">
      <c r="C4084" s="316"/>
    </row>
    <row r="4085" spans="3:3" x14ac:dyDescent="0.25">
      <c r="C4085" s="316"/>
    </row>
    <row r="4086" spans="3:3" x14ac:dyDescent="0.25">
      <c r="C4086" s="316"/>
    </row>
    <row r="4087" spans="3:3" x14ac:dyDescent="0.25">
      <c r="C4087" s="316"/>
    </row>
    <row r="4088" spans="3:3" x14ac:dyDescent="0.25">
      <c r="C4088" s="316"/>
    </row>
    <row r="4089" spans="3:3" x14ac:dyDescent="0.25">
      <c r="C4089" s="316"/>
    </row>
    <row r="4090" spans="3:3" x14ac:dyDescent="0.25">
      <c r="C4090" s="316"/>
    </row>
    <row r="4091" spans="3:3" x14ac:dyDescent="0.25">
      <c r="C4091" s="316"/>
    </row>
    <row r="4092" spans="3:3" x14ac:dyDescent="0.25">
      <c r="C4092" s="316"/>
    </row>
    <row r="4093" spans="3:3" x14ac:dyDescent="0.25">
      <c r="C4093" s="316"/>
    </row>
    <row r="4094" spans="3:3" x14ac:dyDescent="0.25">
      <c r="C4094" s="316"/>
    </row>
    <row r="4095" spans="3:3" x14ac:dyDescent="0.25">
      <c r="C4095" s="316"/>
    </row>
    <row r="4096" spans="3:3" x14ac:dyDescent="0.25">
      <c r="C4096" s="316"/>
    </row>
    <row r="4097" spans="3:3" x14ac:dyDescent="0.25">
      <c r="C4097" s="316"/>
    </row>
    <row r="4098" spans="3:3" x14ac:dyDescent="0.25">
      <c r="C4098" s="316"/>
    </row>
    <row r="4099" spans="3:3" x14ac:dyDescent="0.25">
      <c r="C4099" s="316"/>
    </row>
    <row r="4100" spans="3:3" x14ac:dyDescent="0.25">
      <c r="C4100" s="316"/>
    </row>
    <row r="4101" spans="3:3" x14ac:dyDescent="0.25">
      <c r="C4101" s="316"/>
    </row>
    <row r="4102" spans="3:3" x14ac:dyDescent="0.25">
      <c r="C4102" s="316"/>
    </row>
    <row r="4103" spans="3:3" x14ac:dyDescent="0.25">
      <c r="C4103" s="316"/>
    </row>
    <row r="4104" spans="3:3" x14ac:dyDescent="0.25">
      <c r="C4104" s="316"/>
    </row>
    <row r="4105" spans="3:3" x14ac:dyDescent="0.25">
      <c r="C4105" s="316"/>
    </row>
    <row r="4106" spans="3:3" x14ac:dyDescent="0.25">
      <c r="C4106" s="316"/>
    </row>
    <row r="4107" spans="3:3" x14ac:dyDescent="0.25">
      <c r="C4107" s="316"/>
    </row>
    <row r="4108" spans="3:3" x14ac:dyDescent="0.25">
      <c r="C4108" s="316"/>
    </row>
    <row r="4109" spans="3:3" x14ac:dyDescent="0.25">
      <c r="C4109" s="316"/>
    </row>
    <row r="4110" spans="3:3" x14ac:dyDescent="0.25">
      <c r="C4110" s="316"/>
    </row>
    <row r="4111" spans="3:3" x14ac:dyDescent="0.25">
      <c r="C4111" s="316"/>
    </row>
    <row r="4112" spans="3:3" x14ac:dyDescent="0.25">
      <c r="C4112" s="316"/>
    </row>
    <row r="4113" spans="3:3" x14ac:dyDescent="0.25">
      <c r="C4113" s="316"/>
    </row>
    <row r="4114" spans="3:3" x14ac:dyDescent="0.25">
      <c r="C4114" s="316"/>
    </row>
    <row r="4115" spans="3:3" x14ac:dyDescent="0.25">
      <c r="C4115" s="316"/>
    </row>
    <row r="4116" spans="3:3" x14ac:dyDescent="0.25">
      <c r="C4116" s="316"/>
    </row>
    <row r="4117" spans="3:3" x14ac:dyDescent="0.25">
      <c r="C4117" s="316"/>
    </row>
    <row r="4118" spans="3:3" x14ac:dyDescent="0.25">
      <c r="C4118" s="316"/>
    </row>
    <row r="4119" spans="3:3" x14ac:dyDescent="0.25">
      <c r="C4119" s="316"/>
    </row>
    <row r="4120" spans="3:3" x14ac:dyDescent="0.25">
      <c r="C4120" s="316"/>
    </row>
    <row r="4121" spans="3:3" x14ac:dyDescent="0.25">
      <c r="C4121" s="316"/>
    </row>
    <row r="4122" spans="3:3" x14ac:dyDescent="0.25">
      <c r="C4122" s="316"/>
    </row>
    <row r="4123" spans="3:3" x14ac:dyDescent="0.25">
      <c r="C4123" s="316"/>
    </row>
    <row r="4124" spans="3:3" x14ac:dyDescent="0.25">
      <c r="C4124" s="316"/>
    </row>
    <row r="4125" spans="3:3" x14ac:dyDescent="0.25">
      <c r="C4125" s="316"/>
    </row>
    <row r="4126" spans="3:3" x14ac:dyDescent="0.25">
      <c r="C4126" s="316"/>
    </row>
    <row r="4127" spans="3:3" x14ac:dyDescent="0.25">
      <c r="C4127" s="316"/>
    </row>
    <row r="4128" spans="3:3" x14ac:dyDescent="0.25">
      <c r="C4128" s="316"/>
    </row>
    <row r="4129" spans="3:3" x14ac:dyDescent="0.25">
      <c r="C4129" s="316"/>
    </row>
    <row r="4130" spans="3:3" x14ac:dyDescent="0.25">
      <c r="C4130" s="316"/>
    </row>
    <row r="4131" spans="3:3" x14ac:dyDescent="0.25">
      <c r="C4131" s="316"/>
    </row>
    <row r="4132" spans="3:3" x14ac:dyDescent="0.25">
      <c r="C4132" s="316"/>
    </row>
    <row r="4133" spans="3:3" x14ac:dyDescent="0.25">
      <c r="C4133" s="316"/>
    </row>
    <row r="4134" spans="3:3" x14ac:dyDescent="0.25">
      <c r="C4134" s="316"/>
    </row>
    <row r="4135" spans="3:3" x14ac:dyDescent="0.25">
      <c r="C4135" s="316"/>
    </row>
    <row r="4136" spans="3:3" x14ac:dyDescent="0.25">
      <c r="C4136" s="316"/>
    </row>
    <row r="4137" spans="3:3" x14ac:dyDescent="0.25">
      <c r="C4137" s="316"/>
    </row>
    <row r="4138" spans="3:3" x14ac:dyDescent="0.25">
      <c r="C4138" s="316"/>
    </row>
    <row r="4139" spans="3:3" x14ac:dyDescent="0.25">
      <c r="C4139" s="316"/>
    </row>
    <row r="4140" spans="3:3" x14ac:dyDescent="0.25">
      <c r="C4140" s="316"/>
    </row>
    <row r="4141" spans="3:3" x14ac:dyDescent="0.25">
      <c r="C4141" s="316"/>
    </row>
    <row r="4142" spans="3:3" x14ac:dyDescent="0.25">
      <c r="C4142" s="316"/>
    </row>
    <row r="4143" spans="3:3" x14ac:dyDescent="0.25">
      <c r="C4143" s="316"/>
    </row>
    <row r="4144" spans="3:3" x14ac:dyDescent="0.25">
      <c r="C4144" s="316"/>
    </row>
    <row r="4145" spans="3:3" x14ac:dyDescent="0.25">
      <c r="C4145" s="316"/>
    </row>
    <row r="4146" spans="3:3" x14ac:dyDescent="0.25">
      <c r="C4146" s="316"/>
    </row>
    <row r="4147" spans="3:3" x14ac:dyDescent="0.25">
      <c r="C4147" s="316"/>
    </row>
    <row r="4148" spans="3:3" x14ac:dyDescent="0.25">
      <c r="C4148" s="316"/>
    </row>
    <row r="4149" spans="3:3" x14ac:dyDescent="0.25">
      <c r="C4149" s="316"/>
    </row>
    <row r="4150" spans="3:3" x14ac:dyDescent="0.25">
      <c r="C4150" s="316"/>
    </row>
    <row r="4151" spans="3:3" x14ac:dyDescent="0.25">
      <c r="C4151" s="316"/>
    </row>
    <row r="4152" spans="3:3" x14ac:dyDescent="0.25">
      <c r="C4152" s="316"/>
    </row>
    <row r="4153" spans="3:3" x14ac:dyDescent="0.25">
      <c r="C4153" s="316"/>
    </row>
    <row r="4154" spans="3:3" x14ac:dyDescent="0.25">
      <c r="C4154" s="316"/>
    </row>
    <row r="4155" spans="3:3" x14ac:dyDescent="0.25">
      <c r="C4155" s="316"/>
    </row>
    <row r="4156" spans="3:3" x14ac:dyDescent="0.25">
      <c r="C4156" s="316"/>
    </row>
    <row r="4157" spans="3:3" x14ac:dyDescent="0.25">
      <c r="C4157" s="316"/>
    </row>
    <row r="4158" spans="3:3" x14ac:dyDescent="0.25">
      <c r="C4158" s="316"/>
    </row>
    <row r="4159" spans="3:3" x14ac:dyDescent="0.25">
      <c r="C4159" s="316"/>
    </row>
    <row r="4160" spans="3:3" x14ac:dyDescent="0.25">
      <c r="C4160" s="316"/>
    </row>
    <row r="4161" spans="3:3" x14ac:dyDescent="0.25">
      <c r="C4161" s="316"/>
    </row>
    <row r="4162" spans="3:3" x14ac:dyDescent="0.25">
      <c r="C4162" s="316"/>
    </row>
    <row r="4163" spans="3:3" x14ac:dyDescent="0.25">
      <c r="C4163" s="316"/>
    </row>
    <row r="4164" spans="3:3" x14ac:dyDescent="0.25">
      <c r="C4164" s="316"/>
    </row>
    <row r="4165" spans="3:3" x14ac:dyDescent="0.25">
      <c r="C4165" s="316"/>
    </row>
    <row r="4166" spans="3:3" x14ac:dyDescent="0.25">
      <c r="C4166" s="316"/>
    </row>
    <row r="4167" spans="3:3" x14ac:dyDescent="0.25">
      <c r="C4167" s="316"/>
    </row>
    <row r="4168" spans="3:3" x14ac:dyDescent="0.25">
      <c r="C4168" s="316"/>
    </row>
    <row r="4169" spans="3:3" x14ac:dyDescent="0.25">
      <c r="C4169" s="316"/>
    </row>
    <row r="4170" spans="3:3" x14ac:dyDescent="0.25">
      <c r="C4170" s="316"/>
    </row>
    <row r="4171" spans="3:3" x14ac:dyDescent="0.25">
      <c r="C4171" s="316"/>
    </row>
    <row r="4172" spans="3:3" x14ac:dyDescent="0.25">
      <c r="C4172" s="316"/>
    </row>
    <row r="4173" spans="3:3" x14ac:dyDescent="0.25">
      <c r="C4173" s="316"/>
    </row>
    <row r="4174" spans="3:3" x14ac:dyDescent="0.25">
      <c r="C4174" s="316"/>
    </row>
    <row r="4175" spans="3:3" x14ac:dyDescent="0.25">
      <c r="C4175" s="316"/>
    </row>
    <row r="4176" spans="3:3" x14ac:dyDescent="0.25">
      <c r="C4176" s="316"/>
    </row>
    <row r="4177" spans="3:3" x14ac:dyDescent="0.25">
      <c r="C4177" s="316"/>
    </row>
    <row r="4178" spans="3:3" x14ac:dyDescent="0.25">
      <c r="C4178" s="316"/>
    </row>
    <row r="4179" spans="3:3" x14ac:dyDescent="0.25">
      <c r="C4179" s="316"/>
    </row>
    <row r="4180" spans="3:3" x14ac:dyDescent="0.25">
      <c r="C4180" s="316"/>
    </row>
    <row r="4181" spans="3:3" x14ac:dyDescent="0.25">
      <c r="C4181" s="316"/>
    </row>
    <row r="4182" spans="3:3" x14ac:dyDescent="0.25">
      <c r="C4182" s="316"/>
    </row>
    <row r="4183" spans="3:3" x14ac:dyDescent="0.25">
      <c r="C4183" s="316"/>
    </row>
    <row r="4184" spans="3:3" x14ac:dyDescent="0.25">
      <c r="C4184" s="316"/>
    </row>
    <row r="4185" spans="3:3" x14ac:dyDescent="0.25">
      <c r="C4185" s="316"/>
    </row>
    <row r="4186" spans="3:3" x14ac:dyDescent="0.25">
      <c r="C4186" s="316"/>
    </row>
    <row r="4187" spans="3:3" x14ac:dyDescent="0.25">
      <c r="C4187" s="316"/>
    </row>
    <row r="4188" spans="3:3" x14ac:dyDescent="0.25">
      <c r="C4188" s="316"/>
    </row>
    <row r="4189" spans="3:3" x14ac:dyDescent="0.25">
      <c r="C4189" s="316"/>
    </row>
    <row r="4190" spans="3:3" x14ac:dyDescent="0.25">
      <c r="C4190" s="316"/>
    </row>
    <row r="4191" spans="3:3" x14ac:dyDescent="0.25">
      <c r="C4191" s="316"/>
    </row>
    <row r="4192" spans="3:3" x14ac:dyDescent="0.25">
      <c r="C4192" s="316"/>
    </row>
    <row r="4193" spans="3:3" x14ac:dyDescent="0.25">
      <c r="C4193" s="316"/>
    </row>
    <row r="4194" spans="3:3" x14ac:dyDescent="0.25">
      <c r="C4194" s="316"/>
    </row>
    <row r="4195" spans="3:3" x14ac:dyDescent="0.25">
      <c r="C4195" s="316"/>
    </row>
    <row r="4196" spans="3:3" x14ac:dyDescent="0.25">
      <c r="C4196" s="316"/>
    </row>
    <row r="4197" spans="3:3" x14ac:dyDescent="0.25">
      <c r="C4197" s="316"/>
    </row>
    <row r="4198" spans="3:3" x14ac:dyDescent="0.25">
      <c r="C4198" s="316"/>
    </row>
    <row r="4199" spans="3:3" x14ac:dyDescent="0.25">
      <c r="C4199" s="316"/>
    </row>
    <row r="4200" spans="3:3" x14ac:dyDescent="0.25">
      <c r="C4200" s="316"/>
    </row>
    <row r="4201" spans="3:3" x14ac:dyDescent="0.25">
      <c r="C4201" s="316"/>
    </row>
    <row r="4202" spans="3:3" x14ac:dyDescent="0.25">
      <c r="C4202" s="316"/>
    </row>
    <row r="4203" spans="3:3" x14ac:dyDescent="0.25">
      <c r="C4203" s="316"/>
    </row>
    <row r="4204" spans="3:3" x14ac:dyDescent="0.25">
      <c r="C4204" s="316"/>
    </row>
    <row r="4205" spans="3:3" x14ac:dyDescent="0.25">
      <c r="C4205" s="316"/>
    </row>
    <row r="4206" spans="3:3" x14ac:dyDescent="0.25">
      <c r="C4206" s="316"/>
    </row>
    <row r="4207" spans="3:3" x14ac:dyDescent="0.25">
      <c r="C4207" s="316"/>
    </row>
    <row r="4208" spans="3:3" x14ac:dyDescent="0.25">
      <c r="C4208" s="316"/>
    </row>
    <row r="4209" spans="3:3" x14ac:dyDescent="0.25">
      <c r="C4209" s="316"/>
    </row>
    <row r="4210" spans="3:3" x14ac:dyDescent="0.25">
      <c r="C4210" s="316"/>
    </row>
    <row r="4211" spans="3:3" x14ac:dyDescent="0.25">
      <c r="C4211" s="316"/>
    </row>
    <row r="4212" spans="3:3" x14ac:dyDescent="0.25">
      <c r="C4212" s="316"/>
    </row>
    <row r="4213" spans="3:3" x14ac:dyDescent="0.25">
      <c r="C4213" s="316"/>
    </row>
    <row r="4214" spans="3:3" x14ac:dyDescent="0.25">
      <c r="C4214" s="316"/>
    </row>
    <row r="4215" spans="3:3" x14ac:dyDescent="0.25">
      <c r="C4215" s="316"/>
    </row>
    <row r="4216" spans="3:3" x14ac:dyDescent="0.25">
      <c r="C4216" s="316"/>
    </row>
    <row r="4217" spans="3:3" x14ac:dyDescent="0.25">
      <c r="C4217" s="316"/>
    </row>
    <row r="4218" spans="3:3" x14ac:dyDescent="0.25">
      <c r="C4218" s="316"/>
    </row>
    <row r="4219" spans="3:3" x14ac:dyDescent="0.25">
      <c r="C4219" s="316"/>
    </row>
    <row r="4220" spans="3:3" x14ac:dyDescent="0.25">
      <c r="C4220" s="316"/>
    </row>
    <row r="4221" spans="3:3" x14ac:dyDescent="0.25">
      <c r="C4221" s="316"/>
    </row>
    <row r="4222" spans="3:3" x14ac:dyDescent="0.25">
      <c r="C4222" s="316"/>
    </row>
    <row r="4223" spans="3:3" x14ac:dyDescent="0.25">
      <c r="C4223" s="316"/>
    </row>
    <row r="4224" spans="3:3" x14ac:dyDescent="0.25">
      <c r="C4224" s="316"/>
    </row>
    <row r="4225" spans="3:3" x14ac:dyDescent="0.25">
      <c r="C4225" s="316"/>
    </row>
    <row r="4226" spans="3:3" x14ac:dyDescent="0.25">
      <c r="C4226" s="316"/>
    </row>
    <row r="4227" spans="3:3" x14ac:dyDescent="0.25">
      <c r="C4227" s="316"/>
    </row>
    <row r="4228" spans="3:3" x14ac:dyDescent="0.25">
      <c r="C4228" s="316"/>
    </row>
    <row r="4229" spans="3:3" x14ac:dyDescent="0.25">
      <c r="C4229" s="316"/>
    </row>
    <row r="4230" spans="3:3" x14ac:dyDescent="0.25">
      <c r="C4230" s="316"/>
    </row>
    <row r="4231" spans="3:3" x14ac:dyDescent="0.25">
      <c r="C4231" s="316"/>
    </row>
    <row r="4232" spans="3:3" x14ac:dyDescent="0.25">
      <c r="C4232" s="316"/>
    </row>
    <row r="4233" spans="3:3" x14ac:dyDescent="0.25">
      <c r="C4233" s="316"/>
    </row>
    <row r="4234" spans="3:3" x14ac:dyDescent="0.25">
      <c r="C4234" s="316"/>
    </row>
    <row r="4235" spans="3:3" x14ac:dyDescent="0.25">
      <c r="C4235" s="316"/>
    </row>
    <row r="4236" spans="3:3" x14ac:dyDescent="0.25">
      <c r="C4236" s="316"/>
    </row>
    <row r="4237" spans="3:3" x14ac:dyDescent="0.25">
      <c r="C4237" s="316"/>
    </row>
    <row r="4238" spans="3:3" x14ac:dyDescent="0.25">
      <c r="C4238" s="316"/>
    </row>
    <row r="4239" spans="3:3" x14ac:dyDescent="0.25">
      <c r="C4239" s="316"/>
    </row>
    <row r="4240" spans="3:3" x14ac:dyDescent="0.25">
      <c r="C4240" s="316"/>
    </row>
    <row r="4241" spans="3:3" x14ac:dyDescent="0.25">
      <c r="C4241" s="316"/>
    </row>
    <row r="4242" spans="3:3" x14ac:dyDescent="0.25">
      <c r="C4242" s="316"/>
    </row>
    <row r="4243" spans="3:3" x14ac:dyDescent="0.25">
      <c r="C4243" s="316"/>
    </row>
    <row r="4244" spans="3:3" x14ac:dyDescent="0.25">
      <c r="C4244" s="316"/>
    </row>
    <row r="4245" spans="3:3" x14ac:dyDescent="0.25">
      <c r="C4245" s="316"/>
    </row>
    <row r="4246" spans="3:3" x14ac:dyDescent="0.25">
      <c r="C4246" s="316"/>
    </row>
    <row r="4247" spans="3:3" x14ac:dyDescent="0.25">
      <c r="C4247" s="316"/>
    </row>
    <row r="4248" spans="3:3" x14ac:dyDescent="0.25">
      <c r="C4248" s="316"/>
    </row>
    <row r="4249" spans="3:3" x14ac:dyDescent="0.25">
      <c r="C4249" s="316"/>
    </row>
    <row r="4250" spans="3:3" x14ac:dyDescent="0.25">
      <c r="C4250" s="316"/>
    </row>
    <row r="4251" spans="3:3" x14ac:dyDescent="0.25">
      <c r="C4251" s="316"/>
    </row>
    <row r="4252" spans="3:3" x14ac:dyDescent="0.25">
      <c r="C4252" s="316"/>
    </row>
    <row r="4253" spans="3:3" x14ac:dyDescent="0.25">
      <c r="C4253" s="316"/>
    </row>
    <row r="4254" spans="3:3" x14ac:dyDescent="0.25">
      <c r="C4254" s="316"/>
    </row>
    <row r="4255" spans="3:3" x14ac:dyDescent="0.25">
      <c r="C4255" s="316"/>
    </row>
    <row r="4256" spans="3:3" x14ac:dyDescent="0.25">
      <c r="C4256" s="316"/>
    </row>
    <row r="4257" spans="3:3" x14ac:dyDescent="0.25">
      <c r="C4257" s="316"/>
    </row>
    <row r="4258" spans="3:3" x14ac:dyDescent="0.25">
      <c r="C4258" s="316"/>
    </row>
    <row r="4259" spans="3:3" x14ac:dyDescent="0.25">
      <c r="C4259" s="316"/>
    </row>
    <row r="4260" spans="3:3" x14ac:dyDescent="0.25">
      <c r="C4260" s="316"/>
    </row>
    <row r="4261" spans="3:3" x14ac:dyDescent="0.25">
      <c r="C4261" s="316"/>
    </row>
    <row r="4262" spans="3:3" x14ac:dyDescent="0.25">
      <c r="C4262" s="316"/>
    </row>
    <row r="4263" spans="3:3" x14ac:dyDescent="0.25">
      <c r="C4263" s="316"/>
    </row>
    <row r="4264" spans="3:3" x14ac:dyDescent="0.25">
      <c r="C4264" s="316"/>
    </row>
    <row r="4265" spans="3:3" x14ac:dyDescent="0.25">
      <c r="C4265" s="316"/>
    </row>
    <row r="4266" spans="3:3" x14ac:dyDescent="0.25">
      <c r="C4266" s="316"/>
    </row>
    <row r="4267" spans="3:3" x14ac:dyDescent="0.25">
      <c r="C4267" s="316"/>
    </row>
    <row r="4268" spans="3:3" x14ac:dyDescent="0.25">
      <c r="C4268" s="316"/>
    </row>
    <row r="4269" spans="3:3" x14ac:dyDescent="0.25">
      <c r="C4269" s="316"/>
    </row>
    <row r="4270" spans="3:3" x14ac:dyDescent="0.25">
      <c r="C4270" s="316"/>
    </row>
    <row r="4271" spans="3:3" x14ac:dyDescent="0.25">
      <c r="C4271" s="316"/>
    </row>
    <row r="4272" spans="3:3" x14ac:dyDescent="0.25">
      <c r="C4272" s="316"/>
    </row>
    <row r="4273" spans="3:3" x14ac:dyDescent="0.25">
      <c r="C4273" s="316"/>
    </row>
    <row r="4274" spans="3:3" x14ac:dyDescent="0.25">
      <c r="C4274" s="316"/>
    </row>
    <row r="4275" spans="3:3" x14ac:dyDescent="0.25">
      <c r="C4275" s="316"/>
    </row>
    <row r="4276" spans="3:3" x14ac:dyDescent="0.25">
      <c r="C4276" s="316"/>
    </row>
    <row r="4277" spans="3:3" x14ac:dyDescent="0.25">
      <c r="C4277" s="316"/>
    </row>
    <row r="4278" spans="3:3" x14ac:dyDescent="0.25">
      <c r="C4278" s="316"/>
    </row>
    <row r="4279" spans="3:3" x14ac:dyDescent="0.25">
      <c r="C4279" s="316"/>
    </row>
    <row r="4280" spans="3:3" x14ac:dyDescent="0.25">
      <c r="C4280" s="316"/>
    </row>
    <row r="4281" spans="3:3" x14ac:dyDescent="0.25">
      <c r="C4281" s="316"/>
    </row>
    <row r="4282" spans="3:3" x14ac:dyDescent="0.25">
      <c r="C4282" s="316"/>
    </row>
    <row r="4283" spans="3:3" x14ac:dyDescent="0.25">
      <c r="C4283" s="316"/>
    </row>
    <row r="4284" spans="3:3" x14ac:dyDescent="0.25">
      <c r="C4284" s="316"/>
    </row>
    <row r="4285" spans="3:3" x14ac:dyDescent="0.25">
      <c r="C4285" s="316"/>
    </row>
    <row r="4286" spans="3:3" x14ac:dyDescent="0.25">
      <c r="C4286" s="316"/>
    </row>
    <row r="4287" spans="3:3" x14ac:dyDescent="0.25">
      <c r="C4287" s="316"/>
    </row>
    <row r="4288" spans="3:3" x14ac:dyDescent="0.25">
      <c r="C4288" s="316"/>
    </row>
    <row r="4289" spans="3:3" x14ac:dyDescent="0.25">
      <c r="C4289" s="316"/>
    </row>
    <row r="4290" spans="3:3" x14ac:dyDescent="0.25">
      <c r="C4290" s="316"/>
    </row>
    <row r="4291" spans="3:3" x14ac:dyDescent="0.25">
      <c r="C4291" s="316"/>
    </row>
    <row r="4292" spans="3:3" x14ac:dyDescent="0.25">
      <c r="C4292" s="316"/>
    </row>
    <row r="4293" spans="3:3" x14ac:dyDescent="0.25">
      <c r="C4293" s="316"/>
    </row>
    <row r="4294" spans="3:3" x14ac:dyDescent="0.25">
      <c r="C4294" s="316"/>
    </row>
    <row r="4295" spans="3:3" x14ac:dyDescent="0.25">
      <c r="C4295" s="316"/>
    </row>
    <row r="4296" spans="3:3" x14ac:dyDescent="0.25">
      <c r="C4296" s="316"/>
    </row>
    <row r="4297" spans="3:3" x14ac:dyDescent="0.25">
      <c r="C4297" s="316"/>
    </row>
    <row r="4298" spans="3:3" x14ac:dyDescent="0.25">
      <c r="C4298" s="316"/>
    </row>
    <row r="4299" spans="3:3" x14ac:dyDescent="0.25">
      <c r="C4299" s="316"/>
    </row>
    <row r="4300" spans="3:3" x14ac:dyDescent="0.25">
      <c r="C4300" s="316"/>
    </row>
    <row r="4301" spans="3:3" x14ac:dyDescent="0.25">
      <c r="C4301" s="316"/>
    </row>
    <row r="4302" spans="3:3" x14ac:dyDescent="0.25">
      <c r="C4302" s="316"/>
    </row>
    <row r="4303" spans="3:3" x14ac:dyDescent="0.25">
      <c r="C4303" s="316"/>
    </row>
    <row r="4304" spans="3:3" x14ac:dyDescent="0.25">
      <c r="C4304" s="316"/>
    </row>
    <row r="4305" spans="3:3" x14ac:dyDescent="0.25">
      <c r="C4305" s="316"/>
    </row>
    <row r="4306" spans="3:3" x14ac:dyDescent="0.25">
      <c r="C4306" s="316"/>
    </row>
    <row r="4307" spans="3:3" x14ac:dyDescent="0.25">
      <c r="C4307" s="316"/>
    </row>
    <row r="4308" spans="3:3" x14ac:dyDescent="0.25">
      <c r="C4308" s="316"/>
    </row>
    <row r="4309" spans="3:3" x14ac:dyDescent="0.25">
      <c r="C4309" s="316"/>
    </row>
    <row r="4310" spans="3:3" x14ac:dyDescent="0.25">
      <c r="C4310" s="316"/>
    </row>
    <row r="4311" spans="3:3" x14ac:dyDescent="0.25">
      <c r="C4311" s="316"/>
    </row>
    <row r="4312" spans="3:3" x14ac:dyDescent="0.25">
      <c r="C4312" s="316"/>
    </row>
    <row r="4313" spans="3:3" x14ac:dyDescent="0.25">
      <c r="C4313" s="316"/>
    </row>
    <row r="4314" spans="3:3" x14ac:dyDescent="0.25">
      <c r="C4314" s="316"/>
    </row>
    <row r="4315" spans="3:3" x14ac:dyDescent="0.25">
      <c r="C4315" s="316"/>
    </row>
    <row r="4316" spans="3:3" x14ac:dyDescent="0.25">
      <c r="C4316" s="316"/>
    </row>
    <row r="4317" spans="3:3" x14ac:dyDescent="0.25">
      <c r="C4317" s="316"/>
    </row>
    <row r="4318" spans="3:3" x14ac:dyDescent="0.25">
      <c r="C4318" s="316"/>
    </row>
    <row r="4319" spans="3:3" x14ac:dyDescent="0.25">
      <c r="C4319" s="316"/>
    </row>
    <row r="4320" spans="3:3" x14ac:dyDescent="0.25">
      <c r="C4320" s="316"/>
    </row>
    <row r="4321" spans="3:3" x14ac:dyDescent="0.25">
      <c r="C4321" s="316"/>
    </row>
    <row r="4322" spans="3:3" x14ac:dyDescent="0.25">
      <c r="C4322" s="316"/>
    </row>
    <row r="4323" spans="3:3" x14ac:dyDescent="0.25">
      <c r="C4323" s="316"/>
    </row>
    <row r="4324" spans="3:3" x14ac:dyDescent="0.25">
      <c r="C4324" s="316"/>
    </row>
    <row r="4325" spans="3:3" x14ac:dyDescent="0.25">
      <c r="C4325" s="316"/>
    </row>
    <row r="4326" spans="3:3" x14ac:dyDescent="0.25">
      <c r="C4326" s="316"/>
    </row>
    <row r="4327" spans="3:3" x14ac:dyDescent="0.25">
      <c r="C4327" s="316"/>
    </row>
    <row r="4328" spans="3:3" x14ac:dyDescent="0.25">
      <c r="C4328" s="316"/>
    </row>
    <row r="4329" spans="3:3" x14ac:dyDescent="0.25">
      <c r="C4329" s="316"/>
    </row>
    <row r="4330" spans="3:3" x14ac:dyDescent="0.25">
      <c r="C4330" s="316"/>
    </row>
    <row r="4331" spans="3:3" x14ac:dyDescent="0.25">
      <c r="C4331" s="316"/>
    </row>
    <row r="4332" spans="3:3" x14ac:dyDescent="0.25">
      <c r="C4332" s="316"/>
    </row>
    <row r="4333" spans="3:3" x14ac:dyDescent="0.25">
      <c r="C4333" s="316"/>
    </row>
    <row r="4334" spans="3:3" x14ac:dyDescent="0.25">
      <c r="C4334" s="316"/>
    </row>
    <row r="4335" spans="3:3" x14ac:dyDescent="0.25">
      <c r="C4335" s="316"/>
    </row>
    <row r="4336" spans="3:3" x14ac:dyDescent="0.25">
      <c r="C4336" s="316"/>
    </row>
    <row r="4337" spans="3:3" x14ac:dyDescent="0.25">
      <c r="C4337" s="316"/>
    </row>
    <row r="4338" spans="3:3" x14ac:dyDescent="0.25">
      <c r="C4338" s="316"/>
    </row>
    <row r="4339" spans="3:3" x14ac:dyDescent="0.25">
      <c r="C4339" s="316"/>
    </row>
    <row r="4340" spans="3:3" x14ac:dyDescent="0.25">
      <c r="C4340" s="316"/>
    </row>
    <row r="4341" spans="3:3" x14ac:dyDescent="0.25">
      <c r="C4341" s="316"/>
    </row>
    <row r="4342" spans="3:3" x14ac:dyDescent="0.25">
      <c r="C4342" s="316"/>
    </row>
    <row r="4343" spans="3:3" x14ac:dyDescent="0.25">
      <c r="C4343" s="316"/>
    </row>
    <row r="4344" spans="3:3" x14ac:dyDescent="0.25">
      <c r="C4344" s="316"/>
    </row>
    <row r="4345" spans="3:3" x14ac:dyDescent="0.25">
      <c r="C4345" s="316"/>
    </row>
    <row r="4346" spans="3:3" x14ac:dyDescent="0.25">
      <c r="C4346" s="316"/>
    </row>
    <row r="4347" spans="3:3" x14ac:dyDescent="0.25">
      <c r="C4347" s="316"/>
    </row>
    <row r="4348" spans="3:3" x14ac:dyDescent="0.25">
      <c r="C4348" s="316"/>
    </row>
    <row r="4349" spans="3:3" x14ac:dyDescent="0.25">
      <c r="C4349" s="316"/>
    </row>
    <row r="4350" spans="3:3" x14ac:dyDescent="0.25">
      <c r="C4350" s="316"/>
    </row>
    <row r="4351" spans="3:3" x14ac:dyDescent="0.25">
      <c r="C4351" s="316"/>
    </row>
    <row r="4352" spans="3:3" x14ac:dyDescent="0.25">
      <c r="C4352" s="316"/>
    </row>
    <row r="4353" spans="3:3" x14ac:dyDescent="0.25">
      <c r="C4353" s="316"/>
    </row>
    <row r="4354" spans="3:3" x14ac:dyDescent="0.25">
      <c r="C4354" s="316"/>
    </row>
    <row r="4355" spans="3:3" x14ac:dyDescent="0.25">
      <c r="C4355" s="316"/>
    </row>
    <row r="4356" spans="3:3" x14ac:dyDescent="0.25">
      <c r="C4356" s="316"/>
    </row>
    <row r="4357" spans="3:3" x14ac:dyDescent="0.25">
      <c r="C4357" s="316"/>
    </row>
    <row r="4358" spans="3:3" x14ac:dyDescent="0.25">
      <c r="C4358" s="316"/>
    </row>
    <row r="4359" spans="3:3" x14ac:dyDescent="0.25">
      <c r="C4359" s="316"/>
    </row>
    <row r="4360" spans="3:3" x14ac:dyDescent="0.25">
      <c r="C4360" s="316"/>
    </row>
    <row r="4361" spans="3:3" x14ac:dyDescent="0.25">
      <c r="C4361" s="316"/>
    </row>
    <row r="4362" spans="3:3" x14ac:dyDescent="0.25">
      <c r="C4362" s="316"/>
    </row>
    <row r="4363" spans="3:3" x14ac:dyDescent="0.25">
      <c r="C4363" s="316"/>
    </row>
    <row r="4364" spans="3:3" x14ac:dyDescent="0.25">
      <c r="C4364" s="316"/>
    </row>
    <row r="4365" spans="3:3" x14ac:dyDescent="0.25">
      <c r="C4365" s="316"/>
    </row>
    <row r="4366" spans="3:3" x14ac:dyDescent="0.25">
      <c r="C4366" s="316"/>
    </row>
    <row r="4367" spans="3:3" x14ac:dyDescent="0.25">
      <c r="C4367" s="316"/>
    </row>
    <row r="4368" spans="3:3" x14ac:dyDescent="0.25">
      <c r="C4368" s="316"/>
    </row>
    <row r="4369" spans="3:3" x14ac:dyDescent="0.25">
      <c r="C4369" s="316"/>
    </row>
    <row r="4370" spans="3:3" x14ac:dyDescent="0.25">
      <c r="C4370" s="316"/>
    </row>
    <row r="4371" spans="3:3" x14ac:dyDescent="0.25">
      <c r="C4371" s="316"/>
    </row>
    <row r="4372" spans="3:3" x14ac:dyDescent="0.25">
      <c r="C4372" s="316"/>
    </row>
    <row r="4373" spans="3:3" x14ac:dyDescent="0.25">
      <c r="C4373" s="316"/>
    </row>
    <row r="4374" spans="3:3" x14ac:dyDescent="0.25">
      <c r="C4374" s="316"/>
    </row>
    <row r="4375" spans="3:3" x14ac:dyDescent="0.25">
      <c r="C4375" s="316"/>
    </row>
    <row r="4376" spans="3:3" x14ac:dyDescent="0.25">
      <c r="C4376" s="316"/>
    </row>
    <row r="4377" spans="3:3" x14ac:dyDescent="0.25">
      <c r="C4377" s="316"/>
    </row>
    <row r="4378" spans="3:3" x14ac:dyDescent="0.25">
      <c r="C4378" s="316"/>
    </row>
    <row r="4379" spans="3:3" x14ac:dyDescent="0.25">
      <c r="C4379" s="316"/>
    </row>
    <row r="4380" spans="3:3" x14ac:dyDescent="0.25">
      <c r="C4380" s="316"/>
    </row>
    <row r="4381" spans="3:3" x14ac:dyDescent="0.25">
      <c r="C4381" s="316"/>
    </row>
    <row r="4382" spans="3:3" x14ac:dyDescent="0.25">
      <c r="C4382" s="316"/>
    </row>
    <row r="4383" spans="3:3" x14ac:dyDescent="0.25">
      <c r="C4383" s="316"/>
    </row>
    <row r="4384" spans="3:3" x14ac:dyDescent="0.25">
      <c r="C4384" s="316"/>
    </row>
    <row r="4385" spans="3:3" x14ac:dyDescent="0.25">
      <c r="C4385" s="316"/>
    </row>
    <row r="4386" spans="3:3" x14ac:dyDescent="0.25">
      <c r="C4386" s="316"/>
    </row>
    <row r="4387" spans="3:3" x14ac:dyDescent="0.25">
      <c r="C4387" s="316"/>
    </row>
    <row r="4388" spans="3:3" x14ac:dyDescent="0.25">
      <c r="C4388" s="316"/>
    </row>
    <row r="4389" spans="3:3" x14ac:dyDescent="0.25">
      <c r="C4389" s="316"/>
    </row>
    <row r="4390" spans="3:3" x14ac:dyDescent="0.25">
      <c r="C4390" s="316"/>
    </row>
    <row r="4391" spans="3:3" x14ac:dyDescent="0.25">
      <c r="C4391" s="316"/>
    </row>
    <row r="4392" spans="3:3" x14ac:dyDescent="0.25">
      <c r="C4392" s="316"/>
    </row>
    <row r="4393" spans="3:3" x14ac:dyDescent="0.25">
      <c r="C4393" s="316"/>
    </row>
    <row r="4394" spans="3:3" x14ac:dyDescent="0.25">
      <c r="C4394" s="316"/>
    </row>
    <row r="4395" spans="3:3" x14ac:dyDescent="0.25">
      <c r="C4395" s="316"/>
    </row>
    <row r="4396" spans="3:3" x14ac:dyDescent="0.25">
      <c r="C4396" s="316"/>
    </row>
    <row r="4397" spans="3:3" x14ac:dyDescent="0.25">
      <c r="C4397" s="316"/>
    </row>
    <row r="4398" spans="3:3" x14ac:dyDescent="0.25">
      <c r="C4398" s="316"/>
    </row>
    <row r="4399" spans="3:3" x14ac:dyDescent="0.25">
      <c r="C4399" s="316"/>
    </row>
    <row r="4400" spans="3:3" x14ac:dyDescent="0.25">
      <c r="C4400" s="316"/>
    </row>
    <row r="4401" spans="3:3" x14ac:dyDescent="0.25">
      <c r="C4401" s="316"/>
    </row>
    <row r="4402" spans="3:3" x14ac:dyDescent="0.25">
      <c r="C4402" s="316"/>
    </row>
    <row r="4403" spans="3:3" x14ac:dyDescent="0.25">
      <c r="C4403" s="316"/>
    </row>
    <row r="4404" spans="3:3" x14ac:dyDescent="0.25">
      <c r="C4404" s="316"/>
    </row>
    <row r="4405" spans="3:3" x14ac:dyDescent="0.25">
      <c r="C4405" s="316"/>
    </row>
    <row r="4406" spans="3:3" x14ac:dyDescent="0.25">
      <c r="C4406" s="316"/>
    </row>
    <row r="4407" spans="3:3" x14ac:dyDescent="0.25">
      <c r="C4407" s="316"/>
    </row>
    <row r="4408" spans="3:3" x14ac:dyDescent="0.25">
      <c r="C4408" s="316"/>
    </row>
    <row r="4409" spans="3:3" x14ac:dyDescent="0.25">
      <c r="C4409" s="316"/>
    </row>
    <row r="4410" spans="3:3" x14ac:dyDescent="0.25">
      <c r="C4410" s="316"/>
    </row>
    <row r="4411" spans="3:3" x14ac:dyDescent="0.25">
      <c r="C4411" s="316"/>
    </row>
    <row r="4412" spans="3:3" x14ac:dyDescent="0.25">
      <c r="C4412" s="316"/>
    </row>
    <row r="4413" spans="3:3" x14ac:dyDescent="0.25">
      <c r="C4413" s="316"/>
    </row>
    <row r="4414" spans="3:3" x14ac:dyDescent="0.25">
      <c r="C4414" s="316"/>
    </row>
    <row r="4415" spans="3:3" x14ac:dyDescent="0.25">
      <c r="C4415" s="316"/>
    </row>
    <row r="4416" spans="3:3" x14ac:dyDescent="0.25">
      <c r="C4416" s="316"/>
    </row>
    <row r="4417" spans="3:3" x14ac:dyDescent="0.25">
      <c r="C4417" s="316"/>
    </row>
    <row r="4418" spans="3:3" x14ac:dyDescent="0.25">
      <c r="C4418" s="316"/>
    </row>
    <row r="4419" spans="3:3" x14ac:dyDescent="0.25">
      <c r="C4419" s="316"/>
    </row>
    <row r="4420" spans="3:3" x14ac:dyDescent="0.25">
      <c r="C4420" s="316"/>
    </row>
    <row r="4421" spans="3:3" x14ac:dyDescent="0.25">
      <c r="C4421" s="316"/>
    </row>
    <row r="4422" spans="3:3" x14ac:dyDescent="0.25">
      <c r="C4422" s="316"/>
    </row>
    <row r="4423" spans="3:3" x14ac:dyDescent="0.25">
      <c r="C4423" s="316"/>
    </row>
    <row r="4424" spans="3:3" x14ac:dyDescent="0.25">
      <c r="C4424" s="316"/>
    </row>
    <row r="4425" spans="3:3" x14ac:dyDescent="0.25">
      <c r="C4425" s="316"/>
    </row>
    <row r="4426" spans="3:3" x14ac:dyDescent="0.25">
      <c r="C4426" s="316"/>
    </row>
    <row r="4427" spans="3:3" x14ac:dyDescent="0.25">
      <c r="C4427" s="316"/>
    </row>
    <row r="4428" spans="3:3" x14ac:dyDescent="0.25">
      <c r="C4428" s="316"/>
    </row>
    <row r="4429" spans="3:3" x14ac:dyDescent="0.25">
      <c r="C4429" s="316"/>
    </row>
    <row r="4430" spans="3:3" x14ac:dyDescent="0.25">
      <c r="C4430" s="316"/>
    </row>
    <row r="4431" spans="3:3" x14ac:dyDescent="0.25">
      <c r="C4431" s="316"/>
    </row>
    <row r="4432" spans="3:3" x14ac:dyDescent="0.25">
      <c r="C4432" s="316"/>
    </row>
    <row r="4433" spans="3:3" x14ac:dyDescent="0.25">
      <c r="C4433" s="316"/>
    </row>
    <row r="4434" spans="3:3" x14ac:dyDescent="0.25">
      <c r="C4434" s="316"/>
    </row>
    <row r="4435" spans="3:3" x14ac:dyDescent="0.25">
      <c r="C4435" s="316"/>
    </row>
    <row r="4436" spans="3:3" x14ac:dyDescent="0.25">
      <c r="C4436" s="316"/>
    </row>
    <row r="4437" spans="3:3" x14ac:dyDescent="0.25">
      <c r="C4437" s="316"/>
    </row>
    <row r="4438" spans="3:3" x14ac:dyDescent="0.25">
      <c r="C4438" s="316"/>
    </row>
    <row r="4439" spans="3:3" x14ac:dyDescent="0.25">
      <c r="C4439" s="316"/>
    </row>
    <row r="4440" spans="3:3" x14ac:dyDescent="0.25">
      <c r="C4440" s="316"/>
    </row>
    <row r="4441" spans="3:3" x14ac:dyDescent="0.25">
      <c r="C4441" s="316"/>
    </row>
    <row r="4442" spans="3:3" x14ac:dyDescent="0.25">
      <c r="C4442" s="316"/>
    </row>
    <row r="4443" spans="3:3" x14ac:dyDescent="0.25">
      <c r="C4443" s="316"/>
    </row>
    <row r="4444" spans="3:3" x14ac:dyDescent="0.25">
      <c r="C4444" s="316"/>
    </row>
    <row r="4445" spans="3:3" x14ac:dyDescent="0.25">
      <c r="C4445" s="316"/>
    </row>
    <row r="4446" spans="3:3" x14ac:dyDescent="0.25">
      <c r="C4446" s="316"/>
    </row>
    <row r="4447" spans="3:3" x14ac:dyDescent="0.25">
      <c r="C4447" s="316"/>
    </row>
    <row r="4448" spans="3:3" x14ac:dyDescent="0.25">
      <c r="C4448" s="316"/>
    </row>
    <row r="4449" spans="3:3" x14ac:dyDescent="0.25">
      <c r="C4449" s="316"/>
    </row>
    <row r="4450" spans="3:3" x14ac:dyDescent="0.25">
      <c r="C4450" s="316"/>
    </row>
    <row r="4451" spans="3:3" x14ac:dyDescent="0.25">
      <c r="C4451" s="316"/>
    </row>
    <row r="4452" spans="3:3" x14ac:dyDescent="0.25">
      <c r="C4452" s="316"/>
    </row>
    <row r="4453" spans="3:3" x14ac:dyDescent="0.25">
      <c r="C4453" s="316"/>
    </row>
    <row r="4454" spans="3:3" x14ac:dyDescent="0.25">
      <c r="C4454" s="316"/>
    </row>
    <row r="4455" spans="3:3" x14ac:dyDescent="0.25">
      <c r="C4455" s="316"/>
    </row>
    <row r="4456" spans="3:3" x14ac:dyDescent="0.25">
      <c r="C4456" s="316"/>
    </row>
    <row r="4457" spans="3:3" x14ac:dyDescent="0.25">
      <c r="C4457" s="316"/>
    </row>
    <row r="4458" spans="3:3" x14ac:dyDescent="0.25">
      <c r="C4458" s="316"/>
    </row>
    <row r="4459" spans="3:3" x14ac:dyDescent="0.25">
      <c r="C4459" s="316"/>
    </row>
    <row r="4460" spans="3:3" x14ac:dyDescent="0.25">
      <c r="C4460" s="316"/>
    </row>
    <row r="4461" spans="3:3" x14ac:dyDescent="0.25">
      <c r="C4461" s="316"/>
    </row>
    <row r="4462" spans="3:3" x14ac:dyDescent="0.25">
      <c r="C4462" s="316"/>
    </row>
    <row r="4463" spans="3:3" x14ac:dyDescent="0.25">
      <c r="C4463" s="316"/>
    </row>
    <row r="4464" spans="3:3" x14ac:dyDescent="0.25">
      <c r="C4464" s="316"/>
    </row>
    <row r="4465" spans="3:3" x14ac:dyDescent="0.25">
      <c r="C4465" s="316"/>
    </row>
    <row r="4466" spans="3:3" x14ac:dyDescent="0.25">
      <c r="C4466" s="316"/>
    </row>
    <row r="4467" spans="3:3" x14ac:dyDescent="0.25">
      <c r="C4467" s="316"/>
    </row>
    <row r="4468" spans="3:3" x14ac:dyDescent="0.25">
      <c r="C4468" s="316"/>
    </row>
    <row r="4469" spans="3:3" x14ac:dyDescent="0.25">
      <c r="C4469" s="316"/>
    </row>
    <row r="4470" spans="3:3" x14ac:dyDescent="0.25">
      <c r="C4470" s="316"/>
    </row>
    <row r="4471" spans="3:3" x14ac:dyDescent="0.25">
      <c r="C4471" s="316"/>
    </row>
    <row r="4472" spans="3:3" x14ac:dyDescent="0.25">
      <c r="C4472" s="316"/>
    </row>
    <row r="4473" spans="3:3" x14ac:dyDescent="0.25">
      <c r="C4473" s="316"/>
    </row>
    <row r="4474" spans="3:3" x14ac:dyDescent="0.25">
      <c r="C4474" s="316"/>
    </row>
    <row r="4475" spans="3:3" x14ac:dyDescent="0.25">
      <c r="C4475" s="316"/>
    </row>
    <row r="4476" spans="3:3" x14ac:dyDescent="0.25">
      <c r="C4476" s="316"/>
    </row>
    <row r="4477" spans="3:3" x14ac:dyDescent="0.25">
      <c r="C4477" s="316"/>
    </row>
    <row r="4478" spans="3:3" x14ac:dyDescent="0.25">
      <c r="C4478" s="316"/>
    </row>
    <row r="4479" spans="3:3" x14ac:dyDescent="0.25">
      <c r="C4479" s="316"/>
    </row>
    <row r="4480" spans="3:3" x14ac:dyDescent="0.25">
      <c r="C4480" s="316"/>
    </row>
    <row r="4481" spans="3:3" x14ac:dyDescent="0.25">
      <c r="C4481" s="316"/>
    </row>
    <row r="4482" spans="3:3" x14ac:dyDescent="0.25">
      <c r="C4482" s="316"/>
    </row>
    <row r="4483" spans="3:3" x14ac:dyDescent="0.25">
      <c r="C4483" s="316"/>
    </row>
    <row r="4484" spans="3:3" x14ac:dyDescent="0.25">
      <c r="C4484" s="316"/>
    </row>
    <row r="4485" spans="3:3" x14ac:dyDescent="0.25">
      <c r="C4485" s="316"/>
    </row>
    <row r="4486" spans="3:3" x14ac:dyDescent="0.25">
      <c r="C4486" s="316"/>
    </row>
    <row r="4487" spans="3:3" x14ac:dyDescent="0.25">
      <c r="C4487" s="316"/>
    </row>
    <row r="4488" spans="3:3" x14ac:dyDescent="0.25">
      <c r="C4488" s="316"/>
    </row>
    <row r="4489" spans="3:3" x14ac:dyDescent="0.25">
      <c r="C4489" s="316"/>
    </row>
    <row r="4490" spans="3:3" x14ac:dyDescent="0.25">
      <c r="C4490" s="316"/>
    </row>
    <row r="4491" spans="3:3" x14ac:dyDescent="0.25">
      <c r="C4491" s="316"/>
    </row>
    <row r="4492" spans="3:3" x14ac:dyDescent="0.25">
      <c r="C4492" s="316"/>
    </row>
    <row r="4493" spans="3:3" x14ac:dyDescent="0.25">
      <c r="C4493" s="316"/>
    </row>
    <row r="4494" spans="3:3" x14ac:dyDescent="0.25">
      <c r="C4494" s="316"/>
    </row>
    <row r="4495" spans="3:3" x14ac:dyDescent="0.25">
      <c r="C4495" s="316"/>
    </row>
    <row r="4496" spans="3:3" x14ac:dyDescent="0.25">
      <c r="C4496" s="316"/>
    </row>
    <row r="4497" spans="3:3" x14ac:dyDescent="0.25">
      <c r="C4497" s="316"/>
    </row>
    <row r="4498" spans="3:3" x14ac:dyDescent="0.25">
      <c r="C4498" s="316"/>
    </row>
    <row r="4499" spans="3:3" x14ac:dyDescent="0.25">
      <c r="C4499" s="316"/>
    </row>
    <row r="4500" spans="3:3" x14ac:dyDescent="0.25">
      <c r="C4500" s="316"/>
    </row>
    <row r="4501" spans="3:3" x14ac:dyDescent="0.25">
      <c r="C4501" s="316"/>
    </row>
    <row r="4502" spans="3:3" x14ac:dyDescent="0.25">
      <c r="C4502" s="316"/>
    </row>
    <row r="4503" spans="3:3" x14ac:dyDescent="0.25">
      <c r="C4503" s="316"/>
    </row>
    <row r="4504" spans="3:3" x14ac:dyDescent="0.25">
      <c r="C4504" s="316"/>
    </row>
    <row r="4505" spans="3:3" x14ac:dyDescent="0.25">
      <c r="C4505" s="316"/>
    </row>
    <row r="4506" spans="3:3" x14ac:dyDescent="0.25">
      <c r="C4506" s="316"/>
    </row>
    <row r="4507" spans="3:3" x14ac:dyDescent="0.25">
      <c r="C4507" s="316"/>
    </row>
    <row r="4508" spans="3:3" x14ac:dyDescent="0.25">
      <c r="C4508" s="316"/>
    </row>
    <row r="4509" spans="3:3" x14ac:dyDescent="0.25">
      <c r="C4509" s="316"/>
    </row>
    <row r="4510" spans="3:3" x14ac:dyDescent="0.25">
      <c r="C4510" s="316"/>
    </row>
    <row r="4511" spans="3:3" x14ac:dyDescent="0.25">
      <c r="C4511" s="316"/>
    </row>
    <row r="4512" spans="3:3" x14ac:dyDescent="0.25">
      <c r="C4512" s="316"/>
    </row>
    <row r="4513" spans="3:3" x14ac:dyDescent="0.25">
      <c r="C4513" s="316"/>
    </row>
    <row r="4514" spans="3:3" x14ac:dyDescent="0.25">
      <c r="C4514" s="316"/>
    </row>
    <row r="4515" spans="3:3" x14ac:dyDescent="0.25">
      <c r="C4515" s="316"/>
    </row>
    <row r="4516" spans="3:3" x14ac:dyDescent="0.25">
      <c r="C4516" s="316"/>
    </row>
    <row r="4517" spans="3:3" x14ac:dyDescent="0.25">
      <c r="C4517" s="316"/>
    </row>
    <row r="4518" spans="3:3" x14ac:dyDescent="0.25">
      <c r="C4518" s="316"/>
    </row>
    <row r="4519" spans="3:3" x14ac:dyDescent="0.25">
      <c r="C4519" s="316"/>
    </row>
    <row r="4520" spans="3:3" x14ac:dyDescent="0.25">
      <c r="C4520" s="316"/>
    </row>
    <row r="4521" spans="3:3" x14ac:dyDescent="0.25">
      <c r="C4521" s="316"/>
    </row>
    <row r="4522" spans="3:3" x14ac:dyDescent="0.25">
      <c r="C4522" s="316"/>
    </row>
    <row r="4523" spans="3:3" x14ac:dyDescent="0.25">
      <c r="C4523" s="316"/>
    </row>
    <row r="4524" spans="3:3" x14ac:dyDescent="0.25">
      <c r="C4524" s="316"/>
    </row>
    <row r="4525" spans="3:3" x14ac:dyDescent="0.25">
      <c r="C4525" s="316"/>
    </row>
    <row r="4526" spans="3:3" x14ac:dyDescent="0.25">
      <c r="C4526" s="316"/>
    </row>
    <row r="4527" spans="3:3" x14ac:dyDescent="0.25">
      <c r="C4527" s="316"/>
    </row>
    <row r="4528" spans="3:3" x14ac:dyDescent="0.25">
      <c r="C4528" s="316"/>
    </row>
    <row r="4529" spans="3:3" x14ac:dyDescent="0.25">
      <c r="C4529" s="316"/>
    </row>
    <row r="4530" spans="3:3" x14ac:dyDescent="0.25">
      <c r="C4530" s="316"/>
    </row>
    <row r="4531" spans="3:3" x14ac:dyDescent="0.25">
      <c r="C4531" s="316"/>
    </row>
    <row r="4532" spans="3:3" x14ac:dyDescent="0.25">
      <c r="C4532" s="316"/>
    </row>
    <row r="4533" spans="3:3" x14ac:dyDescent="0.25">
      <c r="C4533" s="316"/>
    </row>
    <row r="4534" spans="3:3" x14ac:dyDescent="0.25">
      <c r="C4534" s="316"/>
    </row>
    <row r="4535" spans="3:3" x14ac:dyDescent="0.25">
      <c r="C4535" s="316"/>
    </row>
    <row r="4536" spans="3:3" x14ac:dyDescent="0.25">
      <c r="C4536" s="316"/>
    </row>
    <row r="4537" spans="3:3" x14ac:dyDescent="0.25">
      <c r="C4537" s="316"/>
    </row>
    <row r="4538" spans="3:3" x14ac:dyDescent="0.25">
      <c r="C4538" s="316"/>
    </row>
    <row r="4539" spans="3:3" x14ac:dyDescent="0.25">
      <c r="C4539" s="316"/>
    </row>
    <row r="4540" spans="3:3" x14ac:dyDescent="0.25">
      <c r="C4540" s="316"/>
    </row>
    <row r="4541" spans="3:3" x14ac:dyDescent="0.25">
      <c r="C4541" s="316"/>
    </row>
    <row r="4542" spans="3:3" x14ac:dyDescent="0.25">
      <c r="C4542" s="316"/>
    </row>
    <row r="4543" spans="3:3" x14ac:dyDescent="0.25">
      <c r="C4543" s="316"/>
    </row>
    <row r="4544" spans="3:3" x14ac:dyDescent="0.25">
      <c r="C4544" s="316"/>
    </row>
    <row r="4545" spans="3:3" x14ac:dyDescent="0.25">
      <c r="C4545" s="316"/>
    </row>
    <row r="4546" spans="3:3" x14ac:dyDescent="0.25">
      <c r="C4546" s="316"/>
    </row>
    <row r="4547" spans="3:3" x14ac:dyDescent="0.25">
      <c r="C4547" s="316"/>
    </row>
    <row r="4548" spans="3:3" x14ac:dyDescent="0.25">
      <c r="C4548" s="316"/>
    </row>
    <row r="4549" spans="3:3" x14ac:dyDescent="0.25">
      <c r="C4549" s="316"/>
    </row>
    <row r="4550" spans="3:3" x14ac:dyDescent="0.25">
      <c r="C4550" s="316"/>
    </row>
    <row r="4551" spans="3:3" x14ac:dyDescent="0.25">
      <c r="C4551" s="316"/>
    </row>
    <row r="4552" spans="3:3" x14ac:dyDescent="0.25">
      <c r="C4552" s="316"/>
    </row>
    <row r="4553" spans="3:3" x14ac:dyDescent="0.25">
      <c r="C4553" s="316"/>
    </row>
    <row r="4554" spans="3:3" x14ac:dyDescent="0.25">
      <c r="C4554" s="316"/>
    </row>
    <row r="4555" spans="3:3" x14ac:dyDescent="0.25">
      <c r="C4555" s="316"/>
    </row>
    <row r="4556" spans="3:3" x14ac:dyDescent="0.25">
      <c r="C4556" s="316"/>
    </row>
    <row r="4557" spans="3:3" x14ac:dyDescent="0.25">
      <c r="C4557" s="316"/>
    </row>
    <row r="4558" spans="3:3" x14ac:dyDescent="0.25">
      <c r="C4558" s="316"/>
    </row>
    <row r="4559" spans="3:3" x14ac:dyDescent="0.25">
      <c r="C4559" s="316"/>
    </row>
    <row r="4560" spans="3:3" x14ac:dyDescent="0.25">
      <c r="C4560" s="316"/>
    </row>
    <row r="4561" spans="3:3" x14ac:dyDescent="0.25">
      <c r="C4561" s="316"/>
    </row>
    <row r="4562" spans="3:3" x14ac:dyDescent="0.25">
      <c r="C4562" s="316"/>
    </row>
    <row r="4563" spans="3:3" x14ac:dyDescent="0.25">
      <c r="C4563" s="316"/>
    </row>
    <row r="4564" spans="3:3" x14ac:dyDescent="0.25">
      <c r="C4564" s="316"/>
    </row>
    <row r="4565" spans="3:3" x14ac:dyDescent="0.25">
      <c r="C4565" s="316"/>
    </row>
    <row r="4566" spans="3:3" x14ac:dyDescent="0.25">
      <c r="C4566" s="316"/>
    </row>
    <row r="4567" spans="3:3" x14ac:dyDescent="0.25">
      <c r="C4567" s="316"/>
    </row>
    <row r="4568" spans="3:3" x14ac:dyDescent="0.25">
      <c r="C4568" s="316"/>
    </row>
    <row r="4569" spans="3:3" x14ac:dyDescent="0.25">
      <c r="C4569" s="316"/>
    </row>
    <row r="4570" spans="3:3" x14ac:dyDescent="0.25">
      <c r="C4570" s="316"/>
    </row>
    <row r="4571" spans="3:3" x14ac:dyDescent="0.25">
      <c r="C4571" s="316"/>
    </row>
    <row r="4572" spans="3:3" x14ac:dyDescent="0.25">
      <c r="C4572" s="316"/>
    </row>
    <row r="4573" spans="3:3" x14ac:dyDescent="0.25">
      <c r="C4573" s="316"/>
    </row>
    <row r="4574" spans="3:3" x14ac:dyDescent="0.25">
      <c r="C4574" s="316"/>
    </row>
    <row r="4575" spans="3:3" x14ac:dyDescent="0.25">
      <c r="C4575" s="316"/>
    </row>
    <row r="4576" spans="3:3" x14ac:dyDescent="0.25">
      <c r="C4576" s="316"/>
    </row>
    <row r="4577" spans="3:3" x14ac:dyDescent="0.25">
      <c r="C4577" s="316"/>
    </row>
    <row r="4578" spans="3:3" x14ac:dyDescent="0.25">
      <c r="C4578" s="316"/>
    </row>
    <row r="4579" spans="3:3" x14ac:dyDescent="0.25">
      <c r="C4579" s="316"/>
    </row>
    <row r="4580" spans="3:3" x14ac:dyDescent="0.25">
      <c r="C4580" s="316"/>
    </row>
    <row r="4581" spans="3:3" x14ac:dyDescent="0.25">
      <c r="C4581" s="316"/>
    </row>
    <row r="4582" spans="3:3" x14ac:dyDescent="0.25">
      <c r="C4582" s="316"/>
    </row>
    <row r="4583" spans="3:3" x14ac:dyDescent="0.25">
      <c r="C4583" s="316"/>
    </row>
    <row r="4584" spans="3:3" x14ac:dyDescent="0.25">
      <c r="C4584" s="316"/>
    </row>
    <row r="4585" spans="3:3" x14ac:dyDescent="0.25">
      <c r="C4585" s="316"/>
    </row>
    <row r="4586" spans="3:3" x14ac:dyDescent="0.25">
      <c r="C4586" s="316"/>
    </row>
    <row r="4587" spans="3:3" x14ac:dyDescent="0.25">
      <c r="C4587" s="316"/>
    </row>
    <row r="4588" spans="3:3" x14ac:dyDescent="0.25">
      <c r="C4588" s="316"/>
    </row>
    <row r="4589" spans="3:3" x14ac:dyDescent="0.25">
      <c r="C4589" s="316"/>
    </row>
    <row r="4590" spans="3:3" x14ac:dyDescent="0.25">
      <c r="C4590" s="316"/>
    </row>
    <row r="4591" spans="3:3" x14ac:dyDescent="0.25">
      <c r="C4591" s="316"/>
    </row>
    <row r="4592" spans="3:3" x14ac:dyDescent="0.25">
      <c r="C4592" s="316"/>
    </row>
    <row r="4593" spans="3:3" x14ac:dyDescent="0.25">
      <c r="C4593" s="316"/>
    </row>
    <row r="4594" spans="3:3" x14ac:dyDescent="0.25">
      <c r="C4594" s="316"/>
    </row>
    <row r="4595" spans="3:3" x14ac:dyDescent="0.25">
      <c r="C4595" s="316"/>
    </row>
    <row r="4596" spans="3:3" x14ac:dyDescent="0.25">
      <c r="C4596" s="316"/>
    </row>
    <row r="4597" spans="3:3" x14ac:dyDescent="0.25">
      <c r="C4597" s="316"/>
    </row>
    <row r="4598" spans="3:3" x14ac:dyDescent="0.25">
      <c r="C4598" s="316"/>
    </row>
    <row r="4599" spans="3:3" x14ac:dyDescent="0.25">
      <c r="C4599" s="316"/>
    </row>
    <row r="4600" spans="3:3" x14ac:dyDescent="0.25">
      <c r="C4600" s="316"/>
    </row>
    <row r="4601" spans="3:3" x14ac:dyDescent="0.25">
      <c r="C4601" s="316"/>
    </row>
    <row r="4602" spans="3:3" x14ac:dyDescent="0.25">
      <c r="C4602" s="316"/>
    </row>
    <row r="4603" spans="3:3" x14ac:dyDescent="0.25">
      <c r="C4603" s="316"/>
    </row>
    <row r="4604" spans="3:3" x14ac:dyDescent="0.25">
      <c r="C4604" s="316"/>
    </row>
    <row r="4605" spans="3:3" x14ac:dyDescent="0.25">
      <c r="C4605" s="316"/>
    </row>
    <row r="4606" spans="3:3" x14ac:dyDescent="0.25">
      <c r="C4606" s="316"/>
    </row>
    <row r="4607" spans="3:3" x14ac:dyDescent="0.25">
      <c r="C4607" s="316"/>
    </row>
    <row r="4608" spans="3:3" x14ac:dyDescent="0.25">
      <c r="C4608" s="316"/>
    </row>
    <row r="4609" spans="3:3" x14ac:dyDescent="0.25">
      <c r="C4609" s="316"/>
    </row>
    <row r="4610" spans="3:3" x14ac:dyDescent="0.25">
      <c r="C4610" s="316"/>
    </row>
    <row r="4611" spans="3:3" x14ac:dyDescent="0.25">
      <c r="C4611" s="316"/>
    </row>
    <row r="4612" spans="3:3" x14ac:dyDescent="0.25">
      <c r="C4612" s="316"/>
    </row>
    <row r="4613" spans="3:3" x14ac:dyDescent="0.25">
      <c r="C4613" s="316"/>
    </row>
    <row r="4614" spans="3:3" x14ac:dyDescent="0.25">
      <c r="C4614" s="316"/>
    </row>
    <row r="4615" spans="3:3" x14ac:dyDescent="0.25">
      <c r="C4615" s="316"/>
    </row>
    <row r="4616" spans="3:3" x14ac:dyDescent="0.25">
      <c r="C4616" s="316"/>
    </row>
    <row r="4617" spans="3:3" x14ac:dyDescent="0.25">
      <c r="C4617" s="316"/>
    </row>
    <row r="4618" spans="3:3" x14ac:dyDescent="0.25">
      <c r="C4618" s="316"/>
    </row>
    <row r="4619" spans="3:3" x14ac:dyDescent="0.25">
      <c r="C4619" s="316"/>
    </row>
    <row r="4620" spans="3:3" x14ac:dyDescent="0.25">
      <c r="C4620" s="316"/>
    </row>
    <row r="4621" spans="3:3" x14ac:dyDescent="0.25">
      <c r="C4621" s="316"/>
    </row>
    <row r="4622" spans="3:3" x14ac:dyDescent="0.25">
      <c r="C4622" s="316"/>
    </row>
    <row r="4623" spans="3:3" x14ac:dyDescent="0.25">
      <c r="C4623" s="316"/>
    </row>
    <row r="4624" spans="3:3" x14ac:dyDescent="0.25">
      <c r="C4624" s="316"/>
    </row>
    <row r="4625" spans="3:3" x14ac:dyDescent="0.25">
      <c r="C4625" s="316"/>
    </row>
    <row r="4626" spans="3:3" x14ac:dyDescent="0.25">
      <c r="C4626" s="316"/>
    </row>
    <row r="4627" spans="3:3" x14ac:dyDescent="0.25">
      <c r="C4627" s="316"/>
    </row>
    <row r="4628" spans="3:3" x14ac:dyDescent="0.25">
      <c r="C4628" s="316"/>
    </row>
    <row r="4629" spans="3:3" x14ac:dyDescent="0.25">
      <c r="C4629" s="316"/>
    </row>
    <row r="4630" spans="3:3" x14ac:dyDescent="0.25">
      <c r="C4630" s="316"/>
    </row>
    <row r="4631" spans="3:3" x14ac:dyDescent="0.25">
      <c r="C4631" s="316"/>
    </row>
    <row r="4632" spans="3:3" x14ac:dyDescent="0.25">
      <c r="C4632" s="316"/>
    </row>
    <row r="4633" spans="3:3" x14ac:dyDescent="0.25">
      <c r="C4633" s="316"/>
    </row>
    <row r="4634" spans="3:3" x14ac:dyDescent="0.25">
      <c r="C4634" s="316"/>
    </row>
    <row r="4635" spans="3:3" x14ac:dyDescent="0.25">
      <c r="C4635" s="316"/>
    </row>
    <row r="4636" spans="3:3" x14ac:dyDescent="0.25">
      <c r="C4636" s="316"/>
    </row>
    <row r="4637" spans="3:3" x14ac:dyDescent="0.25">
      <c r="C4637" s="316"/>
    </row>
    <row r="4638" spans="3:3" x14ac:dyDescent="0.25">
      <c r="C4638" s="316"/>
    </row>
    <row r="4639" spans="3:3" x14ac:dyDescent="0.25">
      <c r="C4639" s="316"/>
    </row>
    <row r="4640" spans="3:3" x14ac:dyDescent="0.25">
      <c r="C4640" s="316"/>
    </row>
    <row r="4641" spans="3:3" x14ac:dyDescent="0.25">
      <c r="C4641" s="316"/>
    </row>
    <row r="4642" spans="3:3" x14ac:dyDescent="0.25">
      <c r="C4642" s="316"/>
    </row>
    <row r="4643" spans="3:3" x14ac:dyDescent="0.25">
      <c r="C4643" s="316"/>
    </row>
    <row r="4644" spans="3:3" x14ac:dyDescent="0.25">
      <c r="C4644" s="316"/>
    </row>
    <row r="4645" spans="3:3" x14ac:dyDescent="0.25">
      <c r="C4645" s="316"/>
    </row>
    <row r="4646" spans="3:3" x14ac:dyDescent="0.25">
      <c r="C4646" s="316"/>
    </row>
    <row r="4647" spans="3:3" x14ac:dyDescent="0.25">
      <c r="C4647" s="316"/>
    </row>
    <row r="4648" spans="3:3" x14ac:dyDescent="0.25">
      <c r="C4648" s="316"/>
    </row>
    <row r="4649" spans="3:3" x14ac:dyDescent="0.25">
      <c r="C4649" s="316"/>
    </row>
    <row r="4650" spans="3:3" x14ac:dyDescent="0.25">
      <c r="C4650" s="316"/>
    </row>
    <row r="4651" spans="3:3" x14ac:dyDescent="0.25">
      <c r="C4651" s="316"/>
    </row>
    <row r="4652" spans="3:3" x14ac:dyDescent="0.25">
      <c r="C4652" s="316"/>
    </row>
    <row r="4653" spans="3:3" x14ac:dyDescent="0.25">
      <c r="C4653" s="316"/>
    </row>
    <row r="4654" spans="3:3" x14ac:dyDescent="0.25">
      <c r="C4654" s="316"/>
    </row>
    <row r="4655" spans="3:3" x14ac:dyDescent="0.25">
      <c r="C4655" s="316"/>
    </row>
    <row r="4656" spans="3:3" x14ac:dyDescent="0.25">
      <c r="C4656" s="316"/>
    </row>
    <row r="4657" spans="3:3" x14ac:dyDescent="0.25">
      <c r="C4657" s="316"/>
    </row>
    <row r="4658" spans="3:3" x14ac:dyDescent="0.25">
      <c r="C4658" s="316"/>
    </row>
    <row r="4659" spans="3:3" x14ac:dyDescent="0.25">
      <c r="C4659" s="316"/>
    </row>
    <row r="4660" spans="3:3" x14ac:dyDescent="0.25">
      <c r="C4660" s="316"/>
    </row>
    <row r="4661" spans="3:3" x14ac:dyDescent="0.25">
      <c r="C4661" s="316"/>
    </row>
    <row r="4662" spans="3:3" x14ac:dyDescent="0.25">
      <c r="C4662" s="316"/>
    </row>
    <row r="4663" spans="3:3" x14ac:dyDescent="0.25">
      <c r="C4663" s="316"/>
    </row>
    <row r="4664" spans="3:3" x14ac:dyDescent="0.25">
      <c r="C4664" s="316"/>
    </row>
    <row r="4665" spans="3:3" x14ac:dyDescent="0.25">
      <c r="C4665" s="316"/>
    </row>
    <row r="4666" spans="3:3" x14ac:dyDescent="0.25">
      <c r="C4666" s="316"/>
    </row>
    <row r="4667" spans="3:3" x14ac:dyDescent="0.25">
      <c r="C4667" s="316"/>
    </row>
    <row r="4668" spans="3:3" x14ac:dyDescent="0.25">
      <c r="C4668" s="316"/>
    </row>
    <row r="4669" spans="3:3" x14ac:dyDescent="0.25">
      <c r="C4669" s="316"/>
    </row>
    <row r="4670" spans="3:3" x14ac:dyDescent="0.25">
      <c r="C4670" s="316"/>
    </row>
    <row r="4671" spans="3:3" x14ac:dyDescent="0.25">
      <c r="C4671" s="316"/>
    </row>
    <row r="4672" spans="3:3" x14ac:dyDescent="0.25">
      <c r="C4672" s="316"/>
    </row>
    <row r="4673" spans="3:3" x14ac:dyDescent="0.25">
      <c r="C4673" s="316"/>
    </row>
    <row r="4674" spans="3:3" x14ac:dyDescent="0.25">
      <c r="C4674" s="316"/>
    </row>
    <row r="4675" spans="3:3" x14ac:dyDescent="0.25">
      <c r="C4675" s="316"/>
    </row>
    <row r="4676" spans="3:3" x14ac:dyDescent="0.25">
      <c r="C4676" s="316"/>
    </row>
    <row r="4677" spans="3:3" x14ac:dyDescent="0.25">
      <c r="C4677" s="316"/>
    </row>
    <row r="4678" spans="3:3" x14ac:dyDescent="0.25">
      <c r="C4678" s="316"/>
    </row>
    <row r="4679" spans="3:3" x14ac:dyDescent="0.25">
      <c r="C4679" s="316"/>
    </row>
    <row r="4680" spans="3:3" x14ac:dyDescent="0.25">
      <c r="C4680" s="316"/>
    </row>
    <row r="4681" spans="3:3" x14ac:dyDescent="0.25">
      <c r="C4681" s="316"/>
    </row>
    <row r="4682" spans="3:3" x14ac:dyDescent="0.25">
      <c r="C4682" s="316"/>
    </row>
    <row r="4683" spans="3:3" x14ac:dyDescent="0.25">
      <c r="C4683" s="316"/>
    </row>
    <row r="4684" spans="3:3" x14ac:dyDescent="0.25">
      <c r="C4684" s="316"/>
    </row>
    <row r="4685" spans="3:3" x14ac:dyDescent="0.25">
      <c r="C4685" s="316"/>
    </row>
    <row r="4686" spans="3:3" x14ac:dyDescent="0.25">
      <c r="C4686" s="316"/>
    </row>
    <row r="4687" spans="3:3" x14ac:dyDescent="0.25">
      <c r="C4687" s="316"/>
    </row>
    <row r="4688" spans="3:3" x14ac:dyDescent="0.25">
      <c r="C4688" s="316"/>
    </row>
    <row r="4689" spans="3:3" x14ac:dyDescent="0.25">
      <c r="C4689" s="316"/>
    </row>
    <row r="4690" spans="3:3" x14ac:dyDescent="0.25">
      <c r="C4690" s="316"/>
    </row>
    <row r="4691" spans="3:3" x14ac:dyDescent="0.25">
      <c r="C4691" s="316"/>
    </row>
    <row r="4692" spans="3:3" x14ac:dyDescent="0.25">
      <c r="C4692" s="316"/>
    </row>
    <row r="4693" spans="3:3" x14ac:dyDescent="0.25">
      <c r="C4693" s="316"/>
    </row>
    <row r="4694" spans="3:3" x14ac:dyDescent="0.25">
      <c r="C4694" s="316"/>
    </row>
    <row r="4695" spans="3:3" x14ac:dyDescent="0.25">
      <c r="C4695" s="316"/>
    </row>
    <row r="4696" spans="3:3" x14ac:dyDescent="0.25">
      <c r="C4696" s="316"/>
    </row>
    <row r="4697" spans="3:3" x14ac:dyDescent="0.25">
      <c r="C4697" s="316"/>
    </row>
    <row r="4698" spans="3:3" x14ac:dyDescent="0.25">
      <c r="C4698" s="316"/>
    </row>
    <row r="4699" spans="3:3" x14ac:dyDescent="0.25">
      <c r="C4699" s="316"/>
    </row>
    <row r="4700" spans="3:3" x14ac:dyDescent="0.25">
      <c r="C4700" s="316"/>
    </row>
    <row r="4701" spans="3:3" x14ac:dyDescent="0.25">
      <c r="C4701" s="316"/>
    </row>
    <row r="4702" spans="3:3" x14ac:dyDescent="0.25">
      <c r="C4702" s="316"/>
    </row>
    <row r="4703" spans="3:3" x14ac:dyDescent="0.25">
      <c r="C4703" s="316"/>
    </row>
    <row r="4704" spans="3:3" x14ac:dyDescent="0.25">
      <c r="C4704" s="316"/>
    </row>
    <row r="4705" spans="3:3" x14ac:dyDescent="0.25">
      <c r="C4705" s="316"/>
    </row>
    <row r="4706" spans="3:3" x14ac:dyDescent="0.25">
      <c r="C4706" s="316"/>
    </row>
    <row r="4707" spans="3:3" x14ac:dyDescent="0.25">
      <c r="C4707" s="316"/>
    </row>
    <row r="4708" spans="3:3" x14ac:dyDescent="0.25">
      <c r="C4708" s="316"/>
    </row>
    <row r="4709" spans="3:3" x14ac:dyDescent="0.25">
      <c r="C4709" s="316"/>
    </row>
    <row r="4710" spans="3:3" x14ac:dyDescent="0.25">
      <c r="C4710" s="316"/>
    </row>
    <row r="4711" spans="3:3" x14ac:dyDescent="0.25">
      <c r="C4711" s="316"/>
    </row>
    <row r="4712" spans="3:3" x14ac:dyDescent="0.25">
      <c r="C4712" s="316"/>
    </row>
    <row r="4713" spans="3:3" x14ac:dyDescent="0.25">
      <c r="C4713" s="316"/>
    </row>
    <row r="4714" spans="3:3" x14ac:dyDescent="0.25">
      <c r="C4714" s="316"/>
    </row>
    <row r="4715" spans="3:3" x14ac:dyDescent="0.25">
      <c r="C4715" s="316"/>
    </row>
    <row r="4716" spans="3:3" x14ac:dyDescent="0.25">
      <c r="C4716" s="316"/>
    </row>
    <row r="4717" spans="3:3" x14ac:dyDescent="0.25">
      <c r="C4717" s="316"/>
    </row>
    <row r="4718" spans="3:3" x14ac:dyDescent="0.25">
      <c r="C4718" s="316"/>
    </row>
    <row r="4719" spans="3:3" x14ac:dyDescent="0.25">
      <c r="C4719" s="316"/>
    </row>
    <row r="4720" spans="3:3" x14ac:dyDescent="0.25">
      <c r="C4720" s="316"/>
    </row>
    <row r="4721" spans="3:3" x14ac:dyDescent="0.25">
      <c r="C4721" s="316"/>
    </row>
    <row r="4722" spans="3:3" x14ac:dyDescent="0.25">
      <c r="C4722" s="316"/>
    </row>
    <row r="4723" spans="3:3" x14ac:dyDescent="0.25">
      <c r="C4723" s="316"/>
    </row>
    <row r="4724" spans="3:3" x14ac:dyDescent="0.25">
      <c r="C4724" s="316"/>
    </row>
    <row r="4725" spans="3:3" x14ac:dyDescent="0.25">
      <c r="C4725" s="316"/>
    </row>
    <row r="4726" spans="3:3" x14ac:dyDescent="0.25">
      <c r="C4726" s="316"/>
    </row>
    <row r="4727" spans="3:3" x14ac:dyDescent="0.25">
      <c r="C4727" s="316"/>
    </row>
    <row r="4728" spans="3:3" x14ac:dyDescent="0.25">
      <c r="C4728" s="316"/>
    </row>
    <row r="4729" spans="3:3" x14ac:dyDescent="0.25">
      <c r="C4729" s="316"/>
    </row>
    <row r="4730" spans="3:3" x14ac:dyDescent="0.25">
      <c r="C4730" s="316"/>
    </row>
    <row r="4731" spans="3:3" x14ac:dyDescent="0.25">
      <c r="C4731" s="316"/>
    </row>
    <row r="4732" spans="3:3" x14ac:dyDescent="0.25">
      <c r="C4732" s="316"/>
    </row>
    <row r="4733" spans="3:3" x14ac:dyDescent="0.25">
      <c r="C4733" s="316"/>
    </row>
    <row r="4734" spans="3:3" x14ac:dyDescent="0.25">
      <c r="C4734" s="316"/>
    </row>
    <row r="4735" spans="3:3" x14ac:dyDescent="0.25">
      <c r="C4735" s="316"/>
    </row>
    <row r="4736" spans="3:3" x14ac:dyDescent="0.25">
      <c r="C4736" s="316"/>
    </row>
    <row r="4737" spans="3:3" x14ac:dyDescent="0.25">
      <c r="C4737" s="316"/>
    </row>
    <row r="4738" spans="3:3" x14ac:dyDescent="0.25">
      <c r="C4738" s="316"/>
    </row>
    <row r="4739" spans="3:3" x14ac:dyDescent="0.25">
      <c r="C4739" s="316"/>
    </row>
    <row r="4740" spans="3:3" x14ac:dyDescent="0.25">
      <c r="C4740" s="316"/>
    </row>
    <row r="4741" spans="3:3" x14ac:dyDescent="0.25">
      <c r="C4741" s="316"/>
    </row>
    <row r="4742" spans="3:3" x14ac:dyDescent="0.25">
      <c r="C4742" s="316"/>
    </row>
    <row r="4743" spans="3:3" x14ac:dyDescent="0.25">
      <c r="C4743" s="316"/>
    </row>
    <row r="4744" spans="3:3" x14ac:dyDescent="0.25">
      <c r="C4744" s="316"/>
    </row>
    <row r="4745" spans="3:3" x14ac:dyDescent="0.25">
      <c r="C4745" s="316"/>
    </row>
    <row r="4746" spans="3:3" x14ac:dyDescent="0.25">
      <c r="C4746" s="316"/>
    </row>
    <row r="4747" spans="3:3" x14ac:dyDescent="0.25">
      <c r="C4747" s="316"/>
    </row>
    <row r="4748" spans="3:3" x14ac:dyDescent="0.25">
      <c r="C4748" s="316"/>
    </row>
    <row r="4749" spans="3:3" x14ac:dyDescent="0.25">
      <c r="C4749" s="316"/>
    </row>
    <row r="4750" spans="3:3" x14ac:dyDescent="0.25">
      <c r="C4750" s="316"/>
    </row>
    <row r="4751" spans="3:3" x14ac:dyDescent="0.25">
      <c r="C4751" s="316"/>
    </row>
    <row r="4752" spans="3:3" x14ac:dyDescent="0.25">
      <c r="C4752" s="316"/>
    </row>
    <row r="4753" spans="3:3" x14ac:dyDescent="0.25">
      <c r="C4753" s="316"/>
    </row>
    <row r="4754" spans="3:3" x14ac:dyDescent="0.25">
      <c r="C4754" s="316"/>
    </row>
    <row r="4755" spans="3:3" x14ac:dyDescent="0.25">
      <c r="C4755" s="316"/>
    </row>
    <row r="4756" spans="3:3" x14ac:dyDescent="0.25">
      <c r="C4756" s="316"/>
    </row>
    <row r="4757" spans="3:3" x14ac:dyDescent="0.25">
      <c r="C4757" s="316"/>
    </row>
    <row r="4758" spans="3:3" x14ac:dyDescent="0.25">
      <c r="C4758" s="316"/>
    </row>
    <row r="4759" spans="3:3" x14ac:dyDescent="0.25">
      <c r="C4759" s="316"/>
    </row>
    <row r="4760" spans="3:3" x14ac:dyDescent="0.25">
      <c r="C4760" s="316"/>
    </row>
    <row r="4761" spans="3:3" x14ac:dyDescent="0.25">
      <c r="C4761" s="316"/>
    </row>
    <row r="4762" spans="3:3" x14ac:dyDescent="0.25">
      <c r="C4762" s="316"/>
    </row>
    <row r="4763" spans="3:3" x14ac:dyDescent="0.25">
      <c r="C4763" s="316"/>
    </row>
    <row r="4764" spans="3:3" x14ac:dyDescent="0.25">
      <c r="C4764" s="316"/>
    </row>
    <row r="4765" spans="3:3" x14ac:dyDescent="0.25">
      <c r="C4765" s="316"/>
    </row>
    <row r="4766" spans="3:3" x14ac:dyDescent="0.25">
      <c r="C4766" s="316"/>
    </row>
    <row r="4767" spans="3:3" x14ac:dyDescent="0.25">
      <c r="C4767" s="316"/>
    </row>
    <row r="4768" spans="3:3" x14ac:dyDescent="0.25">
      <c r="C4768" s="316"/>
    </row>
    <row r="4769" spans="3:3" x14ac:dyDescent="0.25">
      <c r="C4769" s="316"/>
    </row>
    <row r="4770" spans="3:3" x14ac:dyDescent="0.25">
      <c r="C4770" s="316"/>
    </row>
    <row r="4771" spans="3:3" x14ac:dyDescent="0.25">
      <c r="C4771" s="316"/>
    </row>
    <row r="4772" spans="3:3" x14ac:dyDescent="0.25">
      <c r="C4772" s="316"/>
    </row>
    <row r="4773" spans="3:3" x14ac:dyDescent="0.25">
      <c r="C4773" s="316"/>
    </row>
    <row r="4774" spans="3:3" x14ac:dyDescent="0.25">
      <c r="C4774" s="316"/>
    </row>
    <row r="4775" spans="3:3" x14ac:dyDescent="0.25">
      <c r="C4775" s="316"/>
    </row>
    <row r="4776" spans="3:3" x14ac:dyDescent="0.25">
      <c r="C4776" s="316"/>
    </row>
    <row r="4777" spans="3:3" x14ac:dyDescent="0.25">
      <c r="C4777" s="316"/>
    </row>
    <row r="4778" spans="3:3" x14ac:dyDescent="0.25">
      <c r="C4778" s="316"/>
    </row>
    <row r="4779" spans="3:3" x14ac:dyDescent="0.25">
      <c r="C4779" s="316"/>
    </row>
    <row r="4780" spans="3:3" x14ac:dyDescent="0.25">
      <c r="C4780" s="316"/>
    </row>
    <row r="4781" spans="3:3" x14ac:dyDescent="0.25">
      <c r="C4781" s="316"/>
    </row>
    <row r="4782" spans="3:3" x14ac:dyDescent="0.25">
      <c r="C4782" s="316"/>
    </row>
    <row r="4783" spans="3:3" x14ac:dyDescent="0.25">
      <c r="C4783" s="316"/>
    </row>
    <row r="4784" spans="3:3" x14ac:dyDescent="0.25">
      <c r="C4784" s="316"/>
    </row>
    <row r="4785" spans="3:3" x14ac:dyDescent="0.25">
      <c r="C4785" s="316"/>
    </row>
    <row r="4786" spans="3:3" x14ac:dyDescent="0.25">
      <c r="C4786" s="316"/>
    </row>
    <row r="4787" spans="3:3" x14ac:dyDescent="0.25">
      <c r="C4787" s="316"/>
    </row>
    <row r="4788" spans="3:3" x14ac:dyDescent="0.25">
      <c r="C4788" s="316"/>
    </row>
    <row r="4789" spans="3:3" x14ac:dyDescent="0.25">
      <c r="C4789" s="316"/>
    </row>
    <row r="4790" spans="3:3" x14ac:dyDescent="0.25">
      <c r="C4790" s="316"/>
    </row>
    <row r="4791" spans="3:3" x14ac:dyDescent="0.25">
      <c r="C4791" s="316"/>
    </row>
    <row r="4792" spans="3:3" x14ac:dyDescent="0.25">
      <c r="C4792" s="316"/>
    </row>
    <row r="4793" spans="3:3" x14ac:dyDescent="0.25">
      <c r="C4793" s="316"/>
    </row>
    <row r="4794" spans="3:3" x14ac:dyDescent="0.25">
      <c r="C4794" s="316"/>
    </row>
    <row r="4795" spans="3:3" x14ac:dyDescent="0.25">
      <c r="C4795" s="316"/>
    </row>
    <row r="4796" spans="3:3" x14ac:dyDescent="0.25">
      <c r="C4796" s="316"/>
    </row>
    <row r="4797" spans="3:3" x14ac:dyDescent="0.25">
      <c r="C4797" s="316"/>
    </row>
    <row r="4798" spans="3:3" x14ac:dyDescent="0.25">
      <c r="C4798" s="316"/>
    </row>
    <row r="4799" spans="3:3" x14ac:dyDescent="0.25">
      <c r="C4799" s="316"/>
    </row>
    <row r="4800" spans="3:3" x14ac:dyDescent="0.25">
      <c r="C4800" s="316"/>
    </row>
    <row r="4801" spans="3:3" x14ac:dyDescent="0.25">
      <c r="C4801" s="316"/>
    </row>
    <row r="4802" spans="3:3" x14ac:dyDescent="0.25">
      <c r="C4802" s="316"/>
    </row>
    <row r="4803" spans="3:3" x14ac:dyDescent="0.25">
      <c r="C4803" s="316"/>
    </row>
    <row r="4804" spans="3:3" x14ac:dyDescent="0.25">
      <c r="C4804" s="316"/>
    </row>
    <row r="4805" spans="3:3" x14ac:dyDescent="0.25">
      <c r="C4805" s="316"/>
    </row>
    <row r="4806" spans="3:3" x14ac:dyDescent="0.25">
      <c r="C4806" s="316"/>
    </row>
    <row r="4807" spans="3:3" x14ac:dyDescent="0.25">
      <c r="C4807" s="316"/>
    </row>
    <row r="4808" spans="3:3" x14ac:dyDescent="0.25">
      <c r="C4808" s="316"/>
    </row>
    <row r="4809" spans="3:3" x14ac:dyDescent="0.25">
      <c r="C4809" s="316"/>
    </row>
    <row r="4810" spans="3:3" x14ac:dyDescent="0.25">
      <c r="C4810" s="316"/>
    </row>
    <row r="4811" spans="3:3" x14ac:dyDescent="0.25">
      <c r="C4811" s="316"/>
    </row>
    <row r="4812" spans="3:3" x14ac:dyDescent="0.25">
      <c r="C4812" s="316"/>
    </row>
    <row r="4813" spans="3:3" x14ac:dyDescent="0.25">
      <c r="C4813" s="316"/>
    </row>
    <row r="4814" spans="3:3" x14ac:dyDescent="0.25">
      <c r="C4814" s="316"/>
    </row>
    <row r="4815" spans="3:3" x14ac:dyDescent="0.25">
      <c r="C4815" s="316"/>
    </row>
    <row r="4816" spans="3:3" x14ac:dyDescent="0.25">
      <c r="C4816" s="316"/>
    </row>
    <row r="4817" spans="3:3" x14ac:dyDescent="0.25">
      <c r="C4817" s="316"/>
    </row>
    <row r="4818" spans="3:3" x14ac:dyDescent="0.25">
      <c r="C4818" s="316"/>
    </row>
    <row r="4819" spans="3:3" x14ac:dyDescent="0.25">
      <c r="C4819" s="316"/>
    </row>
    <row r="4820" spans="3:3" x14ac:dyDescent="0.25">
      <c r="C4820" s="316"/>
    </row>
    <row r="4821" spans="3:3" x14ac:dyDescent="0.25">
      <c r="C4821" s="316"/>
    </row>
    <row r="4822" spans="3:3" x14ac:dyDescent="0.25">
      <c r="C4822" s="316"/>
    </row>
    <row r="4823" spans="3:3" x14ac:dyDescent="0.25">
      <c r="C4823" s="316"/>
    </row>
    <row r="4824" spans="3:3" x14ac:dyDescent="0.25">
      <c r="C4824" s="316"/>
    </row>
    <row r="4825" spans="3:3" x14ac:dyDescent="0.25">
      <c r="C4825" s="316"/>
    </row>
    <row r="4826" spans="3:3" x14ac:dyDescent="0.25">
      <c r="C4826" s="316"/>
    </row>
    <row r="4827" spans="3:3" x14ac:dyDescent="0.25">
      <c r="C4827" s="316"/>
    </row>
    <row r="4828" spans="3:3" x14ac:dyDescent="0.25">
      <c r="C4828" s="316"/>
    </row>
    <row r="4829" spans="3:3" x14ac:dyDescent="0.25">
      <c r="C4829" s="316"/>
    </row>
    <row r="4830" spans="3:3" x14ac:dyDescent="0.25">
      <c r="C4830" s="316"/>
    </row>
    <row r="4831" spans="3:3" x14ac:dyDescent="0.25">
      <c r="C4831" s="316"/>
    </row>
    <row r="4832" spans="3:3" x14ac:dyDescent="0.25">
      <c r="C4832" s="316"/>
    </row>
    <row r="4833" spans="3:3" x14ac:dyDescent="0.25">
      <c r="C4833" s="316"/>
    </row>
    <row r="4834" spans="3:3" x14ac:dyDescent="0.25">
      <c r="C4834" s="316"/>
    </row>
    <row r="4835" spans="3:3" x14ac:dyDescent="0.25">
      <c r="C4835" s="316"/>
    </row>
    <row r="4836" spans="3:3" x14ac:dyDescent="0.25">
      <c r="C4836" s="316"/>
    </row>
    <row r="4837" spans="3:3" x14ac:dyDescent="0.25">
      <c r="C4837" s="316"/>
    </row>
    <row r="4838" spans="3:3" x14ac:dyDescent="0.25">
      <c r="C4838" s="316"/>
    </row>
    <row r="4839" spans="3:3" x14ac:dyDescent="0.25">
      <c r="C4839" s="316"/>
    </row>
    <row r="4840" spans="3:3" x14ac:dyDescent="0.25">
      <c r="C4840" s="316"/>
    </row>
    <row r="4841" spans="3:3" x14ac:dyDescent="0.25">
      <c r="C4841" s="316"/>
    </row>
    <row r="4842" spans="3:3" x14ac:dyDescent="0.25">
      <c r="C4842" s="316"/>
    </row>
    <row r="4843" spans="3:3" x14ac:dyDescent="0.25">
      <c r="C4843" s="316"/>
    </row>
    <row r="4844" spans="3:3" x14ac:dyDescent="0.25">
      <c r="C4844" s="316"/>
    </row>
    <row r="4845" spans="3:3" x14ac:dyDescent="0.25">
      <c r="C4845" s="316"/>
    </row>
    <row r="4846" spans="3:3" x14ac:dyDescent="0.25">
      <c r="C4846" s="316"/>
    </row>
    <row r="4847" spans="3:3" x14ac:dyDescent="0.25">
      <c r="C4847" s="316"/>
    </row>
    <row r="4848" spans="3:3" x14ac:dyDescent="0.25">
      <c r="C4848" s="316"/>
    </row>
    <row r="4849" spans="3:3" x14ac:dyDescent="0.25">
      <c r="C4849" s="316"/>
    </row>
    <row r="4850" spans="3:3" x14ac:dyDescent="0.25">
      <c r="C4850" s="316"/>
    </row>
    <row r="4851" spans="3:3" x14ac:dyDescent="0.25">
      <c r="C4851" s="316"/>
    </row>
    <row r="4852" spans="3:3" x14ac:dyDescent="0.25">
      <c r="C4852" s="316"/>
    </row>
    <row r="4853" spans="3:3" x14ac:dyDescent="0.25">
      <c r="C4853" s="316"/>
    </row>
    <row r="4854" spans="3:3" x14ac:dyDescent="0.25">
      <c r="C4854" s="316"/>
    </row>
    <row r="4855" spans="3:3" x14ac:dyDescent="0.25">
      <c r="C4855" s="316"/>
    </row>
    <row r="4856" spans="3:3" x14ac:dyDescent="0.25">
      <c r="C4856" s="316"/>
    </row>
    <row r="4857" spans="3:3" x14ac:dyDescent="0.25">
      <c r="C4857" s="316"/>
    </row>
    <row r="4858" spans="3:3" x14ac:dyDescent="0.25">
      <c r="C4858" s="316"/>
    </row>
    <row r="4859" spans="3:3" x14ac:dyDescent="0.25">
      <c r="C4859" s="316"/>
    </row>
    <row r="4860" spans="3:3" x14ac:dyDescent="0.25">
      <c r="C4860" s="316"/>
    </row>
    <row r="4861" spans="3:3" x14ac:dyDescent="0.25">
      <c r="C4861" s="316"/>
    </row>
    <row r="4862" spans="3:3" x14ac:dyDescent="0.25">
      <c r="C4862" s="316"/>
    </row>
    <row r="4863" spans="3:3" x14ac:dyDescent="0.25">
      <c r="C4863" s="316"/>
    </row>
    <row r="4864" spans="3:3" x14ac:dyDescent="0.25">
      <c r="C4864" s="316"/>
    </row>
    <row r="4865" spans="3:3" x14ac:dyDescent="0.25">
      <c r="C4865" s="316"/>
    </row>
    <row r="4866" spans="3:3" x14ac:dyDescent="0.25">
      <c r="C4866" s="316"/>
    </row>
    <row r="4867" spans="3:3" x14ac:dyDescent="0.25">
      <c r="C4867" s="316"/>
    </row>
    <row r="4868" spans="3:3" x14ac:dyDescent="0.25">
      <c r="C4868" s="316"/>
    </row>
    <row r="4869" spans="3:3" x14ac:dyDescent="0.25">
      <c r="C4869" s="316"/>
    </row>
    <row r="4870" spans="3:3" x14ac:dyDescent="0.25">
      <c r="C4870" s="316"/>
    </row>
    <row r="4871" spans="3:3" x14ac:dyDescent="0.25">
      <c r="C4871" s="316"/>
    </row>
    <row r="4872" spans="3:3" x14ac:dyDescent="0.25">
      <c r="C4872" s="316"/>
    </row>
    <row r="4873" spans="3:3" x14ac:dyDescent="0.25">
      <c r="C4873" s="316"/>
    </row>
    <row r="4874" spans="3:3" x14ac:dyDescent="0.25">
      <c r="C4874" s="316"/>
    </row>
    <row r="4875" spans="3:3" x14ac:dyDescent="0.25">
      <c r="C4875" s="316"/>
    </row>
    <row r="4876" spans="3:3" x14ac:dyDescent="0.25">
      <c r="C4876" s="316"/>
    </row>
    <row r="4877" spans="3:3" x14ac:dyDescent="0.25">
      <c r="C4877" s="316"/>
    </row>
    <row r="4878" spans="3:3" x14ac:dyDescent="0.25">
      <c r="C4878" s="316"/>
    </row>
    <row r="4879" spans="3:3" x14ac:dyDescent="0.25">
      <c r="C4879" s="316"/>
    </row>
    <row r="4880" spans="3:3" x14ac:dyDescent="0.25">
      <c r="C4880" s="316"/>
    </row>
    <row r="4881" spans="3:3" x14ac:dyDescent="0.25">
      <c r="C4881" s="316"/>
    </row>
    <row r="4882" spans="3:3" x14ac:dyDescent="0.25">
      <c r="C4882" s="316"/>
    </row>
    <row r="4883" spans="3:3" x14ac:dyDescent="0.25">
      <c r="C4883" s="316"/>
    </row>
    <row r="4884" spans="3:3" x14ac:dyDescent="0.25">
      <c r="C4884" s="316"/>
    </row>
    <row r="4885" spans="3:3" x14ac:dyDescent="0.25">
      <c r="C4885" s="316"/>
    </row>
    <row r="4886" spans="3:3" x14ac:dyDescent="0.25">
      <c r="C4886" s="316"/>
    </row>
    <row r="4887" spans="3:3" x14ac:dyDescent="0.25">
      <c r="C4887" s="316"/>
    </row>
    <row r="4888" spans="3:3" x14ac:dyDescent="0.25">
      <c r="C4888" s="316"/>
    </row>
    <row r="4889" spans="3:3" x14ac:dyDescent="0.25">
      <c r="C4889" s="316"/>
    </row>
    <row r="4890" spans="3:3" x14ac:dyDescent="0.25">
      <c r="C4890" s="316"/>
    </row>
    <row r="4891" spans="3:3" x14ac:dyDescent="0.25">
      <c r="C4891" s="316"/>
    </row>
    <row r="4892" spans="3:3" x14ac:dyDescent="0.25">
      <c r="C4892" s="316"/>
    </row>
    <row r="4893" spans="3:3" x14ac:dyDescent="0.25">
      <c r="C4893" s="316"/>
    </row>
    <row r="4894" spans="3:3" x14ac:dyDescent="0.25">
      <c r="C4894" s="316"/>
    </row>
    <row r="4895" spans="3:3" x14ac:dyDescent="0.25">
      <c r="C4895" s="316"/>
    </row>
    <row r="4896" spans="3:3" x14ac:dyDescent="0.25">
      <c r="C4896" s="316"/>
    </row>
    <row r="4897" spans="3:3" x14ac:dyDescent="0.25">
      <c r="C4897" s="316"/>
    </row>
    <row r="4898" spans="3:3" x14ac:dyDescent="0.25">
      <c r="C4898" s="316"/>
    </row>
    <row r="4899" spans="3:3" x14ac:dyDescent="0.25">
      <c r="C4899" s="316"/>
    </row>
    <row r="4900" spans="3:3" x14ac:dyDescent="0.25">
      <c r="C4900" s="316"/>
    </row>
    <row r="4901" spans="3:3" x14ac:dyDescent="0.25">
      <c r="C4901" s="316"/>
    </row>
    <row r="4902" spans="3:3" x14ac:dyDescent="0.25">
      <c r="C4902" s="316"/>
    </row>
    <row r="4903" spans="3:3" x14ac:dyDescent="0.25">
      <c r="C4903" s="316"/>
    </row>
    <row r="4904" spans="3:3" x14ac:dyDescent="0.25">
      <c r="C4904" s="316"/>
    </row>
    <row r="4905" spans="3:3" x14ac:dyDescent="0.25">
      <c r="C4905" s="316"/>
    </row>
    <row r="4906" spans="3:3" x14ac:dyDescent="0.25">
      <c r="C4906" s="316"/>
    </row>
    <row r="4907" spans="3:3" x14ac:dyDescent="0.25">
      <c r="C4907" s="316"/>
    </row>
    <row r="4908" spans="3:3" x14ac:dyDescent="0.25">
      <c r="C4908" s="316"/>
    </row>
    <row r="4909" spans="3:3" x14ac:dyDescent="0.25">
      <c r="C4909" s="316"/>
    </row>
    <row r="4910" spans="3:3" x14ac:dyDescent="0.25">
      <c r="C4910" s="316"/>
    </row>
    <row r="4911" spans="3:3" x14ac:dyDescent="0.25">
      <c r="C4911" s="316"/>
    </row>
    <row r="4912" spans="3:3" x14ac:dyDescent="0.25">
      <c r="C4912" s="316"/>
    </row>
    <row r="4913" spans="3:3" x14ac:dyDescent="0.25">
      <c r="C4913" s="316"/>
    </row>
    <row r="4914" spans="3:3" x14ac:dyDescent="0.25">
      <c r="C4914" s="316"/>
    </row>
    <row r="4915" spans="3:3" x14ac:dyDescent="0.25">
      <c r="C4915" s="316"/>
    </row>
    <row r="4916" spans="3:3" x14ac:dyDescent="0.25">
      <c r="C4916" s="316"/>
    </row>
    <row r="4917" spans="3:3" x14ac:dyDescent="0.25">
      <c r="C4917" s="316"/>
    </row>
    <row r="4918" spans="3:3" x14ac:dyDescent="0.25">
      <c r="C4918" s="316"/>
    </row>
    <row r="4919" spans="3:3" x14ac:dyDescent="0.25">
      <c r="C4919" s="316"/>
    </row>
    <row r="4920" spans="3:3" x14ac:dyDescent="0.25">
      <c r="C4920" s="316"/>
    </row>
    <row r="4921" spans="3:3" x14ac:dyDescent="0.25">
      <c r="C4921" s="316"/>
    </row>
    <row r="4922" spans="3:3" x14ac:dyDescent="0.25">
      <c r="C4922" s="316"/>
    </row>
    <row r="4923" spans="3:3" x14ac:dyDescent="0.25">
      <c r="C4923" s="316"/>
    </row>
    <row r="4924" spans="3:3" x14ac:dyDescent="0.25">
      <c r="C4924" s="316"/>
    </row>
    <row r="4925" spans="3:3" x14ac:dyDescent="0.25">
      <c r="C4925" s="316"/>
    </row>
    <row r="4926" spans="3:3" x14ac:dyDescent="0.25">
      <c r="C4926" s="316"/>
    </row>
    <row r="4927" spans="3:3" x14ac:dyDescent="0.25">
      <c r="C4927" s="316"/>
    </row>
    <row r="4928" spans="3:3" x14ac:dyDescent="0.25">
      <c r="C4928" s="316"/>
    </row>
    <row r="4929" spans="3:3" x14ac:dyDescent="0.25">
      <c r="C4929" s="316"/>
    </row>
    <row r="4930" spans="3:3" x14ac:dyDescent="0.25">
      <c r="C4930" s="316"/>
    </row>
    <row r="4931" spans="3:3" x14ac:dyDescent="0.25">
      <c r="C4931" s="316"/>
    </row>
    <row r="4932" spans="3:3" x14ac:dyDescent="0.25">
      <c r="C4932" s="316"/>
    </row>
    <row r="4933" spans="3:3" x14ac:dyDescent="0.25">
      <c r="C4933" s="316"/>
    </row>
    <row r="4934" spans="3:3" x14ac:dyDescent="0.25">
      <c r="C4934" s="316"/>
    </row>
    <row r="4935" spans="3:3" x14ac:dyDescent="0.25">
      <c r="C4935" s="316"/>
    </row>
    <row r="4936" spans="3:3" x14ac:dyDescent="0.25">
      <c r="C4936" s="316"/>
    </row>
    <row r="4937" spans="3:3" x14ac:dyDescent="0.25">
      <c r="C4937" s="316"/>
    </row>
    <row r="4938" spans="3:3" x14ac:dyDescent="0.25">
      <c r="C4938" s="316"/>
    </row>
    <row r="4939" spans="3:3" x14ac:dyDescent="0.25">
      <c r="C4939" s="316"/>
    </row>
    <row r="4940" spans="3:3" x14ac:dyDescent="0.25">
      <c r="C4940" s="316"/>
    </row>
    <row r="4941" spans="3:3" x14ac:dyDescent="0.25">
      <c r="C4941" s="316"/>
    </row>
    <row r="4942" spans="3:3" x14ac:dyDescent="0.25">
      <c r="C4942" s="316"/>
    </row>
    <row r="4943" spans="3:3" x14ac:dyDescent="0.25">
      <c r="C4943" s="316"/>
    </row>
    <row r="4944" spans="3:3" x14ac:dyDescent="0.25">
      <c r="C4944" s="316"/>
    </row>
    <row r="4945" spans="3:3" x14ac:dyDescent="0.25">
      <c r="C4945" s="316"/>
    </row>
    <row r="4946" spans="3:3" x14ac:dyDescent="0.25">
      <c r="C4946" s="316"/>
    </row>
    <row r="4947" spans="3:3" x14ac:dyDescent="0.25">
      <c r="C4947" s="316"/>
    </row>
    <row r="4948" spans="3:3" x14ac:dyDescent="0.25">
      <c r="C4948" s="316"/>
    </row>
    <row r="4949" spans="3:3" x14ac:dyDescent="0.25">
      <c r="C4949" s="316"/>
    </row>
    <row r="4950" spans="3:3" x14ac:dyDescent="0.25">
      <c r="C4950" s="316"/>
    </row>
    <row r="4951" spans="3:3" x14ac:dyDescent="0.25">
      <c r="C4951" s="316"/>
    </row>
    <row r="4952" spans="3:3" x14ac:dyDescent="0.25">
      <c r="C4952" s="316"/>
    </row>
    <row r="4953" spans="3:3" x14ac:dyDescent="0.25">
      <c r="C4953" s="316"/>
    </row>
    <row r="4954" spans="3:3" x14ac:dyDescent="0.25">
      <c r="C4954" s="316"/>
    </row>
    <row r="4955" spans="3:3" x14ac:dyDescent="0.25">
      <c r="C4955" s="316"/>
    </row>
    <row r="4956" spans="3:3" x14ac:dyDescent="0.25">
      <c r="C4956" s="316"/>
    </row>
    <row r="4957" spans="3:3" x14ac:dyDescent="0.25">
      <c r="C4957" s="316"/>
    </row>
    <row r="4958" spans="3:3" x14ac:dyDescent="0.25">
      <c r="C4958" s="316"/>
    </row>
    <row r="4959" spans="3:3" x14ac:dyDescent="0.25">
      <c r="C4959" s="316"/>
    </row>
    <row r="4960" spans="3:3" x14ac:dyDescent="0.25">
      <c r="C4960" s="316"/>
    </row>
    <row r="4961" spans="3:3" x14ac:dyDescent="0.25">
      <c r="C4961" s="316"/>
    </row>
    <row r="4962" spans="3:3" x14ac:dyDescent="0.25">
      <c r="C4962" s="316"/>
    </row>
    <row r="4963" spans="3:3" x14ac:dyDescent="0.25">
      <c r="C4963" s="316"/>
    </row>
    <row r="4964" spans="3:3" x14ac:dyDescent="0.25">
      <c r="C4964" s="316"/>
    </row>
    <row r="4965" spans="3:3" x14ac:dyDescent="0.25">
      <c r="C4965" s="316"/>
    </row>
    <row r="4966" spans="3:3" x14ac:dyDescent="0.25">
      <c r="C4966" s="316"/>
    </row>
    <row r="4967" spans="3:3" x14ac:dyDescent="0.25">
      <c r="C4967" s="316"/>
    </row>
    <row r="4968" spans="3:3" x14ac:dyDescent="0.25">
      <c r="C4968" s="316"/>
    </row>
    <row r="4969" spans="3:3" x14ac:dyDescent="0.25">
      <c r="C4969" s="316"/>
    </row>
    <row r="4970" spans="3:3" x14ac:dyDescent="0.25">
      <c r="C4970" s="316"/>
    </row>
    <row r="4971" spans="3:3" x14ac:dyDescent="0.25">
      <c r="C4971" s="316"/>
    </row>
    <row r="4972" spans="3:3" x14ac:dyDescent="0.25">
      <c r="C4972" s="316"/>
    </row>
    <row r="4973" spans="3:3" x14ac:dyDescent="0.25">
      <c r="C4973" s="316"/>
    </row>
    <row r="4974" spans="3:3" x14ac:dyDescent="0.25">
      <c r="C4974" s="316"/>
    </row>
    <row r="4975" spans="3:3" x14ac:dyDescent="0.25">
      <c r="C4975" s="316"/>
    </row>
    <row r="4976" spans="3:3" x14ac:dyDescent="0.25">
      <c r="C4976" s="316"/>
    </row>
    <row r="4977" spans="3:3" x14ac:dyDescent="0.25">
      <c r="C4977" s="316"/>
    </row>
    <row r="4978" spans="3:3" x14ac:dyDescent="0.25">
      <c r="C4978" s="316"/>
    </row>
    <row r="4979" spans="3:3" x14ac:dyDescent="0.25">
      <c r="C4979" s="316"/>
    </row>
    <row r="4980" spans="3:3" x14ac:dyDescent="0.25">
      <c r="C4980" s="316"/>
    </row>
    <row r="4981" spans="3:3" x14ac:dyDescent="0.25">
      <c r="C4981" s="316"/>
    </row>
    <row r="4982" spans="3:3" x14ac:dyDescent="0.25">
      <c r="C4982" s="316"/>
    </row>
    <row r="4983" spans="3:3" x14ac:dyDescent="0.25">
      <c r="C4983" s="316"/>
    </row>
    <row r="4984" spans="3:3" x14ac:dyDescent="0.25">
      <c r="C4984" s="316"/>
    </row>
    <row r="4985" spans="3:3" x14ac:dyDescent="0.25">
      <c r="C4985" s="316"/>
    </row>
    <row r="4986" spans="3:3" x14ac:dyDescent="0.25">
      <c r="C4986" s="316"/>
    </row>
    <row r="4987" spans="3:3" x14ac:dyDescent="0.25">
      <c r="C4987" s="316"/>
    </row>
    <row r="4988" spans="3:3" x14ac:dyDescent="0.25">
      <c r="C4988" s="316"/>
    </row>
    <row r="4989" spans="3:3" x14ac:dyDescent="0.25">
      <c r="C4989" s="316"/>
    </row>
    <row r="4990" spans="3:3" x14ac:dyDescent="0.25">
      <c r="C4990" s="316"/>
    </row>
    <row r="4991" spans="3:3" x14ac:dyDescent="0.25">
      <c r="C4991" s="316"/>
    </row>
    <row r="4992" spans="3:3" x14ac:dyDescent="0.25">
      <c r="C4992" s="316"/>
    </row>
    <row r="4993" spans="3:3" x14ac:dyDescent="0.25">
      <c r="C4993" s="316"/>
    </row>
    <row r="4994" spans="3:3" x14ac:dyDescent="0.25">
      <c r="C4994" s="316"/>
    </row>
    <row r="4995" spans="3:3" x14ac:dyDescent="0.25">
      <c r="C4995" s="316"/>
    </row>
    <row r="4996" spans="3:3" x14ac:dyDescent="0.25">
      <c r="C4996" s="316"/>
    </row>
    <row r="4997" spans="3:3" x14ac:dyDescent="0.25">
      <c r="C4997" s="316"/>
    </row>
    <row r="4998" spans="3:3" x14ac:dyDescent="0.25">
      <c r="C4998" s="316"/>
    </row>
    <row r="4999" spans="3:3" x14ac:dyDescent="0.25">
      <c r="C4999" s="316"/>
    </row>
    <row r="5000" spans="3:3" x14ac:dyDescent="0.25">
      <c r="C5000" s="316"/>
    </row>
  </sheetData>
  <mergeCells count="17">
    <mergeCell ref="G1:J1"/>
    <mergeCell ref="G2:J2"/>
    <mergeCell ref="G3:J3"/>
    <mergeCell ref="B9:K9"/>
    <mergeCell ref="B10:B11"/>
    <mergeCell ref="C10:C11"/>
    <mergeCell ref="D10:D11"/>
    <mergeCell ref="E10:E11"/>
    <mergeCell ref="F10:H10"/>
    <mergeCell ref="I10:K10"/>
    <mergeCell ref="B2:C2"/>
    <mergeCell ref="B7:K7"/>
    <mergeCell ref="B8:K8"/>
    <mergeCell ref="A17:H17"/>
    <mergeCell ref="B18:K18"/>
    <mergeCell ref="H20:K20"/>
    <mergeCell ref="H21:K21"/>
  </mergeCells>
  <pageMargins left="0.75" right="0.75" top="0.79" bottom="0.79" header="0.3" footer="0.3"/>
  <pageSetup paperSize="9" scale="95" orientation="landscape" useFirstPageNumber="1" horizontalDpi="65532"/>
  <headerFooter>
    <oddFooter>&amp;CTrang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showZeros="0" topLeftCell="B1" workbookViewId="0">
      <selection sqref="A1:I1"/>
    </sheetView>
  </sheetViews>
  <sheetFormatPr defaultColWidth="9.42578125" defaultRowHeight="15" x14ac:dyDescent="0.25"/>
  <cols>
    <col min="1" max="1" width="8.85546875" hidden="1" customWidth="1"/>
    <col min="2" max="2" width="3.85546875" bestFit="1" customWidth="1"/>
    <col min="3" max="3" width="50.85546875" customWidth="1"/>
    <col min="4" max="4" width="7" bestFit="1" customWidth="1"/>
    <col min="5" max="5" width="17.42578125" bestFit="1" customWidth="1"/>
    <col min="6" max="8" width="12.85546875" customWidth="1"/>
    <col min="9" max="9" width="8.85546875" customWidth="1"/>
  </cols>
  <sheetData>
    <row r="1" spans="1:27" ht="18.75" x14ac:dyDescent="0.3">
      <c r="A1" s="983" t="s">
        <v>555</v>
      </c>
      <c r="B1" s="983"/>
      <c r="C1" s="983"/>
      <c r="D1" s="983"/>
      <c r="E1" s="983"/>
      <c r="F1" s="983"/>
      <c r="G1" s="983"/>
      <c r="H1" s="983"/>
      <c r="I1" s="983"/>
    </row>
    <row r="2" spans="1:27" ht="15.75" x14ac:dyDescent="0.25">
      <c r="A2" s="1031" t="s">
        <v>315</v>
      </c>
      <c r="B2" s="1031"/>
      <c r="C2" s="1031"/>
      <c r="D2" s="1031"/>
      <c r="E2" s="1031"/>
      <c r="F2" s="1031"/>
      <c r="G2" s="1031"/>
      <c r="H2" s="1031"/>
      <c r="I2" s="1031"/>
    </row>
    <row r="3" spans="1:27" x14ac:dyDescent="0.25">
      <c r="A3" s="1125" t="s">
        <v>1115</v>
      </c>
      <c r="B3" s="1125"/>
      <c r="C3" s="1125"/>
      <c r="D3" s="1125"/>
      <c r="E3" s="1125"/>
      <c r="F3" s="1125"/>
      <c r="G3" s="1125"/>
      <c r="H3" s="1125"/>
      <c r="I3" s="1125"/>
    </row>
    <row r="4" spans="1:27" ht="28.5" x14ac:dyDescent="0.25">
      <c r="A4" s="737" t="s">
        <v>1114</v>
      </c>
      <c r="B4" s="225" t="s">
        <v>386</v>
      </c>
      <c r="C4" s="225" t="s">
        <v>1239</v>
      </c>
      <c r="D4" s="225" t="s">
        <v>550</v>
      </c>
      <c r="E4" s="225" t="s">
        <v>1091</v>
      </c>
      <c r="F4" s="225" t="s">
        <v>834</v>
      </c>
      <c r="G4" s="225" t="s">
        <v>909</v>
      </c>
      <c r="H4" s="225" t="s">
        <v>91</v>
      </c>
      <c r="I4" s="225" t="s">
        <v>172</v>
      </c>
      <c r="J4" s="676"/>
      <c r="K4" s="676"/>
      <c r="L4" s="676"/>
      <c r="M4" s="676"/>
      <c r="N4" s="676"/>
      <c r="O4" s="676"/>
      <c r="P4" s="676"/>
      <c r="Q4" s="676"/>
      <c r="R4" s="676"/>
      <c r="S4" s="676"/>
      <c r="T4" s="676"/>
      <c r="U4" s="676"/>
      <c r="V4" s="676"/>
      <c r="W4" s="676"/>
      <c r="X4" s="676"/>
      <c r="Y4" s="676"/>
      <c r="Z4" s="676"/>
      <c r="AA4" s="676"/>
    </row>
    <row r="5" spans="1:27" ht="28.5" x14ac:dyDescent="0.25">
      <c r="A5" s="317" t="s">
        <v>742</v>
      </c>
      <c r="B5" s="253">
        <v>1</v>
      </c>
      <c r="C5" s="321" t="s">
        <v>1214</v>
      </c>
      <c r="D5" s="253" t="s">
        <v>742</v>
      </c>
      <c r="E5" s="253"/>
      <c r="F5" s="123" t="e">
        <f t="shared" ref="F5:H5" si="0">SUM(F6:F6)</f>
        <v>#REF!</v>
      </c>
      <c r="G5" s="123" t="e">
        <f t="shared" si="0"/>
        <v>#REF!</v>
      </c>
      <c r="H5" s="123" t="e">
        <f t="shared" si="0"/>
        <v>#REF!</v>
      </c>
      <c r="I5" s="551"/>
      <c r="J5" s="676"/>
      <c r="K5" s="676"/>
      <c r="L5" s="676"/>
      <c r="M5" s="676"/>
      <c r="N5" s="676"/>
      <c r="O5" s="676"/>
      <c r="P5" s="676"/>
      <c r="Q5" s="676"/>
      <c r="R5" s="676"/>
      <c r="S5" s="676"/>
      <c r="T5" s="676"/>
      <c r="U5" s="676"/>
      <c r="V5" s="676"/>
      <c r="W5" s="676"/>
      <c r="X5" s="676"/>
      <c r="Y5" s="676"/>
      <c r="Z5" s="676"/>
      <c r="AA5" s="676"/>
    </row>
    <row r="6" spans="1:27" x14ac:dyDescent="0.25">
      <c r="A6" s="139" t="s">
        <v>951</v>
      </c>
      <c r="B6" s="32" t="s">
        <v>951</v>
      </c>
      <c r="C6" s="107" t="s">
        <v>873</v>
      </c>
      <c r="D6" s="32" t="s">
        <v>93</v>
      </c>
      <c r="E6" s="32" t="str">
        <f>"Gxd trước thuế x " &amp; 100*I6 &amp;"%"</f>
        <v>Gxd trước thuế x 0%</v>
      </c>
      <c r="F6" s="677" t="e">
        <f>THKPHM!F24*I6</f>
        <v>#REF!</v>
      </c>
      <c r="G6" s="677" t="e">
        <f>F6*10%</f>
        <v>#REF!</v>
      </c>
      <c r="H6" s="677" t="e">
        <f>F6+G6</f>
        <v>#REF!</v>
      </c>
      <c r="I6" s="366">
        <v>0</v>
      </c>
      <c r="J6" s="676"/>
      <c r="K6" s="676"/>
      <c r="L6" s="676"/>
      <c r="M6" s="676"/>
      <c r="N6" s="676"/>
      <c r="O6" s="676"/>
      <c r="P6" s="676"/>
      <c r="Q6" s="676"/>
      <c r="R6" s="676"/>
      <c r="S6" s="676"/>
      <c r="T6" s="676"/>
      <c r="U6" s="676"/>
      <c r="V6" s="676"/>
      <c r="W6" s="676"/>
      <c r="X6" s="676"/>
      <c r="Y6" s="676"/>
      <c r="Z6" s="676"/>
      <c r="AA6" s="676"/>
    </row>
    <row r="7" spans="1:27" ht="28.5" x14ac:dyDescent="0.25">
      <c r="A7" s="30" t="s">
        <v>800</v>
      </c>
      <c r="B7" s="739">
        <v>2</v>
      </c>
      <c r="C7" s="34" t="s">
        <v>274</v>
      </c>
      <c r="D7" s="739" t="s">
        <v>800</v>
      </c>
      <c r="E7" s="739"/>
      <c r="F7" s="639" t="e">
        <f t="shared" ref="F7:H7" si="1">SUM(F8:F8)</f>
        <v>#REF!</v>
      </c>
      <c r="G7" s="639" t="e">
        <f t="shared" si="1"/>
        <v>#REF!</v>
      </c>
      <c r="H7" s="639" t="e">
        <f t="shared" si="1"/>
        <v>#REF!</v>
      </c>
      <c r="I7" s="311"/>
      <c r="J7" s="676"/>
      <c r="K7" s="676"/>
      <c r="L7" s="676"/>
      <c r="M7" s="676"/>
      <c r="N7" s="676"/>
      <c r="O7" s="676"/>
      <c r="P7" s="676"/>
      <c r="Q7" s="676"/>
      <c r="R7" s="676"/>
      <c r="S7" s="676"/>
      <c r="T7" s="676"/>
      <c r="U7" s="676"/>
      <c r="V7" s="676"/>
      <c r="W7" s="676"/>
      <c r="X7" s="676"/>
      <c r="Y7" s="676"/>
      <c r="Z7" s="676"/>
      <c r="AA7" s="676"/>
    </row>
    <row r="8" spans="1:27" x14ac:dyDescent="0.25">
      <c r="A8" s="139" t="s">
        <v>1271</v>
      </c>
      <c r="B8" s="32" t="s">
        <v>1271</v>
      </c>
      <c r="C8" s="107" t="s">
        <v>873</v>
      </c>
      <c r="D8" s="32" t="s">
        <v>93</v>
      </c>
      <c r="E8" s="32" t="str">
        <f>"Gxd trước thuế x " &amp; 100*I8 &amp;"%"</f>
        <v>Gxd trước thuế x 0%</v>
      </c>
      <c r="F8" s="677" t="e">
        <f>THKPHM!F24*I8</f>
        <v>#REF!</v>
      </c>
      <c r="G8" s="677" t="e">
        <f>F8*10%</f>
        <v>#REF!</v>
      </c>
      <c r="H8" s="677" t="e">
        <f>F8+G8</f>
        <v>#REF!</v>
      </c>
      <c r="I8" s="366">
        <v>0</v>
      </c>
      <c r="J8" s="676"/>
      <c r="K8" s="676"/>
      <c r="L8" s="676"/>
      <c r="M8" s="676"/>
      <c r="N8" s="676"/>
      <c r="O8" s="676"/>
      <c r="P8" s="676"/>
      <c r="Q8" s="676"/>
      <c r="R8" s="676"/>
      <c r="S8" s="676"/>
      <c r="T8" s="676"/>
      <c r="U8" s="676"/>
      <c r="V8" s="676"/>
      <c r="W8" s="676"/>
      <c r="X8" s="676"/>
      <c r="Y8" s="676"/>
      <c r="Z8" s="676"/>
      <c r="AA8" s="676"/>
    </row>
    <row r="9" spans="1:27" x14ac:dyDescent="0.25">
      <c r="A9" s="30" t="s">
        <v>1135</v>
      </c>
      <c r="B9" s="739">
        <v>3</v>
      </c>
      <c r="C9" s="34" t="s">
        <v>895</v>
      </c>
      <c r="D9" s="739" t="s">
        <v>1135</v>
      </c>
      <c r="E9" s="739"/>
      <c r="F9" s="639">
        <f t="shared" ref="F9:H9" si="2">SUM(F10:F16)</f>
        <v>0</v>
      </c>
      <c r="G9" s="639">
        <f t="shared" si="2"/>
        <v>0</v>
      </c>
      <c r="H9" s="639">
        <f t="shared" si="2"/>
        <v>0</v>
      </c>
      <c r="I9" s="311"/>
      <c r="J9" s="676"/>
      <c r="K9" s="676"/>
      <c r="L9" s="676"/>
      <c r="M9" s="676"/>
      <c r="N9" s="676"/>
      <c r="O9" s="676"/>
      <c r="P9" s="676"/>
      <c r="Q9" s="676"/>
      <c r="R9" s="676"/>
      <c r="S9" s="676"/>
      <c r="T9" s="676"/>
      <c r="U9" s="676"/>
      <c r="V9" s="676"/>
      <c r="W9" s="676"/>
      <c r="X9" s="676"/>
      <c r="Y9" s="676"/>
      <c r="Z9" s="676"/>
      <c r="AA9" s="676"/>
    </row>
    <row r="10" spans="1:27" x14ac:dyDescent="0.25">
      <c r="A10" s="139"/>
      <c r="B10" s="32" t="s">
        <v>1061</v>
      </c>
      <c r="C10" s="107" t="s">
        <v>211</v>
      </c>
      <c r="D10" s="32"/>
      <c r="E10" s="32"/>
      <c r="F10" s="677">
        <v>0</v>
      </c>
      <c r="G10" s="677">
        <f t="shared" ref="G10:G16" si="3">F10*10%</f>
        <v>0</v>
      </c>
      <c r="H10" s="677">
        <f t="shared" ref="H10:H16" si="4">F10+G10</f>
        <v>0</v>
      </c>
      <c r="I10" s="366"/>
      <c r="J10" s="676"/>
      <c r="K10" s="676"/>
      <c r="L10" s="676"/>
      <c r="M10" s="676"/>
      <c r="N10" s="676"/>
      <c r="O10" s="676"/>
      <c r="P10" s="676"/>
      <c r="Q10" s="676"/>
      <c r="R10" s="676"/>
      <c r="S10" s="676"/>
      <c r="T10" s="676"/>
      <c r="U10" s="676"/>
      <c r="V10" s="676"/>
      <c r="W10" s="676"/>
      <c r="X10" s="676"/>
      <c r="Y10" s="676"/>
      <c r="Z10" s="676"/>
      <c r="AA10" s="676"/>
    </row>
    <row r="11" spans="1:27" x14ac:dyDescent="0.25">
      <c r="A11" s="139"/>
      <c r="B11" s="32" t="s">
        <v>136</v>
      </c>
      <c r="C11" s="107" t="s">
        <v>298</v>
      </c>
      <c r="D11" s="32"/>
      <c r="E11" s="32"/>
      <c r="F11" s="677">
        <v>0</v>
      </c>
      <c r="G11" s="677">
        <f t="shared" si="3"/>
        <v>0</v>
      </c>
      <c r="H11" s="677">
        <f t="shared" si="4"/>
        <v>0</v>
      </c>
      <c r="I11" s="366"/>
      <c r="J11" s="676"/>
      <c r="K11" s="676"/>
      <c r="L11" s="676"/>
      <c r="M11" s="676"/>
      <c r="N11" s="676"/>
      <c r="O11" s="676"/>
      <c r="P11" s="676"/>
      <c r="Q11" s="676"/>
      <c r="R11" s="676"/>
      <c r="S11" s="676"/>
      <c r="T11" s="676"/>
      <c r="U11" s="676"/>
      <c r="V11" s="676"/>
      <c r="W11" s="676"/>
      <c r="X11" s="676"/>
      <c r="Y11" s="676"/>
      <c r="Z11" s="676"/>
      <c r="AA11" s="676"/>
    </row>
    <row r="12" spans="1:27" x14ac:dyDescent="0.25">
      <c r="A12" s="139"/>
      <c r="B12" s="32" t="s">
        <v>502</v>
      </c>
      <c r="C12" s="107" t="s">
        <v>518</v>
      </c>
      <c r="D12" s="32"/>
      <c r="E12" s="32"/>
      <c r="F12" s="677">
        <v>0</v>
      </c>
      <c r="G12" s="677">
        <f t="shared" si="3"/>
        <v>0</v>
      </c>
      <c r="H12" s="677">
        <f t="shared" si="4"/>
        <v>0</v>
      </c>
      <c r="I12" s="366"/>
      <c r="J12" s="676"/>
      <c r="K12" s="676"/>
      <c r="L12" s="676"/>
      <c r="M12" s="676"/>
      <c r="N12" s="676"/>
      <c r="O12" s="676"/>
      <c r="P12" s="676"/>
      <c r="Q12" s="676"/>
      <c r="R12" s="676"/>
      <c r="S12" s="676"/>
      <c r="T12" s="676"/>
      <c r="U12" s="676"/>
      <c r="V12" s="676"/>
      <c r="W12" s="676"/>
      <c r="X12" s="676"/>
      <c r="Y12" s="676"/>
      <c r="Z12" s="676"/>
      <c r="AA12" s="676"/>
    </row>
    <row r="13" spans="1:27" ht="30" x14ac:dyDescent="0.25">
      <c r="A13" s="139"/>
      <c r="B13" s="32" t="s">
        <v>854</v>
      </c>
      <c r="C13" s="107" t="s">
        <v>506</v>
      </c>
      <c r="D13" s="32"/>
      <c r="E13" s="32"/>
      <c r="F13" s="677">
        <v>0</v>
      </c>
      <c r="G13" s="677">
        <f t="shared" si="3"/>
        <v>0</v>
      </c>
      <c r="H13" s="677">
        <f t="shared" si="4"/>
        <v>0</v>
      </c>
      <c r="I13" s="366"/>
      <c r="J13" s="676"/>
      <c r="K13" s="676"/>
      <c r="L13" s="676"/>
      <c r="M13" s="676"/>
      <c r="N13" s="676"/>
      <c r="O13" s="676"/>
      <c r="P13" s="676"/>
      <c r="Q13" s="676"/>
      <c r="R13" s="676"/>
      <c r="S13" s="676"/>
      <c r="T13" s="676"/>
      <c r="U13" s="676"/>
      <c r="V13" s="676"/>
      <c r="W13" s="676"/>
      <c r="X13" s="676"/>
      <c r="Y13" s="676"/>
      <c r="Z13" s="676"/>
      <c r="AA13" s="676"/>
    </row>
    <row r="14" spans="1:27" x14ac:dyDescent="0.25">
      <c r="A14" s="139"/>
      <c r="B14" s="32" t="s">
        <v>704</v>
      </c>
      <c r="C14" s="107" t="s">
        <v>92</v>
      </c>
      <c r="D14" s="32"/>
      <c r="E14" s="32"/>
      <c r="F14" s="677">
        <v>0</v>
      </c>
      <c r="G14" s="677">
        <f t="shared" si="3"/>
        <v>0</v>
      </c>
      <c r="H14" s="677">
        <f t="shared" si="4"/>
        <v>0</v>
      </c>
      <c r="I14" s="366"/>
      <c r="J14" s="676"/>
      <c r="K14" s="676"/>
      <c r="L14" s="676"/>
      <c r="M14" s="676"/>
      <c r="N14" s="676"/>
      <c r="O14" s="676"/>
      <c r="P14" s="676"/>
      <c r="Q14" s="676"/>
      <c r="R14" s="676"/>
      <c r="S14" s="676"/>
      <c r="T14" s="676"/>
      <c r="U14" s="676"/>
      <c r="V14" s="676"/>
      <c r="W14" s="676"/>
      <c r="X14" s="676"/>
      <c r="Y14" s="676"/>
      <c r="Z14" s="676"/>
      <c r="AA14" s="676"/>
    </row>
    <row r="15" spans="1:27" x14ac:dyDescent="0.25">
      <c r="A15" s="139"/>
      <c r="B15" s="32" t="s">
        <v>1076</v>
      </c>
      <c r="C15" s="107" t="s">
        <v>261</v>
      </c>
      <c r="D15" s="32"/>
      <c r="E15" s="32"/>
      <c r="F15" s="677">
        <v>0</v>
      </c>
      <c r="G15" s="677">
        <f t="shared" si="3"/>
        <v>0</v>
      </c>
      <c r="H15" s="677">
        <f t="shared" si="4"/>
        <v>0</v>
      </c>
      <c r="I15" s="366"/>
      <c r="J15" s="676"/>
      <c r="K15" s="676"/>
      <c r="L15" s="676"/>
      <c r="M15" s="676"/>
      <c r="N15" s="676"/>
      <c r="O15" s="676"/>
      <c r="P15" s="676"/>
      <c r="Q15" s="676"/>
      <c r="R15" s="676"/>
      <c r="S15" s="676"/>
      <c r="T15" s="676"/>
      <c r="U15" s="676"/>
      <c r="V15" s="676"/>
      <c r="W15" s="676"/>
      <c r="X15" s="676"/>
      <c r="Y15" s="676"/>
      <c r="Z15" s="676"/>
      <c r="AA15" s="676"/>
    </row>
    <row r="16" spans="1:27" x14ac:dyDescent="0.25">
      <c r="A16" s="139"/>
      <c r="B16" s="32" t="s">
        <v>150</v>
      </c>
      <c r="C16" s="107" t="s">
        <v>694</v>
      </c>
      <c r="D16" s="32"/>
      <c r="E16" s="32"/>
      <c r="F16" s="677">
        <v>0</v>
      </c>
      <c r="G16" s="677">
        <f t="shared" si="3"/>
        <v>0</v>
      </c>
      <c r="H16" s="677">
        <f t="shared" si="4"/>
        <v>0</v>
      </c>
      <c r="I16" s="366"/>
      <c r="J16" s="676"/>
      <c r="K16" s="676"/>
      <c r="L16" s="676"/>
      <c r="M16" s="676"/>
      <c r="N16" s="676"/>
      <c r="O16" s="676"/>
      <c r="P16" s="676"/>
      <c r="Q16" s="676"/>
      <c r="R16" s="676"/>
      <c r="S16" s="676"/>
      <c r="T16" s="676"/>
      <c r="U16" s="676"/>
      <c r="V16" s="676"/>
      <c r="W16" s="676"/>
      <c r="X16" s="676"/>
      <c r="Y16" s="676"/>
      <c r="Z16" s="676"/>
      <c r="AA16" s="676"/>
    </row>
    <row r="17" spans="1:27" x14ac:dyDescent="0.25">
      <c r="A17" s="735" t="s">
        <v>233</v>
      </c>
      <c r="B17" s="670"/>
      <c r="C17" s="738" t="s">
        <v>666</v>
      </c>
      <c r="D17" s="670" t="s">
        <v>102</v>
      </c>
      <c r="E17" s="670"/>
      <c r="F17" s="577" t="e">
        <f t="shared" ref="F17:H17" si="5">F5+F7+F9</f>
        <v>#REF!</v>
      </c>
      <c r="G17" s="577" t="e">
        <f t="shared" si="5"/>
        <v>#REF!</v>
      </c>
      <c r="H17" s="577" t="e">
        <f t="shared" si="5"/>
        <v>#REF!</v>
      </c>
      <c r="I17" s="248"/>
      <c r="J17" s="676"/>
      <c r="K17" s="676"/>
      <c r="L17" s="676"/>
      <c r="M17" s="676"/>
      <c r="N17" s="676"/>
      <c r="O17" s="676"/>
      <c r="P17" s="676"/>
      <c r="Q17" s="676"/>
      <c r="R17" s="676"/>
      <c r="S17" s="676"/>
      <c r="T17" s="676"/>
      <c r="U17" s="676"/>
      <c r="V17" s="676"/>
      <c r="W17" s="676"/>
      <c r="X17" s="676"/>
      <c r="Y17" s="676"/>
      <c r="Z17" s="676"/>
      <c r="AA17" s="676"/>
    </row>
    <row r="18" spans="1:27" x14ac:dyDescent="0.25">
      <c r="A18" s="468"/>
      <c r="B18" s="663"/>
      <c r="C18" s="729"/>
      <c r="D18" s="663"/>
      <c r="E18" s="663"/>
      <c r="F18" s="540"/>
      <c r="G18" s="540"/>
      <c r="H18" s="540"/>
      <c r="I18" s="238"/>
      <c r="J18" s="676"/>
      <c r="K18" s="676"/>
      <c r="L18" s="676"/>
      <c r="M18" s="676"/>
      <c r="N18" s="676"/>
      <c r="O18" s="676"/>
      <c r="P18" s="676"/>
      <c r="Q18" s="676"/>
      <c r="R18" s="676"/>
      <c r="S18" s="676"/>
      <c r="T18" s="676"/>
      <c r="U18" s="676"/>
      <c r="V18" s="676"/>
      <c r="W18" s="676"/>
      <c r="X18" s="676"/>
      <c r="Y18" s="676"/>
      <c r="Z18" s="676"/>
      <c r="AA18" s="676"/>
    </row>
    <row r="19" spans="1:27" x14ac:dyDescent="0.25">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row>
    <row r="20" spans="1:27" x14ac:dyDescent="0.25">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row>
  </sheetData>
  <mergeCells count="3">
    <mergeCell ref="A1:I1"/>
    <mergeCell ref="A2:I2"/>
    <mergeCell ref="A3:I3"/>
  </mergeCells>
  <pageMargins left="0.60000000000000009" right="0.60000000000000009" top="0.75" bottom="0.75" header="0.3" footer="0.3"/>
  <pageSetup scale="95"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4:N35"/>
  <sheetViews>
    <sheetView showZeros="0" workbookViewId="0">
      <selection activeCell="H33" sqref="H33"/>
    </sheetView>
  </sheetViews>
  <sheetFormatPr defaultColWidth="9.42578125" defaultRowHeight="15.75" x14ac:dyDescent="0.25"/>
  <cols>
    <col min="1" max="2" width="9.42578125" style="65"/>
    <col min="3" max="3" width="25" style="65" customWidth="1"/>
    <col min="4" max="16384" width="9.42578125" style="65"/>
  </cols>
  <sheetData>
    <row r="4" spans="1:14" x14ac:dyDescent="0.25">
      <c r="A4" s="440"/>
      <c r="B4" s="440"/>
      <c r="C4" s="440"/>
      <c r="D4" s="440"/>
      <c r="E4" s="440"/>
      <c r="F4" s="440"/>
      <c r="G4" s="440"/>
      <c r="H4" s="440"/>
      <c r="I4" s="440"/>
      <c r="J4" s="440"/>
      <c r="K4" s="440"/>
      <c r="L4" s="440"/>
      <c r="M4" s="440"/>
      <c r="N4" s="440"/>
    </row>
    <row r="5" spans="1:14" x14ac:dyDescent="0.25">
      <c r="A5" s="1126" t="s">
        <v>735</v>
      </c>
      <c r="B5" s="1126"/>
      <c r="C5" s="1126"/>
      <c r="D5" s="440"/>
      <c r="E5" s="1126" t="s">
        <v>459</v>
      </c>
      <c r="F5" s="1126"/>
      <c r="G5" s="1126"/>
      <c r="H5" s="1126"/>
      <c r="I5" s="1126"/>
      <c r="J5" s="1126"/>
      <c r="K5" s="1126"/>
      <c r="L5" s="1126"/>
      <c r="M5" s="1126"/>
      <c r="N5" s="1126"/>
    </row>
    <row r="6" spans="1:14" x14ac:dyDescent="0.25">
      <c r="A6" s="1130" t="s">
        <v>152</v>
      </c>
      <c r="B6" s="1131"/>
      <c r="C6" s="1131"/>
      <c r="D6" s="440"/>
      <c r="E6" s="1126" t="s">
        <v>564</v>
      </c>
      <c r="F6" s="1126"/>
      <c r="G6" s="1126"/>
      <c r="H6" s="1126"/>
      <c r="I6" s="1126"/>
      <c r="J6" s="1126"/>
      <c r="K6" s="1126"/>
      <c r="L6" s="1126"/>
      <c r="M6" s="1126"/>
      <c r="N6" s="1126"/>
    </row>
    <row r="7" spans="1:14" x14ac:dyDescent="0.25">
      <c r="A7" s="1132" t="s">
        <v>1095</v>
      </c>
      <c r="B7" s="1132"/>
      <c r="C7" s="1132"/>
      <c r="D7" s="440"/>
      <c r="E7" s="1132" t="s">
        <v>690</v>
      </c>
      <c r="F7" s="1132"/>
      <c r="G7" s="1132"/>
      <c r="H7" s="1132"/>
      <c r="I7" s="1132"/>
      <c r="J7" s="1132"/>
      <c r="K7" s="1132"/>
      <c r="L7" s="1132"/>
      <c r="M7" s="1132"/>
      <c r="N7" s="1132"/>
    </row>
    <row r="8" spans="1:14" x14ac:dyDescent="0.25">
      <c r="A8" s="440"/>
      <c r="B8" s="440"/>
      <c r="C8" s="440"/>
      <c r="D8" s="440"/>
      <c r="E8" s="440"/>
      <c r="F8" s="440"/>
      <c r="G8" s="440"/>
      <c r="H8" s="440"/>
      <c r="I8" s="440"/>
      <c r="J8" s="440"/>
      <c r="K8" s="440"/>
      <c r="L8" s="440"/>
      <c r="M8" s="440"/>
      <c r="N8" s="440"/>
    </row>
    <row r="9" spans="1:14" x14ac:dyDescent="0.25">
      <c r="A9" s="440"/>
      <c r="B9" s="440"/>
      <c r="C9" s="440"/>
      <c r="D9" s="440"/>
      <c r="E9" s="440"/>
      <c r="F9" s="440"/>
      <c r="G9" s="440"/>
      <c r="H9" s="440"/>
      <c r="I9" s="440"/>
      <c r="J9" s="440"/>
      <c r="K9" s="440"/>
      <c r="L9" s="440"/>
      <c r="M9" s="440"/>
      <c r="N9" s="440"/>
    </row>
    <row r="10" spans="1:14" x14ac:dyDescent="0.25">
      <c r="A10" s="440"/>
      <c r="B10" s="440"/>
      <c r="C10" s="440"/>
      <c r="D10" s="440"/>
      <c r="E10" s="440"/>
      <c r="F10" s="440"/>
      <c r="G10" s="440"/>
      <c r="H10" s="440"/>
      <c r="I10" s="440"/>
      <c r="J10" s="440"/>
      <c r="K10" s="440"/>
      <c r="L10" s="440"/>
      <c r="M10" s="440"/>
      <c r="N10" s="440"/>
    </row>
    <row r="11" spans="1:14" x14ac:dyDescent="0.25">
      <c r="A11" s="440"/>
      <c r="B11" s="440"/>
      <c r="C11" s="440"/>
      <c r="D11" s="440"/>
      <c r="E11" s="440"/>
      <c r="F11" s="440"/>
      <c r="G11" s="440"/>
      <c r="H11" s="440"/>
      <c r="I11" s="440"/>
      <c r="J11" s="440"/>
      <c r="K11" s="440"/>
      <c r="L11" s="440"/>
      <c r="M11" s="440"/>
      <c r="N11" s="440"/>
    </row>
    <row r="12" spans="1:14" x14ac:dyDescent="0.25">
      <c r="A12" s="440"/>
      <c r="B12" s="440"/>
      <c r="C12" s="440"/>
      <c r="D12" s="440"/>
      <c r="E12" s="440"/>
      <c r="F12" s="440"/>
      <c r="G12" s="440"/>
      <c r="H12" s="440"/>
      <c r="I12" s="440"/>
      <c r="J12" s="440"/>
      <c r="K12" s="440"/>
      <c r="L12" s="440"/>
      <c r="M12" s="440"/>
      <c r="N12" s="440"/>
    </row>
    <row r="13" spans="1:14" x14ac:dyDescent="0.25">
      <c r="A13" s="440"/>
      <c r="B13" s="440"/>
      <c r="C13" s="440"/>
      <c r="D13" s="440"/>
      <c r="E13" s="440"/>
      <c r="F13" s="440"/>
      <c r="G13" s="440"/>
      <c r="H13" s="440"/>
      <c r="I13" s="440"/>
      <c r="J13" s="440"/>
      <c r="K13" s="440"/>
      <c r="L13" s="440"/>
      <c r="M13" s="440"/>
      <c r="N13" s="440"/>
    </row>
    <row r="14" spans="1:14" x14ac:dyDescent="0.25">
      <c r="A14" s="440"/>
      <c r="B14" s="440"/>
      <c r="C14" s="440"/>
      <c r="D14" s="440"/>
      <c r="E14" s="440"/>
      <c r="F14" s="440"/>
      <c r="G14" s="440"/>
      <c r="H14" s="440"/>
      <c r="I14" s="440"/>
      <c r="J14" s="440"/>
      <c r="K14" s="440"/>
      <c r="L14" s="440"/>
      <c r="M14" s="440"/>
      <c r="N14" s="440"/>
    </row>
    <row r="15" spans="1:14" x14ac:dyDescent="0.25">
      <c r="A15" s="440"/>
      <c r="B15" s="440"/>
      <c r="C15" s="440"/>
      <c r="D15" s="440"/>
      <c r="E15" s="440"/>
      <c r="F15" s="440"/>
      <c r="G15" s="440"/>
      <c r="H15" s="440"/>
      <c r="I15" s="440"/>
      <c r="J15" s="440"/>
      <c r="K15" s="440"/>
      <c r="L15" s="440"/>
      <c r="M15" s="440"/>
      <c r="N15" s="440"/>
    </row>
    <row r="16" spans="1:14" ht="20.25" x14ac:dyDescent="0.25">
      <c r="A16" s="1127" t="s">
        <v>761</v>
      </c>
      <c r="B16" s="1127"/>
      <c r="C16" s="1127"/>
      <c r="D16" s="1127"/>
      <c r="E16" s="1127"/>
      <c r="F16" s="1127"/>
      <c r="G16" s="1127"/>
      <c r="H16" s="1127"/>
      <c r="I16" s="1127"/>
      <c r="J16" s="1127"/>
      <c r="K16" s="1127"/>
      <c r="L16" s="1127"/>
      <c r="M16" s="1127"/>
      <c r="N16" s="1127"/>
    </row>
    <row r="17" spans="1:14" x14ac:dyDescent="0.25">
      <c r="A17" s="440"/>
      <c r="B17" s="440"/>
      <c r="C17" s="440"/>
      <c r="D17" s="440"/>
      <c r="E17" s="440"/>
      <c r="F17" s="440"/>
      <c r="G17" s="440"/>
      <c r="H17" s="440"/>
      <c r="I17" s="440"/>
      <c r="J17" s="440"/>
      <c r="K17" s="440"/>
      <c r="L17" s="440"/>
      <c r="M17" s="440"/>
      <c r="N17" s="440"/>
    </row>
    <row r="18" spans="1:14" x14ac:dyDescent="0.25">
      <c r="A18" s="1128" t="s">
        <v>733</v>
      </c>
      <c r="B18" s="1128"/>
      <c r="C18" s="1128"/>
      <c r="D18" s="1128"/>
      <c r="E18" s="1128"/>
      <c r="F18" s="1128"/>
      <c r="G18" s="1128"/>
      <c r="H18" s="1128"/>
      <c r="I18" s="1128"/>
      <c r="J18" s="1128"/>
      <c r="K18" s="1128"/>
      <c r="L18" s="1128"/>
      <c r="M18" s="1128"/>
      <c r="N18" s="1128"/>
    </row>
    <row r="19" spans="1:14" x14ac:dyDescent="0.25">
      <c r="A19" s="440"/>
      <c r="B19" s="440"/>
      <c r="C19" s="440"/>
      <c r="D19" s="440"/>
      <c r="E19" s="440"/>
      <c r="F19" s="440"/>
      <c r="G19" s="440"/>
      <c r="H19" s="440"/>
      <c r="I19" s="440"/>
      <c r="J19" s="440"/>
      <c r="K19" s="440"/>
      <c r="L19" s="440"/>
      <c r="M19" s="440"/>
      <c r="N19" s="440"/>
    </row>
    <row r="20" spans="1:14" x14ac:dyDescent="0.25">
      <c r="A20" s="440"/>
      <c r="B20" s="440"/>
      <c r="C20" s="326" t="s">
        <v>578</v>
      </c>
      <c r="D20" s="1129" t="s">
        <v>1217</v>
      </c>
      <c r="E20" s="1129"/>
      <c r="F20" s="1129"/>
      <c r="G20" s="1129"/>
      <c r="H20" s="1129"/>
      <c r="I20" s="1129"/>
      <c r="J20" s="1129"/>
      <c r="K20" s="1129"/>
      <c r="L20" s="1129"/>
      <c r="M20" s="1129"/>
      <c r="N20" s="1129"/>
    </row>
    <row r="21" spans="1:14" x14ac:dyDescent="0.25">
      <c r="A21" s="440"/>
      <c r="B21" s="440"/>
      <c r="C21" s="326" t="s">
        <v>779</v>
      </c>
      <c r="D21" s="1129" t="s">
        <v>873</v>
      </c>
      <c r="E21" s="1129"/>
      <c r="F21" s="1129"/>
      <c r="G21" s="1129"/>
      <c r="H21" s="1129"/>
      <c r="I21" s="1129"/>
      <c r="J21" s="1129"/>
      <c r="K21" s="1129"/>
      <c r="L21" s="1129"/>
      <c r="M21" s="1129"/>
      <c r="N21" s="1129"/>
    </row>
    <row r="22" spans="1:14" x14ac:dyDescent="0.25">
      <c r="A22" s="440"/>
      <c r="B22" s="440"/>
      <c r="C22" s="326" t="s">
        <v>59</v>
      </c>
      <c r="D22" s="1129" t="s">
        <v>420</v>
      </c>
      <c r="E22" s="1129"/>
      <c r="F22" s="1129"/>
      <c r="G22" s="1129"/>
      <c r="H22" s="1129"/>
      <c r="I22" s="1129"/>
      <c r="J22" s="1129"/>
      <c r="K22" s="1129"/>
      <c r="L22" s="1129"/>
      <c r="M22" s="1129"/>
      <c r="N22" s="1129"/>
    </row>
    <row r="23" spans="1:14" x14ac:dyDescent="0.25">
      <c r="A23" s="440"/>
      <c r="B23" s="440"/>
      <c r="C23" s="326" t="s">
        <v>537</v>
      </c>
      <c r="D23" s="1129"/>
      <c r="E23" s="1129"/>
      <c r="F23" s="1129"/>
      <c r="G23" s="1129"/>
      <c r="H23" s="1129"/>
      <c r="I23" s="1129"/>
      <c r="J23" s="1129"/>
      <c r="K23" s="1129"/>
      <c r="L23" s="1129"/>
      <c r="M23" s="1129"/>
      <c r="N23" s="1129"/>
    </row>
    <row r="24" spans="1:14" x14ac:dyDescent="0.25">
      <c r="A24" s="440"/>
      <c r="B24" s="440"/>
      <c r="C24" s="440"/>
      <c r="D24" s="440"/>
      <c r="E24" s="440"/>
      <c r="F24" s="440"/>
      <c r="G24" s="440"/>
      <c r="H24" s="440"/>
      <c r="I24" s="440"/>
      <c r="J24" s="440"/>
      <c r="K24" s="440"/>
      <c r="L24" s="440"/>
      <c r="M24" s="440"/>
      <c r="N24" s="440"/>
    </row>
    <row r="25" spans="1:14" x14ac:dyDescent="0.25">
      <c r="A25" s="440"/>
      <c r="B25" s="440"/>
      <c r="C25" s="440"/>
      <c r="D25" s="440"/>
      <c r="E25" s="440"/>
      <c r="F25" s="440"/>
      <c r="G25" s="440"/>
      <c r="H25" s="440"/>
      <c r="I25" s="440"/>
      <c r="J25" s="440"/>
      <c r="K25" s="440"/>
      <c r="L25" s="440"/>
      <c r="M25" s="440"/>
      <c r="N25" s="440"/>
    </row>
    <row r="26" spans="1:14" x14ac:dyDescent="0.25">
      <c r="A26" s="440"/>
      <c r="B26" s="440"/>
      <c r="C26" s="440"/>
      <c r="D26" s="440"/>
      <c r="E26" s="440"/>
      <c r="F26" s="440"/>
      <c r="G26" s="440"/>
      <c r="H26" s="440"/>
      <c r="I26" s="440"/>
      <c r="J26" s="440"/>
      <c r="K26" s="440"/>
      <c r="L26" s="440"/>
      <c r="M26" s="440"/>
      <c r="N26" s="440"/>
    </row>
    <row r="27" spans="1:14" x14ac:dyDescent="0.25">
      <c r="A27" s="440"/>
      <c r="B27" s="440"/>
      <c r="C27" s="440"/>
      <c r="D27" s="440"/>
      <c r="E27" s="440"/>
      <c r="F27" s="440"/>
      <c r="G27" s="440"/>
      <c r="H27" s="440"/>
      <c r="I27" s="440"/>
      <c r="J27" s="440"/>
      <c r="K27" s="440"/>
      <c r="L27" s="440"/>
      <c r="M27" s="440"/>
      <c r="N27" s="440"/>
    </row>
    <row r="28" spans="1:14" x14ac:dyDescent="0.25">
      <c r="A28" s="440"/>
      <c r="B28" s="440"/>
      <c r="C28" s="440"/>
      <c r="D28" s="440"/>
      <c r="E28" s="440"/>
      <c r="F28" s="440"/>
      <c r="G28" s="440"/>
      <c r="H28" s="440"/>
      <c r="I28" s="440"/>
      <c r="J28" s="440"/>
      <c r="K28" s="440"/>
      <c r="L28" s="440"/>
      <c r="M28" s="440"/>
      <c r="N28" s="440"/>
    </row>
    <row r="29" spans="1:14" x14ac:dyDescent="0.25">
      <c r="A29" s="440"/>
      <c r="B29" s="440"/>
      <c r="C29" s="440"/>
      <c r="D29" s="440"/>
      <c r="E29" s="440"/>
      <c r="F29" s="440"/>
      <c r="G29" s="440"/>
      <c r="H29" s="440"/>
      <c r="I29" s="440"/>
      <c r="J29" s="440"/>
      <c r="K29" s="440"/>
      <c r="L29" s="440"/>
      <c r="M29" s="440"/>
      <c r="N29" s="440"/>
    </row>
    <row r="30" spans="1:14" x14ac:dyDescent="0.25">
      <c r="A30" s="440"/>
      <c r="B30" s="440"/>
      <c r="C30" s="440"/>
      <c r="D30" s="440"/>
      <c r="E30" s="440"/>
      <c r="F30" s="440"/>
      <c r="G30" s="440"/>
      <c r="H30" s="440"/>
      <c r="I30" s="440"/>
      <c r="J30" s="440"/>
      <c r="K30" s="440"/>
      <c r="L30" s="440"/>
      <c r="M30" s="440"/>
      <c r="N30" s="440"/>
    </row>
    <row r="31" spans="1:14" x14ac:dyDescent="0.25">
      <c r="A31" s="440"/>
      <c r="B31" s="440"/>
      <c r="C31" s="440"/>
      <c r="D31" s="440"/>
      <c r="E31" s="440"/>
      <c r="F31" s="440"/>
      <c r="G31" s="440"/>
      <c r="H31" s="440"/>
      <c r="I31" s="440"/>
      <c r="J31" s="440"/>
      <c r="K31" s="440"/>
      <c r="L31" s="440"/>
      <c r="M31" s="440"/>
      <c r="N31" s="440"/>
    </row>
    <row r="32" spans="1:14" x14ac:dyDescent="0.25">
      <c r="A32" s="440"/>
      <c r="B32" s="440"/>
      <c r="C32" s="440"/>
      <c r="D32" s="440"/>
      <c r="E32" s="440"/>
      <c r="F32" s="440"/>
      <c r="G32" s="440"/>
      <c r="H32" s="440"/>
      <c r="I32" s="440"/>
      <c r="J32" s="440"/>
      <c r="K32" s="440"/>
      <c r="L32" s="440"/>
      <c r="M32" s="440"/>
      <c r="N32" s="440"/>
    </row>
    <row r="33" spans="1:14" x14ac:dyDescent="0.25">
      <c r="A33" s="440"/>
      <c r="B33" s="440"/>
      <c r="C33" s="440"/>
      <c r="D33" s="440"/>
      <c r="E33" s="440"/>
      <c r="F33" s="440"/>
      <c r="G33" s="440"/>
      <c r="H33" s="440"/>
      <c r="I33" s="440"/>
      <c r="J33" s="440"/>
      <c r="K33" s="440"/>
      <c r="L33" s="440"/>
      <c r="M33" s="440"/>
      <c r="N33" s="440"/>
    </row>
    <row r="34" spans="1:14" x14ac:dyDescent="0.25">
      <c r="A34" s="440"/>
      <c r="B34" s="440"/>
      <c r="C34" s="440"/>
      <c r="D34" s="440"/>
      <c r="E34" s="440"/>
      <c r="F34" s="440"/>
      <c r="G34" s="440"/>
      <c r="H34" s="440"/>
      <c r="I34" s="440"/>
      <c r="J34" s="440"/>
      <c r="K34" s="440"/>
      <c r="L34" s="440"/>
      <c r="M34" s="440"/>
      <c r="N34" s="440"/>
    </row>
    <row r="35" spans="1:14" x14ac:dyDescent="0.25">
      <c r="A35" s="1126" t="s">
        <v>939</v>
      </c>
      <c r="B35" s="1126"/>
      <c r="C35" s="1126"/>
      <c r="D35" s="1126"/>
      <c r="E35" s="1126"/>
      <c r="F35" s="1126"/>
      <c r="G35" s="1126"/>
      <c r="H35" s="1126"/>
      <c r="I35" s="1126"/>
      <c r="J35" s="1126"/>
      <c r="K35" s="1126"/>
      <c r="L35" s="1126"/>
      <c r="M35" s="1126"/>
      <c r="N35" s="1126"/>
    </row>
  </sheetData>
  <mergeCells count="13">
    <mergeCell ref="A5:C5"/>
    <mergeCell ref="E5:N5"/>
    <mergeCell ref="A6:C6"/>
    <mergeCell ref="E6:N6"/>
    <mergeCell ref="A7:C7"/>
    <mergeCell ref="E7:N7"/>
    <mergeCell ref="A35:N35"/>
    <mergeCell ref="A16:N16"/>
    <mergeCell ref="A18:N18"/>
    <mergeCell ref="D20:N20"/>
    <mergeCell ref="D21:N21"/>
    <mergeCell ref="D22:N22"/>
    <mergeCell ref="D23:N23"/>
  </mergeCells>
  <hyperlinks>
    <hyperlink ref="A6" r:id="rId1"/>
  </hyperlinks>
  <pageMargins left="1.18" right="0.59" top="0.79" bottom="0.79" header="0.3" footer="0.3"/>
  <pageSetup paperSize="9" scale="85"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31"/>
  <sheetViews>
    <sheetView showZeros="0" topLeftCell="A13" workbookViewId="0">
      <selection activeCell="C10" sqref="C10"/>
    </sheetView>
  </sheetViews>
  <sheetFormatPr defaultColWidth="9.42578125" defaultRowHeight="15.75" x14ac:dyDescent="0.25"/>
  <cols>
    <col min="1" max="2" width="9.42578125" style="65"/>
    <col min="3" max="3" width="23.140625" style="65" customWidth="1"/>
    <col min="4" max="4" width="14" style="65" bestFit="1" customWidth="1"/>
    <col min="5" max="16384" width="9.42578125" style="65"/>
  </cols>
  <sheetData>
    <row r="1" spans="1:14" x14ac:dyDescent="0.25">
      <c r="A1" s="440"/>
      <c r="B1" s="440"/>
      <c r="C1" s="440"/>
      <c r="D1" s="440"/>
      <c r="E1" s="440"/>
      <c r="F1" s="440"/>
      <c r="G1" s="440"/>
      <c r="H1" s="440"/>
      <c r="I1" s="440"/>
      <c r="J1" s="440"/>
      <c r="K1" s="440"/>
      <c r="L1" s="440"/>
      <c r="M1" s="440"/>
      <c r="N1" s="440"/>
    </row>
    <row r="2" spans="1:14" x14ac:dyDescent="0.25">
      <c r="A2" s="1126" t="s">
        <v>735</v>
      </c>
      <c r="B2" s="1126"/>
      <c r="C2" s="1126"/>
      <c r="D2" s="440"/>
      <c r="E2" s="1126" t="s">
        <v>459</v>
      </c>
      <c r="F2" s="1126"/>
      <c r="G2" s="1126"/>
      <c r="H2" s="1126"/>
      <c r="I2" s="1126"/>
      <c r="J2" s="1126"/>
      <c r="K2" s="1126"/>
      <c r="L2" s="1126"/>
      <c r="M2" s="1126"/>
      <c r="N2" s="1126"/>
    </row>
    <row r="3" spans="1:14" x14ac:dyDescent="0.25">
      <c r="A3" s="1130" t="s">
        <v>152</v>
      </c>
      <c r="B3" s="1131"/>
      <c r="C3" s="1131"/>
      <c r="D3" s="440"/>
      <c r="E3" s="1126" t="s">
        <v>564</v>
      </c>
      <c r="F3" s="1126"/>
      <c r="G3" s="1126"/>
      <c r="H3" s="1126"/>
      <c r="I3" s="1126"/>
      <c r="J3" s="1126"/>
      <c r="K3" s="1126"/>
      <c r="L3" s="1126"/>
      <c r="M3" s="1126"/>
      <c r="N3" s="1126"/>
    </row>
    <row r="4" spans="1:14" x14ac:dyDescent="0.25">
      <c r="A4" s="1132" t="s">
        <v>1095</v>
      </c>
      <c r="B4" s="1132"/>
      <c r="C4" s="1132"/>
      <c r="D4" s="440"/>
      <c r="E4" s="1132" t="s">
        <v>690</v>
      </c>
      <c r="F4" s="1132"/>
      <c r="G4" s="1132"/>
      <c r="H4" s="1132"/>
      <c r="I4" s="1132"/>
      <c r="J4" s="1132"/>
      <c r="K4" s="1132"/>
      <c r="L4" s="1132"/>
      <c r="M4" s="1132"/>
      <c r="N4" s="1132"/>
    </row>
    <row r="5" spans="1:14" x14ac:dyDescent="0.25">
      <c r="A5" s="1132" t="s">
        <v>733</v>
      </c>
      <c r="B5" s="1132"/>
      <c r="C5" s="1132"/>
      <c r="D5" s="440"/>
      <c r="E5" s="440"/>
      <c r="F5" s="440"/>
      <c r="G5" s="440"/>
      <c r="H5" s="440"/>
      <c r="I5" s="440"/>
      <c r="J5" s="440"/>
      <c r="K5" s="440"/>
      <c r="L5" s="440"/>
      <c r="M5" s="440"/>
      <c r="N5" s="440"/>
    </row>
    <row r="6" spans="1:14" x14ac:dyDescent="0.25">
      <c r="A6" s="440"/>
      <c r="B6" s="440"/>
      <c r="C6" s="440"/>
      <c r="D6" s="440"/>
      <c r="E6" s="440"/>
      <c r="F6" s="440"/>
      <c r="G6" s="440"/>
      <c r="H6" s="440"/>
      <c r="I6" s="440"/>
      <c r="J6" s="440"/>
      <c r="K6" s="440"/>
      <c r="L6" s="440"/>
      <c r="M6" s="440"/>
      <c r="N6" s="440"/>
    </row>
    <row r="7" spans="1:14" x14ac:dyDescent="0.25">
      <c r="A7" s="440"/>
      <c r="B7" s="440"/>
      <c r="C7" s="440"/>
      <c r="D7" s="440"/>
      <c r="E7" s="440"/>
      <c r="F7" s="440"/>
      <c r="G7" s="440"/>
      <c r="H7" s="440"/>
      <c r="I7" s="440"/>
      <c r="J7" s="440"/>
      <c r="K7" s="440"/>
      <c r="L7" s="440"/>
      <c r="M7" s="440"/>
      <c r="N7" s="440"/>
    </row>
    <row r="8" spans="1:14" x14ac:dyDescent="0.25">
      <c r="A8" s="440"/>
      <c r="B8" s="440"/>
      <c r="C8" s="440"/>
      <c r="D8" s="440"/>
      <c r="E8" s="440"/>
      <c r="F8" s="440"/>
      <c r="G8" s="440"/>
      <c r="H8" s="440"/>
      <c r="I8" s="440"/>
      <c r="J8" s="440"/>
      <c r="K8" s="440"/>
      <c r="L8" s="440"/>
      <c r="M8" s="440"/>
      <c r="N8" s="440"/>
    </row>
    <row r="9" spans="1:14" x14ac:dyDescent="0.25">
      <c r="A9" s="440"/>
      <c r="B9" s="440"/>
      <c r="C9" s="440"/>
      <c r="D9" s="440"/>
      <c r="E9" s="440"/>
      <c r="F9" s="440"/>
      <c r="G9" s="440"/>
      <c r="H9" s="440"/>
      <c r="I9" s="440"/>
      <c r="J9" s="440"/>
      <c r="K9" s="440"/>
      <c r="L9" s="440"/>
      <c r="M9" s="440"/>
      <c r="N9" s="440"/>
    </row>
    <row r="10" spans="1:14" x14ac:dyDescent="0.25">
      <c r="A10" s="440"/>
      <c r="B10" s="440"/>
      <c r="C10" s="440"/>
      <c r="D10" s="440"/>
      <c r="E10" s="440"/>
      <c r="F10" s="440"/>
      <c r="G10" s="440"/>
      <c r="H10" s="440"/>
      <c r="I10" s="440"/>
      <c r="J10" s="440"/>
      <c r="K10" s="440"/>
      <c r="L10" s="440"/>
      <c r="M10" s="440"/>
      <c r="N10" s="440"/>
    </row>
    <row r="11" spans="1:14" x14ac:dyDescent="0.25">
      <c r="A11" s="440"/>
      <c r="B11" s="440"/>
      <c r="C11" s="440"/>
      <c r="D11" s="440"/>
      <c r="E11" s="440"/>
      <c r="F11" s="440"/>
      <c r="G11" s="440"/>
      <c r="H11" s="440"/>
      <c r="I11" s="440"/>
      <c r="J11" s="440"/>
      <c r="K11" s="440"/>
      <c r="L11" s="440"/>
      <c r="M11" s="440"/>
      <c r="N11" s="440"/>
    </row>
    <row r="12" spans="1:14" x14ac:dyDescent="0.25">
      <c r="A12" s="440"/>
      <c r="B12" s="440"/>
      <c r="C12" s="440"/>
      <c r="D12" s="440"/>
      <c r="E12" s="440"/>
      <c r="F12" s="440"/>
      <c r="G12" s="440"/>
      <c r="H12" s="440"/>
      <c r="I12" s="440"/>
      <c r="J12" s="440"/>
      <c r="K12" s="440"/>
      <c r="L12" s="440"/>
      <c r="M12" s="440"/>
      <c r="N12" s="440"/>
    </row>
    <row r="13" spans="1:14" ht="20.25" x14ac:dyDescent="0.25">
      <c r="A13" s="1127" t="s">
        <v>761</v>
      </c>
      <c r="B13" s="1127"/>
      <c r="C13" s="1127"/>
      <c r="D13" s="1127"/>
      <c r="E13" s="1127"/>
      <c r="F13" s="1127"/>
      <c r="G13" s="1127"/>
      <c r="H13" s="1127"/>
      <c r="I13" s="1127"/>
      <c r="J13" s="1127"/>
      <c r="K13" s="1127"/>
      <c r="L13" s="1127"/>
      <c r="M13" s="1127"/>
      <c r="N13" s="1127"/>
    </row>
    <row r="14" spans="1:14" x14ac:dyDescent="0.25">
      <c r="A14" s="440"/>
      <c r="B14" s="440"/>
      <c r="C14" s="440"/>
      <c r="D14" s="440"/>
      <c r="E14" s="440"/>
      <c r="F14" s="440"/>
      <c r="G14" s="440"/>
      <c r="H14" s="440"/>
      <c r="I14" s="440"/>
      <c r="J14" s="440"/>
      <c r="K14" s="440"/>
      <c r="L14" s="440"/>
      <c r="M14" s="440"/>
      <c r="N14" s="440"/>
    </row>
    <row r="15" spans="1:14" x14ac:dyDescent="0.25">
      <c r="A15" s="440"/>
      <c r="B15" s="440"/>
      <c r="C15" s="326" t="s">
        <v>578</v>
      </c>
      <c r="D15" s="1129" t="s">
        <v>1217</v>
      </c>
      <c r="E15" s="1129"/>
      <c r="F15" s="1129"/>
      <c r="G15" s="1129"/>
      <c r="H15" s="1129"/>
      <c r="I15" s="1129"/>
      <c r="J15" s="1129"/>
      <c r="K15" s="1129"/>
      <c r="L15" s="1129"/>
      <c r="M15" s="1129"/>
      <c r="N15" s="1129"/>
    </row>
    <row r="16" spans="1:14" x14ac:dyDescent="0.25">
      <c r="A16" s="440"/>
      <c r="B16" s="440"/>
      <c r="C16" s="326" t="s">
        <v>779</v>
      </c>
      <c r="D16" s="1129" t="s">
        <v>873</v>
      </c>
      <c r="E16" s="1129"/>
      <c r="F16" s="1129"/>
      <c r="G16" s="1129"/>
      <c r="H16" s="1129"/>
      <c r="I16" s="1129"/>
      <c r="J16" s="1129"/>
      <c r="K16" s="1129"/>
      <c r="L16" s="1129"/>
      <c r="M16" s="1129"/>
      <c r="N16" s="1129"/>
    </row>
    <row r="17" spans="1:14" x14ac:dyDescent="0.25">
      <c r="A17" s="440"/>
      <c r="B17" s="440"/>
      <c r="C17" s="326" t="s">
        <v>59</v>
      </c>
      <c r="D17" s="1129" t="s">
        <v>420</v>
      </c>
      <c r="E17" s="1129"/>
      <c r="F17" s="1129"/>
      <c r="G17" s="1129"/>
      <c r="H17" s="1129"/>
      <c r="I17" s="1129"/>
      <c r="J17" s="1129"/>
      <c r="K17" s="1129"/>
      <c r="L17" s="1129"/>
      <c r="M17" s="1129"/>
      <c r="N17" s="1129"/>
    </row>
    <row r="18" spans="1:14" x14ac:dyDescent="0.25">
      <c r="A18" s="440"/>
      <c r="B18" s="440"/>
      <c r="C18" s="326" t="s">
        <v>537</v>
      </c>
      <c r="D18" s="1129"/>
      <c r="E18" s="1129"/>
      <c r="F18" s="1129"/>
      <c r="G18" s="1129"/>
      <c r="H18" s="1129"/>
      <c r="I18" s="1129"/>
      <c r="J18" s="1129"/>
      <c r="K18" s="1129"/>
      <c r="L18" s="1129"/>
      <c r="M18" s="1129"/>
      <c r="N18" s="1129"/>
    </row>
    <row r="19" spans="1:14" x14ac:dyDescent="0.25">
      <c r="A19" s="440"/>
      <c r="B19" s="440"/>
      <c r="C19" s="440"/>
      <c r="D19" s="440"/>
      <c r="E19" s="440"/>
      <c r="F19" s="440"/>
      <c r="G19" s="440"/>
      <c r="H19" s="440"/>
      <c r="I19" s="440"/>
      <c r="J19" s="440"/>
      <c r="K19" s="440"/>
      <c r="L19" s="440"/>
      <c r="M19" s="440"/>
      <c r="N19" s="440"/>
    </row>
    <row r="20" spans="1:14" x14ac:dyDescent="0.25">
      <c r="A20" s="440"/>
      <c r="B20" s="440"/>
      <c r="C20" s="618" t="s">
        <v>429</v>
      </c>
      <c r="D20" s="1133">
        <v>1126808000</v>
      </c>
      <c r="E20" s="1133"/>
      <c r="F20" s="385" t="s">
        <v>743</v>
      </c>
      <c r="G20" s="440"/>
      <c r="H20" s="440"/>
      <c r="I20" s="440"/>
      <c r="J20" s="440"/>
      <c r="K20" s="440"/>
      <c r="L20" s="440"/>
      <c r="M20" s="440"/>
      <c r="N20" s="440"/>
    </row>
    <row r="21" spans="1:14" x14ac:dyDescent="0.25">
      <c r="A21" s="440"/>
      <c r="B21" s="440"/>
      <c r="C21" s="1134" t="s">
        <v>188</v>
      </c>
      <c r="D21" s="1134"/>
      <c r="E21" s="1134"/>
      <c r="F21" s="1134"/>
      <c r="G21" s="1134"/>
      <c r="H21" s="1134"/>
      <c r="I21" s="1134"/>
      <c r="J21" s="1134"/>
      <c r="K21" s="1134"/>
      <c r="L21" s="1134"/>
      <c r="M21" s="1134"/>
      <c r="N21" s="440"/>
    </row>
    <row r="22" spans="1:14" x14ac:dyDescent="0.25">
      <c r="A22" s="440"/>
      <c r="B22" s="440"/>
      <c r="C22" s="440"/>
      <c r="D22" s="440"/>
      <c r="E22" s="440"/>
      <c r="F22" s="440"/>
      <c r="G22" s="440"/>
      <c r="H22" s="440"/>
      <c r="I22" s="440"/>
      <c r="J22" s="440"/>
      <c r="K22" s="440"/>
      <c r="L22" s="440"/>
      <c r="M22" s="440"/>
      <c r="N22" s="440"/>
    </row>
    <row r="23" spans="1:14" x14ac:dyDescent="0.25">
      <c r="A23" s="440"/>
      <c r="B23" s="440"/>
      <c r="C23" s="440"/>
      <c r="D23" s="440"/>
      <c r="E23" s="440"/>
      <c r="F23" s="440"/>
      <c r="G23" s="440"/>
      <c r="H23" s="440"/>
      <c r="I23" s="440"/>
      <c r="J23" s="440"/>
      <c r="K23" s="440"/>
      <c r="L23" s="440"/>
      <c r="M23" s="440"/>
      <c r="N23" s="440"/>
    </row>
    <row r="24" spans="1:14" x14ac:dyDescent="0.25">
      <c r="A24" s="440"/>
      <c r="B24" s="440"/>
      <c r="C24" s="440"/>
      <c r="D24" s="440"/>
      <c r="E24" s="440"/>
      <c r="F24" s="1132" t="s">
        <v>15</v>
      </c>
      <c r="G24" s="1132"/>
      <c r="H24" s="1132"/>
      <c r="I24" s="1132"/>
      <c r="J24" s="1132"/>
      <c r="K24" s="1132"/>
      <c r="L24" s="1132"/>
      <c r="M24" s="1132"/>
      <c r="N24" s="440"/>
    </row>
    <row r="25" spans="1:14" x14ac:dyDescent="0.25">
      <c r="A25" s="440"/>
      <c r="B25" s="440"/>
      <c r="C25" s="440"/>
      <c r="D25" s="440"/>
      <c r="E25" s="440"/>
      <c r="F25" s="1126" t="s">
        <v>826</v>
      </c>
      <c r="G25" s="1126"/>
      <c r="H25" s="1126"/>
      <c r="I25" s="1126"/>
      <c r="J25" s="1126"/>
      <c r="K25" s="1126"/>
      <c r="L25" s="1126"/>
      <c r="M25" s="1126"/>
      <c r="N25" s="440"/>
    </row>
    <row r="26" spans="1:14" x14ac:dyDescent="0.25">
      <c r="A26" s="440"/>
      <c r="B26" s="440"/>
      <c r="C26" s="440"/>
      <c r="D26" s="440"/>
      <c r="E26" s="440"/>
      <c r="F26" s="440"/>
      <c r="G26" s="440"/>
      <c r="H26" s="440"/>
      <c r="I26" s="440"/>
      <c r="J26" s="440"/>
      <c r="K26" s="440"/>
      <c r="L26" s="440"/>
      <c r="M26" s="440"/>
      <c r="N26" s="440"/>
    </row>
    <row r="27" spans="1:14" x14ac:dyDescent="0.25">
      <c r="A27" s="440"/>
      <c r="B27" s="440"/>
      <c r="C27" s="440"/>
      <c r="D27" s="440"/>
      <c r="E27" s="440"/>
      <c r="F27" s="440"/>
      <c r="G27" s="440"/>
      <c r="H27" s="440"/>
      <c r="I27" s="440"/>
      <c r="J27" s="440"/>
      <c r="K27" s="440"/>
      <c r="L27" s="440"/>
      <c r="M27" s="440"/>
      <c r="N27" s="440"/>
    </row>
    <row r="28" spans="1:14" x14ac:dyDescent="0.25">
      <c r="A28" s="440"/>
      <c r="B28" s="440"/>
      <c r="C28" s="440"/>
      <c r="D28" s="440"/>
      <c r="E28" s="440"/>
      <c r="F28" s="440"/>
      <c r="G28" s="440"/>
      <c r="H28" s="440"/>
      <c r="I28" s="440"/>
      <c r="J28" s="440"/>
      <c r="K28" s="440"/>
      <c r="L28" s="440"/>
      <c r="M28" s="440"/>
      <c r="N28" s="440"/>
    </row>
    <row r="29" spans="1:14" x14ac:dyDescent="0.25">
      <c r="A29" s="440"/>
      <c r="B29" s="440"/>
      <c r="C29" s="440"/>
      <c r="D29" s="440"/>
      <c r="E29" s="440"/>
      <c r="F29" s="440"/>
      <c r="G29" s="440"/>
      <c r="H29" s="440"/>
      <c r="I29" s="440"/>
      <c r="J29" s="440"/>
      <c r="K29" s="440"/>
      <c r="L29" s="440"/>
      <c r="M29" s="440"/>
      <c r="N29" s="440"/>
    </row>
    <row r="30" spans="1:14" x14ac:dyDescent="0.25">
      <c r="A30" s="440"/>
      <c r="B30" s="440"/>
      <c r="C30" s="440"/>
      <c r="D30" s="440"/>
      <c r="E30" s="440"/>
      <c r="F30" s="440"/>
      <c r="G30" s="440"/>
      <c r="H30" s="440"/>
      <c r="I30" s="440"/>
      <c r="J30" s="440"/>
      <c r="K30" s="440"/>
      <c r="L30" s="440"/>
      <c r="M30" s="440"/>
      <c r="N30" s="440"/>
    </row>
    <row r="31" spans="1:14" x14ac:dyDescent="0.25">
      <c r="A31" s="525"/>
      <c r="B31" s="440"/>
      <c r="C31" s="440"/>
      <c r="D31" s="440"/>
      <c r="E31" s="440"/>
      <c r="F31" s="1132" t="s">
        <v>884</v>
      </c>
      <c r="G31" s="1132"/>
      <c r="H31" s="1132"/>
      <c r="I31" s="1132"/>
      <c r="J31" s="1132"/>
      <c r="K31" s="1132"/>
      <c r="L31" s="1132"/>
      <c r="M31" s="1132"/>
      <c r="N31" s="440"/>
    </row>
  </sheetData>
  <mergeCells count="17">
    <mergeCell ref="D18:N18"/>
    <mergeCell ref="A2:C2"/>
    <mergeCell ref="E2:N2"/>
    <mergeCell ref="A3:C3"/>
    <mergeCell ref="E3:N3"/>
    <mergeCell ref="A4:C4"/>
    <mergeCell ref="E4:N4"/>
    <mergeCell ref="A5:C5"/>
    <mergeCell ref="A13:N13"/>
    <mergeCell ref="D15:N15"/>
    <mergeCell ref="D16:N16"/>
    <mergeCell ref="D17:N17"/>
    <mergeCell ref="D20:E20"/>
    <mergeCell ref="C21:M21"/>
    <mergeCell ref="F24:M24"/>
    <mergeCell ref="F25:M25"/>
    <mergeCell ref="F31:M31"/>
  </mergeCells>
  <hyperlinks>
    <hyperlink ref="A3" r:id="rId1"/>
  </hyperlinks>
  <pageMargins left="1.18" right="0.59" top="0.79" bottom="0.79" header="0.3" footer="0.3"/>
  <pageSetup paperSize="9" scale="85"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O34"/>
  <sheetViews>
    <sheetView showZeros="0" topLeftCell="A4" workbookViewId="0">
      <selection activeCell="A20" sqref="A20:O20"/>
    </sheetView>
  </sheetViews>
  <sheetFormatPr defaultColWidth="9.42578125" defaultRowHeight="15.75" x14ac:dyDescent="0.25"/>
  <cols>
    <col min="1" max="16384" width="9.42578125" style="65"/>
  </cols>
  <sheetData>
    <row r="1" spans="1:15" x14ac:dyDescent="0.25">
      <c r="A1" s="1126" t="s">
        <v>735</v>
      </c>
      <c r="B1" s="1126"/>
      <c r="C1" s="1126"/>
      <c r="D1" s="1126"/>
      <c r="E1" s="1126"/>
      <c r="F1" s="440"/>
      <c r="G1" s="440"/>
      <c r="H1" s="1126" t="s">
        <v>116</v>
      </c>
      <c r="I1" s="1126"/>
      <c r="J1" s="1126"/>
      <c r="K1" s="1126"/>
      <c r="L1" s="1126"/>
      <c r="M1" s="1126"/>
      <c r="N1" s="1126"/>
      <c r="O1" s="1126"/>
    </row>
    <row r="2" spans="1:15" x14ac:dyDescent="0.25">
      <c r="A2" s="440"/>
      <c r="B2" s="440"/>
      <c r="C2" s="440"/>
      <c r="D2" s="440"/>
      <c r="E2" s="440"/>
      <c r="F2" s="440"/>
      <c r="G2" s="440"/>
      <c r="H2" s="1126" t="s">
        <v>397</v>
      </c>
      <c r="I2" s="1126"/>
      <c r="J2" s="1126"/>
      <c r="K2" s="1126"/>
      <c r="L2" s="1126"/>
      <c r="M2" s="1126"/>
      <c r="N2" s="1126"/>
      <c r="O2" s="1126"/>
    </row>
    <row r="3" spans="1:15" x14ac:dyDescent="0.25">
      <c r="A3" s="440"/>
      <c r="B3" s="440"/>
      <c r="C3" s="440"/>
      <c r="D3" s="440"/>
      <c r="E3" s="440"/>
      <c r="F3" s="440"/>
      <c r="G3" s="440"/>
      <c r="H3" s="440"/>
      <c r="I3" s="440"/>
      <c r="J3" s="440"/>
      <c r="K3" s="440"/>
      <c r="L3" s="440"/>
      <c r="M3" s="440"/>
      <c r="N3" s="440"/>
      <c r="O3" s="440"/>
    </row>
    <row r="4" spans="1:15" x14ac:dyDescent="0.25">
      <c r="A4" s="440"/>
      <c r="B4" s="440"/>
      <c r="C4" s="440"/>
      <c r="D4" s="440"/>
      <c r="E4" s="440"/>
      <c r="F4" s="440"/>
      <c r="G4" s="440"/>
      <c r="H4" s="440"/>
      <c r="I4" s="440"/>
      <c r="J4" s="440"/>
      <c r="K4" s="440"/>
      <c r="L4" s="440"/>
      <c r="M4" s="440"/>
      <c r="N4" s="440"/>
      <c r="O4" s="440"/>
    </row>
    <row r="5" spans="1:15" ht="20.25" x14ac:dyDescent="0.25">
      <c r="A5" s="1127" t="s">
        <v>926</v>
      </c>
      <c r="B5" s="1127"/>
      <c r="C5" s="1127"/>
      <c r="D5" s="1127"/>
      <c r="E5" s="1127"/>
      <c r="F5" s="1127"/>
      <c r="G5" s="1127"/>
      <c r="H5" s="1127"/>
      <c r="I5" s="1127"/>
      <c r="J5" s="1127"/>
      <c r="K5" s="1127"/>
      <c r="L5" s="1127"/>
      <c r="M5" s="1127"/>
      <c r="N5" s="1127"/>
      <c r="O5" s="1127"/>
    </row>
    <row r="6" spans="1:15" x14ac:dyDescent="0.25">
      <c r="A6" s="1126" t="s">
        <v>1226</v>
      </c>
      <c r="B6" s="1126"/>
      <c r="C6" s="1126"/>
      <c r="D6" s="1126"/>
      <c r="E6" s="1126"/>
      <c r="F6" s="1126"/>
      <c r="G6" s="1126"/>
      <c r="H6" s="1126"/>
      <c r="I6" s="1126"/>
      <c r="J6" s="1126"/>
      <c r="K6" s="1126"/>
      <c r="L6" s="1126"/>
      <c r="M6" s="1126"/>
      <c r="N6" s="1126"/>
      <c r="O6" s="1126"/>
    </row>
    <row r="7" spans="1:15" ht="21.75" customHeight="1" x14ac:dyDescent="0.25">
      <c r="A7" s="1129" t="s">
        <v>741</v>
      </c>
      <c r="B7" s="1129"/>
      <c r="C7" s="1129"/>
      <c r="D7" s="1129"/>
      <c r="E7" s="1129"/>
      <c r="F7" s="1129"/>
      <c r="G7" s="1129"/>
      <c r="H7" s="1129"/>
      <c r="I7" s="1129"/>
      <c r="J7" s="1129"/>
      <c r="K7" s="1129"/>
      <c r="L7" s="1129"/>
      <c r="M7" s="1129"/>
      <c r="N7" s="1129"/>
      <c r="O7" s="1129"/>
    </row>
    <row r="8" spans="1:15" ht="19.5" customHeight="1" x14ac:dyDescent="0.25">
      <c r="A8" s="1129" t="s">
        <v>626</v>
      </c>
      <c r="B8" s="1129"/>
      <c r="C8" s="1129"/>
      <c r="D8" s="1129"/>
      <c r="E8" s="1129"/>
      <c r="F8" s="1129"/>
      <c r="G8" s="1129"/>
      <c r="H8" s="1129"/>
      <c r="I8" s="1129"/>
      <c r="J8" s="1129"/>
      <c r="K8" s="1129"/>
      <c r="L8" s="1129"/>
      <c r="M8" s="1129"/>
      <c r="N8" s="1129"/>
      <c r="O8" s="1129"/>
    </row>
    <row r="9" spans="1:15" ht="18" customHeight="1" x14ac:dyDescent="0.25">
      <c r="A9" s="1135" t="s">
        <v>1050</v>
      </c>
      <c r="B9" s="1136"/>
      <c r="C9" s="1136"/>
      <c r="D9" s="1136"/>
      <c r="E9" s="1136"/>
      <c r="F9" s="1136"/>
      <c r="G9" s="1136"/>
      <c r="H9" s="1136"/>
      <c r="I9" s="1136"/>
      <c r="J9" s="1136"/>
      <c r="K9" s="1136"/>
      <c r="L9" s="1136"/>
      <c r="M9" s="1136"/>
      <c r="N9" s="1136"/>
      <c r="O9" s="1136"/>
    </row>
    <row r="10" spans="1:15" ht="18" customHeight="1" x14ac:dyDescent="0.25">
      <c r="A10" s="1135" t="s">
        <v>916</v>
      </c>
      <c r="B10" s="1136"/>
      <c r="C10" s="1136"/>
      <c r="D10" s="1136"/>
      <c r="E10" s="1136"/>
      <c r="F10" s="1136"/>
      <c r="G10" s="1136"/>
      <c r="H10" s="1136"/>
      <c r="I10" s="1136"/>
      <c r="J10" s="1136"/>
      <c r="K10" s="1136"/>
      <c r="L10" s="1136"/>
      <c r="M10" s="1136"/>
      <c r="N10" s="1136"/>
      <c r="O10" s="1136"/>
    </row>
    <row r="11" spans="1:15" ht="18" customHeight="1" x14ac:dyDescent="0.25">
      <c r="A11" s="1135" t="s">
        <v>846</v>
      </c>
      <c r="B11" s="1136"/>
      <c r="C11" s="1136"/>
      <c r="D11" s="1136"/>
      <c r="E11" s="1136"/>
      <c r="F11" s="1136"/>
      <c r="G11" s="1136"/>
      <c r="H11" s="1136"/>
      <c r="I11" s="1136"/>
      <c r="J11" s="1136"/>
      <c r="K11" s="1136"/>
      <c r="L11" s="1136"/>
      <c r="M11" s="1136"/>
      <c r="N11" s="1136"/>
      <c r="O11" s="1136"/>
    </row>
    <row r="12" spans="1:15" ht="18" customHeight="1" x14ac:dyDescent="0.25">
      <c r="A12" s="1135" t="s">
        <v>1027</v>
      </c>
      <c r="B12" s="1136"/>
      <c r="C12" s="1136"/>
      <c r="D12" s="1136"/>
      <c r="E12" s="1136"/>
      <c r="F12" s="1136"/>
      <c r="G12" s="1136"/>
      <c r="H12" s="1136"/>
      <c r="I12" s="1136"/>
      <c r="J12" s="1136"/>
      <c r="K12" s="1136"/>
      <c r="L12" s="1136"/>
      <c r="M12" s="1136"/>
      <c r="N12" s="1136"/>
      <c r="O12" s="1136"/>
    </row>
    <row r="13" spans="1:15" ht="18" customHeight="1" x14ac:dyDescent="0.25">
      <c r="A13" s="1135" t="s">
        <v>297</v>
      </c>
      <c r="B13" s="1136"/>
      <c r="C13" s="1136"/>
      <c r="D13" s="1136"/>
      <c r="E13" s="1136"/>
      <c r="F13" s="1136"/>
      <c r="G13" s="1136"/>
      <c r="H13" s="1136"/>
      <c r="I13" s="1136"/>
      <c r="J13" s="1136"/>
      <c r="K13" s="1136"/>
      <c r="L13" s="1136"/>
      <c r="M13" s="1136"/>
      <c r="N13" s="1136"/>
      <c r="O13" s="1136"/>
    </row>
    <row r="14" spans="1:15" ht="18" customHeight="1" x14ac:dyDescent="0.25">
      <c r="A14" s="1135" t="s">
        <v>1020</v>
      </c>
      <c r="B14" s="1136"/>
      <c r="C14" s="1136"/>
      <c r="D14" s="1136"/>
      <c r="E14" s="1136"/>
      <c r="F14" s="1136"/>
      <c r="G14" s="1136"/>
      <c r="H14" s="1136"/>
      <c r="I14" s="1136"/>
      <c r="J14" s="1136"/>
      <c r="K14" s="1136"/>
      <c r="L14" s="1136"/>
      <c r="M14" s="1136"/>
      <c r="N14" s="1136"/>
      <c r="O14" s="1136"/>
    </row>
    <row r="15" spans="1:15" ht="18" customHeight="1" x14ac:dyDescent="0.25">
      <c r="A15" s="1135" t="s">
        <v>1019</v>
      </c>
      <c r="B15" s="1136"/>
      <c r="C15" s="1136"/>
      <c r="D15" s="1136"/>
      <c r="E15" s="1136"/>
      <c r="F15" s="1136"/>
      <c r="G15" s="1136"/>
      <c r="H15" s="1136"/>
      <c r="I15" s="1136"/>
      <c r="J15" s="1136"/>
      <c r="K15" s="1136"/>
      <c r="L15" s="1136"/>
      <c r="M15" s="1136"/>
      <c r="N15" s="1136"/>
      <c r="O15" s="1136"/>
    </row>
    <row r="16" spans="1:15" ht="18" customHeight="1" x14ac:dyDescent="0.25">
      <c r="A16" s="1135" t="s">
        <v>712</v>
      </c>
      <c r="B16" s="1136"/>
      <c r="C16" s="1136"/>
      <c r="D16" s="1136"/>
      <c r="E16" s="1136"/>
      <c r="F16" s="1136"/>
      <c r="G16" s="1136"/>
      <c r="H16" s="1136"/>
      <c r="I16" s="1136"/>
      <c r="J16" s="1136"/>
      <c r="K16" s="1136"/>
      <c r="L16" s="1136"/>
      <c r="M16" s="1136"/>
      <c r="N16" s="1136"/>
      <c r="O16" s="1136"/>
    </row>
    <row r="17" spans="1:15" ht="18" customHeight="1" x14ac:dyDescent="0.25">
      <c r="A17" s="1135" t="s">
        <v>804</v>
      </c>
      <c r="B17" s="1136"/>
      <c r="C17" s="1136"/>
      <c r="D17" s="1136"/>
      <c r="E17" s="1136"/>
      <c r="F17" s="1136"/>
      <c r="G17" s="1136"/>
      <c r="H17" s="1136"/>
      <c r="I17" s="1136"/>
      <c r="J17" s="1136"/>
      <c r="K17" s="1136"/>
      <c r="L17" s="1136"/>
      <c r="M17" s="1136"/>
      <c r="N17" s="1136"/>
      <c r="O17" s="1136"/>
    </row>
    <row r="18" spans="1:15" ht="18" customHeight="1" x14ac:dyDescent="0.25">
      <c r="A18" s="1135" t="s">
        <v>139</v>
      </c>
      <c r="B18" s="1136"/>
      <c r="C18" s="1136"/>
      <c r="D18" s="1136"/>
      <c r="E18" s="1136"/>
      <c r="F18" s="1136"/>
      <c r="G18" s="1136"/>
      <c r="H18" s="1136"/>
      <c r="I18" s="1136"/>
      <c r="J18" s="1136"/>
      <c r="K18" s="1136"/>
      <c r="L18" s="1136"/>
      <c r="M18" s="1136"/>
      <c r="N18" s="1136"/>
      <c r="O18" s="1136"/>
    </row>
    <row r="19" spans="1:15" ht="19.5" customHeight="1" x14ac:dyDescent="0.25">
      <c r="A19" s="1129" t="s">
        <v>1039</v>
      </c>
      <c r="B19" s="1129"/>
      <c r="C19" s="1129"/>
      <c r="D19" s="1129"/>
      <c r="E19" s="1129"/>
      <c r="F19" s="1129"/>
      <c r="G19" s="1129"/>
      <c r="H19" s="1129"/>
      <c r="I19" s="1129"/>
      <c r="J19" s="1129"/>
      <c r="K19" s="1129"/>
      <c r="L19" s="1129"/>
      <c r="M19" s="1129"/>
      <c r="N19" s="1129"/>
      <c r="O19" s="1129"/>
    </row>
    <row r="20" spans="1:15" ht="18" customHeight="1" x14ac:dyDescent="0.25">
      <c r="A20" s="1135" t="s">
        <v>22</v>
      </c>
      <c r="B20" s="1136"/>
      <c r="C20" s="1136"/>
      <c r="D20" s="1136"/>
      <c r="E20" s="1136"/>
      <c r="F20" s="1136"/>
      <c r="G20" s="1136"/>
      <c r="H20" s="1136"/>
      <c r="I20" s="1136"/>
      <c r="J20" s="1136"/>
      <c r="K20" s="1136"/>
      <c r="L20" s="1136"/>
      <c r="M20" s="1136"/>
      <c r="N20" s="1136"/>
      <c r="O20" s="1136"/>
    </row>
    <row r="21" spans="1:15" ht="18" customHeight="1" x14ac:dyDescent="0.25">
      <c r="A21" s="1135" t="s">
        <v>620</v>
      </c>
      <c r="B21" s="1136"/>
      <c r="C21" s="1136"/>
      <c r="D21" s="1136"/>
      <c r="E21" s="1136"/>
      <c r="F21" s="1136"/>
      <c r="G21" s="1136"/>
      <c r="H21" s="1136"/>
      <c r="I21" s="1136"/>
      <c r="J21" s="1136"/>
      <c r="K21" s="1136"/>
      <c r="L21" s="1136"/>
      <c r="M21" s="1136"/>
      <c r="N21" s="1136"/>
      <c r="O21" s="1136"/>
    </row>
    <row r="22" spans="1:15" ht="18" customHeight="1" x14ac:dyDescent="0.25">
      <c r="A22" s="1136" t="s">
        <v>509</v>
      </c>
      <c r="B22" s="1136"/>
      <c r="C22" s="1136"/>
      <c r="D22" s="1136"/>
      <c r="E22" s="1136"/>
      <c r="F22" s="1136"/>
      <c r="G22" s="1136"/>
      <c r="H22" s="1136"/>
      <c r="I22" s="1136"/>
      <c r="J22" s="1136"/>
      <c r="K22" s="1136"/>
      <c r="L22" s="1136"/>
      <c r="M22" s="1136"/>
      <c r="N22" s="1136"/>
      <c r="O22" s="1136"/>
    </row>
    <row r="23" spans="1:15" ht="19.5" customHeight="1" x14ac:dyDescent="0.25">
      <c r="A23" s="1129" t="s">
        <v>468</v>
      </c>
      <c r="B23" s="1129"/>
      <c r="C23" s="1129"/>
      <c r="D23" s="1129"/>
      <c r="E23" s="1129"/>
      <c r="F23" s="1129"/>
      <c r="G23" s="1129"/>
      <c r="H23" s="1129"/>
      <c r="I23" s="1129"/>
      <c r="J23" s="1129"/>
      <c r="K23" s="1129"/>
      <c r="L23" s="1129"/>
      <c r="M23" s="1129"/>
      <c r="N23" s="1129"/>
      <c r="O23" s="1129"/>
    </row>
    <row r="24" spans="1:15" ht="18" customHeight="1" x14ac:dyDescent="0.25">
      <c r="A24" s="1135" t="s">
        <v>1075</v>
      </c>
      <c r="B24" s="1136"/>
      <c r="C24" s="1136"/>
      <c r="D24" s="1136"/>
      <c r="E24" s="1136"/>
      <c r="F24" s="1136"/>
      <c r="G24" s="1136"/>
      <c r="H24" s="1136"/>
      <c r="I24" s="1136"/>
      <c r="J24" s="1136"/>
      <c r="K24" s="1136"/>
      <c r="L24" s="1136"/>
      <c r="M24" s="1136"/>
      <c r="N24" s="1136"/>
      <c r="O24" s="1136"/>
    </row>
    <row r="25" spans="1:15" ht="18" customHeight="1" x14ac:dyDescent="0.25">
      <c r="A25" s="1135" t="s">
        <v>1128</v>
      </c>
      <c r="B25" s="1136"/>
      <c r="C25" s="1136"/>
      <c r="D25" s="1136"/>
      <c r="E25" s="1136"/>
      <c r="F25" s="1136"/>
      <c r="G25" s="1136"/>
      <c r="H25" s="1136"/>
      <c r="I25" s="1136"/>
      <c r="J25" s="1136"/>
      <c r="K25" s="1136"/>
      <c r="L25" s="1136"/>
      <c r="M25" s="1136"/>
      <c r="N25" s="1136"/>
      <c r="O25" s="1136"/>
    </row>
    <row r="26" spans="1:15" ht="18" customHeight="1" x14ac:dyDescent="0.25">
      <c r="A26" s="1135" t="s">
        <v>69</v>
      </c>
      <c r="B26" s="1136"/>
      <c r="C26" s="1136"/>
      <c r="D26" s="1136"/>
      <c r="E26" s="1136"/>
      <c r="F26" s="1136"/>
      <c r="G26" s="1136"/>
      <c r="H26" s="1136"/>
      <c r="I26" s="1136"/>
      <c r="J26" s="1136"/>
      <c r="K26" s="1136"/>
      <c r="L26" s="1136"/>
      <c r="M26" s="1136"/>
      <c r="N26" s="1136"/>
      <c r="O26" s="1136"/>
    </row>
    <row r="27" spans="1:15" x14ac:dyDescent="0.25">
      <c r="A27" s="1136" t="s">
        <v>509</v>
      </c>
      <c r="B27" s="1136"/>
      <c r="C27" s="1136"/>
      <c r="D27" s="1136"/>
      <c r="E27" s="1136"/>
      <c r="F27" s="1136"/>
      <c r="G27" s="1136"/>
      <c r="H27" s="1136"/>
      <c r="I27" s="1136"/>
      <c r="J27" s="1136"/>
      <c r="K27" s="1136"/>
      <c r="L27" s="1136"/>
      <c r="M27" s="1136"/>
      <c r="N27" s="1136"/>
      <c r="O27" s="1136"/>
    </row>
    <row r="28" spans="1:15" x14ac:dyDescent="0.25">
      <c r="A28" s="1136"/>
      <c r="B28" s="1136"/>
      <c r="C28" s="1136"/>
      <c r="D28" s="1136"/>
      <c r="E28" s="1136"/>
      <c r="F28" s="1136"/>
      <c r="G28" s="1136"/>
      <c r="H28" s="1136"/>
      <c r="I28" s="1136"/>
      <c r="J28" s="1136"/>
      <c r="K28" s="1136"/>
      <c r="L28" s="1136"/>
      <c r="M28" s="1136"/>
      <c r="N28" s="1136"/>
      <c r="O28" s="1136"/>
    </row>
    <row r="29" spans="1:15" x14ac:dyDescent="0.25">
      <c r="A29" s="1136"/>
      <c r="B29" s="1136"/>
      <c r="C29" s="1136"/>
      <c r="D29" s="1136"/>
      <c r="E29" s="1136"/>
      <c r="F29" s="1136"/>
      <c r="G29" s="1136"/>
      <c r="H29" s="1136"/>
      <c r="I29" s="1136"/>
      <c r="J29" s="1136"/>
      <c r="K29" s="1136"/>
      <c r="L29" s="1136"/>
      <c r="M29" s="1136"/>
      <c r="N29" s="1136"/>
      <c r="O29" s="1136"/>
    </row>
    <row r="30" spans="1:15" x14ac:dyDescent="0.25">
      <c r="A30" s="1129" t="s">
        <v>125</v>
      </c>
      <c r="B30" s="1129"/>
      <c r="C30" s="1129"/>
      <c r="D30" s="1137"/>
      <c r="E30" s="1137"/>
      <c r="F30" s="1137"/>
      <c r="G30" s="326" t="s">
        <v>743</v>
      </c>
      <c r="H30" s="440"/>
      <c r="I30" s="440"/>
      <c r="J30" s="440"/>
      <c r="K30" s="440"/>
      <c r="L30" s="440"/>
      <c r="M30" s="440"/>
      <c r="N30" s="440"/>
      <c r="O30" s="440"/>
    </row>
    <row r="31" spans="1:15" x14ac:dyDescent="0.25">
      <c r="A31" s="1134"/>
      <c r="B31" s="1134"/>
      <c r="C31" s="1134"/>
      <c r="D31" s="1134"/>
      <c r="E31" s="1134"/>
      <c r="F31" s="1134"/>
      <c r="G31" s="1134"/>
      <c r="H31" s="1134"/>
      <c r="I31" s="1134"/>
      <c r="J31" s="1134"/>
      <c r="K31" s="1134"/>
      <c r="L31" s="1134"/>
      <c r="M31" s="1134"/>
      <c r="N31" s="1134"/>
      <c r="O31" s="1134"/>
    </row>
    <row r="32" spans="1:15" x14ac:dyDescent="0.25">
      <c r="A32" s="440"/>
      <c r="B32" s="440"/>
      <c r="C32" s="440"/>
      <c r="D32" s="440"/>
      <c r="E32" s="440"/>
      <c r="F32" s="440"/>
      <c r="G32" s="440"/>
      <c r="H32" s="440"/>
      <c r="I32" s="440"/>
      <c r="J32" s="440"/>
      <c r="K32" s="440"/>
      <c r="L32" s="440"/>
      <c r="M32" s="440"/>
      <c r="N32" s="440"/>
      <c r="O32" s="440"/>
    </row>
    <row r="33" spans="1:15" x14ac:dyDescent="0.25">
      <c r="A33" s="440"/>
      <c r="B33" s="440"/>
      <c r="C33" s="440"/>
      <c r="D33" s="440"/>
      <c r="E33" s="440"/>
      <c r="F33" s="440"/>
      <c r="G33" s="440"/>
      <c r="H33" s="440"/>
      <c r="I33" s="440"/>
      <c r="J33" s="1132" t="s">
        <v>15</v>
      </c>
      <c r="K33" s="1132"/>
      <c r="L33" s="1132"/>
      <c r="M33" s="1132"/>
      <c r="N33" s="1132"/>
      <c r="O33" s="1132"/>
    </row>
    <row r="34" spans="1:15" x14ac:dyDescent="0.25">
      <c r="A34" s="1126" t="s">
        <v>105</v>
      </c>
      <c r="B34" s="1126"/>
      <c r="C34" s="1126"/>
      <c r="D34" s="1126"/>
      <c r="E34" s="440"/>
      <c r="F34" s="440"/>
      <c r="G34" s="440"/>
      <c r="H34" s="440"/>
      <c r="I34" s="440"/>
      <c r="J34" s="1126" t="s">
        <v>589</v>
      </c>
      <c r="K34" s="1126"/>
      <c r="L34" s="1126"/>
      <c r="M34" s="1126"/>
      <c r="N34" s="1126"/>
      <c r="O34" s="1126"/>
    </row>
  </sheetData>
  <mergeCells count="34">
    <mergeCell ref="A13:O13"/>
    <mergeCell ref="A1:E1"/>
    <mergeCell ref="H1:O1"/>
    <mergeCell ref="H2:O2"/>
    <mergeCell ref="A5:O5"/>
    <mergeCell ref="A6:O6"/>
    <mergeCell ref="A7:O7"/>
    <mergeCell ref="A8:O8"/>
    <mergeCell ref="A10:O10"/>
    <mergeCell ref="A12:O12"/>
    <mergeCell ref="A9:O9"/>
    <mergeCell ref="A11:O11"/>
    <mergeCell ref="A25:O25"/>
    <mergeCell ref="A14:O14"/>
    <mergeCell ref="A15:O15"/>
    <mergeCell ref="A16:O16"/>
    <mergeCell ref="A17:O17"/>
    <mergeCell ref="A18:O18"/>
    <mergeCell ref="A19:O19"/>
    <mergeCell ref="A20:O20"/>
    <mergeCell ref="A21:O21"/>
    <mergeCell ref="A22:O22"/>
    <mergeCell ref="A23:O23"/>
    <mergeCell ref="A24:O24"/>
    <mergeCell ref="A26:O26"/>
    <mergeCell ref="A31:O31"/>
    <mergeCell ref="J33:O33"/>
    <mergeCell ref="A27:O27"/>
    <mergeCell ref="A34:D34"/>
    <mergeCell ref="J34:O34"/>
    <mergeCell ref="A28:O28"/>
    <mergeCell ref="A29:O29"/>
    <mergeCell ref="A30:C30"/>
    <mergeCell ref="D30:F30"/>
  </mergeCells>
  <pageMargins left="1.18" right="0.59" top="0.79" bottom="0.79" header="0.3" footer="0.3"/>
  <pageSetup paperSize="9" scale="85"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AA94"/>
  <sheetViews>
    <sheetView showZeros="0" workbookViewId="0">
      <selection activeCell="C36" sqref="C36"/>
    </sheetView>
  </sheetViews>
  <sheetFormatPr defaultColWidth="9.140625" defaultRowHeight="15" x14ac:dyDescent="0.25"/>
  <cols>
    <col min="1" max="1" width="7.28515625" style="751" customWidth="1"/>
    <col min="2" max="2" width="5.85546875" style="358" customWidth="1"/>
    <col min="3" max="3" width="13.42578125" style="109" customWidth="1"/>
    <col min="4" max="4" width="39.5703125" style="751" customWidth="1"/>
    <col min="5" max="5" width="66.5703125" style="751" customWidth="1"/>
    <col min="6" max="6" width="25.140625" style="751" customWidth="1"/>
    <col min="7" max="7" width="9.140625" style="751" customWidth="1"/>
    <col min="8" max="16384" width="9.140625" style="751"/>
  </cols>
  <sheetData>
    <row r="1" spans="1:27" x14ac:dyDescent="0.25">
      <c r="B1" s="1138" t="s">
        <v>985</v>
      </c>
      <c r="C1" s="1138"/>
      <c r="D1" s="1139"/>
      <c r="E1" s="340"/>
    </row>
    <row r="2" spans="1:27" ht="18.75" x14ac:dyDescent="0.3">
      <c r="B2" s="184"/>
      <c r="C2" s="394"/>
      <c r="D2" s="184"/>
      <c r="E2" s="184"/>
      <c r="F2" s="184"/>
    </row>
    <row r="3" spans="1:27" x14ac:dyDescent="0.25">
      <c r="A3" s="751" t="s">
        <v>612</v>
      </c>
      <c r="B3" s="1140" t="s">
        <v>9</v>
      </c>
      <c r="C3" s="1140"/>
      <c r="D3" s="1140"/>
      <c r="E3" s="1140"/>
      <c r="F3" s="1140"/>
    </row>
    <row r="4" spans="1:27" ht="17.25" customHeight="1" x14ac:dyDescent="0.25">
      <c r="B4" s="349" t="s">
        <v>386</v>
      </c>
      <c r="C4" s="120" t="s">
        <v>550</v>
      </c>
      <c r="D4" s="349" t="s">
        <v>497</v>
      </c>
      <c r="E4" s="349" t="s">
        <v>480</v>
      </c>
      <c r="F4" s="349" t="s">
        <v>1118</v>
      </c>
      <c r="G4" s="49"/>
      <c r="H4" s="49"/>
      <c r="I4" s="49"/>
      <c r="J4" s="49"/>
      <c r="K4" s="49"/>
      <c r="L4" s="49"/>
      <c r="M4" s="49"/>
      <c r="N4" s="49"/>
      <c r="O4" s="49"/>
      <c r="P4" s="49"/>
      <c r="Q4" s="49"/>
      <c r="R4" s="49"/>
      <c r="S4" s="49"/>
      <c r="T4" s="49"/>
      <c r="U4" s="49"/>
      <c r="V4" s="49"/>
      <c r="W4" s="49"/>
      <c r="X4" s="49"/>
      <c r="Y4" s="49"/>
      <c r="Z4" s="49"/>
      <c r="AA4" s="49"/>
    </row>
    <row r="5" spans="1:27" x14ac:dyDescent="0.25">
      <c r="B5" s="164">
        <v>1</v>
      </c>
      <c r="C5" s="692"/>
      <c r="D5" s="566" t="s">
        <v>647</v>
      </c>
      <c r="E5" s="566" t="s">
        <v>1217</v>
      </c>
      <c r="F5" s="25"/>
      <c r="G5" s="49"/>
      <c r="H5" s="49"/>
      <c r="I5" s="49"/>
      <c r="J5" s="49"/>
      <c r="K5" s="49"/>
      <c r="L5" s="49"/>
      <c r="M5" s="49"/>
      <c r="N5" s="49"/>
      <c r="O5" s="49"/>
      <c r="P5" s="49"/>
      <c r="Q5" s="49"/>
      <c r="R5" s="49"/>
      <c r="S5" s="49"/>
      <c r="T5" s="49"/>
      <c r="U5" s="49"/>
      <c r="V5" s="49"/>
      <c r="W5" s="49"/>
      <c r="X5" s="49"/>
      <c r="Y5" s="49"/>
      <c r="Z5" s="49"/>
      <c r="AA5" s="49"/>
    </row>
    <row r="6" spans="1:27" x14ac:dyDescent="0.25">
      <c r="B6" s="542">
        <f t="shared" ref="B6:B29" si="0">B5+1</f>
        <v>2</v>
      </c>
      <c r="C6" s="343"/>
      <c r="D6" s="416" t="s">
        <v>323</v>
      </c>
      <c r="E6" s="721" t="s">
        <v>420</v>
      </c>
      <c r="F6" s="416"/>
      <c r="G6" s="49"/>
      <c r="H6" s="49"/>
      <c r="I6" s="49"/>
      <c r="J6" s="49"/>
      <c r="K6" s="49"/>
      <c r="L6" s="49"/>
      <c r="M6" s="49"/>
      <c r="N6" s="49"/>
      <c r="O6" s="49"/>
      <c r="P6" s="49"/>
      <c r="Q6" s="49"/>
      <c r="R6" s="49"/>
      <c r="S6" s="49"/>
      <c r="T6" s="49"/>
      <c r="U6" s="49"/>
      <c r="V6" s="49"/>
      <c r="W6" s="49"/>
      <c r="X6" s="49"/>
      <c r="Y6" s="49"/>
      <c r="Z6" s="49"/>
      <c r="AA6" s="49"/>
    </row>
    <row r="7" spans="1:27" x14ac:dyDescent="0.25">
      <c r="B7" s="542">
        <f t="shared" si="0"/>
        <v>3</v>
      </c>
      <c r="C7" s="343"/>
      <c r="D7" s="416" t="s">
        <v>86</v>
      </c>
      <c r="E7" s="721" t="s">
        <v>98</v>
      </c>
      <c r="F7" s="416"/>
      <c r="G7" s="49"/>
      <c r="H7" s="49"/>
      <c r="I7" s="49"/>
      <c r="J7" s="49"/>
      <c r="K7" s="49"/>
      <c r="L7" s="49"/>
      <c r="M7" s="49"/>
      <c r="N7" s="49"/>
      <c r="O7" s="49"/>
      <c r="P7" s="49"/>
      <c r="Q7" s="49"/>
      <c r="R7" s="49"/>
      <c r="S7" s="49"/>
      <c r="T7" s="49"/>
      <c r="U7" s="49"/>
      <c r="V7" s="49"/>
      <c r="W7" s="49"/>
      <c r="X7" s="49"/>
      <c r="Y7" s="49"/>
      <c r="Z7" s="49"/>
      <c r="AA7" s="49"/>
    </row>
    <row r="8" spans="1:27" x14ac:dyDescent="0.25">
      <c r="B8" s="542">
        <f t="shared" si="0"/>
        <v>4</v>
      </c>
      <c r="C8" s="343"/>
      <c r="D8" s="416" t="s">
        <v>1029</v>
      </c>
      <c r="E8" s="721" t="s">
        <v>98</v>
      </c>
      <c r="F8" s="416"/>
      <c r="G8" s="49"/>
      <c r="H8" s="49"/>
      <c r="I8" s="49"/>
      <c r="J8" s="49"/>
      <c r="K8" s="49"/>
      <c r="L8" s="49"/>
      <c r="M8" s="49"/>
      <c r="N8" s="49"/>
      <c r="O8" s="49"/>
      <c r="P8" s="49"/>
      <c r="Q8" s="49"/>
      <c r="R8" s="49"/>
      <c r="S8" s="49"/>
      <c r="T8" s="49"/>
      <c r="U8" s="49"/>
      <c r="V8" s="49"/>
      <c r="W8" s="49"/>
      <c r="X8" s="49"/>
      <c r="Y8" s="49"/>
      <c r="Z8" s="49"/>
      <c r="AA8" s="49"/>
    </row>
    <row r="9" spans="1:27" x14ac:dyDescent="0.25">
      <c r="B9" s="542">
        <f t="shared" si="0"/>
        <v>5</v>
      </c>
      <c r="C9" s="343"/>
      <c r="D9" s="416" t="s">
        <v>130</v>
      </c>
      <c r="E9" s="416" t="s">
        <v>571</v>
      </c>
      <c r="F9" s="416"/>
      <c r="G9" s="49"/>
      <c r="H9" s="49"/>
      <c r="I9" s="49"/>
      <c r="J9" s="49"/>
      <c r="K9" s="49"/>
      <c r="L9" s="49"/>
      <c r="M9" s="49"/>
      <c r="N9" s="49"/>
      <c r="O9" s="49"/>
      <c r="P9" s="49"/>
      <c r="Q9" s="49"/>
      <c r="R9" s="49"/>
      <c r="S9" s="49"/>
      <c r="T9" s="49"/>
      <c r="U9" s="49"/>
      <c r="V9" s="49"/>
      <c r="W9" s="49"/>
      <c r="X9" s="49"/>
      <c r="Y9" s="49"/>
      <c r="Z9" s="49"/>
      <c r="AA9" s="49"/>
    </row>
    <row r="10" spans="1:27" x14ac:dyDescent="0.25">
      <c r="B10" s="542">
        <f t="shared" si="0"/>
        <v>6</v>
      </c>
      <c r="C10" s="343"/>
      <c r="D10" s="416" t="s">
        <v>430</v>
      </c>
      <c r="E10" s="416" t="s">
        <v>1073</v>
      </c>
      <c r="F10" s="416"/>
      <c r="G10" s="49"/>
      <c r="H10" s="49"/>
      <c r="I10" s="49"/>
      <c r="J10" s="49"/>
      <c r="K10" s="49"/>
      <c r="L10" s="49"/>
      <c r="M10" s="49"/>
      <c r="N10" s="49"/>
      <c r="O10" s="49"/>
      <c r="P10" s="49"/>
      <c r="Q10" s="49"/>
      <c r="R10" s="49"/>
      <c r="S10" s="49"/>
      <c r="T10" s="49"/>
      <c r="U10" s="49"/>
      <c r="V10" s="49"/>
      <c r="W10" s="49"/>
      <c r="X10" s="49"/>
      <c r="Y10" s="49"/>
      <c r="Z10" s="49"/>
      <c r="AA10" s="49"/>
    </row>
    <row r="11" spans="1:27" x14ac:dyDescent="0.25">
      <c r="B11" s="542">
        <f t="shared" si="0"/>
        <v>7</v>
      </c>
      <c r="C11" s="343"/>
      <c r="D11" s="416" t="s">
        <v>79</v>
      </c>
      <c r="E11" s="416" t="s">
        <v>96</v>
      </c>
      <c r="F11" s="416"/>
      <c r="G11" s="49"/>
      <c r="H11" s="49"/>
      <c r="I11" s="49"/>
      <c r="J11" s="49"/>
      <c r="K11" s="49"/>
      <c r="L11" s="49"/>
      <c r="M11" s="49"/>
      <c r="N11" s="49"/>
      <c r="O11" s="49"/>
      <c r="P11" s="49"/>
      <c r="Q11" s="49"/>
      <c r="R11" s="49"/>
      <c r="S11" s="49"/>
      <c r="T11" s="49"/>
      <c r="U11" s="49"/>
      <c r="V11" s="49"/>
      <c r="W11" s="49"/>
      <c r="X11" s="49"/>
      <c r="Y11" s="49"/>
      <c r="Z11" s="49"/>
      <c r="AA11" s="49"/>
    </row>
    <row r="12" spans="1:27" x14ac:dyDescent="0.25">
      <c r="B12" s="542">
        <f t="shared" si="0"/>
        <v>8</v>
      </c>
      <c r="C12" s="343"/>
      <c r="D12" s="416" t="s">
        <v>986</v>
      </c>
      <c r="E12" s="416"/>
      <c r="F12" s="416"/>
      <c r="G12" s="49"/>
      <c r="H12" s="49"/>
      <c r="I12" s="49"/>
      <c r="J12" s="49"/>
      <c r="K12" s="49"/>
      <c r="L12" s="49"/>
      <c r="M12" s="49"/>
      <c r="N12" s="49"/>
      <c r="O12" s="49"/>
      <c r="P12" s="49"/>
      <c r="Q12" s="49"/>
      <c r="R12" s="49"/>
      <c r="S12" s="49"/>
      <c r="T12" s="49"/>
      <c r="U12" s="49"/>
      <c r="V12" s="49"/>
      <c r="W12" s="49"/>
      <c r="X12" s="49"/>
      <c r="Y12" s="49"/>
      <c r="Z12" s="49"/>
      <c r="AA12" s="49"/>
    </row>
    <row r="13" spans="1:27" x14ac:dyDescent="0.25">
      <c r="B13" s="542">
        <f t="shared" si="0"/>
        <v>9</v>
      </c>
      <c r="C13" s="343"/>
      <c r="D13" s="416"/>
      <c r="E13" s="416"/>
      <c r="F13" s="416"/>
      <c r="G13" s="49"/>
      <c r="H13" s="49"/>
      <c r="I13" s="49"/>
      <c r="J13" s="49"/>
      <c r="K13" s="49"/>
      <c r="L13" s="49"/>
      <c r="M13" s="49"/>
      <c r="N13" s="49"/>
      <c r="O13" s="49"/>
      <c r="P13" s="49"/>
      <c r="Q13" s="49"/>
      <c r="R13" s="49"/>
      <c r="S13" s="49"/>
      <c r="T13" s="49"/>
      <c r="U13" s="49"/>
      <c r="V13" s="49"/>
      <c r="W13" s="49"/>
      <c r="X13" s="49"/>
      <c r="Y13" s="49"/>
      <c r="Z13" s="49"/>
      <c r="AA13" s="49"/>
    </row>
    <row r="14" spans="1:27" x14ac:dyDescent="0.25">
      <c r="B14" s="542">
        <f t="shared" si="0"/>
        <v>10</v>
      </c>
      <c r="C14" s="343"/>
      <c r="D14" s="416"/>
      <c r="E14" s="416"/>
      <c r="F14" s="416"/>
      <c r="G14" s="49"/>
      <c r="H14" s="49"/>
      <c r="I14" s="49"/>
      <c r="J14" s="49"/>
      <c r="K14" s="49"/>
      <c r="L14" s="49"/>
      <c r="M14" s="49"/>
      <c r="N14" s="49"/>
      <c r="O14" s="49"/>
      <c r="P14" s="49"/>
      <c r="Q14" s="49"/>
      <c r="R14" s="49"/>
      <c r="S14" s="49"/>
      <c r="T14" s="49"/>
      <c r="U14" s="49"/>
      <c r="V14" s="49"/>
      <c r="W14" s="49"/>
      <c r="X14" s="49"/>
      <c r="Y14" s="49"/>
      <c r="Z14" s="49"/>
      <c r="AA14" s="49"/>
    </row>
    <row r="15" spans="1:27" x14ac:dyDescent="0.25">
      <c r="B15" s="542">
        <f t="shared" si="0"/>
        <v>11</v>
      </c>
      <c r="C15" s="343"/>
      <c r="D15" s="416"/>
      <c r="E15" s="416"/>
      <c r="F15" s="416"/>
      <c r="G15" s="49"/>
      <c r="H15" s="49"/>
      <c r="I15" s="49"/>
      <c r="J15" s="49"/>
      <c r="K15" s="49"/>
      <c r="L15" s="49"/>
      <c r="M15" s="49"/>
      <c r="N15" s="49"/>
      <c r="O15" s="49"/>
      <c r="P15" s="49"/>
      <c r="Q15" s="49"/>
      <c r="R15" s="49"/>
      <c r="S15" s="49"/>
      <c r="T15" s="49"/>
      <c r="U15" s="49"/>
      <c r="V15" s="49"/>
      <c r="W15" s="49"/>
      <c r="X15" s="49"/>
      <c r="Y15" s="49"/>
      <c r="Z15" s="49"/>
      <c r="AA15" s="49"/>
    </row>
    <row r="16" spans="1:27" x14ac:dyDescent="0.25">
      <c r="B16" s="542">
        <f t="shared" si="0"/>
        <v>12</v>
      </c>
      <c r="C16" s="343"/>
      <c r="D16" s="416" t="s">
        <v>334</v>
      </c>
      <c r="E16" s="416" t="s">
        <v>1086</v>
      </c>
      <c r="F16" s="416"/>
      <c r="G16" s="49"/>
      <c r="H16" s="49"/>
      <c r="I16" s="49"/>
      <c r="J16" s="49"/>
      <c r="K16" s="49"/>
      <c r="L16" s="49"/>
      <c r="M16" s="49"/>
      <c r="N16" s="49"/>
      <c r="O16" s="49"/>
      <c r="P16" s="49"/>
      <c r="Q16" s="49"/>
      <c r="R16" s="49"/>
      <c r="S16" s="49"/>
      <c r="T16" s="49"/>
      <c r="U16" s="49"/>
      <c r="V16" s="49"/>
      <c r="W16" s="49"/>
      <c r="X16" s="49"/>
      <c r="Y16" s="49"/>
      <c r="Z16" s="49"/>
      <c r="AA16" s="49"/>
    </row>
    <row r="17" spans="1:27" x14ac:dyDescent="0.25">
      <c r="B17" s="542">
        <f t="shared" si="0"/>
        <v>13</v>
      </c>
      <c r="C17" s="343"/>
      <c r="D17" s="416" t="s">
        <v>579</v>
      </c>
      <c r="E17" s="753">
        <v>45209.702719907407</v>
      </c>
      <c r="F17" s="416"/>
      <c r="G17" s="49"/>
      <c r="H17" s="49"/>
      <c r="I17" s="49"/>
      <c r="J17" s="49"/>
      <c r="K17" s="49"/>
      <c r="L17" s="49"/>
      <c r="M17" s="49"/>
      <c r="N17" s="49"/>
      <c r="O17" s="49"/>
      <c r="P17" s="49"/>
      <c r="Q17" s="49"/>
      <c r="R17" s="49"/>
      <c r="S17" s="49"/>
      <c r="T17" s="49"/>
      <c r="U17" s="49"/>
      <c r="V17" s="49"/>
      <c r="W17" s="49"/>
      <c r="X17" s="49"/>
      <c r="Y17" s="49"/>
      <c r="Z17" s="49"/>
      <c r="AA17" s="49"/>
    </row>
    <row r="18" spans="1:27" x14ac:dyDescent="0.25">
      <c r="B18" s="542">
        <f t="shared" si="0"/>
        <v>14</v>
      </c>
      <c r="C18" s="343"/>
      <c r="D18" s="416" t="s">
        <v>942</v>
      </c>
      <c r="E18" s="416" t="s">
        <v>681</v>
      </c>
      <c r="F18" s="416"/>
      <c r="G18" s="49"/>
      <c r="H18" s="49"/>
      <c r="I18" s="49"/>
      <c r="J18" s="49"/>
      <c r="K18" s="49"/>
      <c r="L18" s="49"/>
      <c r="M18" s="49"/>
      <c r="N18" s="49"/>
      <c r="O18" s="49"/>
      <c r="P18" s="49"/>
      <c r="Q18" s="49"/>
      <c r="R18" s="49"/>
      <c r="S18" s="49"/>
      <c r="T18" s="49"/>
      <c r="U18" s="49"/>
      <c r="V18" s="49"/>
      <c r="W18" s="49"/>
      <c r="X18" s="49"/>
      <c r="Y18" s="49"/>
      <c r="Z18" s="49"/>
      <c r="AA18" s="49"/>
    </row>
    <row r="19" spans="1:27" x14ac:dyDescent="0.25">
      <c r="B19" s="542">
        <f t="shared" si="0"/>
        <v>15</v>
      </c>
      <c r="C19" s="343"/>
      <c r="D19" s="416" t="s">
        <v>822</v>
      </c>
      <c r="E19" s="416" t="s">
        <v>1037</v>
      </c>
      <c r="F19" s="416"/>
      <c r="G19" s="49"/>
      <c r="H19" s="49"/>
      <c r="I19" s="49"/>
      <c r="J19" s="49"/>
      <c r="K19" s="49"/>
      <c r="L19" s="49"/>
      <c r="M19" s="49"/>
      <c r="N19" s="49"/>
      <c r="O19" s="49"/>
      <c r="P19" s="49"/>
      <c r="Q19" s="49"/>
      <c r="R19" s="49"/>
      <c r="S19" s="49"/>
      <c r="T19" s="49"/>
      <c r="U19" s="49"/>
      <c r="V19" s="49"/>
      <c r="W19" s="49"/>
      <c r="X19" s="49"/>
      <c r="Y19" s="49"/>
      <c r="Z19" s="49"/>
      <c r="AA19" s="49"/>
    </row>
    <row r="20" spans="1:27" x14ac:dyDescent="0.25">
      <c r="B20" s="542">
        <f t="shared" si="0"/>
        <v>16</v>
      </c>
      <c r="C20" s="343"/>
      <c r="D20" s="416"/>
      <c r="E20" s="416"/>
      <c r="F20" s="416"/>
      <c r="G20" s="49"/>
      <c r="H20" s="49"/>
      <c r="I20" s="49"/>
      <c r="J20" s="49"/>
      <c r="K20" s="49"/>
      <c r="L20" s="49"/>
      <c r="M20" s="49"/>
      <c r="N20" s="49"/>
      <c r="O20" s="49"/>
      <c r="P20" s="49"/>
      <c r="Q20" s="49"/>
      <c r="R20" s="49"/>
      <c r="S20" s="49"/>
      <c r="T20" s="49"/>
      <c r="U20" s="49"/>
      <c r="V20" s="49"/>
      <c r="W20" s="49"/>
      <c r="X20" s="49"/>
      <c r="Y20" s="49"/>
      <c r="Z20" s="49"/>
      <c r="AA20" s="49"/>
    </row>
    <row r="21" spans="1:27" x14ac:dyDescent="0.25">
      <c r="B21" s="542">
        <f t="shared" si="0"/>
        <v>17</v>
      </c>
      <c r="C21" s="343"/>
      <c r="D21" s="416"/>
      <c r="E21" s="416"/>
      <c r="F21" s="416"/>
      <c r="G21" s="49"/>
      <c r="H21" s="49"/>
      <c r="I21" s="49"/>
      <c r="J21" s="49"/>
      <c r="K21" s="49"/>
      <c r="L21" s="49"/>
      <c r="M21" s="49"/>
      <c r="N21" s="49"/>
      <c r="O21" s="49"/>
      <c r="P21" s="49"/>
      <c r="Q21" s="49"/>
      <c r="R21" s="49"/>
      <c r="S21" s="49"/>
      <c r="T21" s="49"/>
      <c r="U21" s="49"/>
      <c r="V21" s="49"/>
      <c r="W21" s="49"/>
      <c r="X21" s="49"/>
      <c r="Y21" s="49"/>
      <c r="Z21" s="49"/>
      <c r="AA21" s="49"/>
    </row>
    <row r="22" spans="1:27" x14ac:dyDescent="0.25">
      <c r="B22" s="503">
        <f t="shared" si="0"/>
        <v>18</v>
      </c>
      <c r="C22" s="281"/>
      <c r="D22" s="376"/>
      <c r="E22" s="376"/>
      <c r="F22" s="376"/>
    </row>
    <row r="23" spans="1:27" x14ac:dyDescent="0.25">
      <c r="B23" s="503">
        <f t="shared" si="0"/>
        <v>19</v>
      </c>
      <c r="C23" s="281"/>
      <c r="D23" s="376"/>
      <c r="E23" s="376"/>
      <c r="F23" s="376"/>
    </row>
    <row r="24" spans="1:27" x14ac:dyDescent="0.25">
      <c r="B24" s="503">
        <f t="shared" si="0"/>
        <v>20</v>
      </c>
      <c r="C24" s="281"/>
      <c r="D24" s="376"/>
      <c r="E24" s="376"/>
      <c r="F24" s="376"/>
    </row>
    <row r="25" spans="1:27" x14ac:dyDescent="0.25">
      <c r="B25" s="503">
        <f t="shared" si="0"/>
        <v>21</v>
      </c>
      <c r="C25" s="281"/>
      <c r="D25" s="376"/>
      <c r="E25" s="376"/>
      <c r="F25" s="376"/>
    </row>
    <row r="26" spans="1:27" x14ac:dyDescent="0.25">
      <c r="B26" s="503">
        <f t="shared" si="0"/>
        <v>22</v>
      </c>
      <c r="C26" s="281"/>
      <c r="D26" s="376"/>
      <c r="E26" s="376"/>
      <c r="F26" s="376"/>
    </row>
    <row r="27" spans="1:27" x14ac:dyDescent="0.25">
      <c r="B27" s="503">
        <f t="shared" si="0"/>
        <v>23</v>
      </c>
      <c r="C27" s="281"/>
      <c r="D27" s="376"/>
      <c r="E27" s="376"/>
      <c r="F27" s="376"/>
    </row>
    <row r="28" spans="1:27" x14ac:dyDescent="0.25">
      <c r="B28" s="503">
        <f t="shared" si="0"/>
        <v>24</v>
      </c>
      <c r="C28" s="281"/>
      <c r="D28" s="376"/>
      <c r="E28" s="376"/>
      <c r="F28" s="376"/>
    </row>
    <row r="29" spans="1:27" x14ac:dyDescent="0.25">
      <c r="B29" s="432">
        <f t="shared" si="0"/>
        <v>25</v>
      </c>
      <c r="C29" s="201"/>
      <c r="D29" s="319"/>
      <c r="E29" s="319"/>
      <c r="F29" s="319"/>
    </row>
    <row r="31" spans="1:27" x14ac:dyDescent="0.25">
      <c r="A31" s="751" t="s">
        <v>612</v>
      </c>
      <c r="B31" s="1141" t="s">
        <v>660</v>
      </c>
      <c r="C31" s="1141"/>
      <c r="D31" s="1141"/>
      <c r="E31" s="1141"/>
      <c r="F31" s="1141"/>
    </row>
    <row r="32" spans="1:27" x14ac:dyDescent="0.25">
      <c r="B32" s="379" t="s">
        <v>386</v>
      </c>
      <c r="C32" s="167" t="s">
        <v>550</v>
      </c>
      <c r="D32" s="379" t="s">
        <v>497</v>
      </c>
      <c r="E32" s="379" t="s">
        <v>332</v>
      </c>
      <c r="F32" s="71"/>
    </row>
    <row r="33" spans="1:6" ht="15" customHeight="1" x14ac:dyDescent="0.25">
      <c r="B33" s="86">
        <v>1</v>
      </c>
      <c r="C33" s="650"/>
      <c r="D33" s="57" t="s">
        <v>852</v>
      </c>
      <c r="E33" s="57" t="s">
        <v>873</v>
      </c>
      <c r="F33" s="339"/>
    </row>
    <row r="34" spans="1:6" x14ac:dyDescent="0.25">
      <c r="B34" s="503">
        <f>B33+1</f>
        <v>2</v>
      </c>
      <c r="C34" s="281"/>
      <c r="D34" s="376" t="s">
        <v>822</v>
      </c>
      <c r="E34" s="376"/>
      <c r="F34" s="339"/>
    </row>
    <row r="35" spans="1:6" x14ac:dyDescent="0.25">
      <c r="B35" s="86">
        <v>2</v>
      </c>
      <c r="C35" s="650"/>
      <c r="D35" s="376" t="s">
        <v>355</v>
      </c>
      <c r="E35" s="376"/>
      <c r="F35" s="339"/>
    </row>
    <row r="36" spans="1:6" x14ac:dyDescent="0.25">
      <c r="B36" s="503">
        <f>B35+1</f>
        <v>3</v>
      </c>
      <c r="C36" s="281"/>
      <c r="D36" s="376" t="s">
        <v>193</v>
      </c>
      <c r="E36" s="376"/>
      <c r="F36" s="339"/>
    </row>
    <row r="37" spans="1:6" x14ac:dyDescent="0.25">
      <c r="B37" s="86">
        <v>3</v>
      </c>
      <c r="C37" s="650"/>
      <c r="D37" s="376" t="s">
        <v>244</v>
      </c>
      <c r="E37" s="376"/>
      <c r="F37" s="339"/>
    </row>
    <row r="38" spans="1:6" x14ac:dyDescent="0.25">
      <c r="B38" s="503">
        <f>B37+1</f>
        <v>4</v>
      </c>
      <c r="C38" s="281"/>
      <c r="D38" s="376" t="s">
        <v>924</v>
      </c>
      <c r="E38" s="376"/>
      <c r="F38" s="339"/>
    </row>
    <row r="39" spans="1:6" x14ac:dyDescent="0.25">
      <c r="A39" s="751" t="s">
        <v>612</v>
      </c>
      <c r="B39" s="86">
        <v>4</v>
      </c>
      <c r="C39" s="650"/>
      <c r="D39" s="556" t="s">
        <v>814</v>
      </c>
      <c r="E39" s="376"/>
      <c r="F39" s="339"/>
    </row>
    <row r="40" spans="1:6" x14ac:dyDescent="0.25">
      <c r="B40" s="503">
        <f>B39+1</f>
        <v>5</v>
      </c>
      <c r="C40" s="281"/>
      <c r="D40" s="136" t="s">
        <v>967</v>
      </c>
      <c r="E40" s="376"/>
      <c r="F40" s="339"/>
    </row>
    <row r="41" spans="1:6" x14ac:dyDescent="0.25">
      <c r="B41" s="86">
        <v>5</v>
      </c>
      <c r="C41" s="650"/>
      <c r="D41" s="136" t="s">
        <v>1119</v>
      </c>
      <c r="E41" s="376"/>
      <c r="F41" s="339"/>
    </row>
    <row r="42" spans="1:6" x14ac:dyDescent="0.25">
      <c r="B42" s="503">
        <f>B41+1</f>
        <v>6</v>
      </c>
      <c r="C42" s="281"/>
      <c r="D42" s="136" t="s">
        <v>1106</v>
      </c>
      <c r="E42" s="376"/>
      <c r="F42" s="339"/>
    </row>
    <row r="43" spans="1:6" x14ac:dyDescent="0.25">
      <c r="B43" s="86">
        <v>6</v>
      </c>
      <c r="C43" s="650"/>
      <c r="D43" s="136" t="s">
        <v>557</v>
      </c>
      <c r="E43" s="376"/>
      <c r="F43" s="339"/>
    </row>
    <row r="44" spans="1:6" x14ac:dyDescent="0.25">
      <c r="B44" s="503">
        <f>B43+1</f>
        <v>7</v>
      </c>
      <c r="C44" s="281"/>
      <c r="D44" s="136" t="s">
        <v>410</v>
      </c>
      <c r="E44" s="376"/>
      <c r="F44" s="339"/>
    </row>
    <row r="45" spans="1:6" x14ac:dyDescent="0.25">
      <c r="B45" s="86">
        <v>7</v>
      </c>
      <c r="C45" s="650"/>
      <c r="D45" s="136" t="s">
        <v>992</v>
      </c>
      <c r="E45" s="376"/>
      <c r="F45" s="339"/>
    </row>
    <row r="46" spans="1:6" x14ac:dyDescent="0.25">
      <c r="B46" s="503">
        <f>B45+1</f>
        <v>8</v>
      </c>
      <c r="C46" s="281"/>
      <c r="D46" s="136" t="s">
        <v>1084</v>
      </c>
      <c r="E46" s="376"/>
      <c r="F46" s="339"/>
    </row>
    <row r="47" spans="1:6" x14ac:dyDescent="0.25">
      <c r="B47" s="86">
        <v>8</v>
      </c>
      <c r="C47" s="650"/>
      <c r="D47" s="136" t="s">
        <v>241</v>
      </c>
      <c r="E47" s="376"/>
      <c r="F47" s="339"/>
    </row>
    <row r="48" spans="1:6" x14ac:dyDescent="0.25">
      <c r="B48" s="503">
        <f t="shared" ref="B48:B53" si="1">B47+1</f>
        <v>9</v>
      </c>
      <c r="C48" s="281"/>
      <c r="D48" s="136" t="s">
        <v>1059</v>
      </c>
      <c r="E48" s="376"/>
      <c r="F48" s="339"/>
    </row>
    <row r="49" spans="1:6" x14ac:dyDescent="0.25">
      <c r="B49" s="503">
        <f t="shared" si="1"/>
        <v>10</v>
      </c>
      <c r="C49" s="281"/>
      <c r="D49" s="136" t="s">
        <v>53</v>
      </c>
      <c r="E49" s="376"/>
      <c r="F49" s="339"/>
    </row>
    <row r="50" spans="1:6" x14ac:dyDescent="0.25">
      <c r="B50" s="503">
        <f t="shared" si="1"/>
        <v>11</v>
      </c>
      <c r="C50" s="12"/>
      <c r="D50" s="437" t="s">
        <v>218</v>
      </c>
      <c r="E50" s="117"/>
      <c r="F50" s="339"/>
    </row>
    <row r="51" spans="1:6" x14ac:dyDescent="0.25">
      <c r="B51" s="503">
        <f t="shared" si="1"/>
        <v>12</v>
      </c>
      <c r="C51" s="281"/>
      <c r="D51" s="672" t="s">
        <v>1245</v>
      </c>
      <c r="E51" s="117" t="s">
        <v>1112</v>
      </c>
      <c r="F51" s="339"/>
    </row>
    <row r="52" spans="1:6" x14ac:dyDescent="0.25">
      <c r="B52" s="503">
        <f t="shared" si="1"/>
        <v>13</v>
      </c>
      <c r="C52" s="281"/>
      <c r="D52" s="672"/>
      <c r="E52" s="117"/>
      <c r="F52" s="339"/>
    </row>
    <row r="53" spans="1:6" x14ac:dyDescent="0.25">
      <c r="B53" s="503">
        <f t="shared" si="1"/>
        <v>14</v>
      </c>
      <c r="C53" s="281"/>
      <c r="D53" s="672"/>
      <c r="E53" s="117"/>
      <c r="F53" s="339"/>
    </row>
    <row r="54" spans="1:6" x14ac:dyDescent="0.25">
      <c r="B54" s="503"/>
      <c r="C54" s="281"/>
      <c r="D54" s="672"/>
      <c r="E54" s="117"/>
      <c r="F54" s="339"/>
    </row>
    <row r="55" spans="1:6" x14ac:dyDescent="0.25">
      <c r="B55" s="503">
        <f>B53+1</f>
        <v>15</v>
      </c>
      <c r="C55" s="281"/>
      <c r="D55" s="672"/>
      <c r="E55" s="117"/>
      <c r="F55" s="339"/>
    </row>
    <row r="56" spans="1:6" x14ac:dyDescent="0.25">
      <c r="B56" s="503">
        <f t="shared" ref="B56:B94" si="2">B55+1</f>
        <v>16</v>
      </c>
      <c r="C56" s="281"/>
      <c r="D56" s="672"/>
      <c r="E56" s="117"/>
      <c r="F56" s="339"/>
    </row>
    <row r="57" spans="1:6" x14ac:dyDescent="0.25">
      <c r="A57" s="751" t="s">
        <v>612</v>
      </c>
      <c r="B57" s="503">
        <f t="shared" si="2"/>
        <v>17</v>
      </c>
      <c r="C57" s="281"/>
      <c r="D57" s="361" t="s">
        <v>593</v>
      </c>
      <c r="E57" s="361"/>
      <c r="F57" s="339"/>
    </row>
    <row r="58" spans="1:6" x14ac:dyDescent="0.25">
      <c r="B58" s="503">
        <f t="shared" si="2"/>
        <v>18</v>
      </c>
      <c r="C58" s="281"/>
      <c r="D58" s="610"/>
      <c r="E58" s="594"/>
      <c r="F58" s="339"/>
    </row>
    <row r="59" spans="1:6" x14ac:dyDescent="0.25">
      <c r="B59" s="503">
        <f t="shared" si="2"/>
        <v>19</v>
      </c>
      <c r="C59" s="281" t="s">
        <v>1234</v>
      </c>
      <c r="D59" s="610" t="s">
        <v>423</v>
      </c>
      <c r="E59" s="750">
        <f>10%</f>
        <v>0.1</v>
      </c>
      <c r="F59" s="339"/>
    </row>
    <row r="60" spans="1:6" x14ac:dyDescent="0.25">
      <c r="B60" s="503">
        <f t="shared" si="2"/>
        <v>20</v>
      </c>
      <c r="C60" s="281" t="s">
        <v>532</v>
      </c>
      <c r="D60" s="610" t="s">
        <v>484</v>
      </c>
      <c r="E60" s="356">
        <f>1.1%</f>
        <v>1.1000000000000001E-2</v>
      </c>
      <c r="F60" s="339"/>
    </row>
    <row r="61" spans="1:6" x14ac:dyDescent="0.25">
      <c r="B61" s="503">
        <f t="shared" si="2"/>
        <v>21</v>
      </c>
      <c r="C61" s="281" t="s">
        <v>347</v>
      </c>
      <c r="D61" s="610" t="s">
        <v>807</v>
      </c>
      <c r="E61" s="750">
        <f>8%</f>
        <v>0.08</v>
      </c>
      <c r="F61" s="339"/>
    </row>
    <row r="62" spans="1:6" x14ac:dyDescent="0.25">
      <c r="B62" s="503">
        <f t="shared" si="2"/>
        <v>22</v>
      </c>
      <c r="C62" s="281" t="s">
        <v>576</v>
      </c>
      <c r="D62" s="610" t="s">
        <v>1013</v>
      </c>
      <c r="E62" s="594">
        <v>1</v>
      </c>
      <c r="F62" s="339"/>
    </row>
    <row r="63" spans="1:6" x14ac:dyDescent="0.25">
      <c r="B63" s="503">
        <f t="shared" si="2"/>
        <v>23</v>
      </c>
      <c r="C63" s="281" t="s">
        <v>930</v>
      </c>
      <c r="D63" s="610" t="s">
        <v>1179</v>
      </c>
      <c r="E63" s="356">
        <f>5.5%</f>
        <v>5.5E-2</v>
      </c>
      <c r="F63" s="339"/>
    </row>
    <row r="64" spans="1:6" x14ac:dyDescent="0.25">
      <c r="B64" s="503">
        <f t="shared" si="2"/>
        <v>24</v>
      </c>
      <c r="C64" s="281" t="s">
        <v>573</v>
      </c>
      <c r="D64" s="382" t="s">
        <v>451</v>
      </c>
      <c r="E64" s="750">
        <f>1%</f>
        <v>0.01</v>
      </c>
      <c r="F64" s="339"/>
    </row>
    <row r="65" spans="2:6" x14ac:dyDescent="0.25">
      <c r="B65" s="503">
        <f t="shared" si="2"/>
        <v>25</v>
      </c>
      <c r="C65" s="281" t="s">
        <v>1275</v>
      </c>
      <c r="D65" s="610" t="s">
        <v>791</v>
      </c>
      <c r="E65" s="356">
        <f>2.5%</f>
        <v>2.5000000000000001E-2</v>
      </c>
      <c r="F65" s="339"/>
    </row>
    <row r="66" spans="2:6" x14ac:dyDescent="0.25">
      <c r="B66" s="503">
        <f t="shared" si="2"/>
        <v>26</v>
      </c>
      <c r="C66" s="281" t="s">
        <v>910</v>
      </c>
      <c r="D66" s="39" t="s">
        <v>392</v>
      </c>
      <c r="E66" s="594"/>
      <c r="F66" s="339"/>
    </row>
    <row r="67" spans="2:6" x14ac:dyDescent="0.25">
      <c r="B67" s="503">
        <f t="shared" si="2"/>
        <v>27</v>
      </c>
      <c r="C67" s="281" t="s">
        <v>725</v>
      </c>
      <c r="D67" s="39" t="s">
        <v>294</v>
      </c>
      <c r="E67" s="356">
        <f>7.3%</f>
        <v>7.2999999999999995E-2</v>
      </c>
      <c r="F67" s="339"/>
    </row>
    <row r="68" spans="2:6" x14ac:dyDescent="0.25">
      <c r="B68" s="503">
        <f t="shared" si="2"/>
        <v>28</v>
      </c>
      <c r="C68" s="281" t="s">
        <v>254</v>
      </c>
      <c r="D68" s="39" t="s">
        <v>366</v>
      </c>
      <c r="E68" s="594">
        <v>0</v>
      </c>
      <c r="F68" s="339"/>
    </row>
    <row r="69" spans="2:6" x14ac:dyDescent="0.25">
      <c r="B69" s="503">
        <f t="shared" si="2"/>
        <v>29</v>
      </c>
      <c r="C69" s="281" t="s">
        <v>1058</v>
      </c>
      <c r="D69" s="39" t="s">
        <v>412</v>
      </c>
      <c r="E69" s="594">
        <v>1</v>
      </c>
      <c r="F69" s="339"/>
    </row>
    <row r="70" spans="2:6" x14ac:dyDescent="0.25">
      <c r="B70" s="503">
        <f t="shared" si="2"/>
        <v>30</v>
      </c>
      <c r="C70" s="281" t="s">
        <v>771</v>
      </c>
      <c r="D70" s="39" t="s">
        <v>1006</v>
      </c>
      <c r="E70" s="594">
        <v>1</v>
      </c>
      <c r="F70" s="339"/>
    </row>
    <row r="71" spans="2:6" x14ac:dyDescent="0.25">
      <c r="B71" s="503">
        <f t="shared" si="2"/>
        <v>31</v>
      </c>
      <c r="C71" s="281" t="s">
        <v>84</v>
      </c>
      <c r="D71" s="39" t="s">
        <v>598</v>
      </c>
      <c r="E71" s="594">
        <v>1</v>
      </c>
      <c r="F71" s="339"/>
    </row>
    <row r="72" spans="2:6" x14ac:dyDescent="0.25">
      <c r="B72" s="503">
        <f t="shared" si="2"/>
        <v>32</v>
      </c>
      <c r="C72" s="281" t="s">
        <v>1001</v>
      </c>
      <c r="D72" s="39" t="s">
        <v>1000</v>
      </c>
      <c r="E72" s="594">
        <v>1</v>
      </c>
      <c r="F72" s="339"/>
    </row>
    <row r="73" spans="2:6" x14ac:dyDescent="0.25">
      <c r="B73" s="503">
        <f t="shared" si="2"/>
        <v>33</v>
      </c>
      <c r="C73" s="281" t="s">
        <v>1017</v>
      </c>
      <c r="D73" s="39" t="s">
        <v>41</v>
      </c>
      <c r="E73" s="594">
        <v>1</v>
      </c>
      <c r="F73" s="339"/>
    </row>
    <row r="74" spans="2:6" x14ac:dyDescent="0.25">
      <c r="B74" s="503">
        <f t="shared" si="2"/>
        <v>34</v>
      </c>
      <c r="C74" s="281" t="s">
        <v>503</v>
      </c>
      <c r="D74" s="39" t="s">
        <v>543</v>
      </c>
      <c r="E74" s="594">
        <v>1</v>
      </c>
      <c r="F74" s="339"/>
    </row>
    <row r="75" spans="2:6" x14ac:dyDescent="0.25">
      <c r="B75" s="503">
        <f t="shared" si="2"/>
        <v>35</v>
      </c>
      <c r="C75" s="281"/>
      <c r="D75" s="39"/>
      <c r="E75" s="594"/>
      <c r="F75" s="339"/>
    </row>
    <row r="76" spans="2:6" x14ac:dyDescent="0.25">
      <c r="B76" s="503">
        <f t="shared" si="2"/>
        <v>36</v>
      </c>
      <c r="C76" s="281"/>
      <c r="D76" s="672"/>
      <c r="E76" s="503"/>
      <c r="F76" s="339"/>
    </row>
    <row r="77" spans="2:6" x14ac:dyDescent="0.25">
      <c r="B77" s="503">
        <f t="shared" si="2"/>
        <v>37</v>
      </c>
      <c r="C77" s="281"/>
      <c r="D77" s="672"/>
      <c r="E77" s="503"/>
      <c r="F77" s="339"/>
    </row>
    <row r="78" spans="2:6" x14ac:dyDescent="0.25">
      <c r="B78" s="503">
        <f t="shared" si="2"/>
        <v>38</v>
      </c>
      <c r="C78" s="281"/>
      <c r="D78" s="672"/>
      <c r="E78" s="503"/>
      <c r="F78" s="339"/>
    </row>
    <row r="79" spans="2:6" x14ac:dyDescent="0.25">
      <c r="B79" s="503">
        <f t="shared" si="2"/>
        <v>39</v>
      </c>
      <c r="C79" s="281"/>
      <c r="D79" s="672"/>
      <c r="E79" s="503"/>
      <c r="F79" s="339"/>
    </row>
    <row r="80" spans="2:6" x14ac:dyDescent="0.25">
      <c r="B80" s="503">
        <f t="shared" si="2"/>
        <v>40</v>
      </c>
      <c r="C80" s="281"/>
      <c r="D80" s="672"/>
      <c r="E80" s="503"/>
      <c r="F80" s="339"/>
    </row>
    <row r="81" spans="2:6" x14ac:dyDescent="0.25">
      <c r="B81" s="503">
        <f t="shared" si="2"/>
        <v>41</v>
      </c>
      <c r="C81" s="281"/>
      <c r="D81" s="672"/>
      <c r="E81" s="503"/>
      <c r="F81" s="339"/>
    </row>
    <row r="82" spans="2:6" x14ac:dyDescent="0.25">
      <c r="B82" s="503">
        <f t="shared" si="2"/>
        <v>42</v>
      </c>
      <c r="C82" s="281"/>
      <c r="D82" s="672"/>
      <c r="E82" s="503"/>
      <c r="F82" s="339"/>
    </row>
    <row r="83" spans="2:6" x14ac:dyDescent="0.25">
      <c r="B83" s="503">
        <f t="shared" si="2"/>
        <v>43</v>
      </c>
      <c r="C83" s="281"/>
      <c r="D83" s="376"/>
      <c r="E83" s="503"/>
      <c r="F83" s="339"/>
    </row>
    <row r="84" spans="2:6" x14ac:dyDescent="0.25">
      <c r="B84" s="503">
        <f t="shared" si="2"/>
        <v>44</v>
      </c>
      <c r="C84" s="281"/>
      <c r="D84" s="376"/>
      <c r="E84" s="503"/>
      <c r="F84" s="339"/>
    </row>
    <row r="85" spans="2:6" x14ac:dyDescent="0.25">
      <c r="B85" s="503">
        <f t="shared" si="2"/>
        <v>45</v>
      </c>
      <c r="C85" s="281"/>
      <c r="D85" s="376"/>
      <c r="E85" s="503"/>
      <c r="F85" s="339"/>
    </row>
    <row r="86" spans="2:6" x14ac:dyDescent="0.25">
      <c r="B86" s="503">
        <f t="shared" si="2"/>
        <v>46</v>
      </c>
      <c r="C86" s="281"/>
      <c r="D86" s="376"/>
      <c r="E86" s="376"/>
      <c r="F86" s="339"/>
    </row>
    <row r="87" spans="2:6" x14ac:dyDescent="0.25">
      <c r="B87" s="503">
        <f t="shared" si="2"/>
        <v>47</v>
      </c>
      <c r="C87" s="281"/>
      <c r="D87" s="376"/>
      <c r="E87" s="376"/>
      <c r="F87" s="339"/>
    </row>
    <row r="88" spans="2:6" x14ac:dyDescent="0.25">
      <c r="B88" s="503">
        <f t="shared" si="2"/>
        <v>48</v>
      </c>
      <c r="C88" s="281"/>
      <c r="D88" s="376"/>
      <c r="E88" s="376"/>
      <c r="F88" s="339"/>
    </row>
    <row r="89" spans="2:6" x14ac:dyDescent="0.25">
      <c r="B89" s="503">
        <f t="shared" si="2"/>
        <v>49</v>
      </c>
      <c r="C89" s="281"/>
      <c r="D89" s="376"/>
      <c r="E89" s="376"/>
      <c r="F89" s="339"/>
    </row>
    <row r="90" spans="2:6" x14ac:dyDescent="0.25">
      <c r="B90" s="503">
        <f t="shared" si="2"/>
        <v>50</v>
      </c>
      <c r="C90" s="281"/>
      <c r="D90" s="376"/>
      <c r="E90" s="376"/>
      <c r="F90" s="339"/>
    </row>
    <row r="91" spans="2:6" x14ac:dyDescent="0.25">
      <c r="B91" s="503">
        <f t="shared" si="2"/>
        <v>51</v>
      </c>
      <c r="C91" s="281"/>
      <c r="D91" s="376"/>
      <c r="E91" s="376"/>
      <c r="F91" s="339"/>
    </row>
    <row r="92" spans="2:6" x14ac:dyDescent="0.25">
      <c r="B92" s="503">
        <f t="shared" si="2"/>
        <v>52</v>
      </c>
      <c r="C92" s="281"/>
      <c r="D92" s="376"/>
      <c r="E92" s="376"/>
      <c r="F92" s="339"/>
    </row>
    <row r="93" spans="2:6" x14ac:dyDescent="0.25">
      <c r="B93" s="503">
        <f t="shared" si="2"/>
        <v>53</v>
      </c>
      <c r="C93" s="281"/>
      <c r="D93" s="376"/>
      <c r="E93" s="376"/>
      <c r="F93" s="339"/>
    </row>
    <row r="94" spans="2:6" x14ac:dyDescent="0.25">
      <c r="B94" s="432">
        <f t="shared" si="2"/>
        <v>54</v>
      </c>
      <c r="C94" s="201"/>
      <c r="D94" s="319"/>
      <c r="E94" s="319"/>
      <c r="F94" s="339"/>
    </row>
  </sheetData>
  <mergeCells count="3">
    <mergeCell ref="B1:D1"/>
    <mergeCell ref="B3:F3"/>
    <mergeCell ref="B31:F31"/>
  </mergeCells>
  <pageMargins left="1.18" right="0.59" top="0.79" bottom="0.79"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topLeftCell="A6" workbookViewId="0">
      <selection activeCell="C6" sqref="C6:C16"/>
    </sheetView>
  </sheetViews>
  <sheetFormatPr defaultRowHeight="15" x14ac:dyDescent="0.25"/>
  <cols>
    <col min="1" max="1" width="5.85546875" style="898" customWidth="1"/>
    <col min="2" max="2" width="45.7109375" style="898" customWidth="1"/>
    <col min="3" max="3" width="12.42578125" style="898" customWidth="1"/>
    <col min="4" max="4" width="13.85546875" style="937" customWidth="1"/>
    <col min="5" max="5" width="19.42578125" style="938" customWidth="1"/>
    <col min="6" max="6" width="13.85546875" style="938" customWidth="1"/>
    <col min="7" max="7" width="15.140625" style="938" bestFit="1" customWidth="1"/>
    <col min="8" max="8" width="13.140625" style="939" customWidth="1"/>
    <col min="9" max="9" width="13.7109375" style="939" customWidth="1"/>
    <col min="10" max="256" width="9.140625" style="898"/>
    <col min="257" max="257" width="5.85546875" style="898" customWidth="1"/>
    <col min="258" max="258" width="45.7109375" style="898" customWidth="1"/>
    <col min="259" max="259" width="12.42578125" style="898" customWidth="1"/>
    <col min="260" max="260" width="13.85546875" style="898" customWidth="1"/>
    <col min="261" max="261" width="19.42578125" style="898" customWidth="1"/>
    <col min="262" max="262" width="13.85546875" style="898" customWidth="1"/>
    <col min="263" max="263" width="15.140625" style="898" bestFit="1" customWidth="1"/>
    <col min="264" max="264" width="13.140625" style="898" customWidth="1"/>
    <col min="265" max="265" width="13.7109375" style="898" customWidth="1"/>
    <col min="266" max="512" width="9.140625" style="898"/>
    <col min="513" max="513" width="5.85546875" style="898" customWidth="1"/>
    <col min="514" max="514" width="45.7109375" style="898" customWidth="1"/>
    <col min="515" max="515" width="12.42578125" style="898" customWidth="1"/>
    <col min="516" max="516" width="13.85546875" style="898" customWidth="1"/>
    <col min="517" max="517" width="19.42578125" style="898" customWidth="1"/>
    <col min="518" max="518" width="13.85546875" style="898" customWidth="1"/>
    <col min="519" max="519" width="15.140625" style="898" bestFit="1" customWidth="1"/>
    <col min="520" max="520" width="13.140625" style="898" customWidth="1"/>
    <col min="521" max="521" width="13.7109375" style="898" customWidth="1"/>
    <col min="522" max="768" width="9.140625" style="898"/>
    <col min="769" max="769" width="5.85546875" style="898" customWidth="1"/>
    <col min="770" max="770" width="45.7109375" style="898" customWidth="1"/>
    <col min="771" max="771" width="12.42578125" style="898" customWidth="1"/>
    <col min="772" max="772" width="13.85546875" style="898" customWidth="1"/>
    <col min="773" max="773" width="19.42578125" style="898" customWidth="1"/>
    <col min="774" max="774" width="13.85546875" style="898" customWidth="1"/>
    <col min="775" max="775" width="15.140625" style="898" bestFit="1" customWidth="1"/>
    <col min="776" max="776" width="13.140625" style="898" customWidth="1"/>
    <col min="777" max="777" width="13.7109375" style="898" customWidth="1"/>
    <col min="778" max="1024" width="9.140625" style="898"/>
    <col min="1025" max="1025" width="5.85546875" style="898" customWidth="1"/>
    <col min="1026" max="1026" width="45.7109375" style="898" customWidth="1"/>
    <col min="1027" max="1027" width="12.42578125" style="898" customWidth="1"/>
    <col min="1028" max="1028" width="13.85546875" style="898" customWidth="1"/>
    <col min="1029" max="1029" width="19.42578125" style="898" customWidth="1"/>
    <col min="1030" max="1030" width="13.85546875" style="898" customWidth="1"/>
    <col min="1031" max="1031" width="15.140625" style="898" bestFit="1" customWidth="1"/>
    <col min="1032" max="1032" width="13.140625" style="898" customWidth="1"/>
    <col min="1033" max="1033" width="13.7109375" style="898" customWidth="1"/>
    <col min="1034" max="1280" width="9.140625" style="898"/>
    <col min="1281" max="1281" width="5.85546875" style="898" customWidth="1"/>
    <col min="1282" max="1282" width="45.7109375" style="898" customWidth="1"/>
    <col min="1283" max="1283" width="12.42578125" style="898" customWidth="1"/>
    <col min="1284" max="1284" width="13.85546875" style="898" customWidth="1"/>
    <col min="1285" max="1285" width="19.42578125" style="898" customWidth="1"/>
    <col min="1286" max="1286" width="13.85546875" style="898" customWidth="1"/>
    <col min="1287" max="1287" width="15.140625" style="898" bestFit="1" customWidth="1"/>
    <col min="1288" max="1288" width="13.140625" style="898" customWidth="1"/>
    <col min="1289" max="1289" width="13.7109375" style="898" customWidth="1"/>
    <col min="1290" max="1536" width="9.140625" style="898"/>
    <col min="1537" max="1537" width="5.85546875" style="898" customWidth="1"/>
    <col min="1538" max="1538" width="45.7109375" style="898" customWidth="1"/>
    <col min="1539" max="1539" width="12.42578125" style="898" customWidth="1"/>
    <col min="1540" max="1540" width="13.85546875" style="898" customWidth="1"/>
    <col min="1541" max="1541" width="19.42578125" style="898" customWidth="1"/>
    <col min="1542" max="1542" width="13.85546875" style="898" customWidth="1"/>
    <col min="1543" max="1543" width="15.140625" style="898" bestFit="1" customWidth="1"/>
    <col min="1544" max="1544" width="13.140625" style="898" customWidth="1"/>
    <col min="1545" max="1545" width="13.7109375" style="898" customWidth="1"/>
    <col min="1546" max="1792" width="9.140625" style="898"/>
    <col min="1793" max="1793" width="5.85546875" style="898" customWidth="1"/>
    <col min="1794" max="1794" width="45.7109375" style="898" customWidth="1"/>
    <col min="1795" max="1795" width="12.42578125" style="898" customWidth="1"/>
    <col min="1796" max="1796" width="13.85546875" style="898" customWidth="1"/>
    <col min="1797" max="1797" width="19.42578125" style="898" customWidth="1"/>
    <col min="1798" max="1798" width="13.85546875" style="898" customWidth="1"/>
    <col min="1799" max="1799" width="15.140625" style="898" bestFit="1" customWidth="1"/>
    <col min="1800" max="1800" width="13.140625" style="898" customWidth="1"/>
    <col min="1801" max="1801" width="13.7109375" style="898" customWidth="1"/>
    <col min="1802" max="2048" width="9.140625" style="898"/>
    <col min="2049" max="2049" width="5.85546875" style="898" customWidth="1"/>
    <col min="2050" max="2050" width="45.7109375" style="898" customWidth="1"/>
    <col min="2051" max="2051" width="12.42578125" style="898" customWidth="1"/>
    <col min="2052" max="2052" width="13.85546875" style="898" customWidth="1"/>
    <col min="2053" max="2053" width="19.42578125" style="898" customWidth="1"/>
    <col min="2054" max="2054" width="13.85546875" style="898" customWidth="1"/>
    <col min="2055" max="2055" width="15.140625" style="898" bestFit="1" customWidth="1"/>
    <col min="2056" max="2056" width="13.140625" style="898" customWidth="1"/>
    <col min="2057" max="2057" width="13.7109375" style="898" customWidth="1"/>
    <col min="2058" max="2304" width="9.140625" style="898"/>
    <col min="2305" max="2305" width="5.85546875" style="898" customWidth="1"/>
    <col min="2306" max="2306" width="45.7109375" style="898" customWidth="1"/>
    <col min="2307" max="2307" width="12.42578125" style="898" customWidth="1"/>
    <col min="2308" max="2308" width="13.85546875" style="898" customWidth="1"/>
    <col min="2309" max="2309" width="19.42578125" style="898" customWidth="1"/>
    <col min="2310" max="2310" width="13.85546875" style="898" customWidth="1"/>
    <col min="2311" max="2311" width="15.140625" style="898" bestFit="1" customWidth="1"/>
    <col min="2312" max="2312" width="13.140625" style="898" customWidth="1"/>
    <col min="2313" max="2313" width="13.7109375" style="898" customWidth="1"/>
    <col min="2314" max="2560" width="9.140625" style="898"/>
    <col min="2561" max="2561" width="5.85546875" style="898" customWidth="1"/>
    <col min="2562" max="2562" width="45.7109375" style="898" customWidth="1"/>
    <col min="2563" max="2563" width="12.42578125" style="898" customWidth="1"/>
    <col min="2564" max="2564" width="13.85546875" style="898" customWidth="1"/>
    <col min="2565" max="2565" width="19.42578125" style="898" customWidth="1"/>
    <col min="2566" max="2566" width="13.85546875" style="898" customWidth="1"/>
    <col min="2567" max="2567" width="15.140625" style="898" bestFit="1" customWidth="1"/>
    <col min="2568" max="2568" width="13.140625" style="898" customWidth="1"/>
    <col min="2569" max="2569" width="13.7109375" style="898" customWidth="1"/>
    <col min="2570" max="2816" width="9.140625" style="898"/>
    <col min="2817" max="2817" width="5.85546875" style="898" customWidth="1"/>
    <col min="2818" max="2818" width="45.7109375" style="898" customWidth="1"/>
    <col min="2819" max="2819" width="12.42578125" style="898" customWidth="1"/>
    <col min="2820" max="2820" width="13.85546875" style="898" customWidth="1"/>
    <col min="2821" max="2821" width="19.42578125" style="898" customWidth="1"/>
    <col min="2822" max="2822" width="13.85546875" style="898" customWidth="1"/>
    <col min="2823" max="2823" width="15.140625" style="898" bestFit="1" customWidth="1"/>
    <col min="2824" max="2824" width="13.140625" style="898" customWidth="1"/>
    <col min="2825" max="2825" width="13.7109375" style="898" customWidth="1"/>
    <col min="2826" max="3072" width="9.140625" style="898"/>
    <col min="3073" max="3073" width="5.85546875" style="898" customWidth="1"/>
    <col min="3074" max="3074" width="45.7109375" style="898" customWidth="1"/>
    <col min="3075" max="3075" width="12.42578125" style="898" customWidth="1"/>
    <col min="3076" max="3076" width="13.85546875" style="898" customWidth="1"/>
    <col min="3077" max="3077" width="19.42578125" style="898" customWidth="1"/>
    <col min="3078" max="3078" width="13.85546875" style="898" customWidth="1"/>
    <col min="3079" max="3079" width="15.140625" style="898" bestFit="1" customWidth="1"/>
    <col min="3080" max="3080" width="13.140625" style="898" customWidth="1"/>
    <col min="3081" max="3081" width="13.7109375" style="898" customWidth="1"/>
    <col min="3082" max="3328" width="9.140625" style="898"/>
    <col min="3329" max="3329" width="5.85546875" style="898" customWidth="1"/>
    <col min="3330" max="3330" width="45.7109375" style="898" customWidth="1"/>
    <col min="3331" max="3331" width="12.42578125" style="898" customWidth="1"/>
    <col min="3332" max="3332" width="13.85546875" style="898" customWidth="1"/>
    <col min="3333" max="3333" width="19.42578125" style="898" customWidth="1"/>
    <col min="3334" max="3334" width="13.85546875" style="898" customWidth="1"/>
    <col min="3335" max="3335" width="15.140625" style="898" bestFit="1" customWidth="1"/>
    <col min="3336" max="3336" width="13.140625" style="898" customWidth="1"/>
    <col min="3337" max="3337" width="13.7109375" style="898" customWidth="1"/>
    <col min="3338" max="3584" width="9.140625" style="898"/>
    <col min="3585" max="3585" width="5.85546875" style="898" customWidth="1"/>
    <col min="3586" max="3586" width="45.7109375" style="898" customWidth="1"/>
    <col min="3587" max="3587" width="12.42578125" style="898" customWidth="1"/>
    <col min="3588" max="3588" width="13.85546875" style="898" customWidth="1"/>
    <col min="3589" max="3589" width="19.42578125" style="898" customWidth="1"/>
    <col min="3590" max="3590" width="13.85546875" style="898" customWidth="1"/>
    <col min="3591" max="3591" width="15.140625" style="898" bestFit="1" customWidth="1"/>
    <col min="3592" max="3592" width="13.140625" style="898" customWidth="1"/>
    <col min="3593" max="3593" width="13.7109375" style="898" customWidth="1"/>
    <col min="3594" max="3840" width="9.140625" style="898"/>
    <col min="3841" max="3841" width="5.85546875" style="898" customWidth="1"/>
    <col min="3842" max="3842" width="45.7109375" style="898" customWidth="1"/>
    <col min="3843" max="3843" width="12.42578125" style="898" customWidth="1"/>
    <col min="3844" max="3844" width="13.85546875" style="898" customWidth="1"/>
    <col min="3845" max="3845" width="19.42578125" style="898" customWidth="1"/>
    <col min="3846" max="3846" width="13.85546875" style="898" customWidth="1"/>
    <col min="3847" max="3847" width="15.140625" style="898" bestFit="1" customWidth="1"/>
    <col min="3848" max="3848" width="13.140625" style="898" customWidth="1"/>
    <col min="3849" max="3849" width="13.7109375" style="898" customWidth="1"/>
    <col min="3850" max="4096" width="9.140625" style="898"/>
    <col min="4097" max="4097" width="5.85546875" style="898" customWidth="1"/>
    <col min="4098" max="4098" width="45.7109375" style="898" customWidth="1"/>
    <col min="4099" max="4099" width="12.42578125" style="898" customWidth="1"/>
    <col min="4100" max="4100" width="13.85546875" style="898" customWidth="1"/>
    <col min="4101" max="4101" width="19.42578125" style="898" customWidth="1"/>
    <col min="4102" max="4102" width="13.85546875" style="898" customWidth="1"/>
    <col min="4103" max="4103" width="15.140625" style="898" bestFit="1" customWidth="1"/>
    <col min="4104" max="4104" width="13.140625" style="898" customWidth="1"/>
    <col min="4105" max="4105" width="13.7109375" style="898" customWidth="1"/>
    <col min="4106" max="4352" width="9.140625" style="898"/>
    <col min="4353" max="4353" width="5.85546875" style="898" customWidth="1"/>
    <col min="4354" max="4354" width="45.7109375" style="898" customWidth="1"/>
    <col min="4355" max="4355" width="12.42578125" style="898" customWidth="1"/>
    <col min="4356" max="4356" width="13.85546875" style="898" customWidth="1"/>
    <col min="4357" max="4357" width="19.42578125" style="898" customWidth="1"/>
    <col min="4358" max="4358" width="13.85546875" style="898" customWidth="1"/>
    <col min="4359" max="4359" width="15.140625" style="898" bestFit="1" customWidth="1"/>
    <col min="4360" max="4360" width="13.140625" style="898" customWidth="1"/>
    <col min="4361" max="4361" width="13.7109375" style="898" customWidth="1"/>
    <col min="4362" max="4608" width="9.140625" style="898"/>
    <col min="4609" max="4609" width="5.85546875" style="898" customWidth="1"/>
    <col min="4610" max="4610" width="45.7109375" style="898" customWidth="1"/>
    <col min="4611" max="4611" width="12.42578125" style="898" customWidth="1"/>
    <col min="4612" max="4612" width="13.85546875" style="898" customWidth="1"/>
    <col min="4613" max="4613" width="19.42578125" style="898" customWidth="1"/>
    <col min="4614" max="4614" width="13.85546875" style="898" customWidth="1"/>
    <col min="4615" max="4615" width="15.140625" style="898" bestFit="1" customWidth="1"/>
    <col min="4616" max="4616" width="13.140625" style="898" customWidth="1"/>
    <col min="4617" max="4617" width="13.7109375" style="898" customWidth="1"/>
    <col min="4618" max="4864" width="9.140625" style="898"/>
    <col min="4865" max="4865" width="5.85546875" style="898" customWidth="1"/>
    <col min="4866" max="4866" width="45.7109375" style="898" customWidth="1"/>
    <col min="4867" max="4867" width="12.42578125" style="898" customWidth="1"/>
    <col min="4868" max="4868" width="13.85546875" style="898" customWidth="1"/>
    <col min="4869" max="4869" width="19.42578125" style="898" customWidth="1"/>
    <col min="4870" max="4870" width="13.85546875" style="898" customWidth="1"/>
    <col min="4871" max="4871" width="15.140625" style="898" bestFit="1" customWidth="1"/>
    <col min="4872" max="4872" width="13.140625" style="898" customWidth="1"/>
    <col min="4873" max="4873" width="13.7109375" style="898" customWidth="1"/>
    <col min="4874" max="5120" width="9.140625" style="898"/>
    <col min="5121" max="5121" width="5.85546875" style="898" customWidth="1"/>
    <col min="5122" max="5122" width="45.7109375" style="898" customWidth="1"/>
    <col min="5123" max="5123" width="12.42578125" style="898" customWidth="1"/>
    <col min="5124" max="5124" width="13.85546875" style="898" customWidth="1"/>
    <col min="5125" max="5125" width="19.42578125" style="898" customWidth="1"/>
    <col min="5126" max="5126" width="13.85546875" style="898" customWidth="1"/>
    <col min="5127" max="5127" width="15.140625" style="898" bestFit="1" customWidth="1"/>
    <col min="5128" max="5128" width="13.140625" style="898" customWidth="1"/>
    <col min="5129" max="5129" width="13.7109375" style="898" customWidth="1"/>
    <col min="5130" max="5376" width="9.140625" style="898"/>
    <col min="5377" max="5377" width="5.85546875" style="898" customWidth="1"/>
    <col min="5378" max="5378" width="45.7109375" style="898" customWidth="1"/>
    <col min="5379" max="5379" width="12.42578125" style="898" customWidth="1"/>
    <col min="5380" max="5380" width="13.85546875" style="898" customWidth="1"/>
    <col min="5381" max="5381" width="19.42578125" style="898" customWidth="1"/>
    <col min="5382" max="5382" width="13.85546875" style="898" customWidth="1"/>
    <col min="5383" max="5383" width="15.140625" style="898" bestFit="1" customWidth="1"/>
    <col min="5384" max="5384" width="13.140625" style="898" customWidth="1"/>
    <col min="5385" max="5385" width="13.7109375" style="898" customWidth="1"/>
    <col min="5386" max="5632" width="9.140625" style="898"/>
    <col min="5633" max="5633" width="5.85546875" style="898" customWidth="1"/>
    <col min="5634" max="5634" width="45.7109375" style="898" customWidth="1"/>
    <col min="5635" max="5635" width="12.42578125" style="898" customWidth="1"/>
    <col min="5636" max="5636" width="13.85546875" style="898" customWidth="1"/>
    <col min="5637" max="5637" width="19.42578125" style="898" customWidth="1"/>
    <col min="5638" max="5638" width="13.85546875" style="898" customWidth="1"/>
    <col min="5639" max="5639" width="15.140625" style="898" bestFit="1" customWidth="1"/>
    <col min="5640" max="5640" width="13.140625" style="898" customWidth="1"/>
    <col min="5641" max="5641" width="13.7109375" style="898" customWidth="1"/>
    <col min="5642" max="5888" width="9.140625" style="898"/>
    <col min="5889" max="5889" width="5.85546875" style="898" customWidth="1"/>
    <col min="5890" max="5890" width="45.7109375" style="898" customWidth="1"/>
    <col min="5891" max="5891" width="12.42578125" style="898" customWidth="1"/>
    <col min="5892" max="5892" width="13.85546875" style="898" customWidth="1"/>
    <col min="5893" max="5893" width="19.42578125" style="898" customWidth="1"/>
    <col min="5894" max="5894" width="13.85546875" style="898" customWidth="1"/>
    <col min="5895" max="5895" width="15.140625" style="898" bestFit="1" customWidth="1"/>
    <col min="5896" max="5896" width="13.140625" style="898" customWidth="1"/>
    <col min="5897" max="5897" width="13.7109375" style="898" customWidth="1"/>
    <col min="5898" max="6144" width="9.140625" style="898"/>
    <col min="6145" max="6145" width="5.85546875" style="898" customWidth="1"/>
    <col min="6146" max="6146" width="45.7109375" style="898" customWidth="1"/>
    <col min="6147" max="6147" width="12.42578125" style="898" customWidth="1"/>
    <col min="6148" max="6148" width="13.85546875" style="898" customWidth="1"/>
    <col min="6149" max="6149" width="19.42578125" style="898" customWidth="1"/>
    <col min="6150" max="6150" width="13.85546875" style="898" customWidth="1"/>
    <col min="6151" max="6151" width="15.140625" style="898" bestFit="1" customWidth="1"/>
    <col min="6152" max="6152" width="13.140625" style="898" customWidth="1"/>
    <col min="6153" max="6153" width="13.7109375" style="898" customWidth="1"/>
    <col min="6154" max="6400" width="9.140625" style="898"/>
    <col min="6401" max="6401" width="5.85546875" style="898" customWidth="1"/>
    <col min="6402" max="6402" width="45.7109375" style="898" customWidth="1"/>
    <col min="6403" max="6403" width="12.42578125" style="898" customWidth="1"/>
    <col min="6404" max="6404" width="13.85546875" style="898" customWidth="1"/>
    <col min="6405" max="6405" width="19.42578125" style="898" customWidth="1"/>
    <col min="6406" max="6406" width="13.85546875" style="898" customWidth="1"/>
    <col min="6407" max="6407" width="15.140625" style="898" bestFit="1" customWidth="1"/>
    <col min="6408" max="6408" width="13.140625" style="898" customWidth="1"/>
    <col min="6409" max="6409" width="13.7109375" style="898" customWidth="1"/>
    <col min="6410" max="6656" width="9.140625" style="898"/>
    <col min="6657" max="6657" width="5.85546875" style="898" customWidth="1"/>
    <col min="6658" max="6658" width="45.7109375" style="898" customWidth="1"/>
    <col min="6659" max="6659" width="12.42578125" style="898" customWidth="1"/>
    <col min="6660" max="6660" width="13.85546875" style="898" customWidth="1"/>
    <col min="6661" max="6661" width="19.42578125" style="898" customWidth="1"/>
    <col min="6662" max="6662" width="13.85546875" style="898" customWidth="1"/>
    <col min="6663" max="6663" width="15.140625" style="898" bestFit="1" customWidth="1"/>
    <col min="6664" max="6664" width="13.140625" style="898" customWidth="1"/>
    <col min="6665" max="6665" width="13.7109375" style="898" customWidth="1"/>
    <col min="6666" max="6912" width="9.140625" style="898"/>
    <col min="6913" max="6913" width="5.85546875" style="898" customWidth="1"/>
    <col min="6914" max="6914" width="45.7109375" style="898" customWidth="1"/>
    <col min="6915" max="6915" width="12.42578125" style="898" customWidth="1"/>
    <col min="6916" max="6916" width="13.85546875" style="898" customWidth="1"/>
    <col min="6917" max="6917" width="19.42578125" style="898" customWidth="1"/>
    <col min="6918" max="6918" width="13.85546875" style="898" customWidth="1"/>
    <col min="6919" max="6919" width="15.140625" style="898" bestFit="1" customWidth="1"/>
    <col min="6920" max="6920" width="13.140625" style="898" customWidth="1"/>
    <col min="6921" max="6921" width="13.7109375" style="898" customWidth="1"/>
    <col min="6922" max="7168" width="9.140625" style="898"/>
    <col min="7169" max="7169" width="5.85546875" style="898" customWidth="1"/>
    <col min="7170" max="7170" width="45.7109375" style="898" customWidth="1"/>
    <col min="7171" max="7171" width="12.42578125" style="898" customWidth="1"/>
    <col min="7172" max="7172" width="13.85546875" style="898" customWidth="1"/>
    <col min="7173" max="7173" width="19.42578125" style="898" customWidth="1"/>
    <col min="7174" max="7174" width="13.85546875" style="898" customWidth="1"/>
    <col min="7175" max="7175" width="15.140625" style="898" bestFit="1" customWidth="1"/>
    <col min="7176" max="7176" width="13.140625" style="898" customWidth="1"/>
    <col min="7177" max="7177" width="13.7109375" style="898" customWidth="1"/>
    <col min="7178" max="7424" width="9.140625" style="898"/>
    <col min="7425" max="7425" width="5.85546875" style="898" customWidth="1"/>
    <col min="7426" max="7426" width="45.7109375" style="898" customWidth="1"/>
    <col min="7427" max="7427" width="12.42578125" style="898" customWidth="1"/>
    <col min="7428" max="7428" width="13.85546875" style="898" customWidth="1"/>
    <col min="7429" max="7429" width="19.42578125" style="898" customWidth="1"/>
    <col min="7430" max="7430" width="13.85546875" style="898" customWidth="1"/>
    <col min="7431" max="7431" width="15.140625" style="898" bestFit="1" customWidth="1"/>
    <col min="7432" max="7432" width="13.140625" style="898" customWidth="1"/>
    <col min="7433" max="7433" width="13.7109375" style="898" customWidth="1"/>
    <col min="7434" max="7680" width="9.140625" style="898"/>
    <col min="7681" max="7681" width="5.85546875" style="898" customWidth="1"/>
    <col min="7682" max="7682" width="45.7109375" style="898" customWidth="1"/>
    <col min="7683" max="7683" width="12.42578125" style="898" customWidth="1"/>
    <col min="7684" max="7684" width="13.85546875" style="898" customWidth="1"/>
    <col min="7685" max="7685" width="19.42578125" style="898" customWidth="1"/>
    <col min="7686" max="7686" width="13.85546875" style="898" customWidth="1"/>
    <col min="7687" max="7687" width="15.140625" style="898" bestFit="1" customWidth="1"/>
    <col min="7688" max="7688" width="13.140625" style="898" customWidth="1"/>
    <col min="7689" max="7689" width="13.7109375" style="898" customWidth="1"/>
    <col min="7690" max="7936" width="9.140625" style="898"/>
    <col min="7937" max="7937" width="5.85546875" style="898" customWidth="1"/>
    <col min="7938" max="7938" width="45.7109375" style="898" customWidth="1"/>
    <col min="7939" max="7939" width="12.42578125" style="898" customWidth="1"/>
    <col min="7940" max="7940" width="13.85546875" style="898" customWidth="1"/>
    <col min="7941" max="7941" width="19.42578125" style="898" customWidth="1"/>
    <col min="7942" max="7942" width="13.85546875" style="898" customWidth="1"/>
    <col min="7943" max="7943" width="15.140625" style="898" bestFit="1" customWidth="1"/>
    <col min="7944" max="7944" width="13.140625" style="898" customWidth="1"/>
    <col min="7945" max="7945" width="13.7109375" style="898" customWidth="1"/>
    <col min="7946" max="8192" width="9.140625" style="898"/>
    <col min="8193" max="8193" width="5.85546875" style="898" customWidth="1"/>
    <col min="8194" max="8194" width="45.7109375" style="898" customWidth="1"/>
    <col min="8195" max="8195" width="12.42578125" style="898" customWidth="1"/>
    <col min="8196" max="8196" width="13.85546875" style="898" customWidth="1"/>
    <col min="8197" max="8197" width="19.42578125" style="898" customWidth="1"/>
    <col min="8198" max="8198" width="13.85546875" style="898" customWidth="1"/>
    <col min="8199" max="8199" width="15.140625" style="898" bestFit="1" customWidth="1"/>
    <col min="8200" max="8200" width="13.140625" style="898" customWidth="1"/>
    <col min="8201" max="8201" width="13.7109375" style="898" customWidth="1"/>
    <col min="8202" max="8448" width="9.140625" style="898"/>
    <col min="8449" max="8449" width="5.85546875" style="898" customWidth="1"/>
    <col min="8450" max="8450" width="45.7109375" style="898" customWidth="1"/>
    <col min="8451" max="8451" width="12.42578125" style="898" customWidth="1"/>
    <col min="8452" max="8452" width="13.85546875" style="898" customWidth="1"/>
    <col min="8453" max="8453" width="19.42578125" style="898" customWidth="1"/>
    <col min="8454" max="8454" width="13.85546875" style="898" customWidth="1"/>
    <col min="8455" max="8455" width="15.140625" style="898" bestFit="1" customWidth="1"/>
    <col min="8456" max="8456" width="13.140625" style="898" customWidth="1"/>
    <col min="8457" max="8457" width="13.7109375" style="898" customWidth="1"/>
    <col min="8458" max="8704" width="9.140625" style="898"/>
    <col min="8705" max="8705" width="5.85546875" style="898" customWidth="1"/>
    <col min="8706" max="8706" width="45.7109375" style="898" customWidth="1"/>
    <col min="8707" max="8707" width="12.42578125" style="898" customWidth="1"/>
    <col min="8708" max="8708" width="13.85546875" style="898" customWidth="1"/>
    <col min="8709" max="8709" width="19.42578125" style="898" customWidth="1"/>
    <col min="8710" max="8710" width="13.85546875" style="898" customWidth="1"/>
    <col min="8711" max="8711" width="15.140625" style="898" bestFit="1" customWidth="1"/>
    <col min="8712" max="8712" width="13.140625" style="898" customWidth="1"/>
    <col min="8713" max="8713" width="13.7109375" style="898" customWidth="1"/>
    <col min="8714" max="8960" width="9.140625" style="898"/>
    <col min="8961" max="8961" width="5.85546875" style="898" customWidth="1"/>
    <col min="8962" max="8962" width="45.7109375" style="898" customWidth="1"/>
    <col min="8963" max="8963" width="12.42578125" style="898" customWidth="1"/>
    <col min="8964" max="8964" width="13.85546875" style="898" customWidth="1"/>
    <col min="8965" max="8965" width="19.42578125" style="898" customWidth="1"/>
    <col min="8966" max="8966" width="13.85546875" style="898" customWidth="1"/>
    <col min="8967" max="8967" width="15.140625" style="898" bestFit="1" customWidth="1"/>
    <col min="8968" max="8968" width="13.140625" style="898" customWidth="1"/>
    <col min="8969" max="8969" width="13.7109375" style="898" customWidth="1"/>
    <col min="8970" max="9216" width="9.140625" style="898"/>
    <col min="9217" max="9217" width="5.85546875" style="898" customWidth="1"/>
    <col min="9218" max="9218" width="45.7109375" style="898" customWidth="1"/>
    <col min="9219" max="9219" width="12.42578125" style="898" customWidth="1"/>
    <col min="9220" max="9220" width="13.85546875" style="898" customWidth="1"/>
    <col min="9221" max="9221" width="19.42578125" style="898" customWidth="1"/>
    <col min="9222" max="9222" width="13.85546875" style="898" customWidth="1"/>
    <col min="9223" max="9223" width="15.140625" style="898" bestFit="1" customWidth="1"/>
    <col min="9224" max="9224" width="13.140625" style="898" customWidth="1"/>
    <col min="9225" max="9225" width="13.7109375" style="898" customWidth="1"/>
    <col min="9226" max="9472" width="9.140625" style="898"/>
    <col min="9473" max="9473" width="5.85546875" style="898" customWidth="1"/>
    <col min="9474" max="9474" width="45.7109375" style="898" customWidth="1"/>
    <col min="9475" max="9475" width="12.42578125" style="898" customWidth="1"/>
    <col min="9476" max="9476" width="13.85546875" style="898" customWidth="1"/>
    <col min="9477" max="9477" width="19.42578125" style="898" customWidth="1"/>
    <col min="9478" max="9478" width="13.85546875" style="898" customWidth="1"/>
    <col min="9479" max="9479" width="15.140625" style="898" bestFit="1" customWidth="1"/>
    <col min="9480" max="9480" width="13.140625" style="898" customWidth="1"/>
    <col min="9481" max="9481" width="13.7109375" style="898" customWidth="1"/>
    <col min="9482" max="9728" width="9.140625" style="898"/>
    <col min="9729" max="9729" width="5.85546875" style="898" customWidth="1"/>
    <col min="9730" max="9730" width="45.7109375" style="898" customWidth="1"/>
    <col min="9731" max="9731" width="12.42578125" style="898" customWidth="1"/>
    <col min="9732" max="9732" width="13.85546875" style="898" customWidth="1"/>
    <col min="9733" max="9733" width="19.42578125" style="898" customWidth="1"/>
    <col min="9734" max="9734" width="13.85546875" style="898" customWidth="1"/>
    <col min="9735" max="9735" width="15.140625" style="898" bestFit="1" customWidth="1"/>
    <col min="9736" max="9736" width="13.140625" style="898" customWidth="1"/>
    <col min="9737" max="9737" width="13.7109375" style="898" customWidth="1"/>
    <col min="9738" max="9984" width="9.140625" style="898"/>
    <col min="9985" max="9985" width="5.85546875" style="898" customWidth="1"/>
    <col min="9986" max="9986" width="45.7109375" style="898" customWidth="1"/>
    <col min="9987" max="9987" width="12.42578125" style="898" customWidth="1"/>
    <col min="9988" max="9988" width="13.85546875" style="898" customWidth="1"/>
    <col min="9989" max="9989" width="19.42578125" style="898" customWidth="1"/>
    <col min="9990" max="9990" width="13.85546875" style="898" customWidth="1"/>
    <col min="9991" max="9991" width="15.140625" style="898" bestFit="1" customWidth="1"/>
    <col min="9992" max="9992" width="13.140625" style="898" customWidth="1"/>
    <col min="9993" max="9993" width="13.7109375" style="898" customWidth="1"/>
    <col min="9994" max="10240" width="9.140625" style="898"/>
    <col min="10241" max="10241" width="5.85546875" style="898" customWidth="1"/>
    <col min="10242" max="10242" width="45.7109375" style="898" customWidth="1"/>
    <col min="10243" max="10243" width="12.42578125" style="898" customWidth="1"/>
    <col min="10244" max="10244" width="13.85546875" style="898" customWidth="1"/>
    <col min="10245" max="10245" width="19.42578125" style="898" customWidth="1"/>
    <col min="10246" max="10246" width="13.85546875" style="898" customWidth="1"/>
    <col min="10247" max="10247" width="15.140625" style="898" bestFit="1" customWidth="1"/>
    <col min="10248" max="10248" width="13.140625" style="898" customWidth="1"/>
    <col min="10249" max="10249" width="13.7109375" style="898" customWidth="1"/>
    <col min="10250" max="10496" width="9.140625" style="898"/>
    <col min="10497" max="10497" width="5.85546875" style="898" customWidth="1"/>
    <col min="10498" max="10498" width="45.7109375" style="898" customWidth="1"/>
    <col min="10499" max="10499" width="12.42578125" style="898" customWidth="1"/>
    <col min="10500" max="10500" width="13.85546875" style="898" customWidth="1"/>
    <col min="10501" max="10501" width="19.42578125" style="898" customWidth="1"/>
    <col min="10502" max="10502" width="13.85546875" style="898" customWidth="1"/>
    <col min="10503" max="10503" width="15.140625" style="898" bestFit="1" customWidth="1"/>
    <col min="10504" max="10504" width="13.140625" style="898" customWidth="1"/>
    <col min="10505" max="10505" width="13.7109375" style="898" customWidth="1"/>
    <col min="10506" max="10752" width="9.140625" style="898"/>
    <col min="10753" max="10753" width="5.85546875" style="898" customWidth="1"/>
    <col min="10754" max="10754" width="45.7109375" style="898" customWidth="1"/>
    <col min="10755" max="10755" width="12.42578125" style="898" customWidth="1"/>
    <col min="10756" max="10756" width="13.85546875" style="898" customWidth="1"/>
    <col min="10757" max="10757" width="19.42578125" style="898" customWidth="1"/>
    <col min="10758" max="10758" width="13.85546875" style="898" customWidth="1"/>
    <col min="10759" max="10759" width="15.140625" style="898" bestFit="1" customWidth="1"/>
    <col min="10760" max="10760" width="13.140625" style="898" customWidth="1"/>
    <col min="10761" max="10761" width="13.7109375" style="898" customWidth="1"/>
    <col min="10762" max="11008" width="9.140625" style="898"/>
    <col min="11009" max="11009" width="5.85546875" style="898" customWidth="1"/>
    <col min="11010" max="11010" width="45.7109375" style="898" customWidth="1"/>
    <col min="11011" max="11011" width="12.42578125" style="898" customWidth="1"/>
    <col min="11012" max="11012" width="13.85546875" style="898" customWidth="1"/>
    <col min="11013" max="11013" width="19.42578125" style="898" customWidth="1"/>
    <col min="11014" max="11014" width="13.85546875" style="898" customWidth="1"/>
    <col min="11015" max="11015" width="15.140625" style="898" bestFit="1" customWidth="1"/>
    <col min="11016" max="11016" width="13.140625" style="898" customWidth="1"/>
    <col min="11017" max="11017" width="13.7109375" style="898" customWidth="1"/>
    <col min="11018" max="11264" width="9.140625" style="898"/>
    <col min="11265" max="11265" width="5.85546875" style="898" customWidth="1"/>
    <col min="11266" max="11266" width="45.7109375" style="898" customWidth="1"/>
    <col min="11267" max="11267" width="12.42578125" style="898" customWidth="1"/>
    <col min="11268" max="11268" width="13.85546875" style="898" customWidth="1"/>
    <col min="11269" max="11269" width="19.42578125" style="898" customWidth="1"/>
    <col min="11270" max="11270" width="13.85546875" style="898" customWidth="1"/>
    <col min="11271" max="11271" width="15.140625" style="898" bestFit="1" customWidth="1"/>
    <col min="11272" max="11272" width="13.140625" style="898" customWidth="1"/>
    <col min="11273" max="11273" width="13.7109375" style="898" customWidth="1"/>
    <col min="11274" max="11520" width="9.140625" style="898"/>
    <col min="11521" max="11521" width="5.85546875" style="898" customWidth="1"/>
    <col min="11522" max="11522" width="45.7109375" style="898" customWidth="1"/>
    <col min="11523" max="11523" width="12.42578125" style="898" customWidth="1"/>
    <col min="11524" max="11524" width="13.85546875" style="898" customWidth="1"/>
    <col min="11525" max="11525" width="19.42578125" style="898" customWidth="1"/>
    <col min="11526" max="11526" width="13.85546875" style="898" customWidth="1"/>
    <col min="11527" max="11527" width="15.140625" style="898" bestFit="1" customWidth="1"/>
    <col min="11528" max="11528" width="13.140625" style="898" customWidth="1"/>
    <col min="11529" max="11529" width="13.7109375" style="898" customWidth="1"/>
    <col min="11530" max="11776" width="9.140625" style="898"/>
    <col min="11777" max="11777" width="5.85546875" style="898" customWidth="1"/>
    <col min="11778" max="11778" width="45.7109375" style="898" customWidth="1"/>
    <col min="11779" max="11779" width="12.42578125" style="898" customWidth="1"/>
    <col min="11780" max="11780" width="13.85546875" style="898" customWidth="1"/>
    <col min="11781" max="11781" width="19.42578125" style="898" customWidth="1"/>
    <col min="11782" max="11782" width="13.85546875" style="898" customWidth="1"/>
    <col min="11783" max="11783" width="15.140625" style="898" bestFit="1" customWidth="1"/>
    <col min="11784" max="11784" width="13.140625" style="898" customWidth="1"/>
    <col min="11785" max="11785" width="13.7109375" style="898" customWidth="1"/>
    <col min="11786" max="12032" width="9.140625" style="898"/>
    <col min="12033" max="12033" width="5.85546875" style="898" customWidth="1"/>
    <col min="12034" max="12034" width="45.7109375" style="898" customWidth="1"/>
    <col min="12035" max="12035" width="12.42578125" style="898" customWidth="1"/>
    <col min="12036" max="12036" width="13.85546875" style="898" customWidth="1"/>
    <col min="12037" max="12037" width="19.42578125" style="898" customWidth="1"/>
    <col min="12038" max="12038" width="13.85546875" style="898" customWidth="1"/>
    <col min="12039" max="12039" width="15.140625" style="898" bestFit="1" customWidth="1"/>
    <col min="12040" max="12040" width="13.140625" style="898" customWidth="1"/>
    <col min="12041" max="12041" width="13.7109375" style="898" customWidth="1"/>
    <col min="12042" max="12288" width="9.140625" style="898"/>
    <col min="12289" max="12289" width="5.85546875" style="898" customWidth="1"/>
    <col min="12290" max="12290" width="45.7109375" style="898" customWidth="1"/>
    <col min="12291" max="12291" width="12.42578125" style="898" customWidth="1"/>
    <col min="12292" max="12292" width="13.85546875" style="898" customWidth="1"/>
    <col min="12293" max="12293" width="19.42578125" style="898" customWidth="1"/>
    <col min="12294" max="12294" width="13.85546875" style="898" customWidth="1"/>
    <col min="12295" max="12295" width="15.140625" style="898" bestFit="1" customWidth="1"/>
    <col min="12296" max="12296" width="13.140625" style="898" customWidth="1"/>
    <col min="12297" max="12297" width="13.7109375" style="898" customWidth="1"/>
    <col min="12298" max="12544" width="9.140625" style="898"/>
    <col min="12545" max="12545" width="5.85546875" style="898" customWidth="1"/>
    <col min="12546" max="12546" width="45.7109375" style="898" customWidth="1"/>
    <col min="12547" max="12547" width="12.42578125" style="898" customWidth="1"/>
    <col min="12548" max="12548" width="13.85546875" style="898" customWidth="1"/>
    <col min="12549" max="12549" width="19.42578125" style="898" customWidth="1"/>
    <col min="12550" max="12550" width="13.85546875" style="898" customWidth="1"/>
    <col min="12551" max="12551" width="15.140625" style="898" bestFit="1" customWidth="1"/>
    <col min="12552" max="12552" width="13.140625" style="898" customWidth="1"/>
    <col min="12553" max="12553" width="13.7109375" style="898" customWidth="1"/>
    <col min="12554" max="12800" width="9.140625" style="898"/>
    <col min="12801" max="12801" width="5.85546875" style="898" customWidth="1"/>
    <col min="12802" max="12802" width="45.7109375" style="898" customWidth="1"/>
    <col min="12803" max="12803" width="12.42578125" style="898" customWidth="1"/>
    <col min="12804" max="12804" width="13.85546875" style="898" customWidth="1"/>
    <col min="12805" max="12805" width="19.42578125" style="898" customWidth="1"/>
    <col min="12806" max="12806" width="13.85546875" style="898" customWidth="1"/>
    <col min="12807" max="12807" width="15.140625" style="898" bestFit="1" customWidth="1"/>
    <col min="12808" max="12808" width="13.140625" style="898" customWidth="1"/>
    <col min="12809" max="12809" width="13.7109375" style="898" customWidth="1"/>
    <col min="12810" max="13056" width="9.140625" style="898"/>
    <col min="13057" max="13057" width="5.85546875" style="898" customWidth="1"/>
    <col min="13058" max="13058" width="45.7109375" style="898" customWidth="1"/>
    <col min="13059" max="13059" width="12.42578125" style="898" customWidth="1"/>
    <col min="13060" max="13060" width="13.85546875" style="898" customWidth="1"/>
    <col min="13061" max="13061" width="19.42578125" style="898" customWidth="1"/>
    <col min="13062" max="13062" width="13.85546875" style="898" customWidth="1"/>
    <col min="13063" max="13063" width="15.140625" style="898" bestFit="1" customWidth="1"/>
    <col min="13064" max="13064" width="13.140625" style="898" customWidth="1"/>
    <col min="13065" max="13065" width="13.7109375" style="898" customWidth="1"/>
    <col min="13066" max="13312" width="9.140625" style="898"/>
    <col min="13313" max="13313" width="5.85546875" style="898" customWidth="1"/>
    <col min="13314" max="13314" width="45.7109375" style="898" customWidth="1"/>
    <col min="13315" max="13315" width="12.42578125" style="898" customWidth="1"/>
    <col min="13316" max="13316" width="13.85546875" style="898" customWidth="1"/>
    <col min="13317" max="13317" width="19.42578125" style="898" customWidth="1"/>
    <col min="13318" max="13318" width="13.85546875" style="898" customWidth="1"/>
    <col min="13319" max="13319" width="15.140625" style="898" bestFit="1" customWidth="1"/>
    <col min="13320" max="13320" width="13.140625" style="898" customWidth="1"/>
    <col min="13321" max="13321" width="13.7109375" style="898" customWidth="1"/>
    <col min="13322" max="13568" width="9.140625" style="898"/>
    <col min="13569" max="13569" width="5.85546875" style="898" customWidth="1"/>
    <col min="13570" max="13570" width="45.7109375" style="898" customWidth="1"/>
    <col min="13571" max="13571" width="12.42578125" style="898" customWidth="1"/>
    <col min="13572" max="13572" width="13.85546875" style="898" customWidth="1"/>
    <col min="13573" max="13573" width="19.42578125" style="898" customWidth="1"/>
    <col min="13574" max="13574" width="13.85546875" style="898" customWidth="1"/>
    <col min="13575" max="13575" width="15.140625" style="898" bestFit="1" customWidth="1"/>
    <col min="13576" max="13576" width="13.140625" style="898" customWidth="1"/>
    <col min="13577" max="13577" width="13.7109375" style="898" customWidth="1"/>
    <col min="13578" max="13824" width="9.140625" style="898"/>
    <col min="13825" max="13825" width="5.85546875" style="898" customWidth="1"/>
    <col min="13826" max="13826" width="45.7109375" style="898" customWidth="1"/>
    <col min="13827" max="13827" width="12.42578125" style="898" customWidth="1"/>
    <col min="13828" max="13828" width="13.85546875" style="898" customWidth="1"/>
    <col min="13829" max="13829" width="19.42578125" style="898" customWidth="1"/>
    <col min="13830" max="13830" width="13.85546875" style="898" customWidth="1"/>
    <col min="13831" max="13831" width="15.140625" style="898" bestFit="1" customWidth="1"/>
    <col min="13832" max="13832" width="13.140625" style="898" customWidth="1"/>
    <col min="13833" max="13833" width="13.7109375" style="898" customWidth="1"/>
    <col min="13834" max="14080" width="9.140625" style="898"/>
    <col min="14081" max="14081" width="5.85546875" style="898" customWidth="1"/>
    <col min="14082" max="14082" width="45.7109375" style="898" customWidth="1"/>
    <col min="14083" max="14083" width="12.42578125" style="898" customWidth="1"/>
    <col min="14084" max="14084" width="13.85546875" style="898" customWidth="1"/>
    <col min="14085" max="14085" width="19.42578125" style="898" customWidth="1"/>
    <col min="14086" max="14086" width="13.85546875" style="898" customWidth="1"/>
    <col min="14087" max="14087" width="15.140625" style="898" bestFit="1" customWidth="1"/>
    <col min="14088" max="14088" width="13.140625" style="898" customWidth="1"/>
    <col min="14089" max="14089" width="13.7109375" style="898" customWidth="1"/>
    <col min="14090" max="14336" width="9.140625" style="898"/>
    <col min="14337" max="14337" width="5.85546875" style="898" customWidth="1"/>
    <col min="14338" max="14338" width="45.7109375" style="898" customWidth="1"/>
    <col min="14339" max="14339" width="12.42578125" style="898" customWidth="1"/>
    <col min="14340" max="14340" width="13.85546875" style="898" customWidth="1"/>
    <col min="14341" max="14341" width="19.42578125" style="898" customWidth="1"/>
    <col min="14342" max="14342" width="13.85546875" style="898" customWidth="1"/>
    <col min="14343" max="14343" width="15.140625" style="898" bestFit="1" customWidth="1"/>
    <col min="14344" max="14344" width="13.140625" style="898" customWidth="1"/>
    <col min="14345" max="14345" width="13.7109375" style="898" customWidth="1"/>
    <col min="14346" max="14592" width="9.140625" style="898"/>
    <col min="14593" max="14593" width="5.85546875" style="898" customWidth="1"/>
    <col min="14594" max="14594" width="45.7109375" style="898" customWidth="1"/>
    <col min="14595" max="14595" width="12.42578125" style="898" customWidth="1"/>
    <col min="14596" max="14596" width="13.85546875" style="898" customWidth="1"/>
    <col min="14597" max="14597" width="19.42578125" style="898" customWidth="1"/>
    <col min="14598" max="14598" width="13.85546875" style="898" customWidth="1"/>
    <col min="14599" max="14599" width="15.140625" style="898" bestFit="1" customWidth="1"/>
    <col min="14600" max="14600" width="13.140625" style="898" customWidth="1"/>
    <col min="14601" max="14601" width="13.7109375" style="898" customWidth="1"/>
    <col min="14602" max="14848" width="9.140625" style="898"/>
    <col min="14849" max="14849" width="5.85546875" style="898" customWidth="1"/>
    <col min="14850" max="14850" width="45.7109375" style="898" customWidth="1"/>
    <col min="14851" max="14851" width="12.42578125" style="898" customWidth="1"/>
    <col min="14852" max="14852" width="13.85546875" style="898" customWidth="1"/>
    <col min="14853" max="14853" width="19.42578125" style="898" customWidth="1"/>
    <col min="14854" max="14854" width="13.85546875" style="898" customWidth="1"/>
    <col min="14855" max="14855" width="15.140625" style="898" bestFit="1" customWidth="1"/>
    <col min="14856" max="14856" width="13.140625" style="898" customWidth="1"/>
    <col min="14857" max="14857" width="13.7109375" style="898" customWidth="1"/>
    <col min="14858" max="15104" width="9.140625" style="898"/>
    <col min="15105" max="15105" width="5.85546875" style="898" customWidth="1"/>
    <col min="15106" max="15106" width="45.7109375" style="898" customWidth="1"/>
    <col min="15107" max="15107" width="12.42578125" style="898" customWidth="1"/>
    <col min="15108" max="15108" width="13.85546875" style="898" customWidth="1"/>
    <col min="15109" max="15109" width="19.42578125" style="898" customWidth="1"/>
    <col min="15110" max="15110" width="13.85546875" style="898" customWidth="1"/>
    <col min="15111" max="15111" width="15.140625" style="898" bestFit="1" customWidth="1"/>
    <col min="15112" max="15112" width="13.140625" style="898" customWidth="1"/>
    <col min="15113" max="15113" width="13.7109375" style="898" customWidth="1"/>
    <col min="15114" max="15360" width="9.140625" style="898"/>
    <col min="15361" max="15361" width="5.85546875" style="898" customWidth="1"/>
    <col min="15362" max="15362" width="45.7109375" style="898" customWidth="1"/>
    <col min="15363" max="15363" width="12.42578125" style="898" customWidth="1"/>
    <col min="15364" max="15364" width="13.85546875" style="898" customWidth="1"/>
    <col min="15365" max="15365" width="19.42578125" style="898" customWidth="1"/>
    <col min="15366" max="15366" width="13.85546875" style="898" customWidth="1"/>
    <col min="15367" max="15367" width="15.140625" style="898" bestFit="1" customWidth="1"/>
    <col min="15368" max="15368" width="13.140625" style="898" customWidth="1"/>
    <col min="15369" max="15369" width="13.7109375" style="898" customWidth="1"/>
    <col min="15370" max="15616" width="9.140625" style="898"/>
    <col min="15617" max="15617" width="5.85546875" style="898" customWidth="1"/>
    <col min="15618" max="15618" width="45.7109375" style="898" customWidth="1"/>
    <col min="15619" max="15619" width="12.42578125" style="898" customWidth="1"/>
    <col min="15620" max="15620" width="13.85546875" style="898" customWidth="1"/>
    <col min="15621" max="15621" width="19.42578125" style="898" customWidth="1"/>
    <col min="15622" max="15622" width="13.85546875" style="898" customWidth="1"/>
    <col min="15623" max="15623" width="15.140625" style="898" bestFit="1" customWidth="1"/>
    <col min="15624" max="15624" width="13.140625" style="898" customWidth="1"/>
    <col min="15625" max="15625" width="13.7109375" style="898" customWidth="1"/>
    <col min="15626" max="15872" width="9.140625" style="898"/>
    <col min="15873" max="15873" width="5.85546875" style="898" customWidth="1"/>
    <col min="15874" max="15874" width="45.7109375" style="898" customWidth="1"/>
    <col min="15875" max="15875" width="12.42578125" style="898" customWidth="1"/>
    <col min="15876" max="15876" width="13.85546875" style="898" customWidth="1"/>
    <col min="15877" max="15877" width="19.42578125" style="898" customWidth="1"/>
    <col min="15878" max="15878" width="13.85546875" style="898" customWidth="1"/>
    <col min="15879" max="15879" width="15.140625" style="898" bestFit="1" customWidth="1"/>
    <col min="15880" max="15880" width="13.140625" style="898" customWidth="1"/>
    <col min="15881" max="15881" width="13.7109375" style="898" customWidth="1"/>
    <col min="15882" max="16128" width="9.140625" style="898"/>
    <col min="16129" max="16129" width="5.85546875" style="898" customWidth="1"/>
    <col min="16130" max="16130" width="45.7109375" style="898" customWidth="1"/>
    <col min="16131" max="16131" width="12.42578125" style="898" customWidth="1"/>
    <col min="16132" max="16132" width="13.85546875" style="898" customWidth="1"/>
    <col min="16133" max="16133" width="19.42578125" style="898" customWidth="1"/>
    <col min="16134" max="16134" width="13.85546875" style="898" customWidth="1"/>
    <col min="16135" max="16135" width="15.140625" style="898" bestFit="1" customWidth="1"/>
    <col min="16136" max="16136" width="13.140625" style="898" customWidth="1"/>
    <col min="16137" max="16137" width="13.7109375" style="898" customWidth="1"/>
    <col min="16138" max="16384" width="9.140625" style="898"/>
  </cols>
  <sheetData>
    <row r="1" spans="1:256" ht="18.75" x14ac:dyDescent="0.3">
      <c r="A1" s="944" t="s">
        <v>1411</v>
      </c>
      <c r="B1" s="944"/>
      <c r="C1" s="944"/>
      <c r="D1" s="944"/>
      <c r="E1" s="944"/>
      <c r="F1" s="944"/>
      <c r="G1" s="944"/>
      <c r="H1" s="944"/>
      <c r="I1" s="944"/>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c r="CE1" s="897"/>
      <c r="CF1" s="897"/>
      <c r="CG1" s="897"/>
      <c r="CH1" s="897"/>
      <c r="CI1" s="897"/>
      <c r="CJ1" s="897"/>
      <c r="CK1" s="897"/>
      <c r="CL1" s="897"/>
      <c r="CM1" s="897"/>
      <c r="CN1" s="897"/>
      <c r="CO1" s="897"/>
      <c r="CP1" s="897"/>
      <c r="CQ1" s="897"/>
      <c r="CR1" s="897"/>
      <c r="CS1" s="897"/>
      <c r="CT1" s="897"/>
      <c r="CU1" s="897"/>
      <c r="CV1" s="897"/>
      <c r="CW1" s="897"/>
      <c r="CX1" s="897"/>
      <c r="CY1" s="897"/>
      <c r="CZ1" s="897"/>
      <c r="DA1" s="897"/>
      <c r="DB1" s="897"/>
      <c r="DC1" s="897"/>
      <c r="DD1" s="897"/>
      <c r="DE1" s="897"/>
      <c r="DF1" s="897"/>
      <c r="DG1" s="897"/>
      <c r="DH1" s="897"/>
      <c r="DI1" s="897"/>
      <c r="DJ1" s="897"/>
      <c r="DK1" s="897"/>
      <c r="DL1" s="897"/>
      <c r="DM1" s="897"/>
      <c r="DN1" s="897"/>
      <c r="DO1" s="897"/>
      <c r="DP1" s="897"/>
      <c r="DQ1" s="897"/>
      <c r="DR1" s="897"/>
      <c r="DS1" s="897"/>
      <c r="DT1" s="897"/>
      <c r="DU1" s="897"/>
      <c r="DV1" s="897"/>
      <c r="DW1" s="897"/>
      <c r="DX1" s="897"/>
      <c r="DY1" s="897"/>
      <c r="DZ1" s="897"/>
      <c r="EA1" s="897"/>
      <c r="EB1" s="897"/>
      <c r="EC1" s="897"/>
      <c r="ED1" s="897"/>
      <c r="EE1" s="897"/>
      <c r="EF1" s="897"/>
      <c r="EG1" s="897"/>
      <c r="EH1" s="897"/>
      <c r="EI1" s="897"/>
      <c r="EJ1" s="897"/>
      <c r="EK1" s="897"/>
      <c r="EL1" s="897"/>
      <c r="EM1" s="897"/>
      <c r="EN1" s="897"/>
      <c r="EO1" s="897"/>
      <c r="EP1" s="897"/>
      <c r="EQ1" s="897"/>
      <c r="ER1" s="897"/>
      <c r="ES1" s="897"/>
      <c r="ET1" s="897"/>
      <c r="EU1" s="897"/>
      <c r="EV1" s="897"/>
      <c r="EW1" s="897"/>
      <c r="EX1" s="897"/>
      <c r="EY1" s="897"/>
      <c r="EZ1" s="897"/>
      <c r="FA1" s="897"/>
      <c r="FB1" s="897"/>
      <c r="FC1" s="897"/>
      <c r="FD1" s="897"/>
      <c r="FE1" s="897"/>
      <c r="FF1" s="897"/>
      <c r="FG1" s="897"/>
      <c r="FH1" s="897"/>
      <c r="FI1" s="897"/>
      <c r="FJ1" s="897"/>
      <c r="FK1" s="897"/>
      <c r="FL1" s="897"/>
      <c r="FM1" s="897"/>
      <c r="FN1" s="897"/>
      <c r="FO1" s="897"/>
      <c r="FP1" s="897"/>
      <c r="FQ1" s="897"/>
      <c r="FR1" s="897"/>
      <c r="FS1" s="897"/>
      <c r="FT1" s="897"/>
      <c r="FU1" s="897"/>
      <c r="FV1" s="897"/>
      <c r="FW1" s="897"/>
      <c r="FX1" s="897"/>
      <c r="FY1" s="897"/>
      <c r="FZ1" s="897"/>
      <c r="GA1" s="897"/>
      <c r="GB1" s="897"/>
      <c r="GC1" s="897"/>
      <c r="GD1" s="897"/>
      <c r="GE1" s="897"/>
      <c r="GF1" s="897"/>
      <c r="GG1" s="897"/>
      <c r="GH1" s="897"/>
      <c r="GI1" s="897"/>
      <c r="GJ1" s="897"/>
      <c r="GK1" s="897"/>
      <c r="GL1" s="897"/>
      <c r="GM1" s="897"/>
      <c r="GN1" s="897"/>
      <c r="GO1" s="897"/>
      <c r="GP1" s="897"/>
      <c r="GQ1" s="897"/>
      <c r="GR1" s="897"/>
      <c r="GS1" s="897"/>
      <c r="GT1" s="897"/>
      <c r="GU1" s="897"/>
      <c r="GV1" s="897"/>
      <c r="GW1" s="897"/>
      <c r="GX1" s="897"/>
      <c r="GY1" s="897"/>
      <c r="GZ1" s="897"/>
      <c r="HA1" s="897"/>
      <c r="HB1" s="897"/>
      <c r="HC1" s="897"/>
      <c r="HD1" s="897"/>
      <c r="HE1" s="897"/>
      <c r="HF1" s="897"/>
      <c r="HG1" s="897"/>
      <c r="HH1" s="897"/>
      <c r="HI1" s="897"/>
      <c r="HJ1" s="897"/>
      <c r="HK1" s="897"/>
      <c r="HL1" s="897"/>
      <c r="HM1" s="897"/>
      <c r="HN1" s="897"/>
      <c r="HO1" s="897"/>
      <c r="HP1" s="897"/>
      <c r="HQ1" s="897"/>
      <c r="HR1" s="897"/>
      <c r="HS1" s="897"/>
      <c r="HT1" s="897"/>
      <c r="HU1" s="897"/>
      <c r="HV1" s="897"/>
      <c r="HW1" s="897"/>
      <c r="HX1" s="897"/>
      <c r="HY1" s="897"/>
      <c r="HZ1" s="897"/>
      <c r="IA1" s="897"/>
      <c r="IB1" s="897"/>
      <c r="IC1" s="897"/>
      <c r="ID1" s="897"/>
      <c r="IE1" s="897"/>
      <c r="IF1" s="897"/>
      <c r="IG1" s="897"/>
      <c r="IH1" s="897"/>
      <c r="II1" s="897"/>
      <c r="IJ1" s="897"/>
      <c r="IK1" s="897"/>
      <c r="IL1" s="897"/>
      <c r="IM1" s="897"/>
      <c r="IN1" s="897"/>
      <c r="IO1" s="897"/>
      <c r="IP1" s="897"/>
      <c r="IQ1" s="897"/>
      <c r="IR1" s="897"/>
      <c r="IS1" s="897"/>
      <c r="IT1" s="897"/>
      <c r="IU1" s="897"/>
      <c r="IV1" s="897"/>
    </row>
    <row r="2" spans="1:256" ht="18.75" x14ac:dyDescent="0.3">
      <c r="A2" s="945" t="str">
        <f>+'Tong du toan'!A7:E7</f>
        <v>CÔNG TRÌNH : NÂNG CẤP, SỬA CHỮA ĐƯỜNG TRẦN QUANG DIỆM - HƯƠNG XUÂN</v>
      </c>
      <c r="B2" s="945"/>
      <c r="C2" s="945"/>
      <c r="D2" s="945"/>
      <c r="E2" s="945"/>
      <c r="F2" s="945"/>
      <c r="G2" s="945"/>
      <c r="H2" s="945"/>
      <c r="I2" s="945"/>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c r="BI2" s="899"/>
      <c r="BJ2" s="899"/>
      <c r="BK2" s="899"/>
      <c r="BL2" s="899"/>
      <c r="BM2" s="899"/>
      <c r="BN2" s="899"/>
      <c r="BO2" s="899"/>
      <c r="BP2" s="899"/>
      <c r="BQ2" s="899"/>
      <c r="BR2" s="899"/>
      <c r="BS2" s="899"/>
      <c r="BT2" s="899"/>
      <c r="BU2" s="899"/>
      <c r="BV2" s="899"/>
      <c r="BW2" s="899"/>
      <c r="BX2" s="899"/>
      <c r="BY2" s="899"/>
      <c r="BZ2" s="899"/>
      <c r="CA2" s="899"/>
      <c r="CB2" s="899"/>
      <c r="CC2" s="899"/>
      <c r="CD2" s="899"/>
      <c r="CE2" s="899"/>
      <c r="CF2" s="899"/>
      <c r="CG2" s="899"/>
      <c r="CH2" s="899"/>
      <c r="CI2" s="899"/>
      <c r="CJ2" s="899"/>
      <c r="CK2" s="899"/>
      <c r="CL2" s="899"/>
      <c r="CM2" s="899"/>
      <c r="CN2" s="899"/>
      <c r="CO2" s="899"/>
      <c r="CP2" s="899"/>
      <c r="CQ2" s="899"/>
      <c r="CR2" s="899"/>
      <c r="CS2" s="899"/>
      <c r="CT2" s="899"/>
      <c r="CU2" s="899"/>
      <c r="CV2" s="899"/>
      <c r="CW2" s="899"/>
      <c r="CX2" s="899"/>
      <c r="CY2" s="899"/>
      <c r="CZ2" s="899"/>
      <c r="DA2" s="899"/>
      <c r="DB2" s="899"/>
      <c r="DC2" s="899"/>
      <c r="DD2" s="899"/>
      <c r="DE2" s="899"/>
      <c r="DF2" s="899"/>
      <c r="DG2" s="899"/>
      <c r="DH2" s="899"/>
      <c r="DI2" s="899"/>
      <c r="DJ2" s="899"/>
      <c r="DK2" s="899"/>
      <c r="DL2" s="899"/>
      <c r="DM2" s="899"/>
      <c r="DN2" s="899"/>
      <c r="DO2" s="899"/>
      <c r="DP2" s="899"/>
      <c r="DQ2" s="899"/>
      <c r="DR2" s="899"/>
      <c r="DS2" s="899"/>
      <c r="DT2" s="899"/>
      <c r="DU2" s="899"/>
      <c r="DV2" s="899"/>
      <c r="DW2" s="899"/>
      <c r="DX2" s="899"/>
      <c r="DY2" s="899"/>
      <c r="DZ2" s="899"/>
      <c r="EA2" s="899"/>
      <c r="EB2" s="899"/>
      <c r="EC2" s="899"/>
      <c r="ED2" s="899"/>
      <c r="EE2" s="899"/>
      <c r="EF2" s="899"/>
      <c r="EG2" s="899"/>
      <c r="EH2" s="899"/>
      <c r="EI2" s="899"/>
      <c r="EJ2" s="899"/>
      <c r="EK2" s="899"/>
      <c r="EL2" s="899"/>
      <c r="EM2" s="899"/>
      <c r="EN2" s="899"/>
      <c r="EO2" s="899"/>
      <c r="EP2" s="899"/>
      <c r="EQ2" s="899"/>
      <c r="ER2" s="899"/>
      <c r="ES2" s="899"/>
      <c r="ET2" s="899"/>
      <c r="EU2" s="899"/>
      <c r="EV2" s="899"/>
      <c r="EW2" s="899"/>
      <c r="EX2" s="899"/>
      <c r="EY2" s="899"/>
      <c r="EZ2" s="899"/>
      <c r="FA2" s="899"/>
      <c r="FB2" s="899"/>
      <c r="FC2" s="899"/>
      <c r="FD2" s="899"/>
      <c r="FE2" s="899"/>
      <c r="FF2" s="899"/>
      <c r="FG2" s="899"/>
      <c r="FH2" s="899"/>
      <c r="FI2" s="899"/>
      <c r="FJ2" s="899"/>
      <c r="FK2" s="899"/>
      <c r="FL2" s="899"/>
      <c r="FM2" s="899"/>
      <c r="FN2" s="899"/>
      <c r="FO2" s="899"/>
      <c r="FP2" s="899"/>
      <c r="FQ2" s="899"/>
      <c r="FR2" s="899"/>
      <c r="FS2" s="899"/>
      <c r="FT2" s="899"/>
      <c r="FU2" s="899"/>
      <c r="FV2" s="899"/>
      <c r="FW2" s="899"/>
      <c r="FX2" s="899"/>
      <c r="FY2" s="899"/>
      <c r="FZ2" s="899"/>
      <c r="GA2" s="899"/>
      <c r="GB2" s="899"/>
      <c r="GC2" s="899"/>
      <c r="GD2" s="899"/>
      <c r="GE2" s="899"/>
      <c r="GF2" s="899"/>
      <c r="GG2" s="899"/>
      <c r="GH2" s="899"/>
      <c r="GI2" s="899"/>
      <c r="GJ2" s="899"/>
      <c r="GK2" s="899"/>
      <c r="GL2" s="899"/>
      <c r="GM2" s="899"/>
      <c r="GN2" s="899"/>
      <c r="GO2" s="899"/>
      <c r="GP2" s="899"/>
      <c r="GQ2" s="899"/>
      <c r="GR2" s="899"/>
      <c r="GS2" s="899"/>
      <c r="GT2" s="899"/>
      <c r="GU2" s="899"/>
      <c r="GV2" s="899"/>
      <c r="GW2" s="899"/>
      <c r="GX2" s="899"/>
      <c r="GY2" s="899"/>
      <c r="GZ2" s="899"/>
      <c r="HA2" s="899"/>
      <c r="HB2" s="899"/>
      <c r="HC2" s="899"/>
      <c r="HD2" s="899"/>
      <c r="HE2" s="899"/>
      <c r="HF2" s="899"/>
      <c r="HG2" s="899"/>
      <c r="HH2" s="899"/>
      <c r="HI2" s="899"/>
      <c r="HJ2" s="899"/>
      <c r="HK2" s="899"/>
      <c r="HL2" s="899"/>
      <c r="HM2" s="899"/>
      <c r="HN2" s="899"/>
      <c r="HO2" s="899"/>
      <c r="HP2" s="899"/>
      <c r="HQ2" s="899"/>
      <c r="HR2" s="899"/>
      <c r="HS2" s="899"/>
      <c r="HT2" s="899"/>
      <c r="HU2" s="899"/>
      <c r="HV2" s="899"/>
      <c r="HW2" s="899"/>
      <c r="HX2" s="899"/>
      <c r="HY2" s="899"/>
      <c r="HZ2" s="899"/>
      <c r="IA2" s="899"/>
      <c r="IB2" s="899"/>
      <c r="IC2" s="899"/>
      <c r="ID2" s="899"/>
      <c r="IE2" s="899"/>
      <c r="IF2" s="899"/>
      <c r="IG2" s="899"/>
      <c r="IH2" s="899"/>
      <c r="II2" s="899"/>
      <c r="IJ2" s="899"/>
      <c r="IK2" s="899"/>
      <c r="IL2" s="899"/>
      <c r="IM2" s="899"/>
      <c r="IN2" s="899"/>
      <c r="IO2" s="899"/>
      <c r="IP2" s="899"/>
      <c r="IQ2" s="899"/>
      <c r="IR2" s="899"/>
      <c r="IS2" s="899"/>
      <c r="IT2" s="899"/>
      <c r="IU2" s="899"/>
      <c r="IV2" s="899"/>
    </row>
    <row r="3" spans="1:256" ht="18.75" x14ac:dyDescent="0.3">
      <c r="A3" s="946" t="s">
        <v>1412</v>
      </c>
      <c r="B3" s="946"/>
      <c r="C3" s="946"/>
      <c r="D3" s="946"/>
      <c r="E3" s="946"/>
      <c r="F3" s="946"/>
      <c r="G3" s="946"/>
      <c r="H3" s="946"/>
      <c r="I3" s="946"/>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899"/>
      <c r="CS3" s="899"/>
      <c r="CT3" s="899"/>
      <c r="CU3" s="899"/>
      <c r="CV3" s="899"/>
      <c r="CW3" s="899"/>
      <c r="CX3" s="899"/>
      <c r="CY3" s="899"/>
      <c r="CZ3" s="899"/>
      <c r="DA3" s="899"/>
      <c r="DB3" s="899"/>
      <c r="DC3" s="899"/>
      <c r="DD3" s="899"/>
      <c r="DE3" s="899"/>
      <c r="DF3" s="899"/>
      <c r="DG3" s="899"/>
      <c r="DH3" s="899"/>
      <c r="DI3" s="899"/>
      <c r="DJ3" s="899"/>
      <c r="DK3" s="899"/>
      <c r="DL3" s="899"/>
      <c r="DM3" s="899"/>
      <c r="DN3" s="899"/>
      <c r="DO3" s="899"/>
      <c r="DP3" s="899"/>
      <c r="DQ3" s="899"/>
      <c r="DR3" s="899"/>
      <c r="DS3" s="899"/>
      <c r="DT3" s="899"/>
      <c r="DU3" s="899"/>
      <c r="DV3" s="899"/>
      <c r="DW3" s="899"/>
      <c r="DX3" s="899"/>
      <c r="DY3" s="899"/>
      <c r="DZ3" s="899"/>
      <c r="EA3" s="899"/>
      <c r="EB3" s="899"/>
      <c r="EC3" s="899"/>
      <c r="ED3" s="899"/>
      <c r="EE3" s="899"/>
      <c r="EF3" s="899"/>
      <c r="EG3" s="899"/>
      <c r="EH3" s="899"/>
      <c r="EI3" s="899"/>
      <c r="EJ3" s="899"/>
      <c r="EK3" s="899"/>
      <c r="EL3" s="899"/>
      <c r="EM3" s="899"/>
      <c r="EN3" s="899"/>
      <c r="EO3" s="899"/>
      <c r="EP3" s="899"/>
      <c r="EQ3" s="899"/>
      <c r="ER3" s="899"/>
      <c r="ES3" s="899"/>
      <c r="ET3" s="899"/>
      <c r="EU3" s="899"/>
      <c r="EV3" s="899"/>
      <c r="EW3" s="899"/>
      <c r="EX3" s="899"/>
      <c r="EY3" s="899"/>
      <c r="EZ3" s="899"/>
      <c r="FA3" s="899"/>
      <c r="FB3" s="899"/>
      <c r="FC3" s="899"/>
      <c r="FD3" s="899"/>
      <c r="FE3" s="899"/>
      <c r="FF3" s="899"/>
      <c r="FG3" s="899"/>
      <c r="FH3" s="899"/>
      <c r="FI3" s="899"/>
      <c r="FJ3" s="899"/>
      <c r="FK3" s="899"/>
      <c r="FL3" s="899"/>
      <c r="FM3" s="899"/>
      <c r="FN3" s="899"/>
      <c r="FO3" s="899"/>
      <c r="FP3" s="899"/>
      <c r="FQ3" s="899"/>
      <c r="FR3" s="899"/>
      <c r="FS3" s="899"/>
      <c r="FT3" s="899"/>
      <c r="FU3" s="899"/>
      <c r="FV3" s="899"/>
      <c r="FW3" s="899"/>
      <c r="FX3" s="899"/>
      <c r="FY3" s="899"/>
      <c r="FZ3" s="899"/>
      <c r="GA3" s="899"/>
      <c r="GB3" s="899"/>
      <c r="GC3" s="899"/>
      <c r="GD3" s="899"/>
      <c r="GE3" s="899"/>
      <c r="GF3" s="899"/>
      <c r="GG3" s="899"/>
      <c r="GH3" s="899"/>
      <c r="GI3" s="899"/>
      <c r="GJ3" s="899"/>
      <c r="GK3" s="899"/>
      <c r="GL3" s="899"/>
      <c r="GM3" s="899"/>
      <c r="GN3" s="899"/>
      <c r="GO3" s="899"/>
      <c r="GP3" s="899"/>
      <c r="GQ3" s="899"/>
      <c r="GR3" s="899"/>
      <c r="GS3" s="899"/>
      <c r="GT3" s="899"/>
      <c r="GU3" s="899"/>
      <c r="GV3" s="899"/>
      <c r="GW3" s="899"/>
      <c r="GX3" s="899"/>
      <c r="GY3" s="899"/>
      <c r="GZ3" s="899"/>
      <c r="HA3" s="899"/>
      <c r="HB3" s="899"/>
      <c r="HC3" s="899"/>
      <c r="HD3" s="899"/>
      <c r="HE3" s="899"/>
      <c r="HF3" s="899"/>
      <c r="HG3" s="899"/>
      <c r="HH3" s="899"/>
      <c r="HI3" s="899"/>
      <c r="HJ3" s="899"/>
      <c r="HK3" s="899"/>
      <c r="HL3" s="899"/>
      <c r="HM3" s="899"/>
      <c r="HN3" s="899"/>
      <c r="HO3" s="899"/>
      <c r="HP3" s="899"/>
      <c r="HQ3" s="899"/>
      <c r="HR3" s="899"/>
      <c r="HS3" s="899"/>
      <c r="HT3" s="899"/>
      <c r="HU3" s="899"/>
      <c r="HV3" s="899"/>
      <c r="HW3" s="899"/>
      <c r="HX3" s="899"/>
      <c r="HY3" s="899"/>
      <c r="HZ3" s="899"/>
      <c r="IA3" s="899"/>
      <c r="IB3" s="899"/>
      <c r="IC3" s="899"/>
      <c r="ID3" s="899"/>
      <c r="IE3" s="899"/>
      <c r="IF3" s="899"/>
      <c r="IG3" s="899"/>
      <c r="IH3" s="899"/>
      <c r="II3" s="899"/>
      <c r="IJ3" s="899"/>
      <c r="IK3" s="899"/>
      <c r="IL3" s="899"/>
      <c r="IM3" s="899"/>
      <c r="IN3" s="899"/>
      <c r="IO3" s="899"/>
      <c r="IP3" s="899"/>
      <c r="IQ3" s="899"/>
      <c r="IR3" s="899"/>
      <c r="IS3" s="899"/>
      <c r="IT3" s="899"/>
      <c r="IU3" s="899"/>
      <c r="IV3" s="899"/>
    </row>
    <row r="4" spans="1:256" x14ac:dyDescent="0.25">
      <c r="A4" s="900"/>
      <c r="B4" s="900"/>
      <c r="C4" s="900"/>
      <c r="D4" s="901"/>
      <c r="E4" s="902"/>
      <c r="F4" s="902"/>
      <c r="G4" s="902"/>
      <c r="H4" s="903"/>
      <c r="I4" s="903"/>
    </row>
    <row r="5" spans="1:256" ht="93.75" x14ac:dyDescent="0.3">
      <c r="A5" s="904" t="s">
        <v>1413</v>
      </c>
      <c r="B5" s="904" t="s">
        <v>1414</v>
      </c>
      <c r="C5" s="904" t="s">
        <v>1415</v>
      </c>
      <c r="D5" s="904" t="s">
        <v>1416</v>
      </c>
      <c r="E5" s="904" t="s">
        <v>1417</v>
      </c>
      <c r="F5" s="904" t="s">
        <v>1418</v>
      </c>
      <c r="G5" s="904" t="s">
        <v>1419</v>
      </c>
      <c r="H5" s="904" t="s">
        <v>1420</v>
      </c>
      <c r="I5" s="904" t="s">
        <v>1421</v>
      </c>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897"/>
      <c r="BX5" s="897"/>
      <c r="BY5" s="897"/>
      <c r="BZ5" s="897"/>
      <c r="CA5" s="897"/>
      <c r="CB5" s="897"/>
      <c r="CC5" s="897"/>
      <c r="CD5" s="897"/>
      <c r="CE5" s="897"/>
      <c r="CF5" s="897"/>
      <c r="CG5" s="897"/>
      <c r="CH5" s="897"/>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7"/>
      <c r="FB5" s="897"/>
      <c r="FC5" s="897"/>
      <c r="FD5" s="897"/>
      <c r="FE5" s="897"/>
      <c r="FF5" s="897"/>
      <c r="FG5" s="897"/>
      <c r="FH5" s="897"/>
      <c r="FI5" s="897"/>
      <c r="FJ5" s="897"/>
      <c r="FK5" s="897"/>
      <c r="FL5" s="897"/>
      <c r="FM5" s="897"/>
      <c r="FN5" s="897"/>
      <c r="FO5" s="897"/>
      <c r="FP5" s="897"/>
      <c r="FQ5" s="897"/>
      <c r="FR5" s="897"/>
      <c r="FS5" s="897"/>
      <c r="FT5" s="897"/>
      <c r="FU5" s="897"/>
      <c r="FV5" s="897"/>
      <c r="FW5" s="897"/>
      <c r="FX5" s="897"/>
      <c r="FY5" s="897"/>
      <c r="FZ5" s="897"/>
      <c r="GA5" s="897"/>
      <c r="GB5" s="897"/>
      <c r="GC5" s="897"/>
      <c r="GD5" s="897"/>
      <c r="GE5" s="897"/>
      <c r="GF5" s="897"/>
      <c r="GG5" s="897"/>
      <c r="GH5" s="897"/>
      <c r="GI5" s="897"/>
      <c r="GJ5" s="897"/>
      <c r="GK5" s="897"/>
      <c r="GL5" s="897"/>
      <c r="GM5" s="897"/>
      <c r="GN5" s="897"/>
      <c r="GO5" s="897"/>
      <c r="GP5" s="897"/>
      <c r="GQ5" s="897"/>
      <c r="GR5" s="897"/>
      <c r="GS5" s="897"/>
      <c r="GT5" s="897"/>
      <c r="GU5" s="897"/>
      <c r="GV5" s="897"/>
      <c r="GW5" s="897"/>
      <c r="GX5" s="897"/>
      <c r="GY5" s="897"/>
      <c r="GZ5" s="897"/>
      <c r="HA5" s="897"/>
      <c r="HB5" s="897"/>
      <c r="HC5" s="897"/>
      <c r="HD5" s="897"/>
      <c r="HE5" s="897"/>
      <c r="HF5" s="897"/>
      <c r="HG5" s="897"/>
      <c r="HH5" s="897"/>
      <c r="HI5" s="897"/>
      <c r="HJ5" s="897"/>
      <c r="HK5" s="897"/>
      <c r="HL5" s="897"/>
      <c r="HM5" s="897"/>
      <c r="HN5" s="897"/>
      <c r="HO5" s="897"/>
      <c r="HP5" s="897"/>
      <c r="HQ5" s="897"/>
      <c r="HR5" s="897"/>
      <c r="HS5" s="897"/>
      <c r="HT5" s="897"/>
      <c r="HU5" s="897"/>
      <c r="HV5" s="897"/>
      <c r="HW5" s="897"/>
      <c r="HX5" s="897"/>
      <c r="HY5" s="897"/>
      <c r="HZ5" s="897"/>
      <c r="IA5" s="897"/>
      <c r="IB5" s="897"/>
      <c r="IC5" s="897"/>
      <c r="ID5" s="897"/>
      <c r="IE5" s="897"/>
      <c r="IF5" s="897"/>
      <c r="IG5" s="897"/>
      <c r="IH5" s="897"/>
      <c r="II5" s="897"/>
      <c r="IJ5" s="897"/>
      <c r="IK5" s="897"/>
      <c r="IL5" s="897"/>
      <c r="IM5" s="897"/>
      <c r="IN5" s="897"/>
      <c r="IO5" s="897"/>
      <c r="IP5" s="897"/>
      <c r="IQ5" s="897"/>
      <c r="IR5" s="897"/>
      <c r="IS5" s="897"/>
      <c r="IT5" s="897"/>
      <c r="IU5" s="897"/>
      <c r="IV5" s="897"/>
    </row>
    <row r="6" spans="1:256" ht="18.75" x14ac:dyDescent="0.3">
      <c r="A6" s="905" t="s">
        <v>489</v>
      </c>
      <c r="B6" s="906" t="s">
        <v>1422</v>
      </c>
      <c r="C6" s="907">
        <f>+SUM(C7:C8)</f>
        <v>66730</v>
      </c>
      <c r="D6" s="947" t="s">
        <v>1435</v>
      </c>
      <c r="E6" s="908"/>
      <c r="F6" s="908"/>
      <c r="G6" s="908"/>
      <c r="H6" s="909"/>
      <c r="I6" s="909"/>
    </row>
    <row r="7" spans="1:256" ht="37.5" x14ac:dyDescent="0.3">
      <c r="A7" s="910" t="s">
        <v>47</v>
      </c>
      <c r="B7" s="911" t="s">
        <v>1423</v>
      </c>
      <c r="C7" s="912">
        <f>+'Tong du toan'!L19/1000</f>
        <v>62410</v>
      </c>
      <c r="D7" s="948"/>
      <c r="E7" s="913"/>
      <c r="F7" s="913"/>
      <c r="G7" s="914" t="s">
        <v>1424</v>
      </c>
      <c r="H7" s="915"/>
      <c r="I7" s="915"/>
    </row>
    <row r="8" spans="1:256" ht="37.5" x14ac:dyDescent="0.3">
      <c r="A8" s="910">
        <v>2</v>
      </c>
      <c r="B8" s="911" t="s">
        <v>1425</v>
      </c>
      <c r="C8" s="912">
        <f>+'Tong du toan'!L20/1000</f>
        <v>4320</v>
      </c>
      <c r="D8" s="948"/>
      <c r="E8" s="913"/>
      <c r="F8" s="913"/>
      <c r="G8" s="914" t="s">
        <v>1424</v>
      </c>
      <c r="H8" s="915"/>
      <c r="I8" s="915"/>
    </row>
    <row r="9" spans="1:256" ht="37.5" x14ac:dyDescent="0.3">
      <c r="A9" s="905" t="s">
        <v>548</v>
      </c>
      <c r="B9" s="916" t="s">
        <v>1426</v>
      </c>
      <c r="C9" s="907">
        <f>+SUM(C10:C12)</f>
        <v>958697</v>
      </c>
      <c r="D9" s="948"/>
      <c r="E9" s="908"/>
      <c r="F9" s="908"/>
      <c r="G9" s="908"/>
      <c r="H9" s="909"/>
      <c r="I9" s="909"/>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0"/>
      <c r="BJ9" s="900"/>
      <c r="BK9" s="900"/>
      <c r="BL9" s="900"/>
      <c r="BM9" s="900"/>
      <c r="BN9" s="900"/>
      <c r="BO9" s="900"/>
      <c r="BP9" s="900"/>
      <c r="BQ9" s="900"/>
      <c r="BR9" s="900"/>
      <c r="BS9" s="900"/>
      <c r="BT9" s="900"/>
      <c r="BU9" s="900"/>
      <c r="BV9" s="900"/>
      <c r="BW9" s="900"/>
      <c r="BX9" s="900"/>
      <c r="BY9" s="900"/>
      <c r="BZ9" s="900"/>
      <c r="CA9" s="900"/>
      <c r="CB9" s="900"/>
      <c r="CC9" s="900"/>
      <c r="CD9" s="900"/>
      <c r="CE9" s="900"/>
      <c r="CF9" s="900"/>
      <c r="CG9" s="900"/>
      <c r="CH9" s="900"/>
      <c r="CI9" s="900"/>
      <c r="CJ9" s="900"/>
      <c r="CK9" s="900"/>
      <c r="CL9" s="900"/>
      <c r="CM9" s="900"/>
      <c r="CN9" s="900"/>
      <c r="CO9" s="900"/>
      <c r="CP9" s="900"/>
      <c r="CQ9" s="900"/>
      <c r="CR9" s="900"/>
      <c r="CS9" s="900"/>
      <c r="CT9" s="900"/>
      <c r="CU9" s="900"/>
      <c r="CV9" s="900"/>
      <c r="CW9" s="900"/>
      <c r="CX9" s="900"/>
      <c r="CY9" s="900"/>
      <c r="CZ9" s="900"/>
      <c r="DA9" s="900"/>
      <c r="DB9" s="900"/>
      <c r="DC9" s="900"/>
      <c r="DD9" s="900"/>
      <c r="DE9" s="900"/>
      <c r="DF9" s="900"/>
      <c r="DG9" s="900"/>
      <c r="DH9" s="900"/>
      <c r="DI9" s="900"/>
      <c r="DJ9" s="900"/>
      <c r="DK9" s="900"/>
      <c r="DL9" s="900"/>
      <c r="DM9" s="900"/>
      <c r="DN9" s="900"/>
      <c r="DO9" s="900"/>
      <c r="DP9" s="900"/>
      <c r="DQ9" s="900"/>
      <c r="DR9" s="900"/>
      <c r="DS9" s="900"/>
      <c r="DT9" s="900"/>
      <c r="DU9" s="900"/>
      <c r="DV9" s="900"/>
      <c r="DW9" s="900"/>
      <c r="DX9" s="900"/>
      <c r="DY9" s="900"/>
      <c r="DZ9" s="900"/>
      <c r="EA9" s="900"/>
      <c r="EB9" s="900"/>
      <c r="EC9" s="900"/>
      <c r="ED9" s="900"/>
      <c r="EE9" s="900"/>
      <c r="EF9" s="900"/>
      <c r="EG9" s="900"/>
      <c r="EH9" s="900"/>
      <c r="EI9" s="900"/>
      <c r="EJ9" s="900"/>
      <c r="EK9" s="900"/>
      <c r="EL9" s="900"/>
      <c r="EM9" s="900"/>
      <c r="EN9" s="900"/>
      <c r="EO9" s="900"/>
      <c r="EP9" s="900"/>
      <c r="EQ9" s="900"/>
      <c r="ER9" s="900"/>
      <c r="ES9" s="900"/>
      <c r="ET9" s="900"/>
      <c r="EU9" s="900"/>
      <c r="EV9" s="900"/>
      <c r="EW9" s="900"/>
      <c r="EX9" s="900"/>
      <c r="EY9" s="900"/>
      <c r="EZ9" s="900"/>
      <c r="FA9" s="900"/>
      <c r="FB9" s="900"/>
      <c r="FC9" s="900"/>
      <c r="FD9" s="900"/>
      <c r="FE9" s="900"/>
      <c r="FF9" s="900"/>
      <c r="FG9" s="900"/>
      <c r="FH9" s="900"/>
      <c r="FI9" s="900"/>
      <c r="FJ9" s="900"/>
      <c r="FK9" s="900"/>
      <c r="FL9" s="900"/>
      <c r="FM9" s="900"/>
      <c r="FN9" s="900"/>
      <c r="FO9" s="900"/>
      <c r="FP9" s="900"/>
      <c r="FQ9" s="900"/>
      <c r="FR9" s="900"/>
      <c r="FS9" s="900"/>
      <c r="FT9" s="900"/>
      <c r="FU9" s="900"/>
      <c r="FV9" s="900"/>
      <c r="FW9" s="900"/>
      <c r="FX9" s="900"/>
      <c r="FY9" s="900"/>
      <c r="FZ9" s="900"/>
      <c r="GA9" s="900"/>
      <c r="GB9" s="900"/>
      <c r="GC9" s="900"/>
      <c r="GD9" s="900"/>
      <c r="GE9" s="900"/>
      <c r="GF9" s="900"/>
      <c r="GG9" s="900"/>
      <c r="GH9" s="900"/>
      <c r="GI9" s="900"/>
      <c r="GJ9" s="900"/>
      <c r="GK9" s="900"/>
      <c r="GL9" s="900"/>
      <c r="GM9" s="900"/>
      <c r="GN9" s="900"/>
      <c r="GO9" s="900"/>
      <c r="GP9" s="900"/>
      <c r="GQ9" s="900"/>
      <c r="GR9" s="900"/>
      <c r="GS9" s="900"/>
      <c r="GT9" s="900"/>
      <c r="GU9" s="900"/>
      <c r="GV9" s="900"/>
      <c r="GW9" s="900"/>
      <c r="GX9" s="900"/>
      <c r="GY9" s="900"/>
      <c r="GZ9" s="900"/>
      <c r="HA9" s="900"/>
      <c r="HB9" s="900"/>
      <c r="HC9" s="900"/>
      <c r="HD9" s="900"/>
      <c r="HE9" s="900"/>
      <c r="HF9" s="900"/>
      <c r="HG9" s="900"/>
      <c r="HH9" s="900"/>
      <c r="HI9" s="900"/>
      <c r="HJ9" s="900"/>
      <c r="HK9" s="900"/>
      <c r="HL9" s="900"/>
      <c r="HM9" s="900"/>
      <c r="HN9" s="900"/>
      <c r="HO9" s="900"/>
      <c r="HP9" s="900"/>
      <c r="HQ9" s="900"/>
      <c r="HR9" s="900"/>
      <c r="HS9" s="900"/>
      <c r="HT9" s="900"/>
      <c r="HU9" s="900"/>
      <c r="HV9" s="900"/>
      <c r="HW9" s="900"/>
      <c r="HX9" s="900"/>
      <c r="HY9" s="900"/>
      <c r="HZ9" s="900"/>
      <c r="IA9" s="900"/>
      <c r="IB9" s="900"/>
      <c r="IC9" s="900"/>
      <c r="ID9" s="900"/>
      <c r="IE9" s="900"/>
      <c r="IF9" s="900"/>
      <c r="IG9" s="900"/>
      <c r="IH9" s="900"/>
      <c r="II9" s="900"/>
      <c r="IJ9" s="900"/>
      <c r="IK9" s="900"/>
      <c r="IL9" s="900"/>
      <c r="IM9" s="900"/>
      <c r="IN9" s="900"/>
      <c r="IO9" s="900"/>
      <c r="IP9" s="900"/>
      <c r="IQ9" s="900"/>
      <c r="IR9" s="900"/>
      <c r="IS9" s="900"/>
      <c r="IT9" s="900"/>
      <c r="IU9" s="900"/>
      <c r="IV9" s="900"/>
    </row>
    <row r="10" spans="1:256" ht="18.75" x14ac:dyDescent="0.25">
      <c r="A10" s="910">
        <v>1</v>
      </c>
      <c r="B10" s="911" t="s">
        <v>1427</v>
      </c>
      <c r="C10" s="912">
        <f>+'Tong du toan'!L21/1000</f>
        <v>926698</v>
      </c>
      <c r="D10" s="948"/>
      <c r="E10" s="917" t="s">
        <v>1428</v>
      </c>
      <c r="F10" s="918"/>
      <c r="G10" s="917" t="s">
        <v>1436</v>
      </c>
      <c r="H10" s="919" t="s">
        <v>1429</v>
      </c>
      <c r="I10" s="919" t="s">
        <v>1437</v>
      </c>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c r="BG10" s="920"/>
      <c r="BH10" s="920"/>
      <c r="BI10" s="920"/>
      <c r="BJ10" s="920"/>
      <c r="BK10" s="920"/>
      <c r="BL10" s="920"/>
      <c r="BM10" s="920"/>
      <c r="BN10" s="920"/>
      <c r="BO10" s="920"/>
      <c r="BP10" s="920"/>
      <c r="BQ10" s="920"/>
      <c r="BR10" s="920"/>
      <c r="BS10" s="920"/>
      <c r="BT10" s="920"/>
      <c r="BU10" s="920"/>
      <c r="BV10" s="920"/>
      <c r="BW10" s="920"/>
      <c r="BX10" s="920"/>
      <c r="BY10" s="920"/>
      <c r="BZ10" s="920"/>
      <c r="CA10" s="920"/>
      <c r="CB10" s="920"/>
      <c r="CC10" s="920"/>
      <c r="CD10" s="920"/>
      <c r="CE10" s="920"/>
      <c r="CF10" s="920"/>
      <c r="CG10" s="920"/>
      <c r="CH10" s="920"/>
      <c r="CI10" s="920"/>
      <c r="CJ10" s="920"/>
      <c r="CK10" s="920"/>
      <c r="CL10" s="920"/>
      <c r="CM10" s="920"/>
      <c r="CN10" s="920"/>
      <c r="CO10" s="920"/>
      <c r="CP10" s="920"/>
      <c r="CQ10" s="920"/>
      <c r="CR10" s="920"/>
      <c r="CS10" s="920"/>
      <c r="CT10" s="920"/>
      <c r="CU10" s="920"/>
      <c r="CV10" s="920"/>
      <c r="CW10" s="920"/>
      <c r="CX10" s="920"/>
      <c r="CY10" s="920"/>
      <c r="CZ10" s="920"/>
      <c r="DA10" s="920"/>
      <c r="DB10" s="920"/>
      <c r="DC10" s="920"/>
      <c r="DD10" s="920"/>
      <c r="DE10" s="920"/>
      <c r="DF10" s="920"/>
      <c r="DG10" s="920"/>
      <c r="DH10" s="920"/>
      <c r="DI10" s="920"/>
      <c r="DJ10" s="920"/>
      <c r="DK10" s="920"/>
      <c r="DL10" s="920"/>
      <c r="DM10" s="920"/>
      <c r="DN10" s="920"/>
      <c r="DO10" s="920"/>
      <c r="DP10" s="920"/>
      <c r="DQ10" s="920"/>
      <c r="DR10" s="920"/>
      <c r="DS10" s="920"/>
      <c r="DT10" s="920"/>
      <c r="DU10" s="920"/>
      <c r="DV10" s="920"/>
      <c r="DW10" s="920"/>
      <c r="DX10" s="920"/>
      <c r="DY10" s="920"/>
      <c r="DZ10" s="920"/>
      <c r="EA10" s="920"/>
      <c r="EB10" s="920"/>
      <c r="EC10" s="920"/>
      <c r="ED10" s="920"/>
      <c r="EE10" s="920"/>
      <c r="EF10" s="920"/>
      <c r="EG10" s="920"/>
      <c r="EH10" s="920"/>
      <c r="EI10" s="920"/>
      <c r="EJ10" s="920"/>
      <c r="EK10" s="920"/>
      <c r="EL10" s="920"/>
      <c r="EM10" s="920"/>
      <c r="EN10" s="920"/>
      <c r="EO10" s="920"/>
      <c r="EP10" s="920"/>
      <c r="EQ10" s="920"/>
      <c r="ER10" s="920"/>
      <c r="ES10" s="920"/>
      <c r="ET10" s="920"/>
      <c r="EU10" s="920"/>
      <c r="EV10" s="920"/>
      <c r="EW10" s="920"/>
      <c r="EX10" s="920"/>
      <c r="EY10" s="920"/>
      <c r="EZ10" s="920"/>
      <c r="FA10" s="920"/>
      <c r="FB10" s="920"/>
      <c r="FC10" s="920"/>
      <c r="FD10" s="920"/>
      <c r="FE10" s="920"/>
      <c r="FF10" s="920"/>
      <c r="FG10" s="920"/>
      <c r="FH10" s="920"/>
      <c r="FI10" s="920"/>
      <c r="FJ10" s="920"/>
      <c r="FK10" s="920"/>
      <c r="FL10" s="920"/>
      <c r="FM10" s="920"/>
      <c r="FN10" s="920"/>
      <c r="FO10" s="920"/>
      <c r="FP10" s="920"/>
      <c r="FQ10" s="920"/>
      <c r="FR10" s="920"/>
      <c r="FS10" s="920"/>
      <c r="FT10" s="920"/>
      <c r="FU10" s="920"/>
      <c r="FV10" s="920"/>
      <c r="FW10" s="920"/>
      <c r="FX10" s="920"/>
      <c r="FY10" s="920"/>
      <c r="FZ10" s="920"/>
      <c r="GA10" s="920"/>
      <c r="GB10" s="920"/>
      <c r="GC10" s="920"/>
      <c r="GD10" s="920"/>
      <c r="GE10" s="920"/>
      <c r="GF10" s="920"/>
      <c r="GG10" s="920"/>
      <c r="GH10" s="920"/>
      <c r="GI10" s="920"/>
      <c r="GJ10" s="920"/>
      <c r="GK10" s="920"/>
      <c r="GL10" s="920"/>
      <c r="GM10" s="920"/>
      <c r="GN10" s="920"/>
      <c r="GO10" s="920"/>
      <c r="GP10" s="920"/>
      <c r="GQ10" s="920"/>
      <c r="GR10" s="920"/>
      <c r="GS10" s="920"/>
      <c r="GT10" s="920"/>
      <c r="GU10" s="920"/>
      <c r="GV10" s="920"/>
      <c r="GW10" s="920"/>
      <c r="GX10" s="920"/>
      <c r="GY10" s="920"/>
      <c r="GZ10" s="920"/>
      <c r="HA10" s="920"/>
      <c r="HB10" s="920"/>
      <c r="HC10" s="920"/>
      <c r="HD10" s="920"/>
      <c r="HE10" s="920"/>
      <c r="HF10" s="920"/>
      <c r="HG10" s="920"/>
      <c r="HH10" s="920"/>
      <c r="HI10" s="920"/>
      <c r="HJ10" s="920"/>
      <c r="HK10" s="920"/>
      <c r="HL10" s="920"/>
      <c r="HM10" s="920"/>
      <c r="HN10" s="920"/>
      <c r="HO10" s="920"/>
      <c r="HP10" s="920"/>
      <c r="HQ10" s="920"/>
      <c r="HR10" s="920"/>
      <c r="HS10" s="920"/>
      <c r="HT10" s="920"/>
      <c r="HU10" s="920"/>
      <c r="HV10" s="920"/>
      <c r="HW10" s="920"/>
      <c r="HX10" s="920"/>
      <c r="HY10" s="920"/>
      <c r="HZ10" s="920"/>
      <c r="IA10" s="920"/>
      <c r="IB10" s="920"/>
      <c r="IC10" s="920"/>
      <c r="ID10" s="920"/>
      <c r="IE10" s="920"/>
      <c r="IF10" s="920"/>
      <c r="IG10" s="920"/>
      <c r="IH10" s="920"/>
      <c r="II10" s="920"/>
      <c r="IJ10" s="920"/>
      <c r="IK10" s="920"/>
      <c r="IL10" s="920"/>
      <c r="IM10" s="920"/>
      <c r="IN10" s="920"/>
      <c r="IO10" s="920"/>
      <c r="IP10" s="920"/>
      <c r="IQ10" s="920"/>
      <c r="IR10" s="920"/>
      <c r="IS10" s="920"/>
      <c r="IT10" s="920"/>
      <c r="IU10" s="920"/>
      <c r="IV10" s="920"/>
    </row>
    <row r="11" spans="1:256" ht="18.75" x14ac:dyDescent="0.25">
      <c r="A11" s="910">
        <v>2</v>
      </c>
      <c r="B11" s="911" t="s">
        <v>1430</v>
      </c>
      <c r="C11" s="912">
        <f>+'Tong du toan'!L22/1000</f>
        <v>29682</v>
      </c>
      <c r="D11" s="948"/>
      <c r="E11" s="917" t="s">
        <v>1428</v>
      </c>
      <c r="F11" s="918"/>
      <c r="G11" s="917" t="s">
        <v>1436</v>
      </c>
      <c r="H11" s="919" t="s">
        <v>1429</v>
      </c>
      <c r="I11" s="919" t="s">
        <v>1437</v>
      </c>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c r="BE11" s="920"/>
      <c r="BF11" s="920"/>
      <c r="BG11" s="920"/>
      <c r="BH11" s="920"/>
      <c r="BI11" s="920"/>
      <c r="BJ11" s="920"/>
      <c r="BK11" s="920"/>
      <c r="BL11" s="920"/>
      <c r="BM11" s="920"/>
      <c r="BN11" s="920"/>
      <c r="BO11" s="920"/>
      <c r="BP11" s="920"/>
      <c r="BQ11" s="920"/>
      <c r="BR11" s="920"/>
      <c r="BS11" s="920"/>
      <c r="BT11" s="920"/>
      <c r="BU11" s="920"/>
      <c r="BV11" s="920"/>
      <c r="BW11" s="920"/>
      <c r="BX11" s="920"/>
      <c r="BY11" s="920"/>
      <c r="BZ11" s="920"/>
      <c r="CA11" s="920"/>
      <c r="CB11" s="920"/>
      <c r="CC11" s="920"/>
      <c r="CD11" s="920"/>
      <c r="CE11" s="920"/>
      <c r="CF11" s="920"/>
      <c r="CG11" s="920"/>
      <c r="CH11" s="920"/>
      <c r="CI11" s="920"/>
      <c r="CJ11" s="920"/>
      <c r="CK11" s="920"/>
      <c r="CL11" s="920"/>
      <c r="CM11" s="920"/>
      <c r="CN11" s="920"/>
      <c r="CO11" s="920"/>
      <c r="CP11" s="920"/>
      <c r="CQ11" s="920"/>
      <c r="CR11" s="920"/>
      <c r="CS11" s="920"/>
      <c r="CT11" s="920"/>
      <c r="CU11" s="920"/>
      <c r="CV11" s="920"/>
      <c r="CW11" s="920"/>
      <c r="CX11" s="920"/>
      <c r="CY11" s="920"/>
      <c r="CZ11" s="920"/>
      <c r="DA11" s="920"/>
      <c r="DB11" s="920"/>
      <c r="DC11" s="920"/>
      <c r="DD11" s="920"/>
      <c r="DE11" s="920"/>
      <c r="DF11" s="920"/>
      <c r="DG11" s="920"/>
      <c r="DH11" s="920"/>
      <c r="DI11" s="920"/>
      <c r="DJ11" s="920"/>
      <c r="DK11" s="920"/>
      <c r="DL11" s="920"/>
      <c r="DM11" s="920"/>
      <c r="DN11" s="920"/>
      <c r="DO11" s="920"/>
      <c r="DP11" s="920"/>
      <c r="DQ11" s="920"/>
      <c r="DR11" s="920"/>
      <c r="DS11" s="920"/>
      <c r="DT11" s="920"/>
      <c r="DU11" s="920"/>
      <c r="DV11" s="920"/>
      <c r="DW11" s="920"/>
      <c r="DX11" s="920"/>
      <c r="DY11" s="920"/>
      <c r="DZ11" s="920"/>
      <c r="EA11" s="920"/>
      <c r="EB11" s="920"/>
      <c r="EC11" s="920"/>
      <c r="ED11" s="920"/>
      <c r="EE11" s="920"/>
      <c r="EF11" s="920"/>
      <c r="EG11" s="920"/>
      <c r="EH11" s="920"/>
      <c r="EI11" s="920"/>
      <c r="EJ11" s="920"/>
      <c r="EK11" s="920"/>
      <c r="EL11" s="920"/>
      <c r="EM11" s="920"/>
      <c r="EN11" s="920"/>
      <c r="EO11" s="920"/>
      <c r="EP11" s="920"/>
      <c r="EQ11" s="920"/>
      <c r="ER11" s="920"/>
      <c r="ES11" s="920"/>
      <c r="ET11" s="920"/>
      <c r="EU11" s="920"/>
      <c r="EV11" s="920"/>
      <c r="EW11" s="920"/>
      <c r="EX11" s="920"/>
      <c r="EY11" s="920"/>
      <c r="EZ11" s="920"/>
      <c r="FA11" s="920"/>
      <c r="FB11" s="920"/>
      <c r="FC11" s="920"/>
      <c r="FD11" s="920"/>
      <c r="FE11" s="920"/>
      <c r="FF11" s="920"/>
      <c r="FG11" s="920"/>
      <c r="FH11" s="920"/>
      <c r="FI11" s="920"/>
      <c r="FJ11" s="920"/>
      <c r="FK11" s="920"/>
      <c r="FL11" s="920"/>
      <c r="FM11" s="920"/>
      <c r="FN11" s="920"/>
      <c r="FO11" s="920"/>
      <c r="FP11" s="920"/>
      <c r="FQ11" s="920"/>
      <c r="FR11" s="920"/>
      <c r="FS11" s="920"/>
      <c r="FT11" s="920"/>
      <c r="FU11" s="920"/>
      <c r="FV11" s="920"/>
      <c r="FW11" s="920"/>
      <c r="FX11" s="920"/>
      <c r="FY11" s="920"/>
      <c r="FZ11" s="920"/>
      <c r="GA11" s="920"/>
      <c r="GB11" s="920"/>
      <c r="GC11" s="920"/>
      <c r="GD11" s="920"/>
      <c r="GE11" s="920"/>
      <c r="GF11" s="920"/>
      <c r="GG11" s="920"/>
      <c r="GH11" s="920"/>
      <c r="GI11" s="920"/>
      <c r="GJ11" s="920"/>
      <c r="GK11" s="920"/>
      <c r="GL11" s="920"/>
      <c r="GM11" s="920"/>
      <c r="GN11" s="920"/>
      <c r="GO11" s="920"/>
      <c r="GP11" s="920"/>
      <c r="GQ11" s="920"/>
      <c r="GR11" s="920"/>
      <c r="GS11" s="920"/>
      <c r="GT11" s="920"/>
      <c r="GU11" s="920"/>
      <c r="GV11" s="920"/>
      <c r="GW11" s="920"/>
      <c r="GX11" s="920"/>
      <c r="GY11" s="920"/>
      <c r="GZ11" s="920"/>
      <c r="HA11" s="920"/>
      <c r="HB11" s="920"/>
      <c r="HC11" s="920"/>
      <c r="HD11" s="920"/>
      <c r="HE11" s="920"/>
      <c r="HF11" s="920"/>
      <c r="HG11" s="920"/>
      <c r="HH11" s="920"/>
      <c r="HI11" s="920"/>
      <c r="HJ11" s="920"/>
      <c r="HK11" s="920"/>
      <c r="HL11" s="920"/>
      <c r="HM11" s="920"/>
      <c r="HN11" s="920"/>
      <c r="HO11" s="920"/>
      <c r="HP11" s="920"/>
      <c r="HQ11" s="920"/>
      <c r="HR11" s="920"/>
      <c r="HS11" s="920"/>
      <c r="HT11" s="920"/>
      <c r="HU11" s="920"/>
      <c r="HV11" s="920"/>
      <c r="HW11" s="920"/>
      <c r="HX11" s="920"/>
      <c r="HY11" s="920"/>
      <c r="HZ11" s="920"/>
      <c r="IA11" s="920"/>
      <c r="IB11" s="920"/>
      <c r="IC11" s="920"/>
      <c r="ID11" s="920"/>
      <c r="IE11" s="920"/>
      <c r="IF11" s="920"/>
      <c r="IG11" s="920"/>
      <c r="IH11" s="920"/>
      <c r="II11" s="920"/>
      <c r="IJ11" s="920"/>
      <c r="IK11" s="920"/>
      <c r="IL11" s="920"/>
      <c r="IM11" s="920"/>
      <c r="IN11" s="920"/>
      <c r="IO11" s="920"/>
      <c r="IP11" s="920"/>
      <c r="IQ11" s="920"/>
      <c r="IR11" s="920"/>
      <c r="IS11" s="920"/>
      <c r="IT11" s="920"/>
      <c r="IU11" s="920"/>
      <c r="IV11" s="920"/>
    </row>
    <row r="12" spans="1:256" ht="18.75" x14ac:dyDescent="0.25">
      <c r="A12" s="910">
        <v>3</v>
      </c>
      <c r="B12" s="911" t="s">
        <v>1431</v>
      </c>
      <c r="C12" s="912">
        <f>+'Tong du toan'!L23/1000</f>
        <v>2317</v>
      </c>
      <c r="D12" s="948"/>
      <c r="E12" s="917" t="s">
        <v>1428</v>
      </c>
      <c r="F12" s="918"/>
      <c r="G12" s="917" t="s">
        <v>1436</v>
      </c>
      <c r="H12" s="919" t="s">
        <v>1429</v>
      </c>
      <c r="I12" s="919" t="s">
        <v>1437</v>
      </c>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c r="BE12" s="920"/>
      <c r="BF12" s="920"/>
      <c r="BG12" s="920"/>
      <c r="BH12" s="920"/>
      <c r="BI12" s="920"/>
      <c r="BJ12" s="920"/>
      <c r="BK12" s="920"/>
      <c r="BL12" s="920"/>
      <c r="BM12" s="920"/>
      <c r="BN12" s="920"/>
      <c r="BO12" s="920"/>
      <c r="BP12" s="920"/>
      <c r="BQ12" s="920"/>
      <c r="BR12" s="920"/>
      <c r="BS12" s="920"/>
      <c r="BT12" s="920"/>
      <c r="BU12" s="920"/>
      <c r="BV12" s="920"/>
      <c r="BW12" s="920"/>
      <c r="BX12" s="920"/>
      <c r="BY12" s="920"/>
      <c r="BZ12" s="920"/>
      <c r="CA12" s="920"/>
      <c r="CB12" s="920"/>
      <c r="CC12" s="920"/>
      <c r="CD12" s="920"/>
      <c r="CE12" s="920"/>
      <c r="CF12" s="920"/>
      <c r="CG12" s="920"/>
      <c r="CH12" s="920"/>
      <c r="CI12" s="920"/>
      <c r="CJ12" s="920"/>
      <c r="CK12" s="920"/>
      <c r="CL12" s="920"/>
      <c r="CM12" s="920"/>
      <c r="CN12" s="920"/>
      <c r="CO12" s="920"/>
      <c r="CP12" s="920"/>
      <c r="CQ12" s="920"/>
      <c r="CR12" s="920"/>
      <c r="CS12" s="920"/>
      <c r="CT12" s="920"/>
      <c r="CU12" s="920"/>
      <c r="CV12" s="920"/>
      <c r="CW12" s="920"/>
      <c r="CX12" s="920"/>
      <c r="CY12" s="920"/>
      <c r="CZ12" s="920"/>
      <c r="DA12" s="920"/>
      <c r="DB12" s="920"/>
      <c r="DC12" s="920"/>
      <c r="DD12" s="920"/>
      <c r="DE12" s="920"/>
      <c r="DF12" s="920"/>
      <c r="DG12" s="920"/>
      <c r="DH12" s="920"/>
      <c r="DI12" s="920"/>
      <c r="DJ12" s="920"/>
      <c r="DK12" s="920"/>
      <c r="DL12" s="920"/>
      <c r="DM12" s="920"/>
      <c r="DN12" s="920"/>
      <c r="DO12" s="920"/>
      <c r="DP12" s="920"/>
      <c r="DQ12" s="920"/>
      <c r="DR12" s="920"/>
      <c r="DS12" s="920"/>
      <c r="DT12" s="920"/>
      <c r="DU12" s="920"/>
      <c r="DV12" s="920"/>
      <c r="DW12" s="920"/>
      <c r="DX12" s="920"/>
      <c r="DY12" s="920"/>
      <c r="DZ12" s="920"/>
      <c r="EA12" s="920"/>
      <c r="EB12" s="920"/>
      <c r="EC12" s="920"/>
      <c r="ED12" s="920"/>
      <c r="EE12" s="920"/>
      <c r="EF12" s="920"/>
      <c r="EG12" s="920"/>
      <c r="EH12" s="920"/>
      <c r="EI12" s="920"/>
      <c r="EJ12" s="920"/>
      <c r="EK12" s="920"/>
      <c r="EL12" s="920"/>
      <c r="EM12" s="920"/>
      <c r="EN12" s="920"/>
      <c r="EO12" s="920"/>
      <c r="EP12" s="920"/>
      <c r="EQ12" s="920"/>
      <c r="ER12" s="920"/>
      <c r="ES12" s="920"/>
      <c r="ET12" s="920"/>
      <c r="EU12" s="920"/>
      <c r="EV12" s="920"/>
      <c r="EW12" s="920"/>
      <c r="EX12" s="920"/>
      <c r="EY12" s="920"/>
      <c r="EZ12" s="920"/>
      <c r="FA12" s="920"/>
      <c r="FB12" s="920"/>
      <c r="FC12" s="920"/>
      <c r="FD12" s="920"/>
      <c r="FE12" s="920"/>
      <c r="FF12" s="920"/>
      <c r="FG12" s="920"/>
      <c r="FH12" s="920"/>
      <c r="FI12" s="920"/>
      <c r="FJ12" s="920"/>
      <c r="FK12" s="920"/>
      <c r="FL12" s="920"/>
      <c r="FM12" s="920"/>
      <c r="FN12" s="920"/>
      <c r="FO12" s="920"/>
      <c r="FP12" s="920"/>
      <c r="FQ12" s="920"/>
      <c r="FR12" s="920"/>
      <c r="FS12" s="920"/>
      <c r="FT12" s="920"/>
      <c r="FU12" s="920"/>
      <c r="FV12" s="920"/>
      <c r="FW12" s="920"/>
      <c r="FX12" s="920"/>
      <c r="FY12" s="920"/>
      <c r="FZ12" s="920"/>
      <c r="GA12" s="920"/>
      <c r="GB12" s="920"/>
      <c r="GC12" s="920"/>
      <c r="GD12" s="920"/>
      <c r="GE12" s="920"/>
      <c r="GF12" s="920"/>
      <c r="GG12" s="920"/>
      <c r="GH12" s="920"/>
      <c r="GI12" s="920"/>
      <c r="GJ12" s="920"/>
      <c r="GK12" s="920"/>
      <c r="GL12" s="920"/>
      <c r="GM12" s="920"/>
      <c r="GN12" s="920"/>
      <c r="GO12" s="920"/>
      <c r="GP12" s="920"/>
      <c r="GQ12" s="920"/>
      <c r="GR12" s="920"/>
      <c r="GS12" s="920"/>
      <c r="GT12" s="920"/>
      <c r="GU12" s="920"/>
      <c r="GV12" s="920"/>
      <c r="GW12" s="920"/>
      <c r="GX12" s="920"/>
      <c r="GY12" s="920"/>
      <c r="GZ12" s="920"/>
      <c r="HA12" s="920"/>
      <c r="HB12" s="920"/>
      <c r="HC12" s="920"/>
      <c r="HD12" s="920"/>
      <c r="HE12" s="920"/>
      <c r="HF12" s="920"/>
      <c r="HG12" s="920"/>
      <c r="HH12" s="920"/>
      <c r="HI12" s="920"/>
      <c r="HJ12" s="920"/>
      <c r="HK12" s="920"/>
      <c r="HL12" s="920"/>
      <c r="HM12" s="920"/>
      <c r="HN12" s="920"/>
      <c r="HO12" s="920"/>
      <c r="HP12" s="920"/>
      <c r="HQ12" s="920"/>
      <c r="HR12" s="920"/>
      <c r="HS12" s="920"/>
      <c r="HT12" s="920"/>
      <c r="HU12" s="920"/>
      <c r="HV12" s="920"/>
      <c r="HW12" s="920"/>
      <c r="HX12" s="920"/>
      <c r="HY12" s="920"/>
      <c r="HZ12" s="920"/>
      <c r="IA12" s="920"/>
      <c r="IB12" s="920"/>
      <c r="IC12" s="920"/>
      <c r="ID12" s="920"/>
      <c r="IE12" s="920"/>
      <c r="IF12" s="920"/>
      <c r="IG12" s="920"/>
      <c r="IH12" s="920"/>
      <c r="II12" s="920"/>
      <c r="IJ12" s="920"/>
      <c r="IK12" s="920"/>
      <c r="IL12" s="920"/>
      <c r="IM12" s="920"/>
      <c r="IN12" s="920"/>
      <c r="IO12" s="920"/>
      <c r="IP12" s="920"/>
      <c r="IQ12" s="920"/>
      <c r="IR12" s="920"/>
      <c r="IS12" s="920"/>
      <c r="IT12" s="920"/>
      <c r="IU12" s="920"/>
      <c r="IV12" s="920"/>
    </row>
    <row r="13" spans="1:256" ht="56.25" x14ac:dyDescent="0.3">
      <c r="A13" s="905" t="s">
        <v>309</v>
      </c>
      <c r="B13" s="916" t="s">
        <v>1432</v>
      </c>
      <c r="C13" s="907">
        <f>+C14</f>
        <v>32851</v>
      </c>
      <c r="D13" s="948"/>
      <c r="E13" s="908"/>
      <c r="F13" s="908"/>
      <c r="G13" s="908"/>
      <c r="H13" s="909"/>
      <c r="I13" s="909"/>
    </row>
    <row r="14" spans="1:256" ht="56.25" x14ac:dyDescent="0.3">
      <c r="A14" s="921">
        <v>1</v>
      </c>
      <c r="B14" s="922" t="s">
        <v>1438</v>
      </c>
      <c r="C14" s="923">
        <f>+'Tong du toan'!L24/1000</f>
        <v>32851</v>
      </c>
      <c r="D14" s="948"/>
      <c r="E14" s="924" t="s">
        <v>1433</v>
      </c>
      <c r="F14" s="925"/>
      <c r="G14" s="925"/>
      <c r="H14" s="926"/>
      <c r="I14" s="926"/>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7"/>
      <c r="AY14" s="927"/>
      <c r="AZ14" s="927"/>
      <c r="BA14" s="927"/>
      <c r="BB14" s="927"/>
      <c r="BC14" s="927"/>
      <c r="BD14" s="927"/>
      <c r="BE14" s="927"/>
      <c r="BF14" s="927"/>
      <c r="BG14" s="927"/>
      <c r="BH14" s="927"/>
      <c r="BI14" s="927"/>
      <c r="BJ14" s="927"/>
      <c r="BK14" s="927"/>
      <c r="BL14" s="927"/>
      <c r="BM14" s="927"/>
      <c r="BN14" s="927"/>
      <c r="BO14" s="927"/>
      <c r="BP14" s="927"/>
      <c r="BQ14" s="927"/>
      <c r="BR14" s="927"/>
      <c r="BS14" s="927"/>
      <c r="BT14" s="927"/>
      <c r="BU14" s="927"/>
      <c r="BV14" s="927"/>
      <c r="BW14" s="927"/>
      <c r="BX14" s="927"/>
      <c r="BY14" s="927"/>
      <c r="BZ14" s="927"/>
      <c r="CA14" s="927"/>
      <c r="CB14" s="927"/>
      <c r="CC14" s="927"/>
      <c r="CD14" s="927"/>
      <c r="CE14" s="927"/>
      <c r="CF14" s="927"/>
      <c r="CG14" s="927"/>
      <c r="CH14" s="927"/>
      <c r="CI14" s="927"/>
      <c r="CJ14" s="927"/>
      <c r="CK14" s="927"/>
      <c r="CL14" s="927"/>
      <c r="CM14" s="927"/>
      <c r="CN14" s="927"/>
      <c r="CO14" s="927"/>
      <c r="CP14" s="927"/>
      <c r="CQ14" s="927"/>
      <c r="CR14" s="927"/>
      <c r="CS14" s="927"/>
      <c r="CT14" s="927"/>
      <c r="CU14" s="927"/>
      <c r="CV14" s="927"/>
      <c r="CW14" s="927"/>
      <c r="CX14" s="927"/>
      <c r="CY14" s="927"/>
      <c r="CZ14" s="927"/>
      <c r="DA14" s="927"/>
      <c r="DB14" s="927"/>
      <c r="DC14" s="927"/>
      <c r="DD14" s="927"/>
      <c r="DE14" s="927"/>
      <c r="DF14" s="927"/>
      <c r="DG14" s="927"/>
      <c r="DH14" s="927"/>
      <c r="DI14" s="927"/>
      <c r="DJ14" s="927"/>
      <c r="DK14" s="927"/>
      <c r="DL14" s="927"/>
      <c r="DM14" s="927"/>
      <c r="DN14" s="927"/>
      <c r="DO14" s="927"/>
      <c r="DP14" s="927"/>
      <c r="DQ14" s="927"/>
      <c r="DR14" s="927"/>
      <c r="DS14" s="927"/>
      <c r="DT14" s="927"/>
      <c r="DU14" s="927"/>
      <c r="DV14" s="927"/>
      <c r="DW14" s="927"/>
      <c r="DX14" s="927"/>
      <c r="DY14" s="927"/>
      <c r="DZ14" s="927"/>
      <c r="EA14" s="927"/>
      <c r="EB14" s="927"/>
      <c r="EC14" s="927"/>
      <c r="ED14" s="927"/>
      <c r="EE14" s="927"/>
      <c r="EF14" s="927"/>
      <c r="EG14" s="927"/>
      <c r="EH14" s="927"/>
      <c r="EI14" s="927"/>
      <c r="EJ14" s="927"/>
      <c r="EK14" s="927"/>
      <c r="EL14" s="927"/>
      <c r="EM14" s="927"/>
      <c r="EN14" s="927"/>
      <c r="EO14" s="927"/>
      <c r="EP14" s="927"/>
      <c r="EQ14" s="927"/>
      <c r="ER14" s="927"/>
      <c r="ES14" s="927"/>
      <c r="ET14" s="927"/>
      <c r="EU14" s="927"/>
      <c r="EV14" s="927"/>
      <c r="EW14" s="927"/>
      <c r="EX14" s="927"/>
      <c r="EY14" s="927"/>
      <c r="EZ14" s="927"/>
      <c r="FA14" s="927"/>
      <c r="FB14" s="927"/>
      <c r="FC14" s="927"/>
      <c r="FD14" s="927"/>
      <c r="FE14" s="927"/>
      <c r="FF14" s="927"/>
      <c r="FG14" s="927"/>
      <c r="FH14" s="927"/>
      <c r="FI14" s="927"/>
      <c r="FJ14" s="927"/>
      <c r="FK14" s="927"/>
      <c r="FL14" s="927"/>
      <c r="FM14" s="927"/>
      <c r="FN14" s="927"/>
      <c r="FO14" s="927"/>
      <c r="FP14" s="927"/>
      <c r="FQ14" s="927"/>
      <c r="FR14" s="927"/>
      <c r="FS14" s="927"/>
      <c r="FT14" s="927"/>
      <c r="FU14" s="927"/>
      <c r="FV14" s="927"/>
      <c r="FW14" s="927"/>
      <c r="FX14" s="927"/>
      <c r="FY14" s="927"/>
      <c r="FZ14" s="927"/>
      <c r="GA14" s="927"/>
      <c r="GB14" s="927"/>
      <c r="GC14" s="927"/>
      <c r="GD14" s="927"/>
      <c r="GE14" s="927"/>
      <c r="GF14" s="927"/>
      <c r="GG14" s="927"/>
      <c r="GH14" s="927"/>
      <c r="GI14" s="927"/>
      <c r="GJ14" s="927"/>
      <c r="GK14" s="927"/>
      <c r="GL14" s="927"/>
      <c r="GM14" s="927"/>
      <c r="GN14" s="927"/>
      <c r="GO14" s="927"/>
      <c r="GP14" s="927"/>
      <c r="GQ14" s="927"/>
      <c r="GR14" s="927"/>
      <c r="GS14" s="927"/>
      <c r="GT14" s="927"/>
      <c r="GU14" s="927"/>
      <c r="GV14" s="927"/>
      <c r="GW14" s="927"/>
      <c r="GX14" s="927"/>
      <c r="GY14" s="927"/>
      <c r="GZ14" s="927"/>
      <c r="HA14" s="927"/>
      <c r="HB14" s="927"/>
      <c r="HC14" s="927"/>
      <c r="HD14" s="927"/>
      <c r="HE14" s="927"/>
      <c r="HF14" s="927"/>
      <c r="HG14" s="927"/>
      <c r="HH14" s="927"/>
      <c r="HI14" s="927"/>
      <c r="HJ14" s="927"/>
      <c r="HK14" s="927"/>
      <c r="HL14" s="927"/>
      <c r="HM14" s="927"/>
      <c r="HN14" s="927"/>
      <c r="HO14" s="927"/>
      <c r="HP14" s="927"/>
      <c r="HQ14" s="927"/>
      <c r="HR14" s="927"/>
      <c r="HS14" s="927"/>
      <c r="HT14" s="927"/>
      <c r="HU14" s="927"/>
      <c r="HV14" s="927"/>
      <c r="HW14" s="927"/>
      <c r="HX14" s="927"/>
      <c r="HY14" s="927"/>
      <c r="HZ14" s="927"/>
      <c r="IA14" s="927"/>
      <c r="IB14" s="927"/>
      <c r="IC14" s="927"/>
      <c r="ID14" s="927"/>
      <c r="IE14" s="927"/>
      <c r="IF14" s="927"/>
      <c r="IG14" s="927"/>
      <c r="IH14" s="927"/>
      <c r="II14" s="927"/>
      <c r="IJ14" s="927"/>
      <c r="IK14" s="927"/>
      <c r="IL14" s="927"/>
      <c r="IM14" s="927"/>
      <c r="IN14" s="927"/>
      <c r="IO14" s="927"/>
      <c r="IP14" s="927"/>
      <c r="IQ14" s="927"/>
      <c r="IR14" s="927"/>
      <c r="IS14" s="927"/>
      <c r="IT14" s="927"/>
      <c r="IU14" s="927"/>
      <c r="IV14" s="927"/>
    </row>
    <row r="15" spans="1:256" ht="18.75" x14ac:dyDescent="0.3">
      <c r="A15" s="928" t="s">
        <v>609</v>
      </c>
      <c r="B15" s="929" t="s">
        <v>1434</v>
      </c>
      <c r="C15" s="930">
        <f>+'Tong du toan'!L25/1000</f>
        <v>71722</v>
      </c>
      <c r="D15" s="931"/>
      <c r="E15" s="932"/>
      <c r="F15" s="932"/>
      <c r="G15" s="932"/>
      <c r="H15" s="933"/>
      <c r="I15" s="933"/>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934"/>
      <c r="BS15" s="934"/>
      <c r="BT15" s="934"/>
      <c r="BU15" s="934"/>
      <c r="BV15" s="934"/>
      <c r="BW15" s="934"/>
      <c r="BX15" s="934"/>
      <c r="BY15" s="934"/>
      <c r="BZ15" s="934"/>
      <c r="CA15" s="934"/>
      <c r="CB15" s="934"/>
      <c r="CC15" s="934"/>
      <c r="CD15" s="934"/>
      <c r="CE15" s="934"/>
      <c r="CF15" s="934"/>
      <c r="CG15" s="934"/>
      <c r="CH15" s="934"/>
      <c r="CI15" s="934"/>
      <c r="CJ15" s="934"/>
      <c r="CK15" s="934"/>
      <c r="CL15" s="934"/>
      <c r="CM15" s="934"/>
      <c r="CN15" s="934"/>
      <c r="CO15" s="934"/>
      <c r="CP15" s="934"/>
      <c r="CQ15" s="934"/>
      <c r="CR15" s="934"/>
      <c r="CS15" s="934"/>
      <c r="CT15" s="934"/>
      <c r="CU15" s="934"/>
      <c r="CV15" s="934"/>
      <c r="CW15" s="934"/>
      <c r="CX15" s="934"/>
      <c r="CY15" s="934"/>
      <c r="CZ15" s="934"/>
      <c r="DA15" s="934"/>
      <c r="DB15" s="934"/>
      <c r="DC15" s="934"/>
      <c r="DD15" s="934"/>
      <c r="DE15" s="934"/>
      <c r="DF15" s="934"/>
      <c r="DG15" s="934"/>
      <c r="DH15" s="934"/>
      <c r="DI15" s="934"/>
      <c r="DJ15" s="934"/>
      <c r="DK15" s="934"/>
      <c r="DL15" s="934"/>
      <c r="DM15" s="934"/>
      <c r="DN15" s="934"/>
      <c r="DO15" s="934"/>
      <c r="DP15" s="934"/>
      <c r="DQ15" s="934"/>
      <c r="DR15" s="934"/>
      <c r="DS15" s="934"/>
      <c r="DT15" s="934"/>
      <c r="DU15" s="934"/>
      <c r="DV15" s="934"/>
      <c r="DW15" s="934"/>
      <c r="DX15" s="934"/>
      <c r="DY15" s="934"/>
      <c r="DZ15" s="934"/>
      <c r="EA15" s="934"/>
      <c r="EB15" s="934"/>
      <c r="EC15" s="934"/>
      <c r="ED15" s="934"/>
      <c r="EE15" s="934"/>
      <c r="EF15" s="934"/>
      <c r="EG15" s="934"/>
      <c r="EH15" s="934"/>
      <c r="EI15" s="934"/>
      <c r="EJ15" s="934"/>
      <c r="EK15" s="934"/>
      <c r="EL15" s="934"/>
      <c r="EM15" s="934"/>
      <c r="EN15" s="934"/>
      <c r="EO15" s="934"/>
      <c r="EP15" s="934"/>
      <c r="EQ15" s="934"/>
      <c r="ER15" s="934"/>
      <c r="ES15" s="934"/>
      <c r="ET15" s="934"/>
      <c r="EU15" s="934"/>
      <c r="EV15" s="934"/>
      <c r="EW15" s="934"/>
      <c r="EX15" s="934"/>
      <c r="EY15" s="934"/>
      <c r="EZ15" s="934"/>
      <c r="FA15" s="934"/>
      <c r="FB15" s="934"/>
      <c r="FC15" s="934"/>
      <c r="FD15" s="934"/>
      <c r="FE15" s="934"/>
      <c r="FF15" s="934"/>
      <c r="FG15" s="934"/>
      <c r="FH15" s="934"/>
      <c r="FI15" s="934"/>
      <c r="FJ15" s="934"/>
      <c r="FK15" s="934"/>
      <c r="FL15" s="934"/>
      <c r="FM15" s="934"/>
      <c r="FN15" s="934"/>
      <c r="FO15" s="934"/>
      <c r="FP15" s="934"/>
      <c r="FQ15" s="934"/>
      <c r="FR15" s="934"/>
      <c r="FS15" s="934"/>
      <c r="FT15" s="934"/>
      <c r="FU15" s="934"/>
      <c r="FV15" s="934"/>
      <c r="FW15" s="934"/>
      <c r="FX15" s="934"/>
      <c r="FY15" s="934"/>
      <c r="FZ15" s="934"/>
      <c r="GA15" s="934"/>
      <c r="GB15" s="934"/>
      <c r="GC15" s="934"/>
      <c r="GD15" s="934"/>
      <c r="GE15" s="934"/>
      <c r="GF15" s="934"/>
      <c r="GG15" s="934"/>
      <c r="GH15" s="934"/>
      <c r="GI15" s="934"/>
      <c r="GJ15" s="934"/>
      <c r="GK15" s="934"/>
      <c r="GL15" s="934"/>
      <c r="GM15" s="934"/>
      <c r="GN15" s="934"/>
      <c r="GO15" s="934"/>
      <c r="GP15" s="934"/>
      <c r="GQ15" s="934"/>
      <c r="GR15" s="934"/>
      <c r="GS15" s="934"/>
      <c r="GT15" s="934"/>
      <c r="GU15" s="934"/>
      <c r="GV15" s="934"/>
      <c r="GW15" s="934"/>
      <c r="GX15" s="934"/>
      <c r="GY15" s="934"/>
      <c r="GZ15" s="934"/>
      <c r="HA15" s="934"/>
      <c r="HB15" s="934"/>
      <c r="HC15" s="934"/>
      <c r="HD15" s="934"/>
      <c r="HE15" s="934"/>
      <c r="HF15" s="934"/>
      <c r="HG15" s="934"/>
      <c r="HH15" s="934"/>
      <c r="HI15" s="934"/>
      <c r="HJ15" s="934"/>
      <c r="HK15" s="934"/>
      <c r="HL15" s="934"/>
      <c r="HM15" s="934"/>
      <c r="HN15" s="934"/>
      <c r="HO15" s="934"/>
      <c r="HP15" s="934"/>
      <c r="HQ15" s="934"/>
      <c r="HR15" s="934"/>
      <c r="HS15" s="934"/>
      <c r="HT15" s="934"/>
      <c r="HU15" s="934"/>
      <c r="HV15" s="934"/>
      <c r="HW15" s="934"/>
      <c r="HX15" s="934"/>
      <c r="HY15" s="934"/>
      <c r="HZ15" s="934"/>
      <c r="IA15" s="934"/>
      <c r="IB15" s="934"/>
      <c r="IC15" s="934"/>
      <c r="ID15" s="934"/>
      <c r="IE15" s="934"/>
      <c r="IF15" s="934"/>
      <c r="IG15" s="934"/>
      <c r="IH15" s="934"/>
      <c r="II15" s="934"/>
      <c r="IJ15" s="934"/>
      <c r="IK15" s="934"/>
      <c r="IL15" s="934"/>
      <c r="IM15" s="934"/>
      <c r="IN15" s="934"/>
      <c r="IO15" s="934"/>
      <c r="IP15" s="934"/>
      <c r="IQ15" s="934"/>
      <c r="IR15" s="934"/>
      <c r="IS15" s="934"/>
      <c r="IT15" s="934"/>
      <c r="IU15" s="934"/>
      <c r="IV15" s="934"/>
    </row>
    <row r="16" spans="1:256" ht="18.75" x14ac:dyDescent="0.3">
      <c r="A16" s="935" t="s">
        <v>98</v>
      </c>
      <c r="B16" s="916" t="s">
        <v>1123</v>
      </c>
      <c r="C16" s="907">
        <f>+C13+C9+C6+C15</f>
        <v>1130000</v>
      </c>
      <c r="D16" s="936"/>
      <c r="E16" s="913"/>
      <c r="F16" s="913"/>
      <c r="G16" s="913"/>
      <c r="H16" s="915"/>
      <c r="I16" s="915"/>
    </row>
  </sheetData>
  <mergeCells count="4">
    <mergeCell ref="A1:I1"/>
    <mergeCell ref="A2:I2"/>
    <mergeCell ref="A3:I3"/>
    <mergeCell ref="D6:D14"/>
  </mergeCells>
  <pageMargins left="0.2" right="0.2" top="0.5" bottom="0.25" header="0.3" footer="0.3"/>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
  <sheetViews>
    <sheetView showZeros="0" workbookViewId="0"/>
  </sheetViews>
  <sheetFormatPr defaultColWidth="9.42578125" defaultRowHeight="15" x14ac:dyDescent="0.25"/>
  <sheetData/>
  <pageMargins left="1.18" right="0.59" top="0.79" bottom="0.79"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6"/>
  <sheetViews>
    <sheetView showZeros="0" topLeftCell="B1" workbookViewId="0">
      <selection sqref="A1:J1"/>
    </sheetView>
  </sheetViews>
  <sheetFormatPr defaultRowHeight="15" x14ac:dyDescent="0.25"/>
  <cols>
    <col min="1" max="1" width="8.85546875" hidden="1" customWidth="1"/>
    <col min="2" max="2" width="3.85546875" bestFit="1" customWidth="1"/>
    <col min="3" max="3" width="8.85546875" style="53" hidden="1" customWidth="1"/>
    <col min="4" max="4" width="12.85546875" style="53" customWidth="1"/>
    <col min="5" max="5" width="102.85546875" bestFit="1" customWidth="1"/>
    <col min="6" max="10" width="12.85546875" customWidth="1"/>
  </cols>
  <sheetData>
    <row r="1" spans="1:27" ht="18.75" x14ac:dyDescent="0.3">
      <c r="A1" s="983" t="s">
        <v>124</v>
      </c>
      <c r="B1" s="983"/>
      <c r="C1" s="983"/>
      <c r="D1" s="983"/>
      <c r="E1" s="983"/>
      <c r="F1" s="983"/>
      <c r="G1" s="983"/>
      <c r="H1" s="983"/>
      <c r="I1" s="983"/>
      <c r="J1" s="983"/>
    </row>
    <row r="2" spans="1:27" x14ac:dyDescent="0.25">
      <c r="A2" s="1000" t="s">
        <v>315</v>
      </c>
      <c r="B2" s="1000"/>
      <c r="C2" s="1000"/>
      <c r="D2" s="1000"/>
      <c r="E2" s="1000"/>
      <c r="F2" s="1000"/>
      <c r="G2" s="1000"/>
      <c r="H2" s="1000"/>
      <c r="I2" s="1000"/>
      <c r="J2" s="1000"/>
    </row>
    <row r="3" spans="1:27" x14ac:dyDescent="0.25">
      <c r="A3" s="1000" t="s">
        <v>284</v>
      </c>
      <c r="B3" s="1000"/>
      <c r="C3" s="1000"/>
      <c r="D3" s="1000"/>
      <c r="E3" s="1000"/>
      <c r="F3" s="1000"/>
      <c r="G3" s="1000"/>
      <c r="H3" s="1000"/>
      <c r="I3" s="1000"/>
      <c r="J3" s="1000"/>
    </row>
    <row r="4" spans="1:27" x14ac:dyDescent="0.25">
      <c r="A4" s="1142" t="s">
        <v>98</v>
      </c>
      <c r="B4" s="1143"/>
      <c r="C4" s="1143"/>
      <c r="D4" s="1143"/>
      <c r="E4" s="1143"/>
      <c r="F4" s="1143"/>
      <c r="G4" s="1143"/>
      <c r="H4" s="1143"/>
      <c r="I4" s="1143"/>
      <c r="J4" s="1143"/>
      <c r="K4" s="676"/>
      <c r="L4" s="676"/>
      <c r="M4" s="676"/>
      <c r="N4" s="676"/>
      <c r="O4" s="676"/>
      <c r="P4" s="676"/>
      <c r="Q4" s="676"/>
      <c r="R4" s="676"/>
      <c r="S4" s="676"/>
      <c r="T4" s="676"/>
      <c r="U4" s="676"/>
      <c r="V4" s="676"/>
      <c r="W4" s="676"/>
      <c r="X4" s="676"/>
      <c r="Y4" s="676"/>
      <c r="Z4" s="676"/>
      <c r="AA4" s="676"/>
    </row>
    <row r="5" spans="1:27" ht="28.5" x14ac:dyDescent="0.25">
      <c r="A5" s="737"/>
      <c r="B5" s="225" t="s">
        <v>386</v>
      </c>
      <c r="C5" s="520" t="s">
        <v>217</v>
      </c>
      <c r="D5" s="520" t="s">
        <v>793</v>
      </c>
      <c r="E5" s="225" t="s">
        <v>64</v>
      </c>
      <c r="F5" s="225" t="s">
        <v>1136</v>
      </c>
      <c r="G5" s="225" t="s">
        <v>1243</v>
      </c>
      <c r="H5" s="225" t="s">
        <v>822</v>
      </c>
      <c r="I5" s="225" t="s">
        <v>972</v>
      </c>
      <c r="J5" s="225" t="s">
        <v>120</v>
      </c>
      <c r="K5" s="676"/>
      <c r="L5" s="676"/>
      <c r="M5" s="676"/>
      <c r="N5" s="676"/>
      <c r="O5" s="676"/>
      <c r="P5" s="676"/>
      <c r="Q5" s="676"/>
      <c r="R5" s="676"/>
      <c r="S5" s="676"/>
      <c r="T5" s="676"/>
      <c r="U5" s="676"/>
      <c r="V5" s="676"/>
      <c r="W5" s="676"/>
      <c r="X5" s="676"/>
      <c r="Y5" s="676"/>
      <c r="Z5" s="676"/>
      <c r="AA5" s="676"/>
    </row>
    <row r="6" spans="1:27" x14ac:dyDescent="0.25">
      <c r="A6" s="89"/>
      <c r="B6" s="318">
        <v>1</v>
      </c>
      <c r="C6" s="149" t="str">
        <f>'Du toan chi tiet'!C8</f>
        <v>AD.23263</v>
      </c>
      <c r="D6" s="149" t="str">
        <f>'Du toan chi tiet'!C8</f>
        <v>AD.23263</v>
      </c>
      <c r="E6" s="665" t="str">
        <f>'Du toan chi tiet'!D8</f>
        <v>Rải thảm mặt đường Carboncor Asphalt, bằng phương pháp thủ cơ giới, chiều dày mặt đường đã lèn ép 3cm</v>
      </c>
      <c r="F6" s="318" t="str">
        <f>'Du toan chi tiet'!E8</f>
        <v>m2</v>
      </c>
      <c r="G6" s="56"/>
      <c r="H6" s="435"/>
      <c r="I6" s="589"/>
      <c r="J6" s="367">
        <f>J7+J10+J12</f>
        <v>227666.70271500002</v>
      </c>
      <c r="K6" s="676"/>
      <c r="L6" s="676"/>
      <c r="M6" s="676"/>
      <c r="N6" s="676"/>
      <c r="O6" s="676"/>
      <c r="P6" s="676"/>
      <c r="Q6" s="676"/>
      <c r="R6" s="676"/>
      <c r="S6" s="676"/>
      <c r="T6" s="676"/>
      <c r="U6" s="676"/>
      <c r="V6" s="676"/>
      <c r="W6" s="676"/>
      <c r="X6" s="676"/>
      <c r="Y6" s="676"/>
      <c r="Z6" s="676"/>
      <c r="AA6" s="676"/>
    </row>
    <row r="7" spans="1:27" x14ac:dyDescent="0.25">
      <c r="A7" s="98"/>
      <c r="B7" s="380"/>
      <c r="C7" s="251" t="s">
        <v>98</v>
      </c>
      <c r="D7" s="251" t="s">
        <v>98</v>
      </c>
      <c r="E7" s="449" t="s">
        <v>547</v>
      </c>
      <c r="F7" s="380" t="s">
        <v>962</v>
      </c>
      <c r="G7" s="607"/>
      <c r="H7" s="511"/>
      <c r="I7" s="684"/>
      <c r="J7" s="511">
        <f>SUM(J8:J9)</f>
        <v>222467.38400000002</v>
      </c>
      <c r="K7" s="676"/>
      <c r="L7" s="676"/>
      <c r="M7" s="676"/>
      <c r="N7" s="676"/>
      <c r="O7" s="676"/>
      <c r="P7" s="676"/>
      <c r="Q7" s="676"/>
      <c r="R7" s="676"/>
      <c r="S7" s="676"/>
      <c r="T7" s="676"/>
      <c r="U7" s="676"/>
      <c r="V7" s="676"/>
      <c r="W7" s="676"/>
      <c r="X7" s="676"/>
      <c r="Y7" s="676"/>
      <c r="Z7" s="676"/>
      <c r="AA7" s="676"/>
    </row>
    <row r="8" spans="1:27" x14ac:dyDescent="0.25">
      <c r="A8" s="139"/>
      <c r="B8" s="32"/>
      <c r="C8" s="644" t="s">
        <v>98</v>
      </c>
      <c r="D8" s="507" t="s">
        <v>1256</v>
      </c>
      <c r="E8" s="107" t="str">
        <f>" - " &amp; 'Giá VL'!E6</f>
        <v xml:space="preserve"> - Carboncor Asphalt (loại CA 9,5)</v>
      </c>
      <c r="F8" s="32" t="str">
        <f>'Giá VL'!F6</f>
        <v>tấn</v>
      </c>
      <c r="G8" s="270">
        <f>'Phan tich don gia'!G8</f>
        <v>5.8200000000000002E-2</v>
      </c>
      <c r="H8" s="179">
        <f>'Giá VL'!V6</f>
        <v>3822120</v>
      </c>
      <c r="I8" s="347">
        <f>'Du toan chi tiet'!V8</f>
        <v>1</v>
      </c>
      <c r="J8" s="179">
        <f t="shared" ref="J8:J9" si="0">PRODUCT(G8,H8,I8)</f>
        <v>222447.38400000002</v>
      </c>
      <c r="K8" s="676"/>
      <c r="L8" s="676"/>
      <c r="M8" s="676"/>
      <c r="N8" s="676"/>
      <c r="O8" s="676"/>
      <c r="P8" s="676"/>
      <c r="Q8" s="676"/>
      <c r="R8" s="676"/>
      <c r="S8" s="676"/>
      <c r="T8" s="676"/>
      <c r="U8" s="676"/>
      <c r="V8" s="676"/>
      <c r="W8" s="676"/>
      <c r="X8" s="676"/>
      <c r="Y8" s="676"/>
      <c r="Z8" s="676"/>
      <c r="AA8" s="676"/>
    </row>
    <row r="9" spans="1:27" x14ac:dyDescent="0.25">
      <c r="A9" s="139"/>
      <c r="B9" s="32"/>
      <c r="C9" s="644" t="s">
        <v>98</v>
      </c>
      <c r="D9" s="507" t="s">
        <v>956</v>
      </c>
      <c r="E9" s="107" t="str">
        <f>" - " &amp; 'Giá VL'!E23</f>
        <v xml:space="preserve"> - Nước</v>
      </c>
      <c r="F9" s="32" t="str">
        <f>'Giá VL'!F23</f>
        <v>lít</v>
      </c>
      <c r="G9" s="270">
        <f>'Phan tich don gia'!G9</f>
        <v>2</v>
      </c>
      <c r="H9" s="179">
        <f>'Giá VL'!V23</f>
        <v>10</v>
      </c>
      <c r="I9" s="347">
        <f>'Du toan chi tiet'!V8</f>
        <v>1</v>
      </c>
      <c r="J9" s="179">
        <f t="shared" si="0"/>
        <v>20</v>
      </c>
      <c r="K9" s="676"/>
      <c r="L9" s="676"/>
      <c r="M9" s="676"/>
      <c r="N9" s="676"/>
      <c r="O9" s="676"/>
      <c r="P9" s="676"/>
      <c r="Q9" s="676"/>
      <c r="R9" s="676"/>
      <c r="S9" s="676"/>
      <c r="T9" s="676"/>
      <c r="U9" s="676"/>
      <c r="V9" s="676"/>
      <c r="W9" s="676"/>
      <c r="X9" s="676"/>
      <c r="Y9" s="676"/>
      <c r="Z9" s="676"/>
      <c r="AA9" s="676"/>
    </row>
    <row r="10" spans="1:27" x14ac:dyDescent="0.25">
      <c r="A10" s="98"/>
      <c r="B10" s="380"/>
      <c r="C10" s="251" t="s">
        <v>98</v>
      </c>
      <c r="D10" s="251" t="s">
        <v>98</v>
      </c>
      <c r="E10" s="449" t="s">
        <v>301</v>
      </c>
      <c r="F10" s="380" t="s">
        <v>1018</v>
      </c>
      <c r="G10" s="607"/>
      <c r="H10" s="511"/>
      <c r="I10" s="684"/>
      <c r="J10" s="511">
        <f>SUM(J11:J11)</f>
        <v>2017.6000000000001</v>
      </c>
      <c r="K10" s="676"/>
      <c r="L10" s="676"/>
      <c r="M10" s="676"/>
      <c r="N10" s="676"/>
      <c r="O10" s="676"/>
      <c r="P10" s="676"/>
      <c r="Q10" s="676"/>
      <c r="R10" s="676"/>
      <c r="S10" s="676"/>
      <c r="T10" s="676"/>
      <c r="U10" s="676"/>
      <c r="V10" s="676"/>
      <c r="W10" s="676"/>
      <c r="X10" s="676"/>
      <c r="Y10" s="676"/>
      <c r="Z10" s="676"/>
      <c r="AA10" s="676"/>
    </row>
    <row r="11" spans="1:27" x14ac:dyDescent="0.25">
      <c r="A11" s="139"/>
      <c r="B11" s="32"/>
      <c r="C11" s="644" t="s">
        <v>98</v>
      </c>
      <c r="D11" s="507" t="s">
        <v>706</v>
      </c>
      <c r="E11" s="107" t="str">
        <f>" - " &amp; 'Giá NC'!E8</f>
        <v xml:space="preserve"> - Nhân công bậc 3,5/7 - Nhóm 2</v>
      </c>
      <c r="F11" s="32" t="str">
        <f>'Giá NC'!F8</f>
        <v>công</v>
      </c>
      <c r="G11" s="270">
        <f>'Phan tich don gia'!G11</f>
        <v>8.0000000000000002E-3</v>
      </c>
      <c r="H11" s="179">
        <f>'Giá NC'!K8</f>
        <v>252200</v>
      </c>
      <c r="I11" s="347">
        <f>'Du toan chi tiet'!W8</f>
        <v>1</v>
      </c>
      <c r="J11" s="179">
        <f>PRODUCT(G11,H11,I11)</f>
        <v>2017.6000000000001</v>
      </c>
      <c r="K11" s="676"/>
      <c r="L11" s="676"/>
      <c r="M11" s="676"/>
      <c r="N11" s="676"/>
      <c r="O11" s="676"/>
      <c r="P11" s="676"/>
      <c r="Q11" s="676"/>
      <c r="R11" s="676"/>
      <c r="S11" s="676"/>
      <c r="T11" s="676"/>
      <c r="U11" s="676"/>
      <c r="V11" s="676"/>
      <c r="W11" s="676"/>
      <c r="X11" s="676"/>
      <c r="Y11" s="676"/>
      <c r="Z11" s="676"/>
      <c r="AA11" s="676"/>
    </row>
    <row r="12" spans="1:27" x14ac:dyDescent="0.25">
      <c r="A12" s="98"/>
      <c r="B12" s="380"/>
      <c r="C12" s="251" t="s">
        <v>98</v>
      </c>
      <c r="D12" s="251" t="s">
        <v>98</v>
      </c>
      <c r="E12" s="449" t="s">
        <v>1175</v>
      </c>
      <c r="F12" s="380" t="s">
        <v>138</v>
      </c>
      <c r="G12" s="607"/>
      <c r="H12" s="511"/>
      <c r="I12" s="684"/>
      <c r="J12" s="511">
        <f>SUM(J13:J17)</f>
        <v>3181.718715</v>
      </c>
      <c r="K12" s="676"/>
      <c r="L12" s="676"/>
      <c r="M12" s="676"/>
      <c r="N12" s="676"/>
      <c r="O12" s="676"/>
      <c r="P12" s="676"/>
      <c r="Q12" s="676"/>
      <c r="R12" s="676"/>
      <c r="S12" s="676"/>
      <c r="T12" s="676"/>
      <c r="U12" s="676"/>
      <c r="V12" s="676"/>
      <c r="W12" s="676"/>
      <c r="X12" s="676"/>
      <c r="Y12" s="676"/>
      <c r="Z12" s="676"/>
      <c r="AA12" s="676"/>
    </row>
    <row r="13" spans="1:27" x14ac:dyDescent="0.25">
      <c r="A13" s="139"/>
      <c r="B13" s="32"/>
      <c r="C13" s="644" t="s">
        <v>98</v>
      </c>
      <c r="D13" s="507" t="s">
        <v>1248</v>
      </c>
      <c r="E13" s="107" t="str">
        <f>" - " &amp; 'Giá Máy'!E19</f>
        <v xml:space="preserve"> - Máy rải hỗn hợp bê tông nhựa 130 - 140CV</v>
      </c>
      <c r="F13" s="32" t="str">
        <f>'Giá Máy'!F19</f>
        <v>ca</v>
      </c>
      <c r="G13" s="270">
        <f>'Phan tich don gia'!G13</f>
        <v>3.3E-4</v>
      </c>
      <c r="H13" s="179">
        <f>'Giá Máy'!J19</f>
        <v>5455372</v>
      </c>
      <c r="I13" s="347">
        <f>'Du toan chi tiet'!X8</f>
        <v>1</v>
      </c>
      <c r="J13" s="179">
        <f t="shared" ref="J13:J16" si="1">PRODUCT(G13,H13,I13)</f>
        <v>1800.2727600000001</v>
      </c>
      <c r="K13" s="676"/>
      <c r="L13" s="676"/>
      <c r="M13" s="676"/>
      <c r="N13" s="676"/>
      <c r="O13" s="676"/>
      <c r="P13" s="676"/>
      <c r="Q13" s="676"/>
      <c r="R13" s="676"/>
      <c r="S13" s="676"/>
      <c r="T13" s="676"/>
      <c r="U13" s="676"/>
      <c r="V13" s="676"/>
      <c r="W13" s="676"/>
      <c r="X13" s="676"/>
      <c r="Y13" s="676"/>
      <c r="Z13" s="676"/>
      <c r="AA13" s="676"/>
    </row>
    <row r="14" spans="1:27" x14ac:dyDescent="0.25">
      <c r="A14" s="139"/>
      <c r="B14" s="32"/>
      <c r="C14" s="644" t="s">
        <v>98</v>
      </c>
      <c r="D14" s="507" t="s">
        <v>798</v>
      </c>
      <c r="E14" s="107" t="str">
        <f>" - " &amp; 'Giá Máy'!E25</f>
        <v xml:space="preserve"> - Máy lu bánh thép 6T</v>
      </c>
      <c r="F14" s="32" t="str">
        <f>'Giá Máy'!F25</f>
        <v>ca</v>
      </c>
      <c r="G14" s="270">
        <f>'Phan tich don gia'!G14</f>
        <v>6.3000000000000003E-4</v>
      </c>
      <c r="H14" s="179">
        <f>'Giá Máy'!J25</f>
        <v>953819</v>
      </c>
      <c r="I14" s="347">
        <f>'Du toan chi tiet'!X8</f>
        <v>1</v>
      </c>
      <c r="J14" s="179">
        <f t="shared" si="1"/>
        <v>600.90597000000002</v>
      </c>
      <c r="K14" s="676"/>
      <c r="L14" s="676"/>
      <c r="M14" s="676"/>
      <c r="N14" s="676"/>
      <c r="O14" s="676"/>
      <c r="P14" s="676"/>
      <c r="Q14" s="676"/>
      <c r="R14" s="676"/>
      <c r="S14" s="676"/>
      <c r="T14" s="676"/>
      <c r="U14" s="676"/>
      <c r="V14" s="676"/>
      <c r="W14" s="676"/>
      <c r="X14" s="676"/>
      <c r="Y14" s="676"/>
      <c r="Z14" s="676"/>
      <c r="AA14" s="676"/>
    </row>
    <row r="15" spans="1:27" x14ac:dyDescent="0.25">
      <c r="A15" s="139"/>
      <c r="B15" s="32"/>
      <c r="C15" s="644" t="s">
        <v>98</v>
      </c>
      <c r="D15" s="507" t="s">
        <v>970</v>
      </c>
      <c r="E15" s="107" t="str">
        <f>" - " &amp; 'Giá Máy'!E23</f>
        <v xml:space="preserve"> - Ô tô tưới nước 5m3</v>
      </c>
      <c r="F15" s="32" t="str">
        <f>'Giá Máy'!F23</f>
        <v>ca</v>
      </c>
      <c r="G15" s="270">
        <f>'Phan tich don gia'!G15</f>
        <v>2.1000000000000001E-4</v>
      </c>
      <c r="H15" s="179">
        <f>'Giá Máy'!J23</f>
        <v>1202488</v>
      </c>
      <c r="I15" s="347">
        <f>'Du toan chi tiet'!X8</f>
        <v>1</v>
      </c>
      <c r="J15" s="179">
        <f t="shared" si="1"/>
        <v>252.52248</v>
      </c>
      <c r="K15" s="676"/>
      <c r="L15" s="676"/>
      <c r="M15" s="676"/>
      <c r="N15" s="676"/>
      <c r="O15" s="676"/>
      <c r="P15" s="676"/>
      <c r="Q15" s="676"/>
      <c r="R15" s="676"/>
      <c r="S15" s="676"/>
      <c r="T15" s="676"/>
      <c r="U15" s="676"/>
      <c r="V15" s="676"/>
      <c r="W15" s="676"/>
      <c r="X15" s="676"/>
      <c r="Y15" s="676"/>
      <c r="Z15" s="676"/>
      <c r="AA15" s="676"/>
    </row>
    <row r="16" spans="1:27" x14ac:dyDescent="0.25">
      <c r="A16" s="139"/>
      <c r="B16" s="32"/>
      <c r="C16" s="644" t="s">
        <v>98</v>
      </c>
      <c r="D16" s="507" t="s">
        <v>1089</v>
      </c>
      <c r="E16" s="107" t="str">
        <f>" - " &amp; 'Giá Máy'!E18</f>
        <v xml:space="preserve"> - Máy nén khí diezel 600m3/h</v>
      </c>
      <c r="F16" s="32" t="str">
        <f>'Giá Máy'!F18</f>
        <v>ca</v>
      </c>
      <c r="G16" s="270">
        <f>'Phan tich don gia'!G16</f>
        <v>3.1E-4</v>
      </c>
      <c r="H16" s="179">
        <f>'Giá Máy'!J18</f>
        <v>1703277.5</v>
      </c>
      <c r="I16" s="347">
        <f>'Du toan chi tiet'!X8</f>
        <v>1</v>
      </c>
      <c r="J16" s="179">
        <f t="shared" si="1"/>
        <v>528.01602500000001</v>
      </c>
      <c r="K16" s="676"/>
      <c r="L16" s="676"/>
      <c r="M16" s="676"/>
      <c r="N16" s="676"/>
      <c r="O16" s="676"/>
      <c r="P16" s="676"/>
      <c r="Q16" s="676"/>
      <c r="R16" s="676"/>
      <c r="S16" s="676"/>
      <c r="T16" s="676"/>
      <c r="U16" s="676"/>
      <c r="V16" s="676"/>
      <c r="W16" s="676"/>
      <c r="X16" s="676"/>
      <c r="Y16" s="676"/>
      <c r="Z16" s="676"/>
      <c r="AA16" s="676"/>
    </row>
    <row r="17" spans="1:27" x14ac:dyDescent="0.25">
      <c r="A17" s="139"/>
      <c r="B17" s="32"/>
      <c r="C17" s="644" t="s">
        <v>98</v>
      </c>
      <c r="D17" s="507" t="s">
        <v>98</v>
      </c>
      <c r="E17" s="107" t="s">
        <v>1230</v>
      </c>
      <c r="F17" s="32"/>
      <c r="G17" s="277"/>
      <c r="H17" s="179"/>
      <c r="I17" s="347"/>
      <c r="J17" s="179">
        <f>SUM(J18:J19)</f>
        <v>1.48E-3</v>
      </c>
      <c r="K17" s="676"/>
      <c r="L17" s="676"/>
      <c r="M17" s="676"/>
      <c r="N17" s="676"/>
      <c r="O17" s="676"/>
      <c r="P17" s="676"/>
      <c r="Q17" s="676"/>
      <c r="R17" s="676"/>
      <c r="S17" s="676"/>
      <c r="T17" s="676"/>
      <c r="U17" s="676"/>
      <c r="V17" s="676"/>
      <c r="W17" s="676"/>
      <c r="X17" s="676"/>
      <c r="Y17" s="676"/>
      <c r="Z17" s="676"/>
      <c r="AA17" s="676"/>
    </row>
    <row r="18" spans="1:27" x14ac:dyDescent="0.25">
      <c r="A18" s="139"/>
      <c r="B18" s="32"/>
      <c r="C18" s="644" t="s">
        <v>98</v>
      </c>
      <c r="D18" s="507" t="s">
        <v>98</v>
      </c>
      <c r="E18" s="107" t="s">
        <v>52</v>
      </c>
      <c r="F18" s="32"/>
      <c r="G18" s="277"/>
      <c r="H18" s="179"/>
      <c r="I18" s="347"/>
      <c r="J18" s="179">
        <f>PRODUCT(G13,I13,'Giá Máy'!L19)+PRODUCT(G14,I14,'Giá Máy'!L25)+PRODUCT(G15,I15,'Giá Máy'!L23)+PRODUCT(G16,I16,'Giá Máy'!L18)</f>
        <v>0</v>
      </c>
      <c r="K18" s="676"/>
      <c r="L18" s="676"/>
      <c r="M18" s="676"/>
      <c r="N18" s="676"/>
      <c r="O18" s="676"/>
      <c r="P18" s="676"/>
      <c r="Q18" s="676"/>
      <c r="R18" s="676"/>
      <c r="S18" s="676"/>
      <c r="T18" s="676"/>
      <c r="U18" s="676"/>
      <c r="V18" s="676"/>
      <c r="W18" s="676"/>
      <c r="X18" s="676"/>
      <c r="Y18" s="676"/>
      <c r="Z18" s="676"/>
      <c r="AA18" s="676"/>
    </row>
    <row r="19" spans="1:27" x14ac:dyDescent="0.25">
      <c r="A19" s="543"/>
      <c r="B19" s="736"/>
      <c r="C19" s="596" t="s">
        <v>98</v>
      </c>
      <c r="D19" s="438" t="s">
        <v>98</v>
      </c>
      <c r="E19" s="31" t="s">
        <v>597</v>
      </c>
      <c r="F19" s="736"/>
      <c r="G19" s="231"/>
      <c r="H19" s="93"/>
      <c r="I19" s="296"/>
      <c r="J19" s="93">
        <f>PRODUCT(G13,I13,'Giá Máy'!M19)+PRODUCT(G14,I14,'Giá Máy'!M25)+PRODUCT(G15,I15,'Giá Máy'!M23)+PRODUCT(G16,I16,'Giá Máy'!M18)</f>
        <v>1.48E-3</v>
      </c>
      <c r="K19" s="676"/>
      <c r="L19" s="676"/>
      <c r="M19" s="676"/>
      <c r="N19" s="676"/>
      <c r="O19" s="676"/>
      <c r="P19" s="676"/>
      <c r="Q19" s="676"/>
      <c r="R19" s="676"/>
      <c r="S19" s="676"/>
      <c r="T19" s="676"/>
      <c r="U19" s="676"/>
      <c r="V19" s="676"/>
      <c r="W19" s="676"/>
      <c r="X19" s="676"/>
      <c r="Y19" s="676"/>
      <c r="Z19" s="676"/>
      <c r="AA19" s="676"/>
    </row>
    <row r="20" spans="1:27" x14ac:dyDescent="0.25">
      <c r="A20" s="89"/>
      <c r="B20" s="318">
        <v>2</v>
      </c>
      <c r="C20" s="149" t="str">
        <f>'Du toan chi tiet'!C9</f>
        <v>AD.23261vd</v>
      </c>
      <c r="D20" s="149" t="str">
        <f>'Du toan chi tiet'!C9</f>
        <v>AD.23261vd</v>
      </c>
      <c r="E20" s="665" t="str">
        <f>'Du toan chi tiet'!D9</f>
        <v>Rải thảm mặt đường Carboncor Asphalt, bằng phương pháp thủ cơ giới, chiều dày mặt đường đã lèn ép 1cm</v>
      </c>
      <c r="F20" s="318" t="str">
        <f>'Du toan chi tiet'!E9</f>
        <v>m2</v>
      </c>
      <c r="G20" s="56"/>
      <c r="H20" s="435"/>
      <c r="I20" s="589"/>
      <c r="J20" s="367">
        <f>J21+J24+J26</f>
        <v>78589.241250000006</v>
      </c>
      <c r="K20" s="676"/>
      <c r="L20" s="676"/>
      <c r="M20" s="676"/>
      <c r="N20" s="676"/>
      <c r="O20" s="676"/>
      <c r="P20" s="676"/>
      <c r="Q20" s="676"/>
      <c r="R20" s="676"/>
      <c r="S20" s="676"/>
      <c r="T20" s="676"/>
      <c r="U20" s="676"/>
      <c r="V20" s="676"/>
      <c r="W20" s="676"/>
      <c r="X20" s="676"/>
      <c r="Y20" s="676"/>
      <c r="Z20" s="676"/>
      <c r="AA20" s="676"/>
    </row>
    <row r="21" spans="1:27" x14ac:dyDescent="0.25">
      <c r="A21" s="98"/>
      <c r="B21" s="380"/>
      <c r="C21" s="251" t="s">
        <v>98</v>
      </c>
      <c r="D21" s="251" t="s">
        <v>98</v>
      </c>
      <c r="E21" s="449" t="s">
        <v>547</v>
      </c>
      <c r="F21" s="380" t="s">
        <v>962</v>
      </c>
      <c r="G21" s="607"/>
      <c r="H21" s="511"/>
      <c r="I21" s="684"/>
      <c r="J21" s="511">
        <f>SUM(J22:J23)</f>
        <v>75697.97600000001</v>
      </c>
      <c r="K21" s="676"/>
      <c r="L21" s="676"/>
      <c r="M21" s="676"/>
      <c r="N21" s="676"/>
      <c r="O21" s="676"/>
      <c r="P21" s="676"/>
      <c r="Q21" s="676"/>
      <c r="R21" s="676"/>
      <c r="S21" s="676"/>
      <c r="T21" s="676"/>
      <c r="U21" s="676"/>
      <c r="V21" s="676"/>
      <c r="W21" s="676"/>
      <c r="X21" s="676"/>
      <c r="Y21" s="676"/>
      <c r="Z21" s="676"/>
      <c r="AA21" s="676"/>
    </row>
    <row r="22" spans="1:27" x14ac:dyDescent="0.25">
      <c r="A22" s="139"/>
      <c r="B22" s="32"/>
      <c r="C22" s="644" t="s">
        <v>98</v>
      </c>
      <c r="D22" s="507" t="s">
        <v>1256</v>
      </c>
      <c r="E22" s="107" t="str">
        <f>" - " &amp; 'Giá VL'!E6</f>
        <v xml:space="preserve"> - Carboncor Asphalt (loại CA 9,5)</v>
      </c>
      <c r="F22" s="32" t="str">
        <f>'Giá VL'!F6</f>
        <v>tấn</v>
      </c>
      <c r="G22" s="270">
        <f>'Phan tich don gia'!G19</f>
        <v>1.9800000000000002E-2</v>
      </c>
      <c r="H22" s="179">
        <f>'Giá VL'!V6</f>
        <v>3822120</v>
      </c>
      <c r="I22" s="347">
        <f>'Du toan chi tiet'!V9</f>
        <v>1</v>
      </c>
      <c r="J22" s="179">
        <f t="shared" ref="J22:J23" si="2">PRODUCT(G22,H22,I22)</f>
        <v>75677.97600000001</v>
      </c>
      <c r="K22" s="676"/>
      <c r="L22" s="676"/>
      <c r="M22" s="676"/>
      <c r="N22" s="676"/>
      <c r="O22" s="676"/>
      <c r="P22" s="676"/>
      <c r="Q22" s="676"/>
      <c r="R22" s="676"/>
      <c r="S22" s="676"/>
      <c r="T22" s="676"/>
      <c r="U22" s="676"/>
      <c r="V22" s="676"/>
      <c r="W22" s="676"/>
      <c r="X22" s="676"/>
      <c r="Y22" s="676"/>
      <c r="Z22" s="676"/>
      <c r="AA22" s="676"/>
    </row>
    <row r="23" spans="1:27" x14ac:dyDescent="0.25">
      <c r="A23" s="139"/>
      <c r="B23" s="32"/>
      <c r="C23" s="644" t="s">
        <v>98</v>
      </c>
      <c r="D23" s="507" t="s">
        <v>956</v>
      </c>
      <c r="E23" s="107" t="str">
        <f>" - " &amp; 'Giá VL'!E23</f>
        <v xml:space="preserve"> - Nước</v>
      </c>
      <c r="F23" s="32" t="str">
        <f>'Giá VL'!F23</f>
        <v>lít</v>
      </c>
      <c r="G23" s="270">
        <f>'Phan tich don gia'!G20</f>
        <v>2</v>
      </c>
      <c r="H23" s="179">
        <f>'Giá VL'!V23</f>
        <v>10</v>
      </c>
      <c r="I23" s="347">
        <f>'Du toan chi tiet'!V9</f>
        <v>1</v>
      </c>
      <c r="J23" s="179">
        <f t="shared" si="2"/>
        <v>20</v>
      </c>
      <c r="K23" s="676"/>
      <c r="L23" s="676"/>
      <c r="M23" s="676"/>
      <c r="N23" s="676"/>
      <c r="O23" s="676"/>
      <c r="P23" s="676"/>
      <c r="Q23" s="676"/>
      <c r="R23" s="676"/>
      <c r="S23" s="676"/>
      <c r="T23" s="676"/>
      <c r="U23" s="676"/>
      <c r="V23" s="676"/>
      <c r="W23" s="676"/>
      <c r="X23" s="676"/>
      <c r="Y23" s="676"/>
      <c r="Z23" s="676"/>
      <c r="AA23" s="676"/>
    </row>
    <row r="24" spans="1:27" x14ac:dyDescent="0.25">
      <c r="A24" s="98"/>
      <c r="B24" s="380"/>
      <c r="C24" s="251" t="s">
        <v>98</v>
      </c>
      <c r="D24" s="251" t="s">
        <v>98</v>
      </c>
      <c r="E24" s="449" t="s">
        <v>301</v>
      </c>
      <c r="F24" s="380" t="s">
        <v>1018</v>
      </c>
      <c r="G24" s="607"/>
      <c r="H24" s="511"/>
      <c r="I24" s="684"/>
      <c r="J24" s="511">
        <f>SUM(J25:J25)</f>
        <v>1092.8666666666666</v>
      </c>
      <c r="K24" s="676"/>
      <c r="L24" s="676"/>
      <c r="M24" s="676"/>
      <c r="N24" s="676"/>
      <c r="O24" s="676"/>
      <c r="P24" s="676"/>
      <c r="Q24" s="676"/>
      <c r="R24" s="676"/>
      <c r="S24" s="676"/>
      <c r="T24" s="676"/>
      <c r="U24" s="676"/>
      <c r="V24" s="676"/>
      <c r="W24" s="676"/>
      <c r="X24" s="676"/>
      <c r="Y24" s="676"/>
      <c r="Z24" s="676"/>
      <c r="AA24" s="676"/>
    </row>
    <row r="25" spans="1:27" x14ac:dyDescent="0.25">
      <c r="A25" s="139"/>
      <c r="B25" s="32"/>
      <c r="C25" s="644" t="s">
        <v>98</v>
      </c>
      <c r="D25" s="507" t="s">
        <v>706</v>
      </c>
      <c r="E25" s="107" t="str">
        <f>" - " &amp; 'Giá NC'!E8</f>
        <v xml:space="preserve"> - Nhân công bậc 3,5/7 - Nhóm 2</v>
      </c>
      <c r="F25" s="32" t="str">
        <f>'Giá NC'!F8</f>
        <v>công</v>
      </c>
      <c r="G25" s="270">
        <f>'Phan tich don gia'!G22</f>
        <v>4.3333333333333331E-3</v>
      </c>
      <c r="H25" s="179">
        <f>'Giá NC'!K8</f>
        <v>252200</v>
      </c>
      <c r="I25" s="347">
        <f>'Du toan chi tiet'!W9</f>
        <v>1</v>
      </c>
      <c r="J25" s="179">
        <f>PRODUCT(G25,H25,I25)</f>
        <v>1092.8666666666666</v>
      </c>
      <c r="K25" s="676"/>
      <c r="L25" s="676"/>
      <c r="M25" s="676"/>
      <c r="N25" s="676"/>
      <c r="O25" s="676"/>
      <c r="P25" s="676"/>
      <c r="Q25" s="676"/>
      <c r="R25" s="676"/>
      <c r="S25" s="676"/>
      <c r="T25" s="676"/>
      <c r="U25" s="676"/>
      <c r="V25" s="676"/>
      <c r="W25" s="676"/>
      <c r="X25" s="676"/>
      <c r="Y25" s="676"/>
      <c r="Z25" s="676"/>
      <c r="AA25" s="676"/>
    </row>
    <row r="26" spans="1:27" x14ac:dyDescent="0.25">
      <c r="A26" s="98"/>
      <c r="B26" s="380"/>
      <c r="C26" s="251" t="s">
        <v>98</v>
      </c>
      <c r="D26" s="251" t="s">
        <v>98</v>
      </c>
      <c r="E26" s="449" t="s">
        <v>1175</v>
      </c>
      <c r="F26" s="380" t="s">
        <v>138</v>
      </c>
      <c r="G26" s="607"/>
      <c r="H26" s="511"/>
      <c r="I26" s="684"/>
      <c r="J26" s="511">
        <f>SUM(J27:J31)</f>
        <v>1798.3985833333336</v>
      </c>
      <c r="K26" s="676"/>
      <c r="L26" s="676"/>
      <c r="M26" s="676"/>
      <c r="N26" s="676"/>
      <c r="O26" s="676"/>
      <c r="P26" s="676"/>
      <c r="Q26" s="676"/>
      <c r="R26" s="676"/>
      <c r="S26" s="676"/>
      <c r="T26" s="676"/>
      <c r="U26" s="676"/>
      <c r="V26" s="676"/>
      <c r="W26" s="676"/>
      <c r="X26" s="676"/>
      <c r="Y26" s="676"/>
      <c r="Z26" s="676"/>
      <c r="AA26" s="676"/>
    </row>
    <row r="27" spans="1:27" x14ac:dyDescent="0.25">
      <c r="A27" s="139"/>
      <c r="B27" s="32"/>
      <c r="C27" s="644" t="s">
        <v>98</v>
      </c>
      <c r="D27" s="507" t="s">
        <v>1248</v>
      </c>
      <c r="E27" s="107" t="str">
        <f>" - " &amp; 'Giá Máy'!E19</f>
        <v xml:space="preserve"> - Máy rải hỗn hợp bê tông nhựa 130 - 140CV</v>
      </c>
      <c r="F27" s="32" t="str">
        <f>'Giá Máy'!F19</f>
        <v>ca</v>
      </c>
      <c r="G27" s="270">
        <f>'Phan tich don gia'!G24</f>
        <v>1.6666666666666666E-4</v>
      </c>
      <c r="H27" s="179">
        <f>'Giá Máy'!J19</f>
        <v>5455372</v>
      </c>
      <c r="I27" s="347">
        <f>'Du toan chi tiet'!X9</f>
        <v>1</v>
      </c>
      <c r="J27" s="179">
        <f t="shared" ref="J27:J30" si="3">PRODUCT(G27,H27,I27)</f>
        <v>909.22866666666664</v>
      </c>
      <c r="K27" s="676"/>
      <c r="L27" s="676"/>
      <c r="M27" s="676"/>
      <c r="N27" s="676"/>
      <c r="O27" s="676"/>
      <c r="P27" s="676"/>
      <c r="Q27" s="676"/>
      <c r="R27" s="676"/>
      <c r="S27" s="676"/>
      <c r="T27" s="676"/>
      <c r="U27" s="676"/>
      <c r="V27" s="676"/>
      <c r="W27" s="676"/>
      <c r="X27" s="676"/>
      <c r="Y27" s="676"/>
      <c r="Z27" s="676"/>
      <c r="AA27" s="676"/>
    </row>
    <row r="28" spans="1:27" x14ac:dyDescent="0.25">
      <c r="A28" s="139"/>
      <c r="B28" s="32"/>
      <c r="C28" s="644" t="s">
        <v>98</v>
      </c>
      <c r="D28" s="507" t="s">
        <v>798</v>
      </c>
      <c r="E28" s="107" t="str">
        <f>" - " &amp; 'Giá Máy'!E25</f>
        <v xml:space="preserve"> - Máy lu bánh thép 6T</v>
      </c>
      <c r="F28" s="32" t="str">
        <f>'Giá Máy'!F25</f>
        <v>ca</v>
      </c>
      <c r="G28" s="270">
        <f>'Phan tich don gia'!G25</f>
        <v>3.8666666666666667E-4</v>
      </c>
      <c r="H28" s="179">
        <f>'Giá Máy'!J25</f>
        <v>953819</v>
      </c>
      <c r="I28" s="347">
        <f>'Du toan chi tiet'!X9</f>
        <v>1</v>
      </c>
      <c r="J28" s="179">
        <f t="shared" si="3"/>
        <v>368.81001333333336</v>
      </c>
      <c r="K28" s="676"/>
      <c r="L28" s="676"/>
      <c r="M28" s="676"/>
      <c r="N28" s="676"/>
      <c r="O28" s="676"/>
      <c r="P28" s="676"/>
      <c r="Q28" s="676"/>
      <c r="R28" s="676"/>
      <c r="S28" s="676"/>
      <c r="T28" s="676"/>
      <c r="U28" s="676"/>
      <c r="V28" s="676"/>
      <c r="W28" s="676"/>
      <c r="X28" s="676"/>
      <c r="Y28" s="676"/>
      <c r="Z28" s="676"/>
      <c r="AA28" s="676"/>
    </row>
    <row r="29" spans="1:27" x14ac:dyDescent="0.25">
      <c r="A29" s="139"/>
      <c r="B29" s="32"/>
      <c r="C29" s="644" t="s">
        <v>98</v>
      </c>
      <c r="D29" s="507" t="s">
        <v>970</v>
      </c>
      <c r="E29" s="107" t="str">
        <f>" - " &amp; 'Giá Máy'!E23</f>
        <v xml:space="preserve"> - Ô tô tưới nước 5m3</v>
      </c>
      <c r="F29" s="32" t="str">
        <f>'Giá Máy'!F23</f>
        <v>ca</v>
      </c>
      <c r="G29" s="270">
        <f>'Phan tich don gia'!G26</f>
        <v>1.4000000000000001E-4</v>
      </c>
      <c r="H29" s="179">
        <f>'Giá Máy'!J23</f>
        <v>1202488</v>
      </c>
      <c r="I29" s="347">
        <f>'Du toan chi tiet'!X9</f>
        <v>1</v>
      </c>
      <c r="J29" s="179">
        <f t="shared" si="3"/>
        <v>168.34832000000003</v>
      </c>
      <c r="K29" s="676"/>
      <c r="L29" s="676"/>
      <c r="M29" s="676"/>
      <c r="N29" s="676"/>
      <c r="O29" s="676"/>
      <c r="P29" s="676"/>
      <c r="Q29" s="676"/>
      <c r="R29" s="676"/>
      <c r="S29" s="676"/>
      <c r="T29" s="676"/>
      <c r="U29" s="676"/>
      <c r="V29" s="676"/>
      <c r="W29" s="676"/>
      <c r="X29" s="676"/>
      <c r="Y29" s="676"/>
      <c r="Z29" s="676"/>
      <c r="AA29" s="676"/>
    </row>
    <row r="30" spans="1:27" x14ac:dyDescent="0.25">
      <c r="A30" s="139"/>
      <c r="B30" s="32"/>
      <c r="C30" s="644" t="s">
        <v>98</v>
      </c>
      <c r="D30" s="507" t="s">
        <v>1089</v>
      </c>
      <c r="E30" s="107" t="str">
        <f>" - " &amp; 'Giá Máy'!E18</f>
        <v xml:space="preserve"> - Máy nén khí diezel 600m3/h</v>
      </c>
      <c r="F30" s="32" t="str">
        <f>'Giá Máy'!F18</f>
        <v>ca</v>
      </c>
      <c r="G30" s="270">
        <f>'Phan tich don gia'!G27</f>
        <v>2.0666666666666666E-4</v>
      </c>
      <c r="H30" s="179">
        <f>'Giá Máy'!J18</f>
        <v>1703277.5</v>
      </c>
      <c r="I30" s="347">
        <f>'Du toan chi tiet'!X9</f>
        <v>1</v>
      </c>
      <c r="J30" s="179">
        <f t="shared" si="3"/>
        <v>352.0106833333333</v>
      </c>
      <c r="K30" s="676"/>
      <c r="L30" s="676"/>
      <c r="M30" s="676"/>
      <c r="N30" s="676"/>
      <c r="O30" s="676"/>
      <c r="P30" s="676"/>
      <c r="Q30" s="676"/>
      <c r="R30" s="676"/>
      <c r="S30" s="676"/>
      <c r="T30" s="676"/>
      <c r="U30" s="676"/>
      <c r="V30" s="676"/>
      <c r="W30" s="676"/>
      <c r="X30" s="676"/>
      <c r="Y30" s="676"/>
      <c r="Z30" s="676"/>
      <c r="AA30" s="676"/>
    </row>
    <row r="31" spans="1:27" x14ac:dyDescent="0.25">
      <c r="A31" s="139"/>
      <c r="B31" s="32"/>
      <c r="C31" s="644" t="s">
        <v>98</v>
      </c>
      <c r="D31" s="507" t="s">
        <v>98</v>
      </c>
      <c r="E31" s="107" t="s">
        <v>1230</v>
      </c>
      <c r="F31" s="32"/>
      <c r="G31" s="277"/>
      <c r="H31" s="179"/>
      <c r="I31" s="347"/>
      <c r="J31" s="179">
        <f>SUM(J32:J33)</f>
        <v>8.9999999999999998E-4</v>
      </c>
      <c r="K31" s="676"/>
      <c r="L31" s="676"/>
      <c r="M31" s="676"/>
      <c r="N31" s="676"/>
      <c r="O31" s="676"/>
      <c r="P31" s="676"/>
      <c r="Q31" s="676"/>
      <c r="R31" s="676"/>
      <c r="S31" s="676"/>
      <c r="T31" s="676"/>
      <c r="U31" s="676"/>
      <c r="V31" s="676"/>
      <c r="W31" s="676"/>
      <c r="X31" s="676"/>
      <c r="Y31" s="676"/>
      <c r="Z31" s="676"/>
      <c r="AA31" s="676"/>
    </row>
    <row r="32" spans="1:27" x14ac:dyDescent="0.25">
      <c r="A32" s="139"/>
      <c r="B32" s="32"/>
      <c r="C32" s="644" t="s">
        <v>98</v>
      </c>
      <c r="D32" s="507" t="s">
        <v>98</v>
      </c>
      <c r="E32" s="107" t="s">
        <v>52</v>
      </c>
      <c r="F32" s="32"/>
      <c r="G32" s="277"/>
      <c r="H32" s="179"/>
      <c r="I32" s="347"/>
      <c r="J32" s="179">
        <f>PRODUCT(G27,I27,'Giá Máy'!L19)+PRODUCT(G28,I28,'Giá Máy'!L25)+PRODUCT(G29,I29,'Giá Máy'!L23)+PRODUCT(G30,I30,'Giá Máy'!L18)</f>
        <v>0</v>
      </c>
      <c r="K32" s="676"/>
      <c r="L32" s="676"/>
      <c r="M32" s="676"/>
      <c r="N32" s="676"/>
      <c r="O32" s="676"/>
      <c r="P32" s="676"/>
      <c r="Q32" s="676"/>
      <c r="R32" s="676"/>
      <c r="S32" s="676"/>
      <c r="T32" s="676"/>
      <c r="U32" s="676"/>
      <c r="V32" s="676"/>
      <c r="W32" s="676"/>
      <c r="X32" s="676"/>
      <c r="Y32" s="676"/>
      <c r="Z32" s="676"/>
      <c r="AA32" s="676"/>
    </row>
    <row r="33" spans="1:27" x14ac:dyDescent="0.25">
      <c r="A33" s="543"/>
      <c r="B33" s="736"/>
      <c r="C33" s="596" t="s">
        <v>98</v>
      </c>
      <c r="D33" s="438" t="s">
        <v>98</v>
      </c>
      <c r="E33" s="31" t="s">
        <v>597</v>
      </c>
      <c r="F33" s="736"/>
      <c r="G33" s="231"/>
      <c r="H33" s="93"/>
      <c r="I33" s="296"/>
      <c r="J33" s="93">
        <f>PRODUCT(G27,I27,'Giá Máy'!M19)+PRODUCT(G28,I28,'Giá Máy'!M25)+PRODUCT(G29,I29,'Giá Máy'!M23)+PRODUCT(G30,I30,'Giá Máy'!M18)</f>
        <v>8.9999999999999998E-4</v>
      </c>
      <c r="K33" s="676"/>
      <c r="L33" s="676"/>
      <c r="M33" s="676"/>
      <c r="N33" s="676"/>
      <c r="O33" s="676"/>
      <c r="P33" s="676"/>
      <c r="Q33" s="676"/>
      <c r="R33" s="676"/>
      <c r="S33" s="676"/>
      <c r="T33" s="676"/>
      <c r="U33" s="676"/>
      <c r="V33" s="676"/>
      <c r="W33" s="676"/>
      <c r="X33" s="676"/>
      <c r="Y33" s="676"/>
      <c r="Z33" s="676"/>
      <c r="AA33" s="676"/>
    </row>
    <row r="34" spans="1:27" x14ac:dyDescent="0.25">
      <c r="A34" s="89"/>
      <c r="B34" s="318">
        <v>3</v>
      </c>
      <c r="C34" s="149" t="e">
        <f>'Du toan chi tiet'!#REF!</f>
        <v>#REF!</v>
      </c>
      <c r="D34" s="149" t="e">
        <f>'Du toan chi tiet'!#REF!</f>
        <v>#REF!</v>
      </c>
      <c r="E34" s="665" t="e">
        <f>'Du toan chi tiet'!#REF!</f>
        <v>#REF!</v>
      </c>
      <c r="F34" s="318" t="e">
        <f>'Du toan chi tiet'!#REF!</f>
        <v>#REF!</v>
      </c>
      <c r="G34" s="56"/>
      <c r="H34" s="435"/>
      <c r="I34" s="589"/>
      <c r="J34" s="367" t="e">
        <f>J35+J37+J39</f>
        <v>#REF!</v>
      </c>
      <c r="K34" s="676"/>
      <c r="L34" s="676"/>
      <c r="M34" s="676"/>
      <c r="N34" s="676"/>
      <c r="O34" s="676"/>
      <c r="P34" s="676"/>
      <c r="Q34" s="676"/>
      <c r="R34" s="676"/>
      <c r="S34" s="676"/>
      <c r="T34" s="676"/>
      <c r="U34" s="676"/>
      <c r="V34" s="676"/>
      <c r="W34" s="676"/>
      <c r="X34" s="676"/>
      <c r="Y34" s="676"/>
      <c r="Z34" s="676"/>
      <c r="AA34" s="676"/>
    </row>
    <row r="35" spans="1:27" x14ac:dyDescent="0.25">
      <c r="A35" s="98"/>
      <c r="B35" s="380"/>
      <c r="C35" s="251" t="s">
        <v>98</v>
      </c>
      <c r="D35" s="251" t="s">
        <v>98</v>
      </c>
      <c r="E35" s="449" t="s">
        <v>547</v>
      </c>
      <c r="F35" s="380" t="s">
        <v>962</v>
      </c>
      <c r="G35" s="607"/>
      <c r="H35" s="511"/>
      <c r="I35" s="684"/>
      <c r="J35" s="511" t="e">
        <f>SUM(J36:J36)</f>
        <v>#REF!</v>
      </c>
      <c r="K35" s="676"/>
      <c r="L35" s="676"/>
      <c r="M35" s="676"/>
      <c r="N35" s="676"/>
      <c r="O35" s="676"/>
      <c r="P35" s="676"/>
      <c r="Q35" s="676"/>
      <c r="R35" s="676"/>
      <c r="S35" s="676"/>
      <c r="T35" s="676"/>
      <c r="U35" s="676"/>
      <c r="V35" s="676"/>
      <c r="W35" s="676"/>
      <c r="X35" s="676"/>
      <c r="Y35" s="676"/>
      <c r="Z35" s="676"/>
      <c r="AA35" s="676"/>
    </row>
    <row r="36" spans="1:27" x14ac:dyDescent="0.25">
      <c r="A36" s="139"/>
      <c r="B36" s="32"/>
      <c r="C36" s="644" t="s">
        <v>98</v>
      </c>
      <c r="D36" s="507" t="s">
        <v>316</v>
      </c>
      <c r="E36" s="107" t="e">
        <f>" - " &amp; 'Giá VL'!#REF!</f>
        <v>#REF!</v>
      </c>
      <c r="F36" s="32" t="e">
        <f>'Giá VL'!#REF!</f>
        <v>#REF!</v>
      </c>
      <c r="G36" s="270" t="e">
        <f>'Phan tich don gia'!#REF!</f>
        <v>#REF!</v>
      </c>
      <c r="H36" s="179" t="e">
        <f>'Giá VL'!#REF!</f>
        <v>#REF!</v>
      </c>
      <c r="I36" s="347" t="e">
        <f>'Du toan chi tiet'!#REF!</f>
        <v>#REF!</v>
      </c>
      <c r="J36" s="179" t="e">
        <f>PRODUCT(G36,H36,I36)</f>
        <v>#REF!</v>
      </c>
      <c r="K36" s="676"/>
      <c r="L36" s="676"/>
      <c r="M36" s="676"/>
      <c r="N36" s="676"/>
      <c r="O36" s="676"/>
      <c r="P36" s="676"/>
      <c r="Q36" s="676"/>
      <c r="R36" s="676"/>
      <c r="S36" s="676"/>
      <c r="T36" s="676"/>
      <c r="U36" s="676"/>
      <c r="V36" s="676"/>
      <c r="W36" s="676"/>
      <c r="X36" s="676"/>
      <c r="Y36" s="676"/>
      <c r="Z36" s="676"/>
      <c r="AA36" s="676"/>
    </row>
    <row r="37" spans="1:27" x14ac:dyDescent="0.25">
      <c r="A37" s="98"/>
      <c r="B37" s="380"/>
      <c r="C37" s="251" t="s">
        <v>98</v>
      </c>
      <c r="D37" s="251" t="s">
        <v>98</v>
      </c>
      <c r="E37" s="449" t="s">
        <v>301</v>
      </c>
      <c r="F37" s="380" t="s">
        <v>1018</v>
      </c>
      <c r="G37" s="607"/>
      <c r="H37" s="511"/>
      <c r="I37" s="684"/>
      <c r="J37" s="511" t="e">
        <f>SUM(J38:J38)</f>
        <v>#REF!</v>
      </c>
      <c r="K37" s="676"/>
      <c r="L37" s="676"/>
      <c r="M37" s="676"/>
      <c r="N37" s="676"/>
      <c r="O37" s="676"/>
      <c r="P37" s="676"/>
      <c r="Q37" s="676"/>
      <c r="R37" s="676"/>
      <c r="S37" s="676"/>
      <c r="T37" s="676"/>
      <c r="U37" s="676"/>
      <c r="V37" s="676"/>
      <c r="W37" s="676"/>
      <c r="X37" s="676"/>
      <c r="Y37" s="676"/>
      <c r="Z37" s="676"/>
      <c r="AA37" s="676"/>
    </row>
    <row r="38" spans="1:27" x14ac:dyDescent="0.25">
      <c r="A38" s="139"/>
      <c r="B38" s="32"/>
      <c r="C38" s="644" t="s">
        <v>98</v>
      </c>
      <c r="D38" s="507" t="s">
        <v>706</v>
      </c>
      <c r="E38" s="107" t="str">
        <f>" - " &amp; 'Giá NC'!E8</f>
        <v xml:space="preserve"> - Nhân công bậc 3,5/7 - Nhóm 2</v>
      </c>
      <c r="F38" s="32" t="str">
        <f>'Giá NC'!F8</f>
        <v>công</v>
      </c>
      <c r="G38" s="270" t="e">
        <f>'Phan tich don gia'!#REF!</f>
        <v>#REF!</v>
      </c>
      <c r="H38" s="179">
        <f>'Giá NC'!K8</f>
        <v>252200</v>
      </c>
      <c r="I38" s="347" t="e">
        <f>'Du toan chi tiet'!#REF!</f>
        <v>#REF!</v>
      </c>
      <c r="J38" s="179" t="e">
        <f>PRODUCT(G38,H38,I38)</f>
        <v>#REF!</v>
      </c>
      <c r="K38" s="676"/>
      <c r="L38" s="676"/>
      <c r="M38" s="676"/>
      <c r="N38" s="676"/>
      <c r="O38" s="676"/>
      <c r="P38" s="676"/>
      <c r="Q38" s="676"/>
      <c r="R38" s="676"/>
      <c r="S38" s="676"/>
      <c r="T38" s="676"/>
      <c r="U38" s="676"/>
      <c r="V38" s="676"/>
      <c r="W38" s="676"/>
      <c r="X38" s="676"/>
      <c r="Y38" s="676"/>
      <c r="Z38" s="676"/>
      <c r="AA38" s="676"/>
    </row>
    <row r="39" spans="1:27" x14ac:dyDescent="0.25">
      <c r="A39" s="98"/>
      <c r="B39" s="380"/>
      <c r="C39" s="251" t="s">
        <v>98</v>
      </c>
      <c r="D39" s="251" t="s">
        <v>98</v>
      </c>
      <c r="E39" s="449" t="s">
        <v>1175</v>
      </c>
      <c r="F39" s="380" t="s">
        <v>138</v>
      </c>
      <c r="G39" s="607"/>
      <c r="H39" s="511"/>
      <c r="I39" s="684"/>
      <c r="J39" s="511" t="e">
        <f>SUM(J40:J43)</f>
        <v>#REF!</v>
      </c>
      <c r="K39" s="676"/>
      <c r="L39" s="676"/>
      <c r="M39" s="676"/>
      <c r="N39" s="676"/>
      <c r="O39" s="676"/>
      <c r="P39" s="676"/>
      <c r="Q39" s="676"/>
      <c r="R39" s="676"/>
      <c r="S39" s="676"/>
      <c r="T39" s="676"/>
      <c r="U39" s="676"/>
      <c r="V39" s="676"/>
      <c r="W39" s="676"/>
      <c r="X39" s="676"/>
      <c r="Y39" s="676"/>
      <c r="Z39" s="676"/>
      <c r="AA39" s="676"/>
    </row>
    <row r="40" spans="1:27" x14ac:dyDescent="0.25">
      <c r="A40" s="139"/>
      <c r="B40" s="32"/>
      <c r="C40" s="644" t="s">
        <v>98</v>
      </c>
      <c r="D40" s="507" t="s">
        <v>811</v>
      </c>
      <c r="E40" s="107" t="e">
        <f>" - " &amp; 'Giá Máy'!#REF!</f>
        <v>#REF!</v>
      </c>
      <c r="F40" s="32" t="e">
        <f>'Giá Máy'!#REF!</f>
        <v>#REF!</v>
      </c>
      <c r="G40" s="270" t="e">
        <f>'Phan tich don gia'!#REF!</f>
        <v>#REF!</v>
      </c>
      <c r="H40" s="179" t="e">
        <f>'Giá Máy'!#REF!</f>
        <v>#REF!</v>
      </c>
      <c r="I40" s="347" t="e">
        <f>'Du toan chi tiet'!#REF!</f>
        <v>#REF!</v>
      </c>
      <c r="J40" s="179" t="e">
        <f t="shared" ref="J40:J42" si="4">PRODUCT(G40,H40,I40)</f>
        <v>#REF!</v>
      </c>
      <c r="K40" s="676"/>
      <c r="L40" s="676"/>
      <c r="M40" s="676"/>
      <c r="N40" s="676"/>
      <c r="O40" s="676"/>
      <c r="P40" s="676"/>
      <c r="Q40" s="676"/>
      <c r="R40" s="676"/>
      <c r="S40" s="676"/>
      <c r="T40" s="676"/>
      <c r="U40" s="676"/>
      <c r="V40" s="676"/>
      <c r="W40" s="676"/>
      <c r="X40" s="676"/>
      <c r="Y40" s="676"/>
      <c r="Z40" s="676"/>
      <c r="AA40" s="676"/>
    </row>
    <row r="41" spans="1:27" x14ac:dyDescent="0.25">
      <c r="A41" s="139"/>
      <c r="B41" s="32"/>
      <c r="C41" s="644" t="s">
        <v>98</v>
      </c>
      <c r="D41" s="507" t="s">
        <v>1089</v>
      </c>
      <c r="E41" s="107" t="str">
        <f>" - " &amp; 'Giá Máy'!E18</f>
        <v xml:space="preserve"> - Máy nén khí diezel 600m3/h</v>
      </c>
      <c r="F41" s="32" t="str">
        <f>'Giá Máy'!F18</f>
        <v>ca</v>
      </c>
      <c r="G41" s="270" t="e">
        <f>'Phan tich don gia'!#REF!</f>
        <v>#REF!</v>
      </c>
      <c r="H41" s="179">
        <f>'Giá Máy'!J18</f>
        <v>1703277.5</v>
      </c>
      <c r="I41" s="347" t="e">
        <f>'Du toan chi tiet'!#REF!</f>
        <v>#REF!</v>
      </c>
      <c r="J41" s="179" t="e">
        <f t="shared" si="4"/>
        <v>#REF!</v>
      </c>
      <c r="K41" s="676"/>
      <c r="L41" s="676"/>
      <c r="M41" s="676"/>
      <c r="N41" s="676"/>
      <c r="O41" s="676"/>
      <c r="P41" s="676"/>
      <c r="Q41" s="676"/>
      <c r="R41" s="676"/>
      <c r="S41" s="676"/>
      <c r="T41" s="676"/>
      <c r="U41" s="676"/>
      <c r="V41" s="676"/>
      <c r="W41" s="676"/>
      <c r="X41" s="676"/>
      <c r="Y41" s="676"/>
      <c r="Z41" s="676"/>
      <c r="AA41" s="676"/>
    </row>
    <row r="42" spans="1:27" x14ac:dyDescent="0.25">
      <c r="A42" s="139"/>
      <c r="B42" s="32"/>
      <c r="C42" s="644" t="s">
        <v>98</v>
      </c>
      <c r="D42" s="507" t="s">
        <v>1162</v>
      </c>
      <c r="E42" s="107" t="s">
        <v>1080</v>
      </c>
      <c r="F42" s="32" t="s">
        <v>1113</v>
      </c>
      <c r="G42" s="270" t="e">
        <f>'Phan tich don gia'!#REF!</f>
        <v>#REF!</v>
      </c>
      <c r="H42" s="179" t="e">
        <f>(G40*H40+G41*H41)/100</f>
        <v>#REF!</v>
      </c>
      <c r="I42" s="347" t="e">
        <f>'Du toan chi tiet'!#REF!</f>
        <v>#REF!</v>
      </c>
      <c r="J42" s="179" t="e">
        <f t="shared" si="4"/>
        <v>#REF!</v>
      </c>
      <c r="K42" s="676"/>
      <c r="L42" s="676"/>
      <c r="M42" s="676"/>
      <c r="N42" s="676"/>
      <c r="O42" s="676"/>
      <c r="P42" s="676"/>
      <c r="Q42" s="676"/>
      <c r="R42" s="676"/>
      <c r="S42" s="676"/>
      <c r="T42" s="676"/>
      <c r="U42" s="676"/>
      <c r="V42" s="676"/>
      <c r="W42" s="676"/>
      <c r="X42" s="676"/>
      <c r="Y42" s="676"/>
      <c r="Z42" s="676"/>
      <c r="AA42" s="676"/>
    </row>
    <row r="43" spans="1:27" x14ac:dyDescent="0.25">
      <c r="A43" s="139"/>
      <c r="B43" s="32"/>
      <c r="C43" s="644" t="s">
        <v>98</v>
      </c>
      <c r="D43" s="507" t="s">
        <v>98</v>
      </c>
      <c r="E43" s="107" t="s">
        <v>1230</v>
      </c>
      <c r="F43" s="32"/>
      <c r="G43" s="277"/>
      <c r="H43" s="179"/>
      <c r="I43" s="347"/>
      <c r="J43" s="179" t="e">
        <f>SUM(J44:J45)+PRODUCT(G42,I42,THM!X96-THM!R96)</f>
        <v>#REF!</v>
      </c>
      <c r="K43" s="676"/>
      <c r="L43" s="676"/>
      <c r="M43" s="676"/>
      <c r="N43" s="676"/>
      <c r="O43" s="676"/>
      <c r="P43" s="676"/>
      <c r="Q43" s="676"/>
      <c r="R43" s="676"/>
      <c r="S43" s="676"/>
      <c r="T43" s="676"/>
      <c r="U43" s="676"/>
      <c r="V43" s="676"/>
      <c r="W43" s="676"/>
      <c r="X43" s="676"/>
      <c r="Y43" s="676"/>
      <c r="Z43" s="676"/>
      <c r="AA43" s="676"/>
    </row>
    <row r="44" spans="1:27" x14ac:dyDescent="0.25">
      <c r="A44" s="139"/>
      <c r="B44" s="32"/>
      <c r="C44" s="644" t="s">
        <v>98</v>
      </c>
      <c r="D44" s="507" t="s">
        <v>98</v>
      </c>
      <c r="E44" s="107" t="s">
        <v>52</v>
      </c>
      <c r="F44" s="32"/>
      <c r="G44" s="277"/>
      <c r="H44" s="179"/>
      <c r="I44" s="347"/>
      <c r="J44" s="179" t="e">
        <f>PRODUCT(G40,I40,'Giá Máy'!#REF!)+PRODUCT(G41,I41,'Giá Máy'!L18)</f>
        <v>#REF!</v>
      </c>
      <c r="K44" s="676"/>
      <c r="L44" s="676"/>
      <c r="M44" s="676"/>
      <c r="N44" s="676"/>
      <c r="O44" s="676"/>
      <c r="P44" s="676"/>
      <c r="Q44" s="676"/>
      <c r="R44" s="676"/>
      <c r="S44" s="676"/>
      <c r="T44" s="676"/>
      <c r="U44" s="676"/>
      <c r="V44" s="676"/>
      <c r="W44" s="676"/>
      <c r="X44" s="676"/>
      <c r="Y44" s="676"/>
      <c r="Z44" s="676"/>
      <c r="AA44" s="676"/>
    </row>
    <row r="45" spans="1:27" x14ac:dyDescent="0.25">
      <c r="A45" s="543"/>
      <c r="B45" s="736"/>
      <c r="C45" s="596" t="s">
        <v>98</v>
      </c>
      <c r="D45" s="438" t="s">
        <v>98</v>
      </c>
      <c r="E45" s="31" t="s">
        <v>597</v>
      </c>
      <c r="F45" s="736"/>
      <c r="G45" s="231"/>
      <c r="H45" s="93"/>
      <c r="I45" s="296"/>
      <c r="J45" s="93" t="e">
        <f>PRODUCT(G40,I40,'Giá Máy'!#REF!)+PRODUCT(G41,I41,'Giá Máy'!M18)</f>
        <v>#REF!</v>
      </c>
      <c r="K45" s="676"/>
      <c r="L45" s="676"/>
      <c r="M45" s="676"/>
      <c r="N45" s="676"/>
      <c r="O45" s="676"/>
      <c r="P45" s="676"/>
      <c r="Q45" s="676"/>
      <c r="R45" s="676"/>
      <c r="S45" s="676"/>
      <c r="T45" s="676"/>
      <c r="U45" s="676"/>
      <c r="V45" s="676"/>
      <c r="W45" s="676"/>
      <c r="X45" s="676"/>
      <c r="Y45" s="676"/>
      <c r="Z45" s="676"/>
      <c r="AA45" s="676"/>
    </row>
    <row r="46" spans="1:27" x14ac:dyDescent="0.25">
      <c r="A46" s="89"/>
      <c r="B46" s="318">
        <v>4</v>
      </c>
      <c r="C46" s="149" t="str">
        <f>'Du toan chi tiet'!C10</f>
        <v>AF.15433</v>
      </c>
      <c r="D46" s="149" t="str">
        <f>'Du toan chi tiet'!C10</f>
        <v>AF.15433</v>
      </c>
      <c r="E46" s="665" t="str">
        <f>'Du toan chi tiet'!D10</f>
        <v>Bê tông thương phẩm, bê tông mặt đường dày mặt đường ≤25cm, bê tông M300, đá 2x4</v>
      </c>
      <c r="F46" s="318" t="str">
        <f>'Du toan chi tiet'!E10</f>
        <v>m3</v>
      </c>
      <c r="G46" s="56"/>
      <c r="H46" s="435"/>
      <c r="I46" s="589"/>
      <c r="J46" s="367" t="e">
        <f>J47+J55+J57</f>
        <v>#REF!</v>
      </c>
      <c r="K46" s="676"/>
      <c r="L46" s="676"/>
      <c r="M46" s="676"/>
      <c r="N46" s="676"/>
      <c r="O46" s="676"/>
      <c r="P46" s="676"/>
      <c r="Q46" s="676"/>
      <c r="R46" s="676"/>
      <c r="S46" s="676"/>
      <c r="T46" s="676"/>
      <c r="U46" s="676"/>
      <c r="V46" s="676"/>
      <c r="W46" s="676"/>
      <c r="X46" s="676"/>
      <c r="Y46" s="676"/>
      <c r="Z46" s="676"/>
      <c r="AA46" s="676"/>
    </row>
    <row r="47" spans="1:27" x14ac:dyDescent="0.25">
      <c r="A47" s="98"/>
      <c r="B47" s="380"/>
      <c r="C47" s="251" t="s">
        <v>98</v>
      </c>
      <c r="D47" s="251" t="s">
        <v>98</v>
      </c>
      <c r="E47" s="449" t="s">
        <v>547</v>
      </c>
      <c r="F47" s="380" t="s">
        <v>962</v>
      </c>
      <c r="G47" s="607"/>
      <c r="H47" s="511"/>
      <c r="I47" s="684"/>
      <c r="J47" s="511" t="e">
        <f>SUM(J48:J54)</f>
        <v>#REF!</v>
      </c>
      <c r="K47" s="676"/>
      <c r="L47" s="676"/>
      <c r="M47" s="676"/>
      <c r="N47" s="676"/>
      <c r="O47" s="676"/>
      <c r="P47" s="676"/>
      <c r="Q47" s="676"/>
      <c r="R47" s="676"/>
      <c r="S47" s="676"/>
      <c r="T47" s="676"/>
      <c r="U47" s="676"/>
      <c r="V47" s="676"/>
      <c r="W47" s="676"/>
      <c r="X47" s="676"/>
      <c r="Y47" s="676"/>
      <c r="Z47" s="676"/>
      <c r="AA47" s="676"/>
    </row>
    <row r="48" spans="1:27" x14ac:dyDescent="0.25">
      <c r="A48" s="139"/>
      <c r="B48" s="32"/>
      <c r="C48" s="644" t="s">
        <v>98</v>
      </c>
      <c r="D48" s="507" t="s">
        <v>235</v>
      </c>
      <c r="E48" s="107" t="str">
        <f>" - " &amp; 'Giá VL'!E37</f>
        <v xml:space="preserve"> - Xi măng PCB40</v>
      </c>
      <c r="F48" s="32" t="str">
        <f>'Giá VL'!F37</f>
        <v>kg</v>
      </c>
      <c r="G48" s="270" t="e">
        <f>'Phan tich don gia'!#REF!</f>
        <v>#REF!</v>
      </c>
      <c r="H48" s="179">
        <f>'Giá VL'!V37</f>
        <v>1587.7239999999999</v>
      </c>
      <c r="I48" s="347">
        <f>'Du toan chi tiet'!V10</f>
        <v>1</v>
      </c>
      <c r="J48" s="179" t="e">
        <f t="shared" ref="J48:J54" si="5">PRODUCT(G48,H48,I48)</f>
        <v>#REF!</v>
      </c>
      <c r="K48" s="676"/>
      <c r="L48" s="676"/>
      <c r="M48" s="676"/>
      <c r="N48" s="676"/>
      <c r="O48" s="676"/>
      <c r="P48" s="676"/>
      <c r="Q48" s="676"/>
      <c r="R48" s="676"/>
      <c r="S48" s="676"/>
      <c r="T48" s="676"/>
      <c r="U48" s="676"/>
      <c r="V48" s="676"/>
      <c r="W48" s="676"/>
      <c r="X48" s="676"/>
      <c r="Y48" s="676"/>
      <c r="Z48" s="676"/>
      <c r="AA48" s="676"/>
    </row>
    <row r="49" spans="1:27" x14ac:dyDescent="0.25">
      <c r="A49" s="139"/>
      <c r="B49" s="32"/>
      <c r="C49" s="644" t="s">
        <v>98</v>
      </c>
      <c r="D49" s="507" t="s">
        <v>523</v>
      </c>
      <c r="E49" s="107" t="str">
        <f>" - " &amp; 'Giá VL'!E9</f>
        <v xml:space="preserve"> - Cát vàng</v>
      </c>
      <c r="F49" s="32" t="str">
        <f>'Giá VL'!F9</f>
        <v>m3</v>
      </c>
      <c r="G49" s="270" t="e">
        <f>'Phan tich don gia'!#REF!</f>
        <v>#REF!</v>
      </c>
      <c r="H49" s="179">
        <f>'Giá VL'!V9</f>
        <v>345317.29174999997</v>
      </c>
      <c r="I49" s="347">
        <f>'Du toan chi tiet'!V10</f>
        <v>1</v>
      </c>
      <c r="J49" s="179" t="e">
        <f t="shared" si="5"/>
        <v>#REF!</v>
      </c>
      <c r="K49" s="676"/>
      <c r="L49" s="676"/>
      <c r="M49" s="676"/>
      <c r="N49" s="676"/>
      <c r="O49" s="676"/>
      <c r="P49" s="676"/>
      <c r="Q49" s="676"/>
      <c r="R49" s="676"/>
      <c r="S49" s="676"/>
      <c r="T49" s="676"/>
      <c r="U49" s="676"/>
      <c r="V49" s="676"/>
      <c r="W49" s="676"/>
      <c r="X49" s="676"/>
      <c r="Y49" s="676"/>
      <c r="Z49" s="676"/>
      <c r="AA49" s="676"/>
    </row>
    <row r="50" spans="1:27" x14ac:dyDescent="0.25">
      <c r="A50" s="139"/>
      <c r="B50" s="32"/>
      <c r="C50" s="644" t="s">
        <v>98</v>
      </c>
      <c r="D50" s="507" t="s">
        <v>485</v>
      </c>
      <c r="E50" s="107" t="str">
        <f>" - " &amp; 'Giá VL'!E12</f>
        <v xml:space="preserve"> - Đá 2x4</v>
      </c>
      <c r="F50" s="32" t="str">
        <f>'Giá VL'!F12</f>
        <v>m3</v>
      </c>
      <c r="G50" s="270" t="e">
        <f>'Phan tich don gia'!#REF!</f>
        <v>#REF!</v>
      </c>
      <c r="H50" s="179">
        <f>'Giá VL'!V12</f>
        <v>316313.14456500002</v>
      </c>
      <c r="I50" s="347">
        <f>'Du toan chi tiet'!V10</f>
        <v>1</v>
      </c>
      <c r="J50" s="179" t="e">
        <f t="shared" si="5"/>
        <v>#REF!</v>
      </c>
      <c r="K50" s="676"/>
      <c r="L50" s="676"/>
      <c r="M50" s="676"/>
      <c r="N50" s="676"/>
      <c r="O50" s="676"/>
      <c r="P50" s="676"/>
      <c r="Q50" s="676"/>
      <c r="R50" s="676"/>
      <c r="S50" s="676"/>
      <c r="T50" s="676"/>
      <c r="U50" s="676"/>
      <c r="V50" s="676"/>
      <c r="W50" s="676"/>
      <c r="X50" s="676"/>
      <c r="Y50" s="676"/>
      <c r="Z50" s="676"/>
      <c r="AA50" s="676"/>
    </row>
    <row r="51" spans="1:27" x14ac:dyDescent="0.25">
      <c r="A51" s="139"/>
      <c r="B51" s="32"/>
      <c r="C51" s="644" t="s">
        <v>98</v>
      </c>
      <c r="D51" s="507" t="s">
        <v>956</v>
      </c>
      <c r="E51" s="107" t="str">
        <f>" - " &amp; 'Giá VL'!E23</f>
        <v xml:space="preserve"> - Nước</v>
      </c>
      <c r="F51" s="32" t="str">
        <f>'Giá VL'!F23</f>
        <v>lít</v>
      </c>
      <c r="G51" s="270">
        <f>'Phan tich don gia'!G30</f>
        <v>1.0249999999999999</v>
      </c>
      <c r="H51" s="179">
        <f>'Giá VL'!V23</f>
        <v>10</v>
      </c>
      <c r="I51" s="347">
        <f>'Du toan chi tiet'!V10</f>
        <v>1</v>
      </c>
      <c r="J51" s="179">
        <f t="shared" si="5"/>
        <v>10.25</v>
      </c>
      <c r="K51" s="676"/>
      <c r="L51" s="676"/>
      <c r="M51" s="676"/>
      <c r="N51" s="676"/>
      <c r="O51" s="676"/>
      <c r="P51" s="676"/>
      <c r="Q51" s="676"/>
      <c r="R51" s="676"/>
      <c r="S51" s="676"/>
      <c r="T51" s="676"/>
      <c r="U51" s="676"/>
      <c r="V51" s="676"/>
      <c r="W51" s="676"/>
      <c r="X51" s="676"/>
      <c r="Y51" s="676"/>
      <c r="Z51" s="676"/>
      <c r="AA51" s="676"/>
    </row>
    <row r="52" spans="1:27" x14ac:dyDescent="0.25">
      <c r="A52" s="139"/>
      <c r="B52" s="32"/>
      <c r="C52" s="644" t="s">
        <v>98</v>
      </c>
      <c r="D52" s="507" t="s">
        <v>103</v>
      </c>
      <c r="E52" s="107" t="str">
        <f>" - " &amp; 'Giá VL'!E17</f>
        <v xml:space="preserve"> - Gỗ làm khe co dãn</v>
      </c>
      <c r="F52" s="32" t="str">
        <f>'Giá VL'!F17</f>
        <v>m3</v>
      </c>
      <c r="G52" s="270">
        <f>'Phan tich don gia'!G31</f>
        <v>7.0000000000000001E-3</v>
      </c>
      <c r="H52" s="179">
        <f>'Giá VL'!V17</f>
        <v>4123452.631914</v>
      </c>
      <c r="I52" s="347">
        <f>'Du toan chi tiet'!V10</f>
        <v>1</v>
      </c>
      <c r="J52" s="179">
        <f t="shared" si="5"/>
        <v>28864.168423398001</v>
      </c>
      <c r="K52" s="676"/>
      <c r="L52" s="676"/>
      <c r="M52" s="676"/>
      <c r="N52" s="676"/>
      <c r="O52" s="676"/>
      <c r="P52" s="676"/>
      <c r="Q52" s="676"/>
      <c r="R52" s="676"/>
      <c r="S52" s="676"/>
      <c r="T52" s="676"/>
      <c r="U52" s="676"/>
      <c r="V52" s="676"/>
      <c r="W52" s="676"/>
      <c r="X52" s="676"/>
      <c r="Y52" s="676"/>
      <c r="Z52" s="676"/>
      <c r="AA52" s="676"/>
    </row>
    <row r="53" spans="1:27" x14ac:dyDescent="0.25">
      <c r="A53" s="139"/>
      <c r="B53" s="32"/>
      <c r="C53" s="644" t="s">
        <v>98</v>
      </c>
      <c r="D53" s="507" t="s">
        <v>104</v>
      </c>
      <c r="E53" s="107" t="str">
        <f>" - " &amp; 'Giá VL'!E22</f>
        <v xml:space="preserve"> - Nhựa đường</v>
      </c>
      <c r="F53" s="32" t="str">
        <f>'Giá VL'!F22</f>
        <v>kg</v>
      </c>
      <c r="G53" s="270">
        <f>'Phan tich don gia'!G32</f>
        <v>1.75</v>
      </c>
      <c r="H53" s="179">
        <f>'Giá VL'!V22</f>
        <v>16818</v>
      </c>
      <c r="I53" s="347">
        <f>'Du toan chi tiet'!V10</f>
        <v>1</v>
      </c>
      <c r="J53" s="179">
        <f t="shared" si="5"/>
        <v>29431.5</v>
      </c>
      <c r="K53" s="676"/>
      <c r="L53" s="676"/>
      <c r="M53" s="676"/>
      <c r="N53" s="676"/>
      <c r="O53" s="676"/>
      <c r="P53" s="676"/>
      <c r="Q53" s="676"/>
      <c r="R53" s="676"/>
      <c r="S53" s="676"/>
      <c r="T53" s="676"/>
      <c r="U53" s="676"/>
      <c r="V53" s="676"/>
      <c r="W53" s="676"/>
      <c r="X53" s="676"/>
      <c r="Y53" s="676"/>
      <c r="Z53" s="676"/>
      <c r="AA53" s="676"/>
    </row>
    <row r="54" spans="1:27" x14ac:dyDescent="0.25">
      <c r="A54" s="139"/>
      <c r="B54" s="32"/>
      <c r="C54" s="644" t="s">
        <v>98</v>
      </c>
      <c r="D54" s="507" t="s">
        <v>667</v>
      </c>
      <c r="E54" s="107" t="s">
        <v>238</v>
      </c>
      <c r="F54" s="32" t="s">
        <v>1113</v>
      </c>
      <c r="G54" s="270">
        <f>'Phan tich don gia'!G33</f>
        <v>1.5</v>
      </c>
      <c r="H54" s="179" t="e">
        <f>(G48*H48+G49*H49+G50*H50+G51*H51+G52*H52+G53*H53)/100</f>
        <v>#REF!</v>
      </c>
      <c r="I54" s="347">
        <f>'Du toan chi tiet'!V10</f>
        <v>1</v>
      </c>
      <c r="J54" s="179" t="e">
        <f t="shared" si="5"/>
        <v>#REF!</v>
      </c>
      <c r="K54" s="676"/>
      <c r="L54" s="676"/>
      <c r="M54" s="676"/>
      <c r="N54" s="676"/>
      <c r="O54" s="676"/>
      <c r="P54" s="676"/>
      <c r="Q54" s="676"/>
      <c r="R54" s="676"/>
      <c r="S54" s="676"/>
      <c r="T54" s="676"/>
      <c r="U54" s="676"/>
      <c r="V54" s="676"/>
      <c r="W54" s="676"/>
      <c r="X54" s="676"/>
      <c r="Y54" s="676"/>
      <c r="Z54" s="676"/>
      <c r="AA54" s="676"/>
    </row>
    <row r="55" spans="1:27" x14ac:dyDescent="0.25">
      <c r="A55" s="98"/>
      <c r="B55" s="380"/>
      <c r="C55" s="251" t="s">
        <v>98</v>
      </c>
      <c r="D55" s="251" t="s">
        <v>98</v>
      </c>
      <c r="E55" s="449" t="s">
        <v>301</v>
      </c>
      <c r="F55" s="380" t="s">
        <v>1018</v>
      </c>
      <c r="G55" s="607"/>
      <c r="H55" s="511"/>
      <c r="I55" s="684"/>
      <c r="J55" s="511">
        <f>SUM(J56:J56)</f>
        <v>172757</v>
      </c>
      <c r="K55" s="676"/>
      <c r="L55" s="676"/>
      <c r="M55" s="676"/>
      <c r="N55" s="676"/>
      <c r="O55" s="676"/>
      <c r="P55" s="676"/>
      <c r="Q55" s="676"/>
      <c r="R55" s="676"/>
      <c r="S55" s="676"/>
      <c r="T55" s="676"/>
      <c r="U55" s="676"/>
      <c r="V55" s="676"/>
      <c r="W55" s="676"/>
      <c r="X55" s="676"/>
      <c r="Y55" s="676"/>
      <c r="Z55" s="676"/>
      <c r="AA55" s="676"/>
    </row>
    <row r="56" spans="1:27" x14ac:dyDescent="0.25">
      <c r="A56" s="139"/>
      <c r="B56" s="32"/>
      <c r="C56" s="644" t="s">
        <v>98</v>
      </c>
      <c r="D56" s="507" t="s">
        <v>706</v>
      </c>
      <c r="E56" s="107" t="str">
        <f>" - " &amp; 'Giá NC'!E8</f>
        <v xml:space="preserve"> - Nhân công bậc 3,5/7 - Nhóm 2</v>
      </c>
      <c r="F56" s="32" t="str">
        <f>'Giá NC'!F8</f>
        <v>công</v>
      </c>
      <c r="G56" s="270">
        <f>'Phan tich don gia'!G35</f>
        <v>0.68500000000000005</v>
      </c>
      <c r="H56" s="179">
        <f>'Giá NC'!K8</f>
        <v>252200</v>
      </c>
      <c r="I56" s="347">
        <f>'Du toan chi tiet'!W10</f>
        <v>1</v>
      </c>
      <c r="J56" s="179">
        <f>PRODUCT(G56,H56,I56)</f>
        <v>172757</v>
      </c>
      <c r="K56" s="676"/>
      <c r="L56" s="676"/>
      <c r="M56" s="676"/>
      <c r="N56" s="676"/>
      <c r="O56" s="676"/>
      <c r="P56" s="676"/>
      <c r="Q56" s="676"/>
      <c r="R56" s="676"/>
      <c r="S56" s="676"/>
      <c r="T56" s="676"/>
      <c r="U56" s="676"/>
      <c r="V56" s="676"/>
      <c r="W56" s="676"/>
      <c r="X56" s="676"/>
      <c r="Y56" s="676"/>
      <c r="Z56" s="676"/>
      <c r="AA56" s="676"/>
    </row>
    <row r="57" spans="1:27" x14ac:dyDescent="0.25">
      <c r="A57" s="98"/>
      <c r="B57" s="380"/>
      <c r="C57" s="251" t="s">
        <v>98</v>
      </c>
      <c r="D57" s="251" t="s">
        <v>98</v>
      </c>
      <c r="E57" s="449" t="s">
        <v>1175</v>
      </c>
      <c r="F57" s="380" t="s">
        <v>138</v>
      </c>
      <c r="G57" s="607"/>
      <c r="H57" s="511"/>
      <c r="I57" s="684"/>
      <c r="J57" s="511" t="e">
        <f>SUM(J58:J62)</f>
        <v>#REF!</v>
      </c>
      <c r="K57" s="676"/>
      <c r="L57" s="676"/>
      <c r="M57" s="676"/>
      <c r="N57" s="676"/>
      <c r="O57" s="676"/>
      <c r="P57" s="676"/>
      <c r="Q57" s="676"/>
      <c r="R57" s="676"/>
      <c r="S57" s="676"/>
      <c r="T57" s="676"/>
      <c r="U57" s="676"/>
      <c r="V57" s="676"/>
      <c r="W57" s="676"/>
      <c r="X57" s="676"/>
      <c r="Y57" s="676"/>
      <c r="Z57" s="676"/>
      <c r="AA57" s="676"/>
    </row>
    <row r="58" spans="1:27" x14ac:dyDescent="0.25">
      <c r="A58" s="139"/>
      <c r="B58" s="32"/>
      <c r="C58" s="644" t="s">
        <v>98</v>
      </c>
      <c r="D58" s="507" t="s">
        <v>113</v>
      </c>
      <c r="E58" s="107" t="str">
        <f>" - " &amp; 'Giá Máy'!E20</f>
        <v xml:space="preserve"> - Máy trộn bê tông 250 lít</v>
      </c>
      <c r="F58" s="32" t="str">
        <f>'Giá Máy'!F20</f>
        <v>ca</v>
      </c>
      <c r="G58" s="270" t="e">
        <f>'Phan tich don gia'!#REF!</f>
        <v>#REF!</v>
      </c>
      <c r="H58" s="179">
        <f>'Giá Máy'!J20</f>
        <v>317242</v>
      </c>
      <c r="I58" s="347">
        <f>'Du toan chi tiet'!X10</f>
        <v>1</v>
      </c>
      <c r="J58" s="179" t="e">
        <f t="shared" ref="J58:J61" si="6">PRODUCT(G58,H58,I58)</f>
        <v>#REF!</v>
      </c>
      <c r="K58" s="676"/>
      <c r="L58" s="676"/>
      <c r="M58" s="676"/>
      <c r="N58" s="676"/>
      <c r="O58" s="676"/>
      <c r="P58" s="676"/>
      <c r="Q58" s="676"/>
      <c r="R58" s="676"/>
      <c r="S58" s="676"/>
      <c r="T58" s="676"/>
      <c r="U58" s="676"/>
      <c r="V58" s="676"/>
      <c r="W58" s="676"/>
      <c r="X58" s="676"/>
      <c r="Y58" s="676"/>
      <c r="Z58" s="676"/>
      <c r="AA58" s="676"/>
    </row>
    <row r="59" spans="1:27" x14ac:dyDescent="0.25">
      <c r="A59" s="139"/>
      <c r="B59" s="32"/>
      <c r="C59" s="644" t="s">
        <v>98</v>
      </c>
      <c r="D59" s="507" t="s">
        <v>201</v>
      </c>
      <c r="E59" s="107" t="str">
        <f>" - " &amp; 'Giá Máy'!E10</f>
        <v xml:space="preserve"> - Máy đầm bàn 1kW</v>
      </c>
      <c r="F59" s="32" t="str">
        <f>'Giá Máy'!F10</f>
        <v>ca</v>
      </c>
      <c r="G59" s="270">
        <f>'Phan tich don gia'!G37</f>
        <v>8.8999999999999996E-2</v>
      </c>
      <c r="H59" s="179">
        <f>'Giá Máy'!J10</f>
        <v>257212</v>
      </c>
      <c r="I59" s="347">
        <f>'Du toan chi tiet'!X10</f>
        <v>1</v>
      </c>
      <c r="J59" s="179">
        <f t="shared" si="6"/>
        <v>22891.867999999999</v>
      </c>
      <c r="K59" s="676"/>
      <c r="L59" s="676"/>
      <c r="M59" s="676"/>
      <c r="N59" s="676"/>
      <c r="O59" s="676"/>
      <c r="P59" s="676"/>
      <c r="Q59" s="676"/>
      <c r="R59" s="676"/>
      <c r="S59" s="676"/>
      <c r="T59" s="676"/>
      <c r="U59" s="676"/>
      <c r="V59" s="676"/>
      <c r="W59" s="676"/>
      <c r="X59" s="676"/>
      <c r="Y59" s="676"/>
      <c r="Z59" s="676"/>
      <c r="AA59" s="676"/>
    </row>
    <row r="60" spans="1:27" x14ac:dyDescent="0.25">
      <c r="A60" s="139"/>
      <c r="B60" s="32"/>
      <c r="C60" s="644" t="s">
        <v>98</v>
      </c>
      <c r="D60" s="507" t="s">
        <v>194</v>
      </c>
      <c r="E60" s="107" t="str">
        <f>" - " &amp; 'Giá Máy'!E12</f>
        <v xml:space="preserve"> - Máy đầm dùi 1,5kW</v>
      </c>
      <c r="F60" s="32" t="str">
        <f>'Giá Máy'!F12</f>
        <v>ca</v>
      </c>
      <c r="G60" s="270">
        <f>'Phan tich don gia'!G38</f>
        <v>8.8999999999999996E-2</v>
      </c>
      <c r="H60" s="179">
        <f>'Giá Máy'!J12</f>
        <v>265153</v>
      </c>
      <c r="I60" s="347">
        <f>'Du toan chi tiet'!X10</f>
        <v>1</v>
      </c>
      <c r="J60" s="179">
        <f t="shared" si="6"/>
        <v>23598.616999999998</v>
      </c>
      <c r="K60" s="676"/>
      <c r="L60" s="676"/>
      <c r="M60" s="676"/>
      <c r="N60" s="676"/>
      <c r="O60" s="676"/>
      <c r="P60" s="676"/>
      <c r="Q60" s="676"/>
      <c r="R60" s="676"/>
      <c r="S60" s="676"/>
      <c r="T60" s="676"/>
      <c r="U60" s="676"/>
      <c r="V60" s="676"/>
      <c r="W60" s="676"/>
      <c r="X60" s="676"/>
      <c r="Y60" s="676"/>
      <c r="Z60" s="676"/>
      <c r="AA60" s="676"/>
    </row>
    <row r="61" spans="1:27" x14ac:dyDescent="0.25">
      <c r="A61" s="139"/>
      <c r="B61" s="32"/>
      <c r="C61" s="644" t="s">
        <v>98</v>
      </c>
      <c r="D61" s="507" t="s">
        <v>1162</v>
      </c>
      <c r="E61" s="107" t="s">
        <v>1080</v>
      </c>
      <c r="F61" s="32" t="s">
        <v>1113</v>
      </c>
      <c r="G61" s="270">
        <f>'Phan tich don gia'!G39</f>
        <v>2</v>
      </c>
      <c r="H61" s="179" t="e">
        <f>(G58*H58+G59*H59+G60*H60)/100</f>
        <v>#REF!</v>
      </c>
      <c r="I61" s="347">
        <f>'Du toan chi tiet'!X10</f>
        <v>1</v>
      </c>
      <c r="J61" s="179" t="e">
        <f t="shared" si="6"/>
        <v>#REF!</v>
      </c>
      <c r="K61" s="676"/>
      <c r="L61" s="676"/>
      <c r="M61" s="676"/>
      <c r="N61" s="676"/>
      <c r="O61" s="676"/>
      <c r="P61" s="676"/>
      <c r="Q61" s="676"/>
      <c r="R61" s="676"/>
      <c r="S61" s="676"/>
      <c r="T61" s="676"/>
      <c r="U61" s="676"/>
      <c r="V61" s="676"/>
      <c r="W61" s="676"/>
      <c r="X61" s="676"/>
      <c r="Y61" s="676"/>
      <c r="Z61" s="676"/>
      <c r="AA61" s="676"/>
    </row>
    <row r="62" spans="1:27" x14ac:dyDescent="0.25">
      <c r="A62" s="139"/>
      <c r="B62" s="32"/>
      <c r="C62" s="644" t="s">
        <v>98</v>
      </c>
      <c r="D62" s="507" t="s">
        <v>98</v>
      </c>
      <c r="E62" s="107" t="s">
        <v>1230</v>
      </c>
      <c r="F62" s="32"/>
      <c r="G62" s="277"/>
      <c r="H62" s="179"/>
      <c r="I62" s="347"/>
      <c r="J62" s="179" t="e">
        <f>SUM(J63:J64)+PRODUCT(G61,I61,THM!X104-THM!R104)</f>
        <v>#REF!</v>
      </c>
      <c r="K62" s="676"/>
      <c r="L62" s="676"/>
      <c r="M62" s="676"/>
      <c r="N62" s="676"/>
      <c r="O62" s="676"/>
      <c r="P62" s="676"/>
      <c r="Q62" s="676"/>
      <c r="R62" s="676"/>
      <c r="S62" s="676"/>
      <c r="T62" s="676"/>
      <c r="U62" s="676"/>
      <c r="V62" s="676"/>
      <c r="W62" s="676"/>
      <c r="X62" s="676"/>
      <c r="Y62" s="676"/>
      <c r="Z62" s="676"/>
      <c r="AA62" s="676"/>
    </row>
    <row r="63" spans="1:27" x14ac:dyDescent="0.25">
      <c r="A63" s="139"/>
      <c r="B63" s="32"/>
      <c r="C63" s="644" t="s">
        <v>98</v>
      </c>
      <c r="D63" s="507" t="s">
        <v>98</v>
      </c>
      <c r="E63" s="107" t="s">
        <v>52</v>
      </c>
      <c r="F63" s="32"/>
      <c r="G63" s="277"/>
      <c r="H63" s="179"/>
      <c r="I63" s="347"/>
      <c r="J63" s="179" t="e">
        <f>PRODUCT(G58,I58,'Giá Máy'!L20)+PRODUCT(G59,I59,'Giá Máy'!L10)+PRODUCT(G60,I60,'Giá Máy'!L12)</f>
        <v>#REF!</v>
      </c>
      <c r="K63" s="676"/>
      <c r="L63" s="676"/>
      <c r="M63" s="676"/>
      <c r="N63" s="676"/>
      <c r="O63" s="676"/>
      <c r="P63" s="676"/>
      <c r="Q63" s="676"/>
      <c r="R63" s="676"/>
      <c r="S63" s="676"/>
      <c r="T63" s="676"/>
      <c r="U63" s="676"/>
      <c r="V63" s="676"/>
      <c r="W63" s="676"/>
      <c r="X63" s="676"/>
      <c r="Y63" s="676"/>
      <c r="Z63" s="676"/>
      <c r="AA63" s="676"/>
    </row>
    <row r="64" spans="1:27" x14ac:dyDescent="0.25">
      <c r="A64" s="543"/>
      <c r="B64" s="736"/>
      <c r="C64" s="596" t="s">
        <v>98</v>
      </c>
      <c r="D64" s="438" t="s">
        <v>98</v>
      </c>
      <c r="E64" s="31" t="s">
        <v>597</v>
      </c>
      <c r="F64" s="736"/>
      <c r="G64" s="231"/>
      <c r="H64" s="93"/>
      <c r="I64" s="296"/>
      <c r="J64" s="93" t="e">
        <f>PRODUCT(G58,I58,'Giá Máy'!M20)+PRODUCT(G59,I59,'Giá Máy'!M10)+PRODUCT(G60,I60,'Giá Máy'!M12)</f>
        <v>#REF!</v>
      </c>
      <c r="K64" s="676"/>
      <c r="L64" s="676"/>
      <c r="M64" s="676"/>
      <c r="N64" s="676"/>
      <c r="O64" s="676"/>
      <c r="P64" s="676"/>
      <c r="Q64" s="676"/>
      <c r="R64" s="676"/>
      <c r="S64" s="676"/>
      <c r="T64" s="676"/>
      <c r="U64" s="676"/>
      <c r="V64" s="676"/>
      <c r="W64" s="676"/>
      <c r="X64" s="676"/>
      <c r="Y64" s="676"/>
      <c r="Z64" s="676"/>
      <c r="AA64" s="676"/>
    </row>
    <row r="65" spans="1:27" x14ac:dyDescent="0.25">
      <c r="A65" s="89"/>
      <c r="B65" s="318">
        <v>5</v>
      </c>
      <c r="C65" s="149" t="str">
        <f>'Du toan chi tiet'!C11</f>
        <v>AB.66141</v>
      </c>
      <c r="D65" s="149" t="str">
        <f>'Du toan chi tiet'!C11</f>
        <v>AB.66141</v>
      </c>
      <c r="E65" s="665" t="str">
        <f>'Du toan chi tiet'!D11</f>
        <v>Đắp bột đá công trình dày 5cm</v>
      </c>
      <c r="F65" s="318" t="str">
        <f>'Du toan chi tiet'!E11</f>
        <v>m3</v>
      </c>
      <c r="G65" s="56"/>
      <c r="H65" s="435"/>
      <c r="I65" s="589"/>
      <c r="J65" s="367">
        <f>J66+J68+J70</f>
        <v>189821.64559924</v>
      </c>
      <c r="K65" s="676"/>
      <c r="L65" s="676"/>
      <c r="M65" s="676"/>
      <c r="N65" s="676"/>
      <c r="O65" s="676"/>
      <c r="P65" s="676"/>
      <c r="Q65" s="676"/>
      <c r="R65" s="676"/>
      <c r="S65" s="676"/>
      <c r="T65" s="676"/>
      <c r="U65" s="676"/>
      <c r="V65" s="676"/>
      <c r="W65" s="676"/>
      <c r="X65" s="676"/>
      <c r="Y65" s="676"/>
      <c r="Z65" s="676"/>
      <c r="AA65" s="676"/>
    </row>
    <row r="66" spans="1:27" x14ac:dyDescent="0.25">
      <c r="A66" s="98"/>
      <c r="B66" s="380"/>
      <c r="C66" s="251" t="s">
        <v>98</v>
      </c>
      <c r="D66" s="251" t="s">
        <v>98</v>
      </c>
      <c r="E66" s="449" t="s">
        <v>547</v>
      </c>
      <c r="F66" s="380" t="s">
        <v>962</v>
      </c>
      <c r="G66" s="607"/>
      <c r="H66" s="511"/>
      <c r="I66" s="684"/>
      <c r="J66" s="511">
        <f>SUM(J67:J67)</f>
        <v>173936.85111923999</v>
      </c>
      <c r="K66" s="676"/>
      <c r="L66" s="676"/>
      <c r="M66" s="676"/>
      <c r="N66" s="676"/>
      <c r="O66" s="676"/>
      <c r="P66" s="676"/>
      <c r="Q66" s="676"/>
      <c r="R66" s="676"/>
      <c r="S66" s="676"/>
      <c r="T66" s="676"/>
      <c r="U66" s="676"/>
      <c r="V66" s="676"/>
      <c r="W66" s="676"/>
      <c r="X66" s="676"/>
      <c r="Y66" s="676"/>
      <c r="Z66" s="676"/>
      <c r="AA66" s="676"/>
    </row>
    <row r="67" spans="1:27" x14ac:dyDescent="0.25">
      <c r="A67" s="139"/>
      <c r="B67" s="32"/>
      <c r="C67" s="644" t="s">
        <v>98</v>
      </c>
      <c r="D67" s="507" t="s">
        <v>99</v>
      </c>
      <c r="E67" s="107" t="str">
        <f>" - " &amp; 'Giá VL'!E8</f>
        <v xml:space="preserve"> - Bột đá</v>
      </c>
      <c r="F67" s="32" t="str">
        <f>'Giá VL'!F8</f>
        <v>m3</v>
      </c>
      <c r="G67" s="270">
        <f>'Phan tich don gia'!G42</f>
        <v>1.22</v>
      </c>
      <c r="H67" s="179">
        <f>'Giá VL'!V8</f>
        <v>142571.189442</v>
      </c>
      <c r="I67" s="347">
        <f>'Du toan chi tiet'!V11</f>
        <v>1</v>
      </c>
      <c r="J67" s="179">
        <f>PRODUCT(G67,H67,I67)</f>
        <v>173936.85111923999</v>
      </c>
      <c r="K67" s="676"/>
      <c r="L67" s="676"/>
      <c r="M67" s="676"/>
      <c r="N67" s="676"/>
      <c r="O67" s="676"/>
      <c r="P67" s="676"/>
      <c r="Q67" s="676"/>
      <c r="R67" s="676"/>
      <c r="S67" s="676"/>
      <c r="T67" s="676"/>
      <c r="U67" s="676"/>
      <c r="V67" s="676"/>
      <c r="W67" s="676"/>
      <c r="X67" s="676"/>
      <c r="Y67" s="676"/>
      <c r="Z67" s="676"/>
      <c r="AA67" s="676"/>
    </row>
    <row r="68" spans="1:27" x14ac:dyDescent="0.25">
      <c r="A68" s="98"/>
      <c r="B68" s="380"/>
      <c r="C68" s="251" t="s">
        <v>98</v>
      </c>
      <c r="D68" s="251" t="s">
        <v>98</v>
      </c>
      <c r="E68" s="449" t="s">
        <v>301</v>
      </c>
      <c r="F68" s="380" t="s">
        <v>1018</v>
      </c>
      <c r="G68" s="607"/>
      <c r="H68" s="511"/>
      <c r="I68" s="684"/>
      <c r="J68" s="511">
        <f>SUM(J69:J69)</f>
        <v>8501.945099999999</v>
      </c>
      <c r="K68" s="676"/>
      <c r="L68" s="676"/>
      <c r="M68" s="676"/>
      <c r="N68" s="676"/>
      <c r="O68" s="676"/>
      <c r="P68" s="676"/>
      <c r="Q68" s="676"/>
      <c r="R68" s="676"/>
      <c r="S68" s="676"/>
      <c r="T68" s="676"/>
      <c r="U68" s="676"/>
      <c r="V68" s="676"/>
      <c r="W68" s="676"/>
      <c r="X68" s="676"/>
      <c r="Y68" s="676"/>
      <c r="Z68" s="676"/>
      <c r="AA68" s="676"/>
    </row>
    <row r="69" spans="1:27" x14ac:dyDescent="0.25">
      <c r="A69" s="139"/>
      <c r="B69" s="32"/>
      <c r="C69" s="644" t="s">
        <v>98</v>
      </c>
      <c r="D69" s="507" t="s">
        <v>475</v>
      </c>
      <c r="E69" s="107" t="str">
        <f>" - " &amp; 'Giá NC'!E5</f>
        <v xml:space="preserve"> - Nhân công bậc 3,0/7 - Nhóm 1</v>
      </c>
      <c r="F69" s="32" t="str">
        <f>'Giá NC'!F5</f>
        <v>công</v>
      </c>
      <c r="G69" s="270">
        <f>'Phan tich don gia'!G44</f>
        <v>3.8899999999999997E-2</v>
      </c>
      <c r="H69" s="179">
        <f>'Giá NC'!K5</f>
        <v>218559</v>
      </c>
      <c r="I69" s="347">
        <f>'Du toan chi tiet'!W11</f>
        <v>1</v>
      </c>
      <c r="J69" s="179">
        <f>PRODUCT(G69,H69,I69)</f>
        <v>8501.945099999999</v>
      </c>
      <c r="K69" s="676"/>
      <c r="L69" s="676"/>
      <c r="M69" s="676"/>
      <c r="N69" s="676"/>
      <c r="O69" s="676"/>
      <c r="P69" s="676"/>
      <c r="Q69" s="676"/>
      <c r="R69" s="676"/>
      <c r="S69" s="676"/>
      <c r="T69" s="676"/>
      <c r="U69" s="676"/>
      <c r="V69" s="676"/>
      <c r="W69" s="676"/>
      <c r="X69" s="676"/>
      <c r="Y69" s="676"/>
      <c r="Z69" s="676"/>
      <c r="AA69" s="676"/>
    </row>
    <row r="70" spans="1:27" x14ac:dyDescent="0.25">
      <c r="A70" s="98"/>
      <c r="B70" s="380"/>
      <c r="C70" s="251" t="s">
        <v>98</v>
      </c>
      <c r="D70" s="251" t="s">
        <v>98</v>
      </c>
      <c r="E70" s="449" t="s">
        <v>1175</v>
      </c>
      <c r="F70" s="380" t="s">
        <v>138</v>
      </c>
      <c r="G70" s="607"/>
      <c r="H70" s="511"/>
      <c r="I70" s="684"/>
      <c r="J70" s="511">
        <f>SUM(J71:J73)</f>
        <v>7382.8493799999997</v>
      </c>
      <c r="K70" s="676"/>
      <c r="L70" s="676"/>
      <c r="M70" s="676"/>
      <c r="N70" s="676"/>
      <c r="O70" s="676"/>
      <c r="P70" s="676"/>
      <c r="Q70" s="676"/>
      <c r="R70" s="676"/>
      <c r="S70" s="676"/>
      <c r="T70" s="676"/>
      <c r="U70" s="676"/>
      <c r="V70" s="676"/>
      <c r="W70" s="676"/>
      <c r="X70" s="676"/>
      <c r="Y70" s="676"/>
      <c r="Z70" s="676"/>
      <c r="AA70" s="676"/>
    </row>
    <row r="71" spans="1:27" x14ac:dyDescent="0.25">
      <c r="A71" s="139"/>
      <c r="B71" s="32"/>
      <c r="C71" s="644" t="s">
        <v>98</v>
      </c>
      <c r="D71" s="507" t="s">
        <v>551</v>
      </c>
      <c r="E71" s="107" t="str">
        <f>" - " &amp; 'Giá Máy'!E11</f>
        <v xml:space="preserve"> - Máy đầm đất cầm tay 70kg</v>
      </c>
      <c r="F71" s="32" t="str">
        <f>'Giá Máy'!F11</f>
        <v>ca</v>
      </c>
      <c r="G71" s="270">
        <f>'Phan tich don gia'!G46</f>
        <v>1.9E-2</v>
      </c>
      <c r="H71" s="179">
        <f>'Giá Máy'!J11</f>
        <v>380951</v>
      </c>
      <c r="I71" s="347">
        <f>'Du toan chi tiet'!X11</f>
        <v>1</v>
      </c>
      <c r="J71" s="179">
        <f t="shared" ref="J71:J72" si="7">PRODUCT(G71,H71,I71)</f>
        <v>7238.0689999999995</v>
      </c>
      <c r="K71" s="676"/>
      <c r="L71" s="676"/>
      <c r="M71" s="676"/>
      <c r="N71" s="676"/>
      <c r="O71" s="676"/>
      <c r="P71" s="676"/>
      <c r="Q71" s="676"/>
      <c r="R71" s="676"/>
      <c r="S71" s="676"/>
      <c r="T71" s="676"/>
      <c r="U71" s="676"/>
      <c r="V71" s="676"/>
      <c r="W71" s="676"/>
      <c r="X71" s="676"/>
      <c r="Y71" s="676"/>
      <c r="Z71" s="676"/>
      <c r="AA71" s="676"/>
    </row>
    <row r="72" spans="1:27" x14ac:dyDescent="0.25">
      <c r="A72" s="139"/>
      <c r="B72" s="32"/>
      <c r="C72" s="644" t="s">
        <v>98</v>
      </c>
      <c r="D72" s="507" t="s">
        <v>1162</v>
      </c>
      <c r="E72" s="107" t="s">
        <v>1080</v>
      </c>
      <c r="F72" s="32" t="s">
        <v>1113</v>
      </c>
      <c r="G72" s="270">
        <f>'Phan tich don gia'!G47</f>
        <v>2</v>
      </c>
      <c r="H72" s="179">
        <f>(G71*H71)/100</f>
        <v>72.380690000000001</v>
      </c>
      <c r="I72" s="347">
        <f>'Du toan chi tiet'!X11</f>
        <v>1</v>
      </c>
      <c r="J72" s="179">
        <f t="shared" si="7"/>
        <v>144.76138</v>
      </c>
      <c r="K72" s="676"/>
      <c r="L72" s="676"/>
      <c r="M72" s="676"/>
      <c r="N72" s="676"/>
      <c r="O72" s="676"/>
      <c r="P72" s="676"/>
      <c r="Q72" s="676"/>
      <c r="R72" s="676"/>
      <c r="S72" s="676"/>
      <c r="T72" s="676"/>
      <c r="U72" s="676"/>
      <c r="V72" s="676"/>
      <c r="W72" s="676"/>
      <c r="X72" s="676"/>
      <c r="Y72" s="676"/>
      <c r="Z72" s="676"/>
      <c r="AA72" s="676"/>
    </row>
    <row r="73" spans="1:27" x14ac:dyDescent="0.25">
      <c r="A73" s="139"/>
      <c r="B73" s="32"/>
      <c r="C73" s="644" t="s">
        <v>98</v>
      </c>
      <c r="D73" s="507" t="s">
        <v>98</v>
      </c>
      <c r="E73" s="107" t="s">
        <v>1230</v>
      </c>
      <c r="F73" s="32"/>
      <c r="G73" s="277"/>
      <c r="H73" s="179"/>
      <c r="I73" s="347"/>
      <c r="J73" s="179">
        <f>SUM(J74:J75)+PRODUCT(G72,I72,THM!X99-THM!R99)</f>
        <v>1.9E-2</v>
      </c>
      <c r="K73" s="676"/>
      <c r="L73" s="676"/>
      <c r="M73" s="676"/>
      <c r="N73" s="676"/>
      <c r="O73" s="676"/>
      <c r="P73" s="676"/>
      <c r="Q73" s="676"/>
      <c r="R73" s="676"/>
      <c r="S73" s="676"/>
      <c r="T73" s="676"/>
      <c r="U73" s="676"/>
      <c r="V73" s="676"/>
      <c r="W73" s="676"/>
      <c r="X73" s="676"/>
      <c r="Y73" s="676"/>
      <c r="Z73" s="676"/>
      <c r="AA73" s="676"/>
    </row>
    <row r="74" spans="1:27" x14ac:dyDescent="0.25">
      <c r="A74" s="139"/>
      <c r="B74" s="32"/>
      <c r="C74" s="644" t="s">
        <v>98</v>
      </c>
      <c r="D74" s="507" t="s">
        <v>98</v>
      </c>
      <c r="E74" s="107" t="s">
        <v>52</v>
      </c>
      <c r="F74" s="32"/>
      <c r="G74" s="277"/>
      <c r="H74" s="179"/>
      <c r="I74" s="347"/>
      <c r="J74" s="179">
        <f>PRODUCT(G71,I71,'Giá Máy'!L11)</f>
        <v>0</v>
      </c>
      <c r="K74" s="676"/>
      <c r="L74" s="676"/>
      <c r="M74" s="676"/>
      <c r="N74" s="676"/>
      <c r="O74" s="676"/>
      <c r="P74" s="676"/>
      <c r="Q74" s="676"/>
      <c r="R74" s="676"/>
      <c r="S74" s="676"/>
      <c r="T74" s="676"/>
      <c r="U74" s="676"/>
      <c r="V74" s="676"/>
      <c r="W74" s="676"/>
      <c r="X74" s="676"/>
      <c r="Y74" s="676"/>
      <c r="Z74" s="676"/>
      <c r="AA74" s="676"/>
    </row>
    <row r="75" spans="1:27" x14ac:dyDescent="0.25">
      <c r="A75" s="543"/>
      <c r="B75" s="736"/>
      <c r="C75" s="596" t="s">
        <v>98</v>
      </c>
      <c r="D75" s="438" t="s">
        <v>98</v>
      </c>
      <c r="E75" s="31" t="s">
        <v>597</v>
      </c>
      <c r="F75" s="736"/>
      <c r="G75" s="231"/>
      <c r="H75" s="93"/>
      <c r="I75" s="296"/>
      <c r="J75" s="93">
        <f>PRODUCT(G71,I71,'Giá Máy'!M11)</f>
        <v>1.9E-2</v>
      </c>
      <c r="K75" s="676"/>
      <c r="L75" s="676"/>
      <c r="M75" s="676"/>
      <c r="N75" s="676"/>
      <c r="O75" s="676"/>
      <c r="P75" s="676"/>
      <c r="Q75" s="676"/>
      <c r="R75" s="676"/>
      <c r="S75" s="676"/>
      <c r="T75" s="676"/>
      <c r="U75" s="676"/>
      <c r="V75" s="676"/>
      <c r="W75" s="676"/>
      <c r="X75" s="676"/>
      <c r="Y75" s="676"/>
      <c r="Z75" s="676"/>
      <c r="AA75" s="676"/>
    </row>
    <row r="76" spans="1:27" x14ac:dyDescent="0.25">
      <c r="A76" s="89"/>
      <c r="B76" s="318">
        <v>6</v>
      </c>
      <c r="C76" s="149" t="str">
        <f>'Du toan chi tiet'!C12</f>
        <v>AL.16201</v>
      </c>
      <c r="D76" s="149" t="str">
        <f>'Du toan chi tiet'!C12</f>
        <v>AL.16201</v>
      </c>
      <c r="E76" s="665" t="str">
        <f>'Du toan chi tiet'!D12</f>
        <v>Lót bạc nilong sọc xanh đỏ</v>
      </c>
      <c r="F76" s="318" t="str">
        <f>'Du toan chi tiet'!E12</f>
        <v>m2</v>
      </c>
      <c r="G76" s="56"/>
      <c r="H76" s="435"/>
      <c r="I76" s="589"/>
      <c r="J76" s="367">
        <f>J77+J80</f>
        <v>5988.3</v>
      </c>
      <c r="K76" s="676"/>
      <c r="L76" s="676"/>
      <c r="M76" s="676"/>
      <c r="N76" s="676"/>
      <c r="O76" s="676"/>
      <c r="P76" s="676"/>
      <c r="Q76" s="676"/>
      <c r="R76" s="676"/>
      <c r="S76" s="676"/>
      <c r="T76" s="676"/>
      <c r="U76" s="676"/>
      <c r="V76" s="676"/>
      <c r="W76" s="676"/>
      <c r="X76" s="676"/>
      <c r="Y76" s="676"/>
      <c r="Z76" s="676"/>
      <c r="AA76" s="676"/>
    </row>
    <row r="77" spans="1:27" x14ac:dyDescent="0.25">
      <c r="A77" s="98"/>
      <c r="B77" s="380"/>
      <c r="C77" s="251" t="s">
        <v>98</v>
      </c>
      <c r="D77" s="251" t="s">
        <v>98</v>
      </c>
      <c r="E77" s="449" t="s">
        <v>547</v>
      </c>
      <c r="F77" s="380" t="s">
        <v>962</v>
      </c>
      <c r="G77" s="607"/>
      <c r="H77" s="511"/>
      <c r="I77" s="684"/>
      <c r="J77" s="511">
        <f>SUM(J78:J79)</f>
        <v>5610</v>
      </c>
      <c r="K77" s="676"/>
      <c r="L77" s="676"/>
      <c r="M77" s="676"/>
      <c r="N77" s="676"/>
      <c r="O77" s="676"/>
      <c r="P77" s="676"/>
      <c r="Q77" s="676"/>
      <c r="R77" s="676"/>
      <c r="S77" s="676"/>
      <c r="T77" s="676"/>
      <c r="U77" s="676"/>
      <c r="V77" s="676"/>
      <c r="W77" s="676"/>
      <c r="X77" s="676"/>
      <c r="Y77" s="676"/>
      <c r="Z77" s="676"/>
      <c r="AA77" s="676"/>
    </row>
    <row r="78" spans="1:27" x14ac:dyDescent="0.25">
      <c r="A78" s="139"/>
      <c r="B78" s="32"/>
      <c r="C78" s="644" t="s">
        <v>98</v>
      </c>
      <c r="D78" s="507" t="s">
        <v>580</v>
      </c>
      <c r="E78" s="107" t="str">
        <f>" - " &amp; 'Giá VL'!E16</f>
        <v xml:space="preserve"> - Bạc sọc xanh trắng</v>
      </c>
      <c r="F78" s="32" t="str">
        <f>'Giá VL'!F16</f>
        <v>m2</v>
      </c>
      <c r="G78" s="270">
        <f>'Phan tich don gia'!G50</f>
        <v>1.1000000000000001</v>
      </c>
      <c r="H78" s="179">
        <f>'Giá VL'!V16</f>
        <v>5000</v>
      </c>
      <c r="I78" s="347">
        <f>'Du toan chi tiet'!V12</f>
        <v>1</v>
      </c>
      <c r="J78" s="179">
        <f t="shared" ref="J78:J79" si="8">PRODUCT(G78,H78,I78)</f>
        <v>5500</v>
      </c>
      <c r="K78" s="676"/>
      <c r="L78" s="676"/>
      <c r="M78" s="676"/>
      <c r="N78" s="676"/>
      <c r="O78" s="676"/>
      <c r="P78" s="676"/>
      <c r="Q78" s="676"/>
      <c r="R78" s="676"/>
      <c r="S78" s="676"/>
      <c r="T78" s="676"/>
      <c r="U78" s="676"/>
      <c r="V78" s="676"/>
      <c r="W78" s="676"/>
      <c r="X78" s="676"/>
      <c r="Y78" s="676"/>
      <c r="Z78" s="676"/>
      <c r="AA78" s="676"/>
    </row>
    <row r="79" spans="1:27" x14ac:dyDescent="0.25">
      <c r="A79" s="139"/>
      <c r="B79" s="32"/>
      <c r="C79" s="644" t="s">
        <v>98</v>
      </c>
      <c r="D79" s="507" t="s">
        <v>667</v>
      </c>
      <c r="E79" s="107" t="s">
        <v>238</v>
      </c>
      <c r="F79" s="32" t="s">
        <v>1113</v>
      </c>
      <c r="G79" s="270">
        <f>'Phan tich don gia'!G51</f>
        <v>2</v>
      </c>
      <c r="H79" s="179">
        <f>(G78*H78)/100</f>
        <v>55</v>
      </c>
      <c r="I79" s="347">
        <f>'Du toan chi tiet'!V12</f>
        <v>1</v>
      </c>
      <c r="J79" s="179">
        <f t="shared" si="8"/>
        <v>110</v>
      </c>
      <c r="K79" s="676"/>
      <c r="L79" s="676"/>
      <c r="M79" s="676"/>
      <c r="N79" s="676"/>
      <c r="O79" s="676"/>
      <c r="P79" s="676"/>
      <c r="Q79" s="676"/>
      <c r="R79" s="676"/>
      <c r="S79" s="676"/>
      <c r="T79" s="676"/>
      <c r="U79" s="676"/>
      <c r="V79" s="676"/>
      <c r="W79" s="676"/>
      <c r="X79" s="676"/>
      <c r="Y79" s="676"/>
      <c r="Z79" s="676"/>
      <c r="AA79" s="676"/>
    </row>
    <row r="80" spans="1:27" x14ac:dyDescent="0.25">
      <c r="A80" s="98"/>
      <c r="B80" s="380"/>
      <c r="C80" s="251" t="s">
        <v>98</v>
      </c>
      <c r="D80" s="251" t="s">
        <v>98</v>
      </c>
      <c r="E80" s="449" t="s">
        <v>301</v>
      </c>
      <c r="F80" s="380" t="s">
        <v>1018</v>
      </c>
      <c r="G80" s="607"/>
      <c r="H80" s="511"/>
      <c r="I80" s="684"/>
      <c r="J80" s="511">
        <f>SUM(J81:J81)</f>
        <v>378.3</v>
      </c>
      <c r="K80" s="676"/>
      <c r="L80" s="676"/>
      <c r="M80" s="676"/>
      <c r="N80" s="676"/>
      <c r="O80" s="676"/>
      <c r="P80" s="676"/>
      <c r="Q80" s="676"/>
      <c r="R80" s="676"/>
      <c r="S80" s="676"/>
      <c r="T80" s="676"/>
      <c r="U80" s="676"/>
      <c r="V80" s="676"/>
      <c r="W80" s="676"/>
      <c r="X80" s="676"/>
      <c r="Y80" s="676"/>
      <c r="Z80" s="676"/>
      <c r="AA80" s="676"/>
    </row>
    <row r="81" spans="1:27" x14ac:dyDescent="0.25">
      <c r="A81" s="543"/>
      <c r="B81" s="736"/>
      <c r="C81" s="596" t="s">
        <v>98</v>
      </c>
      <c r="D81" s="438" t="s">
        <v>706</v>
      </c>
      <c r="E81" s="31" t="str">
        <f>" - " &amp; 'Giá NC'!E8</f>
        <v xml:space="preserve"> - Nhân công bậc 3,5/7 - Nhóm 2</v>
      </c>
      <c r="F81" s="736" t="str">
        <f>'Giá NC'!F8</f>
        <v>công</v>
      </c>
      <c r="G81" s="190">
        <f>'Phan tich don gia'!G53</f>
        <v>1.5E-3</v>
      </c>
      <c r="H81" s="93">
        <f>'Giá NC'!K8</f>
        <v>252200</v>
      </c>
      <c r="I81" s="296">
        <f>'Du toan chi tiet'!W12</f>
        <v>1</v>
      </c>
      <c r="J81" s="93">
        <f>PRODUCT(G81,H81,I81)</f>
        <v>378.3</v>
      </c>
      <c r="K81" s="676"/>
      <c r="L81" s="676"/>
      <c r="M81" s="676"/>
      <c r="N81" s="676"/>
      <c r="O81" s="676"/>
      <c r="P81" s="676"/>
      <c r="Q81" s="676"/>
      <c r="R81" s="676"/>
      <c r="S81" s="676"/>
      <c r="T81" s="676"/>
      <c r="U81" s="676"/>
      <c r="V81" s="676"/>
      <c r="W81" s="676"/>
      <c r="X81" s="676"/>
      <c r="Y81" s="676"/>
      <c r="Z81" s="676"/>
      <c r="AA81" s="676"/>
    </row>
    <row r="82" spans="1:27" x14ac:dyDescent="0.25">
      <c r="A82" s="89"/>
      <c r="B82" s="318">
        <v>7</v>
      </c>
      <c r="C82" s="149" t="str">
        <f>'Du toan chi tiet'!C13</f>
        <v>AF.82411</v>
      </c>
      <c r="D82" s="149" t="str">
        <f>'Du toan chi tiet'!C13</f>
        <v>AF.82411</v>
      </c>
      <c r="E82" s="665" t="str">
        <f>'Du toan chi tiet'!D13</f>
        <v>Ván khuôn thép mặt đường bê tông</v>
      </c>
      <c r="F82" s="318" t="str">
        <f>'Du toan chi tiet'!E13</f>
        <v>m2</v>
      </c>
      <c r="G82" s="56"/>
      <c r="H82" s="435"/>
      <c r="I82" s="589"/>
      <c r="J82" s="367">
        <f>J83+J87+J89</f>
        <v>40139.967979380104</v>
      </c>
      <c r="K82" s="676"/>
      <c r="L82" s="676"/>
      <c r="M82" s="676"/>
      <c r="N82" s="676"/>
      <c r="O82" s="676"/>
      <c r="P82" s="676"/>
      <c r="Q82" s="676"/>
      <c r="R82" s="676"/>
      <c r="S82" s="676"/>
      <c r="T82" s="676"/>
      <c r="U82" s="676"/>
      <c r="V82" s="676"/>
      <c r="W82" s="676"/>
      <c r="X82" s="676"/>
      <c r="Y82" s="676"/>
      <c r="Z82" s="676"/>
      <c r="AA82" s="676"/>
    </row>
    <row r="83" spans="1:27" x14ac:dyDescent="0.25">
      <c r="A83" s="98"/>
      <c r="B83" s="380"/>
      <c r="C83" s="251" t="s">
        <v>98</v>
      </c>
      <c r="D83" s="251" t="s">
        <v>98</v>
      </c>
      <c r="E83" s="449" t="s">
        <v>547</v>
      </c>
      <c r="F83" s="380" t="s">
        <v>962</v>
      </c>
      <c r="G83" s="607"/>
      <c r="H83" s="511"/>
      <c r="I83" s="684"/>
      <c r="J83" s="511">
        <f>SUM(J84:J86)</f>
        <v>6608.9745113801073</v>
      </c>
      <c r="K83" s="676"/>
      <c r="L83" s="676"/>
      <c r="M83" s="676"/>
      <c r="N83" s="676"/>
      <c r="O83" s="676"/>
      <c r="P83" s="676"/>
      <c r="Q83" s="676"/>
      <c r="R83" s="676"/>
      <c r="S83" s="676"/>
      <c r="T83" s="676"/>
      <c r="U83" s="676"/>
      <c r="V83" s="676"/>
      <c r="W83" s="676"/>
      <c r="X83" s="676"/>
      <c r="Y83" s="676"/>
      <c r="Z83" s="676"/>
      <c r="AA83" s="676"/>
    </row>
    <row r="84" spans="1:27" x14ac:dyDescent="0.25">
      <c r="A84" s="139"/>
      <c r="B84" s="32"/>
      <c r="C84" s="644" t="s">
        <v>98</v>
      </c>
      <c r="D84" s="507" t="s">
        <v>649</v>
      </c>
      <c r="E84" s="107" t="str">
        <f>" - " &amp; 'Giá VL'!E30</f>
        <v xml:space="preserve"> - Thép hình, thép tấm</v>
      </c>
      <c r="F84" s="32" t="str">
        <f>'Giá VL'!F30</f>
        <v>kg</v>
      </c>
      <c r="G84" s="270">
        <f>'Phan tich don gia'!G56</f>
        <v>0.315</v>
      </c>
      <c r="H84" s="179">
        <f>'Giá VL'!V30</f>
        <v>19657.495796390001</v>
      </c>
      <c r="I84" s="347">
        <f>'Du toan chi tiet'!V13</f>
        <v>1</v>
      </c>
      <c r="J84" s="179">
        <f t="shared" ref="J84:J86" si="9">PRODUCT(G84,H84,I84)</f>
        <v>6192.1111758628504</v>
      </c>
      <c r="K84" s="676"/>
      <c r="L84" s="676"/>
      <c r="M84" s="676"/>
      <c r="N84" s="676"/>
      <c r="O84" s="676"/>
      <c r="P84" s="676"/>
      <c r="Q84" s="676"/>
      <c r="R84" s="676"/>
      <c r="S84" s="676"/>
      <c r="T84" s="676"/>
      <c r="U84" s="676"/>
      <c r="V84" s="676"/>
      <c r="W84" s="676"/>
      <c r="X84" s="676"/>
      <c r="Y84" s="676"/>
      <c r="Z84" s="676"/>
      <c r="AA84" s="676"/>
    </row>
    <row r="85" spans="1:27" x14ac:dyDescent="0.25">
      <c r="A85" s="139"/>
      <c r="B85" s="32"/>
      <c r="C85" s="644" t="s">
        <v>98</v>
      </c>
      <c r="D85" s="507" t="s">
        <v>919</v>
      </c>
      <c r="E85" s="107" t="str">
        <f>" - " &amp; 'Giá VL'!E25</f>
        <v xml:space="preserve"> - Que hàn</v>
      </c>
      <c r="F85" s="32" t="str">
        <f>'Giá VL'!F25</f>
        <v>kg</v>
      </c>
      <c r="G85" s="270">
        <f>'Phan tich don gia'!G57</f>
        <v>1.5800000000000002E-2</v>
      </c>
      <c r="H85" s="179">
        <f>'Giá VL'!V25</f>
        <v>18182</v>
      </c>
      <c r="I85" s="347">
        <f>'Du toan chi tiet'!V13</f>
        <v>1</v>
      </c>
      <c r="J85" s="179">
        <f t="shared" si="9"/>
        <v>287.27560000000005</v>
      </c>
      <c r="K85" s="676"/>
      <c r="L85" s="676"/>
      <c r="M85" s="676"/>
      <c r="N85" s="676"/>
      <c r="O85" s="676"/>
      <c r="P85" s="676"/>
      <c r="Q85" s="676"/>
      <c r="R85" s="676"/>
      <c r="S85" s="676"/>
      <c r="T85" s="676"/>
      <c r="U85" s="676"/>
      <c r="V85" s="676"/>
      <c r="W85" s="676"/>
      <c r="X85" s="676"/>
      <c r="Y85" s="676"/>
      <c r="Z85" s="676"/>
      <c r="AA85" s="676"/>
    </row>
    <row r="86" spans="1:27" x14ac:dyDescent="0.25">
      <c r="A86" s="139"/>
      <c r="B86" s="32"/>
      <c r="C86" s="644" t="s">
        <v>98</v>
      </c>
      <c r="D86" s="507" t="s">
        <v>667</v>
      </c>
      <c r="E86" s="107" t="s">
        <v>238</v>
      </c>
      <c r="F86" s="32" t="s">
        <v>1113</v>
      </c>
      <c r="G86" s="270">
        <f>'Phan tich don gia'!G58</f>
        <v>2</v>
      </c>
      <c r="H86" s="179">
        <f>(G84*H84+G85*H85)/100</f>
        <v>64.793867758628508</v>
      </c>
      <c r="I86" s="347">
        <f>'Du toan chi tiet'!V13</f>
        <v>1</v>
      </c>
      <c r="J86" s="179">
        <f t="shared" si="9"/>
        <v>129.58773551725702</v>
      </c>
      <c r="K86" s="676"/>
      <c r="L86" s="676"/>
      <c r="M86" s="676"/>
      <c r="N86" s="676"/>
      <c r="O86" s="676"/>
      <c r="P86" s="676"/>
      <c r="Q86" s="676"/>
      <c r="R86" s="676"/>
      <c r="S86" s="676"/>
      <c r="T86" s="676"/>
      <c r="U86" s="676"/>
      <c r="V86" s="676"/>
      <c r="W86" s="676"/>
      <c r="X86" s="676"/>
      <c r="Y86" s="676"/>
      <c r="Z86" s="676"/>
      <c r="AA86" s="676"/>
    </row>
    <row r="87" spans="1:27" x14ac:dyDescent="0.25">
      <c r="A87" s="98"/>
      <c r="B87" s="380"/>
      <c r="C87" s="251" t="s">
        <v>98</v>
      </c>
      <c r="D87" s="251" t="s">
        <v>98</v>
      </c>
      <c r="E87" s="449" t="s">
        <v>301</v>
      </c>
      <c r="F87" s="380" t="s">
        <v>1018</v>
      </c>
      <c r="G87" s="607"/>
      <c r="H87" s="511"/>
      <c r="I87" s="684"/>
      <c r="J87" s="511">
        <f>SUM(J88:J88)</f>
        <v>31483.550000000003</v>
      </c>
      <c r="K87" s="676"/>
      <c r="L87" s="676"/>
      <c r="M87" s="676"/>
      <c r="N87" s="676"/>
      <c r="O87" s="676"/>
      <c r="P87" s="676"/>
      <c r="Q87" s="676"/>
      <c r="R87" s="676"/>
      <c r="S87" s="676"/>
      <c r="T87" s="676"/>
      <c r="U87" s="676"/>
      <c r="V87" s="676"/>
      <c r="W87" s="676"/>
      <c r="X87" s="676"/>
      <c r="Y87" s="676"/>
      <c r="Z87" s="676"/>
      <c r="AA87" s="676"/>
    </row>
    <row r="88" spans="1:27" x14ac:dyDescent="0.25">
      <c r="A88" s="139"/>
      <c r="B88" s="32"/>
      <c r="C88" s="644" t="s">
        <v>98</v>
      </c>
      <c r="D88" s="507" t="s">
        <v>169</v>
      </c>
      <c r="E88" s="107" t="str">
        <f>" - " &amp; 'Giá NC'!E9</f>
        <v xml:space="preserve"> - Nhân công bậc 4,0/7 - Nhóm 2</v>
      </c>
      <c r="F88" s="32" t="str">
        <f>'Giá NC'!F9</f>
        <v>công</v>
      </c>
      <c r="G88" s="270">
        <f>'Phan tich don gia'!G60</f>
        <v>0.115</v>
      </c>
      <c r="H88" s="179">
        <f>'Giá NC'!K9</f>
        <v>273770</v>
      </c>
      <c r="I88" s="347">
        <f>'Du toan chi tiet'!W13</f>
        <v>1</v>
      </c>
      <c r="J88" s="179">
        <f>PRODUCT(G88,H88,I88)</f>
        <v>31483.550000000003</v>
      </c>
      <c r="K88" s="676"/>
      <c r="L88" s="676"/>
      <c r="M88" s="676"/>
      <c r="N88" s="676"/>
      <c r="O88" s="676"/>
      <c r="P88" s="676"/>
      <c r="Q88" s="676"/>
      <c r="R88" s="676"/>
      <c r="S88" s="676"/>
      <c r="T88" s="676"/>
      <c r="U88" s="676"/>
      <c r="V88" s="676"/>
      <c r="W88" s="676"/>
      <c r="X88" s="676"/>
      <c r="Y88" s="676"/>
      <c r="Z88" s="676"/>
      <c r="AA88" s="676"/>
    </row>
    <row r="89" spans="1:27" x14ac:dyDescent="0.25">
      <c r="A89" s="98"/>
      <c r="B89" s="380"/>
      <c r="C89" s="251" t="s">
        <v>98</v>
      </c>
      <c r="D89" s="251" t="s">
        <v>98</v>
      </c>
      <c r="E89" s="449" t="s">
        <v>1175</v>
      </c>
      <c r="F89" s="380" t="s">
        <v>138</v>
      </c>
      <c r="G89" s="607"/>
      <c r="H89" s="511"/>
      <c r="I89" s="684"/>
      <c r="J89" s="511">
        <f>SUM(J90:J92)</f>
        <v>2047.4434679999999</v>
      </c>
      <c r="K89" s="676"/>
      <c r="L89" s="676"/>
      <c r="M89" s="676"/>
      <c r="N89" s="676"/>
      <c r="O89" s="676"/>
      <c r="P89" s="676"/>
      <c r="Q89" s="676"/>
      <c r="R89" s="676"/>
      <c r="S89" s="676"/>
      <c r="T89" s="676"/>
      <c r="U89" s="676"/>
      <c r="V89" s="676"/>
      <c r="W89" s="676"/>
      <c r="X89" s="676"/>
      <c r="Y89" s="676"/>
      <c r="Z89" s="676"/>
      <c r="AA89" s="676"/>
    </row>
    <row r="90" spans="1:27" x14ac:dyDescent="0.25">
      <c r="A90" s="139"/>
      <c r="B90" s="32"/>
      <c r="C90" s="644" t="s">
        <v>98</v>
      </c>
      <c r="D90" s="507" t="s">
        <v>82</v>
      </c>
      <c r="E90" s="107" t="str">
        <f>" - " &amp; 'Giá Máy'!E15</f>
        <v xml:space="preserve"> - Máy hàn điện 23kW</v>
      </c>
      <c r="F90" s="32" t="str">
        <f>'Giá Máy'!F15</f>
        <v>ca</v>
      </c>
      <c r="G90" s="270">
        <f>'Phan tich don gia'!G62</f>
        <v>4.1999999999999997E-3</v>
      </c>
      <c r="H90" s="179">
        <f>'Giá Máy'!J15</f>
        <v>477927</v>
      </c>
      <c r="I90" s="347">
        <f>'Du toan chi tiet'!X13</f>
        <v>1</v>
      </c>
      <c r="J90" s="179">
        <f t="shared" ref="J90:J91" si="10">PRODUCT(G90,H90,I90)</f>
        <v>2007.2933999999998</v>
      </c>
      <c r="K90" s="676"/>
      <c r="L90" s="676"/>
      <c r="M90" s="676"/>
      <c r="N90" s="676"/>
      <c r="O90" s="676"/>
      <c r="P90" s="676"/>
      <c r="Q90" s="676"/>
      <c r="R90" s="676"/>
      <c r="S90" s="676"/>
      <c r="T90" s="676"/>
      <c r="U90" s="676"/>
      <c r="V90" s="676"/>
      <c r="W90" s="676"/>
      <c r="X90" s="676"/>
      <c r="Y90" s="676"/>
      <c r="Z90" s="676"/>
      <c r="AA90" s="676"/>
    </row>
    <row r="91" spans="1:27" x14ac:dyDescent="0.25">
      <c r="A91" s="139"/>
      <c r="B91" s="32"/>
      <c r="C91" s="644" t="s">
        <v>98</v>
      </c>
      <c r="D91" s="507" t="s">
        <v>1162</v>
      </c>
      <c r="E91" s="107" t="s">
        <v>1080</v>
      </c>
      <c r="F91" s="32" t="s">
        <v>1113</v>
      </c>
      <c r="G91" s="270">
        <f>'Phan tich don gia'!G63</f>
        <v>2</v>
      </c>
      <c r="H91" s="179">
        <f>(G90*H90)/100</f>
        <v>20.072933999999997</v>
      </c>
      <c r="I91" s="347">
        <f>'Du toan chi tiet'!X13</f>
        <v>1</v>
      </c>
      <c r="J91" s="179">
        <f t="shared" si="10"/>
        <v>40.145867999999993</v>
      </c>
      <c r="K91" s="676"/>
      <c r="L91" s="676"/>
      <c r="M91" s="676"/>
      <c r="N91" s="676"/>
      <c r="O91" s="676"/>
      <c r="P91" s="676"/>
      <c r="Q91" s="676"/>
      <c r="R91" s="676"/>
      <c r="S91" s="676"/>
      <c r="T91" s="676"/>
      <c r="U91" s="676"/>
      <c r="V91" s="676"/>
      <c r="W91" s="676"/>
      <c r="X91" s="676"/>
      <c r="Y91" s="676"/>
      <c r="Z91" s="676"/>
      <c r="AA91" s="676"/>
    </row>
    <row r="92" spans="1:27" x14ac:dyDescent="0.25">
      <c r="A92" s="139"/>
      <c r="B92" s="32"/>
      <c r="C92" s="644" t="s">
        <v>98</v>
      </c>
      <c r="D92" s="507" t="s">
        <v>98</v>
      </c>
      <c r="E92" s="107" t="s">
        <v>1230</v>
      </c>
      <c r="F92" s="32"/>
      <c r="G92" s="277"/>
      <c r="H92" s="179"/>
      <c r="I92" s="347"/>
      <c r="J92" s="179">
        <f>SUM(J93:J94)+PRODUCT(G91,I91,THM!X94-THM!R94)</f>
        <v>4.1999999999999997E-3</v>
      </c>
      <c r="K92" s="676"/>
      <c r="L92" s="676"/>
      <c r="M92" s="676"/>
      <c r="N92" s="676"/>
      <c r="O92" s="676"/>
      <c r="P92" s="676"/>
      <c r="Q92" s="676"/>
      <c r="R92" s="676"/>
      <c r="S92" s="676"/>
      <c r="T92" s="676"/>
      <c r="U92" s="676"/>
      <c r="V92" s="676"/>
      <c r="W92" s="676"/>
      <c r="X92" s="676"/>
      <c r="Y92" s="676"/>
      <c r="Z92" s="676"/>
      <c r="AA92" s="676"/>
    </row>
    <row r="93" spans="1:27" x14ac:dyDescent="0.25">
      <c r="A93" s="139"/>
      <c r="B93" s="32"/>
      <c r="C93" s="644" t="s">
        <v>98</v>
      </c>
      <c r="D93" s="507" t="s">
        <v>98</v>
      </c>
      <c r="E93" s="107" t="s">
        <v>52</v>
      </c>
      <c r="F93" s="32"/>
      <c r="G93" s="277"/>
      <c r="H93" s="179"/>
      <c r="I93" s="347"/>
      <c r="J93" s="179">
        <f>PRODUCT(G90,I90,'Giá Máy'!L15)</f>
        <v>0</v>
      </c>
      <c r="K93" s="676"/>
      <c r="L93" s="676"/>
      <c r="M93" s="676"/>
      <c r="N93" s="676"/>
      <c r="O93" s="676"/>
      <c r="P93" s="676"/>
      <c r="Q93" s="676"/>
      <c r="R93" s="676"/>
      <c r="S93" s="676"/>
      <c r="T93" s="676"/>
      <c r="U93" s="676"/>
      <c r="V93" s="676"/>
      <c r="W93" s="676"/>
      <c r="X93" s="676"/>
      <c r="Y93" s="676"/>
      <c r="Z93" s="676"/>
      <c r="AA93" s="676"/>
    </row>
    <row r="94" spans="1:27" x14ac:dyDescent="0.25">
      <c r="A94" s="543"/>
      <c r="B94" s="736"/>
      <c r="C94" s="596" t="s">
        <v>98</v>
      </c>
      <c r="D94" s="438" t="s">
        <v>98</v>
      </c>
      <c r="E94" s="31" t="s">
        <v>597</v>
      </c>
      <c r="F94" s="736"/>
      <c r="G94" s="231"/>
      <c r="H94" s="93"/>
      <c r="I94" s="296"/>
      <c r="J94" s="93">
        <f>PRODUCT(G90,I90,'Giá Máy'!M15)</f>
        <v>4.1999999999999997E-3</v>
      </c>
      <c r="K94" s="676"/>
      <c r="L94" s="676"/>
      <c r="M94" s="676"/>
      <c r="N94" s="676"/>
      <c r="O94" s="676"/>
      <c r="P94" s="676"/>
      <c r="Q94" s="676"/>
      <c r="R94" s="676"/>
      <c r="S94" s="676"/>
      <c r="T94" s="676"/>
      <c r="U94" s="676"/>
      <c r="V94" s="676"/>
      <c r="W94" s="676"/>
      <c r="X94" s="676"/>
      <c r="Y94" s="676"/>
      <c r="Z94" s="676"/>
      <c r="AA94" s="676"/>
    </row>
    <row r="95" spans="1:27" x14ac:dyDescent="0.25">
      <c r="A95" s="89"/>
      <c r="B95" s="318">
        <v>8</v>
      </c>
      <c r="C95" s="149" t="str">
        <f>'Du toan chi tiet'!C14</f>
        <v>SE.11211</v>
      </c>
      <c r="D95" s="149" t="str">
        <f>'Du toan chi tiet'!C14</f>
        <v>SE.11211</v>
      </c>
      <c r="E95" s="665" t="str">
        <f>'Du toan chi tiet'!D14</f>
        <v>Cắt mặt đường bê tông Asphalt chiều dày lớp cắt ≤ 5cm</v>
      </c>
      <c r="F95" s="318" t="str">
        <f>'Du toan chi tiet'!E14</f>
        <v>m</v>
      </c>
      <c r="G95" s="56"/>
      <c r="H95" s="435"/>
      <c r="I95" s="589"/>
      <c r="J95" s="367">
        <f>J96+J99+J101</f>
        <v>9305.1417399999991</v>
      </c>
      <c r="K95" s="676"/>
      <c r="L95" s="676"/>
      <c r="M95" s="676"/>
      <c r="N95" s="676"/>
      <c r="O95" s="676"/>
      <c r="P95" s="676"/>
      <c r="Q95" s="676"/>
      <c r="R95" s="676"/>
      <c r="S95" s="676"/>
      <c r="T95" s="676"/>
      <c r="U95" s="676"/>
      <c r="V95" s="676"/>
      <c r="W95" s="676"/>
      <c r="X95" s="676"/>
      <c r="Y95" s="676"/>
      <c r="Z95" s="676"/>
      <c r="AA95" s="676"/>
    </row>
    <row r="96" spans="1:27" x14ac:dyDescent="0.25">
      <c r="A96" s="98"/>
      <c r="B96" s="380"/>
      <c r="C96" s="251" t="s">
        <v>98</v>
      </c>
      <c r="D96" s="251" t="s">
        <v>98</v>
      </c>
      <c r="E96" s="449" t="s">
        <v>547</v>
      </c>
      <c r="F96" s="380" t="s">
        <v>962</v>
      </c>
      <c r="G96" s="607"/>
      <c r="H96" s="511"/>
      <c r="I96" s="684"/>
      <c r="J96" s="511">
        <f>SUM(J97:J98)</f>
        <v>3371.1</v>
      </c>
      <c r="K96" s="676"/>
      <c r="L96" s="676"/>
      <c r="M96" s="676"/>
      <c r="N96" s="676"/>
      <c r="O96" s="676"/>
      <c r="P96" s="676"/>
      <c r="Q96" s="676"/>
      <c r="R96" s="676"/>
      <c r="S96" s="676"/>
      <c r="T96" s="676"/>
      <c r="U96" s="676"/>
      <c r="V96" s="676"/>
      <c r="W96" s="676"/>
      <c r="X96" s="676"/>
      <c r="Y96" s="676"/>
      <c r="Z96" s="676"/>
      <c r="AA96" s="676"/>
    </row>
    <row r="97" spans="1:27" x14ac:dyDescent="0.25">
      <c r="A97" s="139"/>
      <c r="B97" s="32"/>
      <c r="C97" s="644" t="s">
        <v>98</v>
      </c>
      <c r="D97" s="507" t="s">
        <v>855</v>
      </c>
      <c r="E97" s="107" t="str">
        <f>" - " &amp; 'Giá VL'!E18</f>
        <v xml:space="preserve"> - Lưỡi cắt bê tông loại 356mm</v>
      </c>
      <c r="F97" s="32" t="str">
        <f>'Giá VL'!F18</f>
        <v>cái</v>
      </c>
      <c r="G97" s="270">
        <f>'Phan tich don gia'!G66</f>
        <v>2.5000000000000001E-3</v>
      </c>
      <c r="H97" s="179">
        <f>'Giá VL'!V18</f>
        <v>1322000</v>
      </c>
      <c r="I97" s="347">
        <f>'Du toan chi tiet'!V14</f>
        <v>1</v>
      </c>
      <c r="J97" s="179">
        <f t="shared" ref="J97:J98" si="11">PRODUCT(G97,H97,I97)</f>
        <v>3305</v>
      </c>
      <c r="K97" s="676"/>
      <c r="L97" s="676"/>
      <c r="M97" s="676"/>
      <c r="N97" s="676"/>
      <c r="O97" s="676"/>
      <c r="P97" s="676"/>
      <c r="Q97" s="676"/>
      <c r="R97" s="676"/>
      <c r="S97" s="676"/>
      <c r="T97" s="676"/>
      <c r="U97" s="676"/>
      <c r="V97" s="676"/>
      <c r="W97" s="676"/>
      <c r="X97" s="676"/>
      <c r="Y97" s="676"/>
      <c r="Z97" s="676"/>
      <c r="AA97" s="676"/>
    </row>
    <row r="98" spans="1:27" x14ac:dyDescent="0.25">
      <c r="A98" s="139"/>
      <c r="B98" s="32"/>
      <c r="C98" s="644" t="s">
        <v>98</v>
      </c>
      <c r="D98" s="507" t="s">
        <v>667</v>
      </c>
      <c r="E98" s="107" t="s">
        <v>238</v>
      </c>
      <c r="F98" s="32" t="s">
        <v>1113</v>
      </c>
      <c r="G98" s="270">
        <f>'Phan tich don gia'!G67</f>
        <v>2</v>
      </c>
      <c r="H98" s="179">
        <f>(G97*H97)/100</f>
        <v>33.049999999999997</v>
      </c>
      <c r="I98" s="347">
        <f>'Du toan chi tiet'!V14</f>
        <v>1</v>
      </c>
      <c r="J98" s="179">
        <f t="shared" si="11"/>
        <v>66.099999999999994</v>
      </c>
      <c r="K98" s="676"/>
      <c r="L98" s="676"/>
      <c r="M98" s="676"/>
      <c r="N98" s="676"/>
      <c r="O98" s="676"/>
      <c r="P98" s="676"/>
      <c r="Q98" s="676"/>
      <c r="R98" s="676"/>
      <c r="S98" s="676"/>
      <c r="T98" s="676"/>
      <c r="U98" s="676"/>
      <c r="V98" s="676"/>
      <c r="W98" s="676"/>
      <c r="X98" s="676"/>
      <c r="Y98" s="676"/>
      <c r="Z98" s="676"/>
      <c r="AA98" s="676"/>
    </row>
    <row r="99" spans="1:27" x14ac:dyDescent="0.25">
      <c r="A99" s="98"/>
      <c r="B99" s="380"/>
      <c r="C99" s="251" t="s">
        <v>98</v>
      </c>
      <c r="D99" s="251" t="s">
        <v>98</v>
      </c>
      <c r="E99" s="449" t="s">
        <v>301</v>
      </c>
      <c r="F99" s="380" t="s">
        <v>1018</v>
      </c>
      <c r="G99" s="607"/>
      <c r="H99" s="511"/>
      <c r="I99" s="684"/>
      <c r="J99" s="511">
        <f>SUM(J100:J100)</f>
        <v>4818.3519999999999</v>
      </c>
      <c r="K99" s="676"/>
      <c r="L99" s="676"/>
      <c r="M99" s="676"/>
      <c r="N99" s="676"/>
      <c r="O99" s="676"/>
      <c r="P99" s="676"/>
      <c r="Q99" s="676"/>
      <c r="R99" s="676"/>
      <c r="S99" s="676"/>
      <c r="T99" s="676"/>
      <c r="U99" s="676"/>
      <c r="V99" s="676"/>
      <c r="W99" s="676"/>
      <c r="X99" s="676"/>
      <c r="Y99" s="676"/>
      <c r="Z99" s="676"/>
      <c r="AA99" s="676"/>
    </row>
    <row r="100" spans="1:27" x14ac:dyDescent="0.25">
      <c r="A100" s="139"/>
      <c r="B100" s="32"/>
      <c r="C100" s="644" t="s">
        <v>98</v>
      </c>
      <c r="D100" s="507" t="s">
        <v>169</v>
      </c>
      <c r="E100" s="107" t="str">
        <f>" - " &amp; 'Giá NC'!E9</f>
        <v xml:space="preserve"> - Nhân công bậc 4,0/7 - Nhóm 2</v>
      </c>
      <c r="F100" s="32" t="str">
        <f>'Giá NC'!F9</f>
        <v>công</v>
      </c>
      <c r="G100" s="270">
        <f>'Phan tich don gia'!G69</f>
        <v>1.7600000000000001E-2</v>
      </c>
      <c r="H100" s="179">
        <f>'Giá NC'!K9</f>
        <v>273770</v>
      </c>
      <c r="I100" s="347">
        <f>'Du toan chi tiet'!W14</f>
        <v>1</v>
      </c>
      <c r="J100" s="179">
        <f>PRODUCT(G100,H100,I100)</f>
        <v>4818.3519999999999</v>
      </c>
      <c r="K100" s="676"/>
      <c r="L100" s="676"/>
      <c r="M100" s="676"/>
      <c r="N100" s="676"/>
      <c r="O100" s="676"/>
      <c r="P100" s="676"/>
      <c r="Q100" s="676"/>
      <c r="R100" s="676"/>
      <c r="S100" s="676"/>
      <c r="T100" s="676"/>
      <c r="U100" s="676"/>
      <c r="V100" s="676"/>
      <c r="W100" s="676"/>
      <c r="X100" s="676"/>
      <c r="Y100" s="676"/>
      <c r="Z100" s="676"/>
      <c r="AA100" s="676"/>
    </row>
    <row r="101" spans="1:27" x14ac:dyDescent="0.25">
      <c r="A101" s="98"/>
      <c r="B101" s="380"/>
      <c r="C101" s="251" t="s">
        <v>98</v>
      </c>
      <c r="D101" s="251" t="s">
        <v>98</v>
      </c>
      <c r="E101" s="449" t="s">
        <v>1175</v>
      </c>
      <c r="F101" s="380" t="s">
        <v>138</v>
      </c>
      <c r="G101" s="607"/>
      <c r="H101" s="511"/>
      <c r="I101" s="684"/>
      <c r="J101" s="511">
        <f>SUM(J102:J103)</f>
        <v>1115.68974</v>
      </c>
      <c r="K101" s="676"/>
      <c r="L101" s="676"/>
      <c r="M101" s="676"/>
      <c r="N101" s="676"/>
      <c r="O101" s="676"/>
      <c r="P101" s="676"/>
      <c r="Q101" s="676"/>
      <c r="R101" s="676"/>
      <c r="S101" s="676"/>
      <c r="T101" s="676"/>
      <c r="U101" s="676"/>
      <c r="V101" s="676"/>
      <c r="W101" s="676"/>
      <c r="X101" s="676"/>
      <c r="Y101" s="676"/>
      <c r="Z101" s="676"/>
      <c r="AA101" s="676"/>
    </row>
    <row r="102" spans="1:27" x14ac:dyDescent="0.25">
      <c r="A102" s="139"/>
      <c r="B102" s="32"/>
      <c r="C102" s="644" t="s">
        <v>98</v>
      </c>
      <c r="D102" s="507" t="s">
        <v>750</v>
      </c>
      <c r="E102" s="107" t="str">
        <f>" - " &amp; 'Giá Máy'!E8</f>
        <v xml:space="preserve"> - Máy cắt bê tông 12CV (MCD 218)</v>
      </c>
      <c r="F102" s="32" t="str">
        <f>'Giá Máy'!F8</f>
        <v>ca</v>
      </c>
      <c r="G102" s="270">
        <f>'Phan tich don gia'!G71</f>
        <v>2.2000000000000001E-3</v>
      </c>
      <c r="H102" s="179">
        <f>'Giá Máy'!J8</f>
        <v>507130.7</v>
      </c>
      <c r="I102" s="347">
        <f>'Du toan chi tiet'!X14</f>
        <v>1</v>
      </c>
      <c r="J102" s="179">
        <f>PRODUCT(G102,H102,I102)</f>
        <v>1115.6875400000001</v>
      </c>
      <c r="K102" s="676"/>
      <c r="L102" s="676"/>
      <c r="M102" s="676"/>
      <c r="N102" s="676"/>
      <c r="O102" s="676"/>
      <c r="P102" s="676"/>
      <c r="Q102" s="676"/>
      <c r="R102" s="676"/>
      <c r="S102" s="676"/>
      <c r="T102" s="676"/>
      <c r="U102" s="676"/>
      <c r="V102" s="676"/>
      <c r="W102" s="676"/>
      <c r="X102" s="676"/>
      <c r="Y102" s="676"/>
      <c r="Z102" s="676"/>
      <c r="AA102" s="676"/>
    </row>
    <row r="103" spans="1:27" x14ac:dyDescent="0.25">
      <c r="A103" s="139"/>
      <c r="B103" s="32"/>
      <c r="C103" s="644" t="s">
        <v>98</v>
      </c>
      <c r="D103" s="507" t="s">
        <v>98</v>
      </c>
      <c r="E103" s="107" t="s">
        <v>1230</v>
      </c>
      <c r="F103" s="32"/>
      <c r="G103" s="277"/>
      <c r="H103" s="179"/>
      <c r="I103" s="347"/>
      <c r="J103" s="179">
        <f>SUM(J104:J105)</f>
        <v>2.2000000000000001E-3</v>
      </c>
      <c r="K103" s="676"/>
      <c r="L103" s="676"/>
      <c r="M103" s="676"/>
      <c r="N103" s="676"/>
      <c r="O103" s="676"/>
      <c r="P103" s="676"/>
      <c r="Q103" s="676"/>
      <c r="R103" s="676"/>
      <c r="S103" s="676"/>
      <c r="T103" s="676"/>
      <c r="U103" s="676"/>
      <c r="V103" s="676"/>
      <c r="W103" s="676"/>
      <c r="X103" s="676"/>
      <c r="Y103" s="676"/>
      <c r="Z103" s="676"/>
      <c r="AA103" s="676"/>
    </row>
    <row r="104" spans="1:27" x14ac:dyDescent="0.25">
      <c r="A104" s="139"/>
      <c r="B104" s="32"/>
      <c r="C104" s="644" t="s">
        <v>98</v>
      </c>
      <c r="D104" s="507" t="s">
        <v>98</v>
      </c>
      <c r="E104" s="107" t="s">
        <v>52</v>
      </c>
      <c r="F104" s="32"/>
      <c r="G104" s="277"/>
      <c r="H104" s="179"/>
      <c r="I104" s="347"/>
      <c r="J104" s="179">
        <f>PRODUCT(G102,I102,'Giá Máy'!L8)</f>
        <v>0</v>
      </c>
      <c r="K104" s="676"/>
      <c r="L104" s="676"/>
      <c r="M104" s="676"/>
      <c r="N104" s="676"/>
      <c r="O104" s="676"/>
      <c r="P104" s="676"/>
      <c r="Q104" s="676"/>
      <c r="R104" s="676"/>
      <c r="S104" s="676"/>
      <c r="T104" s="676"/>
      <c r="U104" s="676"/>
      <c r="V104" s="676"/>
      <c r="W104" s="676"/>
      <c r="X104" s="676"/>
      <c r="Y104" s="676"/>
      <c r="Z104" s="676"/>
      <c r="AA104" s="676"/>
    </row>
    <row r="105" spans="1:27" x14ac:dyDescent="0.25">
      <c r="A105" s="543"/>
      <c r="B105" s="736"/>
      <c r="C105" s="596" t="s">
        <v>98</v>
      </c>
      <c r="D105" s="438" t="s">
        <v>98</v>
      </c>
      <c r="E105" s="31" t="s">
        <v>597</v>
      </c>
      <c r="F105" s="736"/>
      <c r="G105" s="231"/>
      <c r="H105" s="93"/>
      <c r="I105" s="296"/>
      <c r="J105" s="93">
        <f>PRODUCT(G102,I102,'Giá Máy'!M8)</f>
        <v>2.2000000000000001E-3</v>
      </c>
      <c r="K105" s="676"/>
      <c r="L105" s="676"/>
      <c r="M105" s="676"/>
      <c r="N105" s="676"/>
      <c r="O105" s="676"/>
      <c r="P105" s="676"/>
      <c r="Q105" s="676"/>
      <c r="R105" s="676"/>
      <c r="S105" s="676"/>
      <c r="T105" s="676"/>
      <c r="U105" s="676"/>
      <c r="V105" s="676"/>
      <c r="W105" s="676"/>
      <c r="X105" s="676"/>
      <c r="Y105" s="676"/>
      <c r="Z105" s="676"/>
      <c r="AA105" s="676"/>
    </row>
    <row r="106" spans="1:27" x14ac:dyDescent="0.25">
      <c r="A106" s="89"/>
      <c r="B106" s="318">
        <v>9</v>
      </c>
      <c r="C106" s="149" t="str">
        <f>'Du toan chi tiet'!C15</f>
        <v>AL.22112</v>
      </c>
      <c r="D106" s="149" t="str">
        <f>'Du toan chi tiet'!C15</f>
        <v>AL.22112</v>
      </c>
      <c r="E106" s="665" t="str">
        <f>'Du toan chi tiet'!D15</f>
        <v>Cắt mặt đường bê tông hiện có</v>
      </c>
      <c r="F106" s="318" t="str">
        <f>'Du toan chi tiet'!E15</f>
        <v>10m</v>
      </c>
      <c r="G106" s="56"/>
      <c r="H106" s="435"/>
      <c r="I106" s="589"/>
      <c r="J106" s="367">
        <f>J107+J110+J112</f>
        <v>445575.72</v>
      </c>
      <c r="K106" s="676"/>
      <c r="L106" s="676"/>
      <c r="M106" s="676"/>
      <c r="N106" s="676"/>
      <c r="O106" s="676"/>
      <c r="P106" s="676"/>
      <c r="Q106" s="676"/>
      <c r="R106" s="676"/>
      <c r="S106" s="676"/>
      <c r="T106" s="676"/>
      <c r="U106" s="676"/>
      <c r="V106" s="676"/>
      <c r="W106" s="676"/>
      <c r="X106" s="676"/>
      <c r="Y106" s="676"/>
      <c r="Z106" s="676"/>
      <c r="AA106" s="676"/>
    </row>
    <row r="107" spans="1:27" x14ac:dyDescent="0.25">
      <c r="A107" s="98"/>
      <c r="B107" s="380"/>
      <c r="C107" s="251" t="s">
        <v>98</v>
      </c>
      <c r="D107" s="251" t="s">
        <v>98</v>
      </c>
      <c r="E107" s="449" t="s">
        <v>547</v>
      </c>
      <c r="F107" s="380" t="s">
        <v>962</v>
      </c>
      <c r="G107" s="607"/>
      <c r="H107" s="511"/>
      <c r="I107" s="684"/>
      <c r="J107" s="511">
        <f>SUM(J108:J109)</f>
        <v>239181.84</v>
      </c>
      <c r="K107" s="676"/>
      <c r="L107" s="676"/>
      <c r="M107" s="676"/>
      <c r="N107" s="676"/>
      <c r="O107" s="676"/>
      <c r="P107" s="676"/>
      <c r="Q107" s="676"/>
      <c r="R107" s="676"/>
      <c r="S107" s="676"/>
      <c r="T107" s="676"/>
      <c r="U107" s="676"/>
      <c r="V107" s="676"/>
      <c r="W107" s="676"/>
      <c r="X107" s="676"/>
      <c r="Y107" s="676"/>
      <c r="Z107" s="676"/>
      <c r="AA107" s="676"/>
    </row>
    <row r="108" spans="1:27" x14ac:dyDescent="0.25">
      <c r="A108" s="139"/>
      <c r="B108" s="32"/>
      <c r="C108" s="644" t="s">
        <v>98</v>
      </c>
      <c r="D108" s="507" t="s">
        <v>1077</v>
      </c>
      <c r="E108" s="107" t="str">
        <f>" - " &amp; 'Giá VL'!E19</f>
        <v xml:space="preserve"> - Lưỡi cắt D350mm</v>
      </c>
      <c r="F108" s="32" t="str">
        <f>'Giá VL'!F19</f>
        <v>cái</v>
      </c>
      <c r="G108" s="270">
        <f>'Phan tich don gia'!G74</f>
        <v>0.18</v>
      </c>
      <c r="H108" s="179">
        <f>'Giá VL'!V19</f>
        <v>1322000</v>
      </c>
      <c r="I108" s="347">
        <f>'Du toan chi tiet'!V15</f>
        <v>1</v>
      </c>
      <c r="J108" s="179">
        <f t="shared" ref="J108:J109" si="12">PRODUCT(G108,H108,I108)</f>
        <v>237960</v>
      </c>
      <c r="K108" s="676"/>
      <c r="L108" s="676"/>
      <c r="M108" s="676"/>
      <c r="N108" s="676"/>
      <c r="O108" s="676"/>
      <c r="P108" s="676"/>
      <c r="Q108" s="676"/>
      <c r="R108" s="676"/>
      <c r="S108" s="676"/>
      <c r="T108" s="676"/>
      <c r="U108" s="676"/>
      <c r="V108" s="676"/>
      <c r="W108" s="676"/>
      <c r="X108" s="676"/>
      <c r="Y108" s="676"/>
      <c r="Z108" s="676"/>
      <c r="AA108" s="676"/>
    </row>
    <row r="109" spans="1:27" x14ac:dyDescent="0.25">
      <c r="A109" s="139"/>
      <c r="B109" s="32"/>
      <c r="C109" s="644" t="s">
        <v>98</v>
      </c>
      <c r="D109" s="507" t="s">
        <v>615</v>
      </c>
      <c r="E109" s="107" t="str">
        <f>" - " &amp; 'Giá VL'!E24</f>
        <v xml:space="preserve"> - Nước</v>
      </c>
      <c r="F109" s="32" t="str">
        <f>'Giá VL'!F24</f>
        <v>m3</v>
      </c>
      <c r="G109" s="270">
        <f>'Phan tich don gia'!G75</f>
        <v>0.12</v>
      </c>
      <c r="H109" s="179">
        <f>'Giá VL'!V24</f>
        <v>10182</v>
      </c>
      <c r="I109" s="347">
        <f>'Du toan chi tiet'!V15</f>
        <v>1</v>
      </c>
      <c r="J109" s="179">
        <f t="shared" si="12"/>
        <v>1221.8399999999999</v>
      </c>
      <c r="K109" s="676"/>
      <c r="L109" s="676"/>
      <c r="M109" s="676"/>
      <c r="N109" s="676"/>
      <c r="O109" s="676"/>
      <c r="P109" s="676"/>
      <c r="Q109" s="676"/>
      <c r="R109" s="676"/>
      <c r="S109" s="676"/>
      <c r="T109" s="676"/>
      <c r="U109" s="676"/>
      <c r="V109" s="676"/>
      <c r="W109" s="676"/>
      <c r="X109" s="676"/>
      <c r="Y109" s="676"/>
      <c r="Z109" s="676"/>
      <c r="AA109" s="676"/>
    </row>
    <row r="110" spans="1:27" x14ac:dyDescent="0.25">
      <c r="A110" s="98"/>
      <c r="B110" s="380"/>
      <c r="C110" s="251" t="s">
        <v>98</v>
      </c>
      <c r="D110" s="251" t="s">
        <v>98</v>
      </c>
      <c r="E110" s="449" t="s">
        <v>301</v>
      </c>
      <c r="F110" s="380" t="s">
        <v>1018</v>
      </c>
      <c r="G110" s="607"/>
      <c r="H110" s="511"/>
      <c r="I110" s="684"/>
      <c r="J110" s="511">
        <f>SUM(J111:J111)</f>
        <v>138710</v>
      </c>
      <c r="K110" s="676"/>
      <c r="L110" s="676"/>
      <c r="M110" s="676"/>
      <c r="N110" s="676"/>
      <c r="O110" s="676"/>
      <c r="P110" s="676"/>
      <c r="Q110" s="676"/>
      <c r="R110" s="676"/>
      <c r="S110" s="676"/>
      <c r="T110" s="676"/>
      <c r="U110" s="676"/>
      <c r="V110" s="676"/>
      <c r="W110" s="676"/>
      <c r="X110" s="676"/>
      <c r="Y110" s="676"/>
      <c r="Z110" s="676"/>
      <c r="AA110" s="676"/>
    </row>
    <row r="111" spans="1:27" x14ac:dyDescent="0.25">
      <c r="A111" s="139"/>
      <c r="B111" s="32"/>
      <c r="C111" s="644" t="s">
        <v>98</v>
      </c>
      <c r="D111" s="507" t="s">
        <v>706</v>
      </c>
      <c r="E111" s="107" t="str">
        <f>" - " &amp; 'Giá NC'!E8</f>
        <v xml:space="preserve"> - Nhân công bậc 3,5/7 - Nhóm 2</v>
      </c>
      <c r="F111" s="32" t="str">
        <f>'Giá NC'!F8</f>
        <v>công</v>
      </c>
      <c r="G111" s="270">
        <f>'Phan tich don gia'!G77</f>
        <v>0.55000000000000004</v>
      </c>
      <c r="H111" s="179">
        <f>'Giá NC'!K8</f>
        <v>252200</v>
      </c>
      <c r="I111" s="347">
        <f>'Du toan chi tiet'!W15</f>
        <v>1</v>
      </c>
      <c r="J111" s="179">
        <f>PRODUCT(G111,H111,I111)</f>
        <v>138710</v>
      </c>
      <c r="K111" s="676"/>
      <c r="L111" s="676"/>
      <c r="M111" s="676"/>
      <c r="N111" s="676"/>
      <c r="O111" s="676"/>
      <c r="P111" s="676"/>
      <c r="Q111" s="676"/>
      <c r="R111" s="676"/>
      <c r="S111" s="676"/>
      <c r="T111" s="676"/>
      <c r="U111" s="676"/>
      <c r="V111" s="676"/>
      <c r="W111" s="676"/>
      <c r="X111" s="676"/>
      <c r="Y111" s="676"/>
      <c r="Z111" s="676"/>
      <c r="AA111" s="676"/>
    </row>
    <row r="112" spans="1:27" x14ac:dyDescent="0.25">
      <c r="A112" s="98"/>
      <c r="B112" s="380"/>
      <c r="C112" s="251" t="s">
        <v>98</v>
      </c>
      <c r="D112" s="251" t="s">
        <v>98</v>
      </c>
      <c r="E112" s="449" t="s">
        <v>1175</v>
      </c>
      <c r="F112" s="380" t="s">
        <v>138</v>
      </c>
      <c r="G112" s="607"/>
      <c r="H112" s="511"/>
      <c r="I112" s="684"/>
      <c r="J112" s="511">
        <f>SUM(J113:J114)</f>
        <v>67683.88</v>
      </c>
      <c r="K112" s="676"/>
      <c r="L112" s="676"/>
      <c r="M112" s="676"/>
      <c r="N112" s="676"/>
      <c r="O112" s="676"/>
      <c r="P112" s="676"/>
      <c r="Q112" s="676"/>
      <c r="R112" s="676"/>
      <c r="S112" s="676"/>
      <c r="T112" s="676"/>
      <c r="U112" s="676"/>
      <c r="V112" s="676"/>
      <c r="W112" s="676"/>
      <c r="X112" s="676"/>
      <c r="Y112" s="676"/>
      <c r="Z112" s="676"/>
      <c r="AA112" s="676"/>
    </row>
    <row r="113" spans="1:27" x14ac:dyDescent="0.25">
      <c r="A113" s="139"/>
      <c r="B113" s="32"/>
      <c r="C113" s="644" t="s">
        <v>98</v>
      </c>
      <c r="D113" s="507" t="s">
        <v>177</v>
      </c>
      <c r="E113" s="107" t="str">
        <f>" - " &amp; 'Giá Máy'!E7</f>
        <v xml:space="preserve"> - Máy cắt bê tông 7,5kW</v>
      </c>
      <c r="F113" s="32" t="str">
        <f>'Giá Máy'!F7</f>
        <v>ca</v>
      </c>
      <c r="G113" s="270">
        <f>'Phan tich don gia'!G79</f>
        <v>0.22</v>
      </c>
      <c r="H113" s="179">
        <f>'Giá Máy'!J7</f>
        <v>307653</v>
      </c>
      <c r="I113" s="347">
        <f>'Du toan chi tiet'!X15</f>
        <v>1</v>
      </c>
      <c r="J113" s="179">
        <f>PRODUCT(G113,H113,I113)</f>
        <v>67683.66</v>
      </c>
      <c r="K113" s="676"/>
      <c r="L113" s="676"/>
      <c r="M113" s="676"/>
      <c r="N113" s="676"/>
      <c r="O113" s="676"/>
      <c r="P113" s="676"/>
      <c r="Q113" s="676"/>
      <c r="R113" s="676"/>
      <c r="S113" s="676"/>
      <c r="T113" s="676"/>
      <c r="U113" s="676"/>
      <c r="V113" s="676"/>
      <c r="W113" s="676"/>
      <c r="X113" s="676"/>
      <c r="Y113" s="676"/>
      <c r="Z113" s="676"/>
      <c r="AA113" s="676"/>
    </row>
    <row r="114" spans="1:27" x14ac:dyDescent="0.25">
      <c r="A114" s="139"/>
      <c r="B114" s="32"/>
      <c r="C114" s="644" t="s">
        <v>98</v>
      </c>
      <c r="D114" s="507" t="s">
        <v>98</v>
      </c>
      <c r="E114" s="107" t="s">
        <v>1230</v>
      </c>
      <c r="F114" s="32"/>
      <c r="G114" s="277"/>
      <c r="H114" s="179"/>
      <c r="I114" s="347"/>
      <c r="J114" s="179">
        <f>SUM(J115:J116)</f>
        <v>0.22</v>
      </c>
      <c r="K114" s="676"/>
      <c r="L114" s="676"/>
      <c r="M114" s="676"/>
      <c r="N114" s="676"/>
      <c r="O114" s="676"/>
      <c r="P114" s="676"/>
      <c r="Q114" s="676"/>
      <c r="R114" s="676"/>
      <c r="S114" s="676"/>
      <c r="T114" s="676"/>
      <c r="U114" s="676"/>
      <c r="V114" s="676"/>
      <c r="W114" s="676"/>
      <c r="X114" s="676"/>
      <c r="Y114" s="676"/>
      <c r="Z114" s="676"/>
      <c r="AA114" s="676"/>
    </row>
    <row r="115" spans="1:27" x14ac:dyDescent="0.25">
      <c r="A115" s="139"/>
      <c r="B115" s="32"/>
      <c r="C115" s="644" t="s">
        <v>98</v>
      </c>
      <c r="D115" s="507" t="s">
        <v>98</v>
      </c>
      <c r="E115" s="107" t="s">
        <v>52</v>
      </c>
      <c r="F115" s="32"/>
      <c r="G115" s="277"/>
      <c r="H115" s="179"/>
      <c r="I115" s="347"/>
      <c r="J115" s="179">
        <f>PRODUCT(G113,I113,'Giá Máy'!L7)</f>
        <v>0</v>
      </c>
      <c r="K115" s="676"/>
      <c r="L115" s="676"/>
      <c r="M115" s="676"/>
      <c r="N115" s="676"/>
      <c r="O115" s="676"/>
      <c r="P115" s="676"/>
      <c r="Q115" s="676"/>
      <c r="R115" s="676"/>
      <c r="S115" s="676"/>
      <c r="T115" s="676"/>
      <c r="U115" s="676"/>
      <c r="V115" s="676"/>
      <c r="W115" s="676"/>
      <c r="X115" s="676"/>
      <c r="Y115" s="676"/>
      <c r="Z115" s="676"/>
      <c r="AA115" s="676"/>
    </row>
    <row r="116" spans="1:27" x14ac:dyDescent="0.25">
      <c r="A116" s="543"/>
      <c r="B116" s="736"/>
      <c r="C116" s="596" t="s">
        <v>98</v>
      </c>
      <c r="D116" s="438" t="s">
        <v>98</v>
      </c>
      <c r="E116" s="31" t="s">
        <v>597</v>
      </c>
      <c r="F116" s="736"/>
      <c r="G116" s="231"/>
      <c r="H116" s="93"/>
      <c r="I116" s="296"/>
      <c r="J116" s="93">
        <f>PRODUCT(G113,I113,'Giá Máy'!M7)</f>
        <v>0.22</v>
      </c>
      <c r="K116" s="676"/>
      <c r="L116" s="676"/>
      <c r="M116" s="676"/>
      <c r="N116" s="676"/>
      <c r="O116" s="676"/>
      <c r="P116" s="676"/>
      <c r="Q116" s="676"/>
      <c r="R116" s="676"/>
      <c r="S116" s="676"/>
      <c r="T116" s="676"/>
      <c r="U116" s="676"/>
      <c r="V116" s="676"/>
      <c r="W116" s="676"/>
      <c r="X116" s="676"/>
      <c r="Y116" s="676"/>
      <c r="Z116" s="676"/>
      <c r="AA116" s="676"/>
    </row>
    <row r="117" spans="1:27" x14ac:dyDescent="0.25">
      <c r="A117" s="89"/>
      <c r="B117" s="318">
        <v>10</v>
      </c>
      <c r="C117" s="149" t="str">
        <f>'Du toan chi tiet'!C16</f>
        <v>SF.12112</v>
      </c>
      <c r="D117" s="149" t="str">
        <f>'Du toan chi tiet'!C16</f>
        <v>SF.12112</v>
      </c>
      <c r="E117" s="665" t="str">
        <f>'Du toan chi tiet'!D16</f>
        <v>Bảo dưỡng khe co dãn mặt đường bê tông xi măng - Chiều dày mặt đường 25cm</v>
      </c>
      <c r="F117" s="318" t="str">
        <f>'Du toan chi tiet'!E16</f>
        <v>1m</v>
      </c>
      <c r="G117" s="56"/>
      <c r="H117" s="435"/>
      <c r="I117" s="589"/>
      <c r="J117" s="367">
        <f>J118+J120+J122</f>
        <v>132898.14080000002</v>
      </c>
      <c r="K117" s="676"/>
      <c r="L117" s="676"/>
      <c r="M117" s="676"/>
      <c r="N117" s="676"/>
      <c r="O117" s="676"/>
      <c r="P117" s="676"/>
      <c r="Q117" s="676"/>
      <c r="R117" s="676"/>
      <c r="S117" s="676"/>
      <c r="T117" s="676"/>
      <c r="U117" s="676"/>
      <c r="V117" s="676"/>
      <c r="W117" s="676"/>
      <c r="X117" s="676"/>
      <c r="Y117" s="676"/>
      <c r="Z117" s="676"/>
      <c r="AA117" s="676"/>
    </row>
    <row r="118" spans="1:27" x14ac:dyDescent="0.25">
      <c r="A118" s="98"/>
      <c r="B118" s="380"/>
      <c r="C118" s="251" t="s">
        <v>98</v>
      </c>
      <c r="D118" s="251" t="s">
        <v>98</v>
      </c>
      <c r="E118" s="449" t="s">
        <v>547</v>
      </c>
      <c r="F118" s="380" t="s">
        <v>962</v>
      </c>
      <c r="G118" s="607"/>
      <c r="H118" s="511"/>
      <c r="I118" s="684"/>
      <c r="J118" s="511">
        <f>SUM(J119:J119)</f>
        <v>71896.950000000012</v>
      </c>
      <c r="K118" s="676"/>
      <c r="L118" s="676"/>
      <c r="M118" s="676"/>
      <c r="N118" s="676"/>
      <c r="O118" s="676"/>
      <c r="P118" s="676"/>
      <c r="Q118" s="676"/>
      <c r="R118" s="676"/>
      <c r="S118" s="676"/>
      <c r="T118" s="676"/>
      <c r="U118" s="676"/>
      <c r="V118" s="676"/>
      <c r="W118" s="676"/>
      <c r="X118" s="676"/>
      <c r="Y118" s="676"/>
      <c r="Z118" s="676"/>
      <c r="AA118" s="676"/>
    </row>
    <row r="119" spans="1:27" x14ac:dyDescent="0.25">
      <c r="A119" s="139"/>
      <c r="B119" s="32"/>
      <c r="C119" s="644" t="s">
        <v>98</v>
      </c>
      <c r="D119" s="507" t="s">
        <v>461</v>
      </c>
      <c r="E119" s="107" t="str">
        <f>" - " &amp; 'Giá VL'!E20</f>
        <v xml:space="preserve"> - Matit</v>
      </c>
      <c r="F119" s="32" t="str">
        <f>'Giá VL'!F20</f>
        <v>kg</v>
      </c>
      <c r="G119" s="270">
        <f>'Phan tich don gia'!G82</f>
        <v>4.2750000000000004</v>
      </c>
      <c r="H119" s="179">
        <f>'Giá VL'!V20</f>
        <v>16818</v>
      </c>
      <c r="I119" s="347">
        <f>'Du toan chi tiet'!V16</f>
        <v>1</v>
      </c>
      <c r="J119" s="179">
        <f>PRODUCT(G119,H119,I119)</f>
        <v>71896.950000000012</v>
      </c>
      <c r="K119" s="676"/>
      <c r="L119" s="676"/>
      <c r="M119" s="676"/>
      <c r="N119" s="676"/>
      <c r="O119" s="676"/>
      <c r="P119" s="676"/>
      <c r="Q119" s="676"/>
      <c r="R119" s="676"/>
      <c r="S119" s="676"/>
      <c r="T119" s="676"/>
      <c r="U119" s="676"/>
      <c r="V119" s="676"/>
      <c r="W119" s="676"/>
      <c r="X119" s="676"/>
      <c r="Y119" s="676"/>
      <c r="Z119" s="676"/>
      <c r="AA119" s="676"/>
    </row>
    <row r="120" spans="1:27" x14ac:dyDescent="0.25">
      <c r="A120" s="98"/>
      <c r="B120" s="380"/>
      <c r="C120" s="251" t="s">
        <v>98</v>
      </c>
      <c r="D120" s="251" t="s">
        <v>98</v>
      </c>
      <c r="E120" s="449" t="s">
        <v>301</v>
      </c>
      <c r="F120" s="380" t="s">
        <v>1018</v>
      </c>
      <c r="G120" s="607"/>
      <c r="H120" s="511"/>
      <c r="I120" s="684"/>
      <c r="J120" s="511">
        <f>SUM(J121:J121)</f>
        <v>38240</v>
      </c>
      <c r="K120" s="676"/>
      <c r="L120" s="676"/>
      <c r="M120" s="676"/>
      <c r="N120" s="676"/>
      <c r="O120" s="676"/>
      <c r="P120" s="676"/>
      <c r="Q120" s="676"/>
      <c r="R120" s="676"/>
      <c r="S120" s="676"/>
      <c r="T120" s="676"/>
      <c r="U120" s="676"/>
      <c r="V120" s="676"/>
      <c r="W120" s="676"/>
      <c r="X120" s="676"/>
      <c r="Y120" s="676"/>
      <c r="Z120" s="676"/>
      <c r="AA120" s="676"/>
    </row>
    <row r="121" spans="1:27" x14ac:dyDescent="0.25">
      <c r="A121" s="139"/>
      <c r="B121" s="32"/>
      <c r="C121" s="644" t="s">
        <v>98</v>
      </c>
      <c r="D121" s="507" t="s">
        <v>49</v>
      </c>
      <c r="E121" s="107" t="str">
        <f>" - " &amp; 'Giá NC'!E6</f>
        <v xml:space="preserve"> - Nhân công bậc 3,5/7 - Nhóm 1</v>
      </c>
      <c r="F121" s="32" t="str">
        <f>'Giá NC'!F6</f>
        <v>công</v>
      </c>
      <c r="G121" s="270">
        <f>'Phan tich don gia'!G84</f>
        <v>0.16</v>
      </c>
      <c r="H121" s="179">
        <f>'Giá NC'!K6</f>
        <v>239000</v>
      </c>
      <c r="I121" s="347">
        <f>'Du toan chi tiet'!W16</f>
        <v>1</v>
      </c>
      <c r="J121" s="179">
        <f>PRODUCT(G121,H121,I121)</f>
        <v>38240</v>
      </c>
      <c r="K121" s="676"/>
      <c r="L121" s="676"/>
      <c r="M121" s="676"/>
      <c r="N121" s="676"/>
      <c r="O121" s="676"/>
      <c r="P121" s="676"/>
      <c r="Q121" s="676"/>
      <c r="R121" s="676"/>
      <c r="S121" s="676"/>
      <c r="T121" s="676"/>
      <c r="U121" s="676"/>
      <c r="V121" s="676"/>
      <c r="W121" s="676"/>
      <c r="X121" s="676"/>
      <c r="Y121" s="676"/>
      <c r="Z121" s="676"/>
      <c r="AA121" s="676"/>
    </row>
    <row r="122" spans="1:27" x14ac:dyDescent="0.25">
      <c r="A122" s="98"/>
      <c r="B122" s="380"/>
      <c r="C122" s="251" t="s">
        <v>98</v>
      </c>
      <c r="D122" s="251" t="s">
        <v>98</v>
      </c>
      <c r="E122" s="449" t="s">
        <v>1175</v>
      </c>
      <c r="F122" s="380" t="s">
        <v>138</v>
      </c>
      <c r="G122" s="607"/>
      <c r="H122" s="511"/>
      <c r="I122" s="684"/>
      <c r="J122" s="511">
        <f>SUM(J123:J124)</f>
        <v>22761.1908</v>
      </c>
      <c r="K122" s="676"/>
      <c r="L122" s="676"/>
      <c r="M122" s="676"/>
      <c r="N122" s="676"/>
      <c r="O122" s="676"/>
      <c r="P122" s="676"/>
      <c r="Q122" s="676"/>
      <c r="R122" s="676"/>
      <c r="S122" s="676"/>
      <c r="T122" s="676"/>
      <c r="U122" s="676"/>
      <c r="V122" s="676"/>
      <c r="W122" s="676"/>
      <c r="X122" s="676"/>
      <c r="Y122" s="676"/>
      <c r="Z122" s="676"/>
      <c r="AA122" s="676"/>
    </row>
    <row r="123" spans="1:27" x14ac:dyDescent="0.25">
      <c r="A123" s="139"/>
      <c r="B123" s="32"/>
      <c r="C123" s="644" t="s">
        <v>98</v>
      </c>
      <c r="D123" s="507" t="s">
        <v>1024</v>
      </c>
      <c r="E123" s="107" t="str">
        <f>" - " &amp; 'Giá Máy'!E17</f>
        <v xml:space="preserve"> - Máy nén khí diezel 360m3/h</v>
      </c>
      <c r="F123" s="32" t="str">
        <f>'Giá Máy'!F17</f>
        <v>ca</v>
      </c>
      <c r="G123" s="270">
        <f>'Phan tich don gia'!G86</f>
        <v>1.7999999999999999E-2</v>
      </c>
      <c r="H123" s="179">
        <f>'Giá Máy'!J17</f>
        <v>1264509.6000000001</v>
      </c>
      <c r="I123" s="347">
        <f>'Du toan chi tiet'!X16</f>
        <v>1</v>
      </c>
      <c r="J123" s="179">
        <f>PRODUCT(G123,H123,I123)</f>
        <v>22761.1728</v>
      </c>
      <c r="K123" s="676"/>
      <c r="L123" s="676"/>
      <c r="M123" s="676"/>
      <c r="N123" s="676"/>
      <c r="O123" s="676"/>
      <c r="P123" s="676"/>
      <c r="Q123" s="676"/>
      <c r="R123" s="676"/>
      <c r="S123" s="676"/>
      <c r="T123" s="676"/>
      <c r="U123" s="676"/>
      <c r="V123" s="676"/>
      <c r="W123" s="676"/>
      <c r="X123" s="676"/>
      <c r="Y123" s="676"/>
      <c r="Z123" s="676"/>
      <c r="AA123" s="676"/>
    </row>
    <row r="124" spans="1:27" x14ac:dyDescent="0.25">
      <c r="A124" s="139"/>
      <c r="B124" s="32"/>
      <c r="C124" s="644" t="s">
        <v>98</v>
      </c>
      <c r="D124" s="507" t="s">
        <v>98</v>
      </c>
      <c r="E124" s="107" t="s">
        <v>1230</v>
      </c>
      <c r="F124" s="32"/>
      <c r="G124" s="277"/>
      <c r="H124" s="179"/>
      <c r="I124" s="347"/>
      <c r="J124" s="179">
        <f>SUM(J125:J126)</f>
        <v>1.7999999999999999E-2</v>
      </c>
      <c r="K124" s="676"/>
      <c r="L124" s="676"/>
      <c r="M124" s="676"/>
      <c r="N124" s="676"/>
      <c r="O124" s="676"/>
      <c r="P124" s="676"/>
      <c r="Q124" s="676"/>
      <c r="R124" s="676"/>
      <c r="S124" s="676"/>
      <c r="T124" s="676"/>
      <c r="U124" s="676"/>
      <c r="V124" s="676"/>
      <c r="W124" s="676"/>
      <c r="X124" s="676"/>
      <c r="Y124" s="676"/>
      <c r="Z124" s="676"/>
      <c r="AA124" s="676"/>
    </row>
    <row r="125" spans="1:27" x14ac:dyDescent="0.25">
      <c r="A125" s="139"/>
      <c r="B125" s="32"/>
      <c r="C125" s="644" t="s">
        <v>98</v>
      </c>
      <c r="D125" s="507" t="s">
        <v>98</v>
      </c>
      <c r="E125" s="107" t="s">
        <v>52</v>
      </c>
      <c r="F125" s="32"/>
      <c r="G125" s="277"/>
      <c r="H125" s="179"/>
      <c r="I125" s="347"/>
      <c r="J125" s="179">
        <f>PRODUCT(G123,I123,'Giá Máy'!L17)</f>
        <v>0</v>
      </c>
      <c r="K125" s="676"/>
      <c r="L125" s="676"/>
      <c r="M125" s="676"/>
      <c r="N125" s="676"/>
      <c r="O125" s="676"/>
      <c r="P125" s="676"/>
      <c r="Q125" s="676"/>
      <c r="R125" s="676"/>
      <c r="S125" s="676"/>
      <c r="T125" s="676"/>
      <c r="U125" s="676"/>
      <c r="V125" s="676"/>
      <c r="W125" s="676"/>
      <c r="X125" s="676"/>
      <c r="Y125" s="676"/>
      <c r="Z125" s="676"/>
      <c r="AA125" s="676"/>
    </row>
    <row r="126" spans="1:27" x14ac:dyDescent="0.25">
      <c r="A126" s="543"/>
      <c r="B126" s="736"/>
      <c r="C126" s="596" t="s">
        <v>98</v>
      </c>
      <c r="D126" s="438" t="s">
        <v>98</v>
      </c>
      <c r="E126" s="31" t="s">
        <v>597</v>
      </c>
      <c r="F126" s="736"/>
      <c r="G126" s="231"/>
      <c r="H126" s="93"/>
      <c r="I126" s="296"/>
      <c r="J126" s="93">
        <f>PRODUCT(G123,I123,'Giá Máy'!M17)</f>
        <v>1.7999999999999999E-2</v>
      </c>
      <c r="K126" s="676"/>
      <c r="L126" s="676"/>
      <c r="M126" s="676"/>
      <c r="N126" s="676"/>
      <c r="O126" s="676"/>
      <c r="P126" s="676"/>
      <c r="Q126" s="676"/>
      <c r="R126" s="676"/>
      <c r="S126" s="676"/>
      <c r="T126" s="676"/>
      <c r="U126" s="676"/>
      <c r="V126" s="676"/>
      <c r="W126" s="676"/>
      <c r="X126" s="676"/>
      <c r="Y126" s="676"/>
      <c r="Z126" s="676"/>
      <c r="AA126" s="676"/>
    </row>
    <row r="127" spans="1:27" x14ac:dyDescent="0.25">
      <c r="A127" s="89"/>
      <c r="B127" s="318">
        <v>11</v>
      </c>
      <c r="C127" s="149" t="str">
        <f>'Du toan chi tiet'!C17</f>
        <v>AB.31134</v>
      </c>
      <c r="D127" s="149" t="str">
        <f>'Du toan chi tiet'!C17</f>
        <v>AB.31134</v>
      </c>
      <c r="E127" s="665" t="str">
        <f>'Du toan chi tiet'!D17</f>
        <v>Đào kết cấu mặt đường hiện có</v>
      </c>
      <c r="F127" s="318" t="str">
        <f>'Du toan chi tiet'!E17</f>
        <v>m3</v>
      </c>
      <c r="G127" s="56"/>
      <c r="H127" s="435"/>
      <c r="I127" s="589"/>
      <c r="J127" s="367">
        <f>J128+J130</f>
        <v>27577.888021999999</v>
      </c>
      <c r="K127" s="676"/>
      <c r="L127" s="676"/>
      <c r="M127" s="676"/>
      <c r="N127" s="676"/>
      <c r="O127" s="676"/>
      <c r="P127" s="676"/>
      <c r="Q127" s="676"/>
      <c r="R127" s="676"/>
      <c r="S127" s="676"/>
      <c r="T127" s="676"/>
      <c r="U127" s="676"/>
      <c r="V127" s="676"/>
      <c r="W127" s="676"/>
      <c r="X127" s="676"/>
      <c r="Y127" s="676"/>
      <c r="Z127" s="676"/>
      <c r="AA127" s="676"/>
    </row>
    <row r="128" spans="1:27" x14ac:dyDescent="0.25">
      <c r="A128" s="98"/>
      <c r="B128" s="380"/>
      <c r="C128" s="251" t="s">
        <v>98</v>
      </c>
      <c r="D128" s="251" t="s">
        <v>98</v>
      </c>
      <c r="E128" s="449" t="s">
        <v>301</v>
      </c>
      <c r="F128" s="380" t="s">
        <v>1018</v>
      </c>
      <c r="G128" s="607"/>
      <c r="H128" s="511"/>
      <c r="I128" s="684"/>
      <c r="J128" s="511">
        <f>SUM(J129:J129)</f>
        <v>10512.687899999999</v>
      </c>
      <c r="K128" s="676"/>
      <c r="L128" s="676"/>
      <c r="M128" s="676"/>
      <c r="N128" s="676"/>
      <c r="O128" s="676"/>
      <c r="P128" s="676"/>
      <c r="Q128" s="676"/>
      <c r="R128" s="676"/>
      <c r="S128" s="676"/>
      <c r="T128" s="676"/>
      <c r="U128" s="676"/>
      <c r="V128" s="676"/>
      <c r="W128" s="676"/>
      <c r="X128" s="676"/>
      <c r="Y128" s="676"/>
      <c r="Z128" s="676"/>
      <c r="AA128" s="676"/>
    </row>
    <row r="129" spans="1:27" x14ac:dyDescent="0.25">
      <c r="A129" s="139"/>
      <c r="B129" s="32"/>
      <c r="C129" s="644" t="s">
        <v>98</v>
      </c>
      <c r="D129" s="507" t="s">
        <v>475</v>
      </c>
      <c r="E129" s="107" t="str">
        <f>" - " &amp; 'Giá NC'!E5</f>
        <v xml:space="preserve"> - Nhân công bậc 3,0/7 - Nhóm 1</v>
      </c>
      <c r="F129" s="32" t="str">
        <f>'Giá NC'!F5</f>
        <v>công</v>
      </c>
      <c r="G129" s="270">
        <f>'Phan tich don gia'!G89</f>
        <v>4.8099999999999997E-2</v>
      </c>
      <c r="H129" s="179">
        <f>'Giá NC'!K5</f>
        <v>218559</v>
      </c>
      <c r="I129" s="347">
        <f>'Du toan chi tiet'!W17</f>
        <v>1</v>
      </c>
      <c r="J129" s="179">
        <f>PRODUCT(G129,H129,I129)</f>
        <v>10512.687899999999</v>
      </c>
      <c r="K129" s="676"/>
      <c r="L129" s="676"/>
      <c r="M129" s="676"/>
      <c r="N129" s="676"/>
      <c r="O129" s="676"/>
      <c r="P129" s="676"/>
      <c r="Q129" s="676"/>
      <c r="R129" s="676"/>
      <c r="S129" s="676"/>
      <c r="T129" s="676"/>
      <c r="U129" s="676"/>
      <c r="V129" s="676"/>
      <c r="W129" s="676"/>
      <c r="X129" s="676"/>
      <c r="Y129" s="676"/>
      <c r="Z129" s="676"/>
      <c r="AA129" s="676"/>
    </row>
    <row r="130" spans="1:27" x14ac:dyDescent="0.25">
      <c r="A130" s="98"/>
      <c r="B130" s="380"/>
      <c r="C130" s="251" t="s">
        <v>98</v>
      </c>
      <c r="D130" s="251" t="s">
        <v>98</v>
      </c>
      <c r="E130" s="449" t="s">
        <v>1175</v>
      </c>
      <c r="F130" s="380" t="s">
        <v>138</v>
      </c>
      <c r="G130" s="607"/>
      <c r="H130" s="511"/>
      <c r="I130" s="684"/>
      <c r="J130" s="511">
        <f>SUM(J131:J133)</f>
        <v>17065.200121999998</v>
      </c>
      <c r="K130" s="676"/>
      <c r="L130" s="676"/>
      <c r="M130" s="676"/>
      <c r="N130" s="676"/>
      <c r="O130" s="676"/>
      <c r="P130" s="676"/>
      <c r="Q130" s="676"/>
      <c r="R130" s="676"/>
      <c r="S130" s="676"/>
      <c r="T130" s="676"/>
      <c r="U130" s="676"/>
      <c r="V130" s="676"/>
      <c r="W130" s="676"/>
      <c r="X130" s="676"/>
      <c r="Y130" s="676"/>
      <c r="Z130" s="676"/>
      <c r="AA130" s="676"/>
    </row>
    <row r="131" spans="1:27" x14ac:dyDescent="0.25">
      <c r="A131" s="139"/>
      <c r="B131" s="32"/>
      <c r="C131" s="644" t="s">
        <v>98</v>
      </c>
      <c r="D131" s="507" t="s">
        <v>759</v>
      </c>
      <c r="E131" s="107" t="str">
        <f>" - " &amp; 'Giá Máy'!E14</f>
        <v xml:space="preserve"> - Máy đào 1,25m3</v>
      </c>
      <c r="F131" s="32" t="str">
        <f>'Giá Máy'!F14</f>
        <v>ca</v>
      </c>
      <c r="G131" s="270">
        <f>'Phan tich don gia'!G91</f>
        <v>4.2399999999999998E-3</v>
      </c>
      <c r="H131" s="179">
        <f>'Giá Máy'!J14</f>
        <v>3756595.3</v>
      </c>
      <c r="I131" s="347">
        <f>'Du toan chi tiet'!X17</f>
        <v>1</v>
      </c>
      <c r="J131" s="179">
        <f t="shared" ref="J131:J132" si="13">PRODUCT(G131,H131,I131)</f>
        <v>15927.964071999999</v>
      </c>
      <c r="K131" s="676"/>
      <c r="L131" s="676"/>
      <c r="M131" s="676"/>
      <c r="N131" s="676"/>
      <c r="O131" s="676"/>
      <c r="P131" s="676"/>
      <c r="Q131" s="676"/>
      <c r="R131" s="676"/>
      <c r="S131" s="676"/>
      <c r="T131" s="676"/>
      <c r="U131" s="676"/>
      <c r="V131" s="676"/>
      <c r="W131" s="676"/>
      <c r="X131" s="676"/>
      <c r="Y131" s="676"/>
      <c r="Z131" s="676"/>
      <c r="AA131" s="676"/>
    </row>
    <row r="132" spans="1:27" x14ac:dyDescent="0.25">
      <c r="A132" s="139"/>
      <c r="B132" s="32"/>
      <c r="C132" s="644" t="s">
        <v>98</v>
      </c>
      <c r="D132" s="507" t="s">
        <v>1055</v>
      </c>
      <c r="E132" s="107" t="str">
        <f>" - " &amp; 'Giá Máy'!E21</f>
        <v xml:space="preserve"> - Máy ủi 110CV</v>
      </c>
      <c r="F132" s="32" t="str">
        <f>'Giá Máy'!F21</f>
        <v>ca</v>
      </c>
      <c r="G132" s="270">
        <f>'Phan tich don gia'!G92</f>
        <v>5.8E-4</v>
      </c>
      <c r="H132" s="179">
        <f>'Giá Máy'!J21</f>
        <v>1960743.5</v>
      </c>
      <c r="I132" s="347">
        <f>'Du toan chi tiet'!X17</f>
        <v>1</v>
      </c>
      <c r="J132" s="179">
        <f t="shared" si="13"/>
        <v>1137.2312300000001</v>
      </c>
      <c r="K132" s="676"/>
      <c r="L132" s="676"/>
      <c r="M132" s="676"/>
      <c r="N132" s="676"/>
      <c r="O132" s="676"/>
      <c r="P132" s="676"/>
      <c r="Q132" s="676"/>
      <c r="R132" s="676"/>
      <c r="S132" s="676"/>
      <c r="T132" s="676"/>
      <c r="U132" s="676"/>
      <c r="V132" s="676"/>
      <c r="W132" s="676"/>
      <c r="X132" s="676"/>
      <c r="Y132" s="676"/>
      <c r="Z132" s="676"/>
      <c r="AA132" s="676"/>
    </row>
    <row r="133" spans="1:27" x14ac:dyDescent="0.25">
      <c r="A133" s="139"/>
      <c r="B133" s="32"/>
      <c r="C133" s="644" t="s">
        <v>98</v>
      </c>
      <c r="D133" s="507" t="s">
        <v>98</v>
      </c>
      <c r="E133" s="107" t="s">
        <v>1230</v>
      </c>
      <c r="F133" s="32"/>
      <c r="G133" s="277"/>
      <c r="H133" s="179"/>
      <c r="I133" s="347"/>
      <c r="J133" s="179">
        <f>SUM(J134:J135)</f>
        <v>4.8199999999999996E-3</v>
      </c>
      <c r="K133" s="676"/>
      <c r="L133" s="676"/>
      <c r="M133" s="676"/>
      <c r="N133" s="676"/>
      <c r="O133" s="676"/>
      <c r="P133" s="676"/>
      <c r="Q133" s="676"/>
      <c r="R133" s="676"/>
      <c r="S133" s="676"/>
      <c r="T133" s="676"/>
      <c r="U133" s="676"/>
      <c r="V133" s="676"/>
      <c r="W133" s="676"/>
      <c r="X133" s="676"/>
      <c r="Y133" s="676"/>
      <c r="Z133" s="676"/>
      <c r="AA133" s="676"/>
    </row>
    <row r="134" spans="1:27" x14ac:dyDescent="0.25">
      <c r="A134" s="139"/>
      <c r="B134" s="32"/>
      <c r="C134" s="644" t="s">
        <v>98</v>
      </c>
      <c r="D134" s="507" t="s">
        <v>98</v>
      </c>
      <c r="E134" s="107" t="s">
        <v>52</v>
      </c>
      <c r="F134" s="32"/>
      <c r="G134" s="277"/>
      <c r="H134" s="179"/>
      <c r="I134" s="347"/>
      <c r="J134" s="179">
        <f>PRODUCT(G131,I131,'Giá Máy'!L14)+PRODUCT(G132,I132,'Giá Máy'!L21)</f>
        <v>0</v>
      </c>
      <c r="K134" s="676"/>
      <c r="L134" s="676"/>
      <c r="M134" s="676"/>
      <c r="N134" s="676"/>
      <c r="O134" s="676"/>
      <c r="P134" s="676"/>
      <c r="Q134" s="676"/>
      <c r="R134" s="676"/>
      <c r="S134" s="676"/>
      <c r="T134" s="676"/>
      <c r="U134" s="676"/>
      <c r="V134" s="676"/>
      <c r="W134" s="676"/>
      <c r="X134" s="676"/>
      <c r="Y134" s="676"/>
      <c r="Z134" s="676"/>
      <c r="AA134" s="676"/>
    </row>
    <row r="135" spans="1:27" x14ac:dyDescent="0.25">
      <c r="A135" s="543"/>
      <c r="B135" s="736"/>
      <c r="C135" s="596" t="s">
        <v>98</v>
      </c>
      <c r="D135" s="438" t="s">
        <v>98</v>
      </c>
      <c r="E135" s="31" t="s">
        <v>597</v>
      </c>
      <c r="F135" s="736"/>
      <c r="G135" s="231"/>
      <c r="H135" s="93"/>
      <c r="I135" s="296"/>
      <c r="J135" s="93">
        <f>PRODUCT(G131,I131,'Giá Máy'!M14)+PRODUCT(G132,I132,'Giá Máy'!M21)</f>
        <v>4.8199999999999996E-3</v>
      </c>
      <c r="K135" s="676"/>
      <c r="L135" s="676"/>
      <c r="M135" s="676"/>
      <c r="N135" s="676"/>
      <c r="O135" s="676"/>
      <c r="P135" s="676"/>
      <c r="Q135" s="676"/>
      <c r="R135" s="676"/>
      <c r="S135" s="676"/>
      <c r="T135" s="676"/>
      <c r="U135" s="676"/>
      <c r="V135" s="676"/>
      <c r="W135" s="676"/>
      <c r="X135" s="676"/>
      <c r="Y135" s="676"/>
      <c r="Z135" s="676"/>
      <c r="AA135" s="676"/>
    </row>
    <row r="136" spans="1:27" x14ac:dyDescent="0.25">
      <c r="A136" s="89"/>
      <c r="B136" s="318">
        <v>12</v>
      </c>
      <c r="C136" s="149" t="str">
        <f>'Du toan chi tiet'!C18</f>
        <v>AB.21132</v>
      </c>
      <c r="D136" s="149" t="str">
        <f>'Du toan chi tiet'!C18</f>
        <v>AB.21132</v>
      </c>
      <c r="E136" s="665" t="str">
        <f>'Du toan chi tiet'!D18</f>
        <v>Đào đất hữu cơ bằng máy đào 1,25m3 - Cấp đất II</v>
      </c>
      <c r="F136" s="318" t="str">
        <f>'Du toan chi tiet'!E18</f>
        <v>m3</v>
      </c>
      <c r="G136" s="56"/>
      <c r="H136" s="435"/>
      <c r="I136" s="589"/>
      <c r="J136" s="367">
        <f>J137+J139</f>
        <v>9872.6467389999998</v>
      </c>
      <c r="K136" s="676"/>
      <c r="L136" s="676"/>
      <c r="M136" s="676"/>
      <c r="N136" s="676"/>
      <c r="O136" s="676"/>
      <c r="P136" s="676"/>
      <c r="Q136" s="676"/>
      <c r="R136" s="676"/>
      <c r="S136" s="676"/>
      <c r="T136" s="676"/>
      <c r="U136" s="676"/>
      <c r="V136" s="676"/>
      <c r="W136" s="676"/>
      <c r="X136" s="676"/>
      <c r="Y136" s="676"/>
      <c r="Z136" s="676"/>
      <c r="AA136" s="676"/>
    </row>
    <row r="137" spans="1:27" x14ac:dyDescent="0.25">
      <c r="A137" s="98"/>
      <c r="B137" s="380"/>
      <c r="C137" s="251" t="s">
        <v>98</v>
      </c>
      <c r="D137" s="251" t="s">
        <v>98</v>
      </c>
      <c r="E137" s="449" t="s">
        <v>301</v>
      </c>
      <c r="F137" s="380" t="s">
        <v>1018</v>
      </c>
      <c r="G137" s="607"/>
      <c r="H137" s="511"/>
      <c r="I137" s="684"/>
      <c r="J137" s="511">
        <f>SUM(J138:J138)</f>
        <v>1114.6509000000001</v>
      </c>
      <c r="K137" s="676"/>
      <c r="L137" s="676"/>
      <c r="M137" s="676"/>
      <c r="N137" s="676"/>
      <c r="O137" s="676"/>
      <c r="P137" s="676"/>
      <c r="Q137" s="676"/>
      <c r="R137" s="676"/>
      <c r="S137" s="676"/>
      <c r="T137" s="676"/>
      <c r="U137" s="676"/>
      <c r="V137" s="676"/>
      <c r="W137" s="676"/>
      <c r="X137" s="676"/>
      <c r="Y137" s="676"/>
      <c r="Z137" s="676"/>
      <c r="AA137" s="676"/>
    </row>
    <row r="138" spans="1:27" x14ac:dyDescent="0.25">
      <c r="A138" s="139"/>
      <c r="B138" s="32"/>
      <c r="C138" s="644" t="s">
        <v>98</v>
      </c>
      <c r="D138" s="507" t="s">
        <v>475</v>
      </c>
      <c r="E138" s="107" t="str">
        <f>" - " &amp; 'Giá NC'!E5</f>
        <v xml:space="preserve"> - Nhân công bậc 3,0/7 - Nhóm 1</v>
      </c>
      <c r="F138" s="32" t="str">
        <f>'Giá NC'!F5</f>
        <v>công</v>
      </c>
      <c r="G138" s="270">
        <f>'Phan tich don gia'!G95</f>
        <v>5.1000000000000004E-3</v>
      </c>
      <c r="H138" s="179">
        <f>'Giá NC'!K5</f>
        <v>218559</v>
      </c>
      <c r="I138" s="347">
        <f>'Du toan chi tiet'!W18</f>
        <v>1</v>
      </c>
      <c r="J138" s="179">
        <f>PRODUCT(G138,H138,I138)</f>
        <v>1114.6509000000001</v>
      </c>
      <c r="K138" s="676"/>
      <c r="L138" s="676"/>
      <c r="M138" s="676"/>
      <c r="N138" s="676"/>
      <c r="O138" s="676"/>
      <c r="P138" s="676"/>
      <c r="Q138" s="676"/>
      <c r="R138" s="676"/>
      <c r="S138" s="676"/>
      <c r="T138" s="676"/>
      <c r="U138" s="676"/>
      <c r="V138" s="676"/>
      <c r="W138" s="676"/>
      <c r="X138" s="676"/>
      <c r="Y138" s="676"/>
      <c r="Z138" s="676"/>
      <c r="AA138" s="676"/>
    </row>
    <row r="139" spans="1:27" x14ac:dyDescent="0.25">
      <c r="A139" s="98"/>
      <c r="B139" s="380"/>
      <c r="C139" s="251" t="s">
        <v>98</v>
      </c>
      <c r="D139" s="251" t="s">
        <v>98</v>
      </c>
      <c r="E139" s="449" t="s">
        <v>1175</v>
      </c>
      <c r="F139" s="380" t="s">
        <v>138</v>
      </c>
      <c r="G139" s="607"/>
      <c r="H139" s="511"/>
      <c r="I139" s="684"/>
      <c r="J139" s="511">
        <f>SUM(J140:J142)</f>
        <v>8757.9958389999993</v>
      </c>
      <c r="K139" s="676"/>
      <c r="L139" s="676"/>
      <c r="M139" s="676"/>
      <c r="N139" s="676"/>
      <c r="O139" s="676"/>
      <c r="P139" s="676"/>
      <c r="Q139" s="676"/>
      <c r="R139" s="676"/>
      <c r="S139" s="676"/>
      <c r="T139" s="676"/>
      <c r="U139" s="676"/>
      <c r="V139" s="676"/>
      <c r="W139" s="676"/>
      <c r="X139" s="676"/>
      <c r="Y139" s="676"/>
      <c r="Z139" s="676"/>
      <c r="AA139" s="676"/>
    </row>
    <row r="140" spans="1:27" x14ac:dyDescent="0.25">
      <c r="A140" s="139"/>
      <c r="B140" s="32"/>
      <c r="C140" s="644" t="s">
        <v>98</v>
      </c>
      <c r="D140" s="507" t="s">
        <v>759</v>
      </c>
      <c r="E140" s="107" t="str">
        <f>" - " &amp; 'Giá Máy'!E14</f>
        <v xml:space="preserve"> - Máy đào 1,25m3</v>
      </c>
      <c r="F140" s="32" t="str">
        <f>'Giá Máy'!F14</f>
        <v>ca</v>
      </c>
      <c r="G140" s="270">
        <f>'Phan tich don gia'!G97</f>
        <v>2.1800000000000001E-3</v>
      </c>
      <c r="H140" s="179">
        <f>'Giá Máy'!J14</f>
        <v>3756595.3</v>
      </c>
      <c r="I140" s="347">
        <f>'Du toan chi tiet'!X18</f>
        <v>1</v>
      </c>
      <c r="J140" s="179">
        <f t="shared" ref="J140:J141" si="14">PRODUCT(G140,H140,I140)</f>
        <v>8189.3777540000001</v>
      </c>
      <c r="K140" s="676"/>
      <c r="L140" s="676"/>
      <c r="M140" s="676"/>
      <c r="N140" s="676"/>
      <c r="O140" s="676"/>
      <c r="P140" s="676"/>
      <c r="Q140" s="676"/>
      <c r="R140" s="676"/>
      <c r="S140" s="676"/>
      <c r="T140" s="676"/>
      <c r="U140" s="676"/>
      <c r="V140" s="676"/>
      <c r="W140" s="676"/>
      <c r="X140" s="676"/>
      <c r="Y140" s="676"/>
      <c r="Z140" s="676"/>
      <c r="AA140" s="676"/>
    </row>
    <row r="141" spans="1:27" x14ac:dyDescent="0.25">
      <c r="A141" s="139"/>
      <c r="B141" s="32"/>
      <c r="C141" s="644" t="s">
        <v>98</v>
      </c>
      <c r="D141" s="507" t="s">
        <v>1055</v>
      </c>
      <c r="E141" s="107" t="str">
        <f>" - " &amp; 'Giá Máy'!E21</f>
        <v xml:space="preserve"> - Máy ủi 110CV</v>
      </c>
      <c r="F141" s="32" t="str">
        <f>'Giá Máy'!F21</f>
        <v>ca</v>
      </c>
      <c r="G141" s="270">
        <f>'Phan tich don gia'!G98</f>
        <v>2.9E-4</v>
      </c>
      <c r="H141" s="179">
        <f>'Giá Máy'!J21</f>
        <v>1960743.5</v>
      </c>
      <c r="I141" s="347">
        <f>'Du toan chi tiet'!X18</f>
        <v>1</v>
      </c>
      <c r="J141" s="179">
        <f t="shared" si="14"/>
        <v>568.61561500000005</v>
      </c>
      <c r="K141" s="676"/>
      <c r="L141" s="676"/>
      <c r="M141" s="676"/>
      <c r="N141" s="676"/>
      <c r="O141" s="676"/>
      <c r="P141" s="676"/>
      <c r="Q141" s="676"/>
      <c r="R141" s="676"/>
      <c r="S141" s="676"/>
      <c r="T141" s="676"/>
      <c r="U141" s="676"/>
      <c r="V141" s="676"/>
      <c r="W141" s="676"/>
      <c r="X141" s="676"/>
      <c r="Y141" s="676"/>
      <c r="Z141" s="676"/>
      <c r="AA141" s="676"/>
    </row>
    <row r="142" spans="1:27" x14ac:dyDescent="0.25">
      <c r="A142" s="139"/>
      <c r="B142" s="32"/>
      <c r="C142" s="644" t="s">
        <v>98</v>
      </c>
      <c r="D142" s="507" t="s">
        <v>98</v>
      </c>
      <c r="E142" s="107" t="s">
        <v>1230</v>
      </c>
      <c r="F142" s="32"/>
      <c r="G142" s="277"/>
      <c r="H142" s="179"/>
      <c r="I142" s="347"/>
      <c r="J142" s="179">
        <f>SUM(J143:J144)</f>
        <v>2.47E-3</v>
      </c>
      <c r="K142" s="676"/>
      <c r="L142" s="676"/>
      <c r="M142" s="676"/>
      <c r="N142" s="676"/>
      <c r="O142" s="676"/>
      <c r="P142" s="676"/>
      <c r="Q142" s="676"/>
      <c r="R142" s="676"/>
      <c r="S142" s="676"/>
      <c r="T142" s="676"/>
      <c r="U142" s="676"/>
      <c r="V142" s="676"/>
      <c r="W142" s="676"/>
      <c r="X142" s="676"/>
      <c r="Y142" s="676"/>
      <c r="Z142" s="676"/>
      <c r="AA142" s="676"/>
    </row>
    <row r="143" spans="1:27" x14ac:dyDescent="0.25">
      <c r="A143" s="139"/>
      <c r="B143" s="32"/>
      <c r="C143" s="644" t="s">
        <v>98</v>
      </c>
      <c r="D143" s="507" t="s">
        <v>98</v>
      </c>
      <c r="E143" s="107" t="s">
        <v>52</v>
      </c>
      <c r="F143" s="32"/>
      <c r="G143" s="277"/>
      <c r="H143" s="179"/>
      <c r="I143" s="347"/>
      <c r="J143" s="179">
        <f>PRODUCT(G140,I140,'Giá Máy'!L14)+PRODUCT(G141,I141,'Giá Máy'!L21)</f>
        <v>0</v>
      </c>
      <c r="K143" s="676"/>
      <c r="L143" s="676"/>
      <c r="M143" s="676"/>
      <c r="N143" s="676"/>
      <c r="O143" s="676"/>
      <c r="P143" s="676"/>
      <c r="Q143" s="676"/>
      <c r="R143" s="676"/>
      <c r="S143" s="676"/>
      <c r="T143" s="676"/>
      <c r="U143" s="676"/>
      <c r="V143" s="676"/>
      <c r="W143" s="676"/>
      <c r="X143" s="676"/>
      <c r="Y143" s="676"/>
      <c r="Z143" s="676"/>
      <c r="AA143" s="676"/>
    </row>
    <row r="144" spans="1:27" x14ac:dyDescent="0.25">
      <c r="A144" s="543"/>
      <c r="B144" s="736"/>
      <c r="C144" s="596" t="s">
        <v>98</v>
      </c>
      <c r="D144" s="438" t="s">
        <v>98</v>
      </c>
      <c r="E144" s="31" t="s">
        <v>597</v>
      </c>
      <c r="F144" s="736"/>
      <c r="G144" s="231"/>
      <c r="H144" s="93"/>
      <c r="I144" s="296"/>
      <c r="J144" s="93">
        <f>PRODUCT(G140,I140,'Giá Máy'!M14)+PRODUCT(G141,I141,'Giá Máy'!M21)</f>
        <v>2.47E-3</v>
      </c>
      <c r="K144" s="676"/>
      <c r="L144" s="676"/>
      <c r="M144" s="676"/>
      <c r="N144" s="676"/>
      <c r="O144" s="676"/>
      <c r="P144" s="676"/>
      <c r="Q144" s="676"/>
      <c r="R144" s="676"/>
      <c r="S144" s="676"/>
      <c r="T144" s="676"/>
      <c r="U144" s="676"/>
      <c r="V144" s="676"/>
      <c r="W144" s="676"/>
      <c r="X144" s="676"/>
      <c r="Y144" s="676"/>
      <c r="Z144" s="676"/>
      <c r="AA144" s="676"/>
    </row>
    <row r="145" spans="1:27" x14ac:dyDescent="0.25">
      <c r="A145" s="89"/>
      <c r="B145" s="318">
        <v>13</v>
      </c>
      <c r="C145" s="149" t="str">
        <f>'Du toan chi tiet'!C19</f>
        <v>AB.31132</v>
      </c>
      <c r="D145" s="149" t="str">
        <f>'Du toan chi tiet'!C19</f>
        <v>AB.31132</v>
      </c>
      <c r="E145" s="665" t="str">
        <f>'Du toan chi tiet'!D19</f>
        <v>Đào đánh cấp bằng máy đào 1,25m3 - Cấp đất II</v>
      </c>
      <c r="F145" s="318" t="str">
        <f>'Du toan chi tiet'!E19</f>
        <v>m3</v>
      </c>
      <c r="G145" s="56"/>
      <c r="H145" s="435"/>
      <c r="I145" s="589"/>
      <c r="J145" s="367">
        <f>J146+J148</f>
        <v>18012.824906999998</v>
      </c>
      <c r="K145" s="676"/>
      <c r="L145" s="676"/>
      <c r="M145" s="676"/>
      <c r="N145" s="676"/>
      <c r="O145" s="676"/>
      <c r="P145" s="676"/>
      <c r="Q145" s="676"/>
      <c r="R145" s="676"/>
      <c r="S145" s="676"/>
      <c r="T145" s="676"/>
      <c r="U145" s="676"/>
      <c r="V145" s="676"/>
      <c r="W145" s="676"/>
      <c r="X145" s="676"/>
      <c r="Y145" s="676"/>
      <c r="Z145" s="676"/>
      <c r="AA145" s="676"/>
    </row>
    <row r="146" spans="1:27" x14ac:dyDescent="0.25">
      <c r="A146" s="98"/>
      <c r="B146" s="380"/>
      <c r="C146" s="251" t="s">
        <v>98</v>
      </c>
      <c r="D146" s="251" t="s">
        <v>98</v>
      </c>
      <c r="E146" s="449" t="s">
        <v>301</v>
      </c>
      <c r="F146" s="380" t="s">
        <v>1018</v>
      </c>
      <c r="G146" s="607"/>
      <c r="H146" s="511"/>
      <c r="I146" s="684"/>
      <c r="J146" s="511">
        <f>SUM(J147:J147)</f>
        <v>7409.1500999999998</v>
      </c>
      <c r="K146" s="676"/>
      <c r="L146" s="676"/>
      <c r="M146" s="676"/>
      <c r="N146" s="676"/>
      <c r="O146" s="676"/>
      <c r="P146" s="676"/>
      <c r="Q146" s="676"/>
      <c r="R146" s="676"/>
      <c r="S146" s="676"/>
      <c r="T146" s="676"/>
      <c r="U146" s="676"/>
      <c r="V146" s="676"/>
      <c r="W146" s="676"/>
      <c r="X146" s="676"/>
      <c r="Y146" s="676"/>
      <c r="Z146" s="676"/>
      <c r="AA146" s="676"/>
    </row>
    <row r="147" spans="1:27" x14ac:dyDescent="0.25">
      <c r="A147" s="139"/>
      <c r="B147" s="32"/>
      <c r="C147" s="644" t="s">
        <v>98</v>
      </c>
      <c r="D147" s="507" t="s">
        <v>475</v>
      </c>
      <c r="E147" s="107" t="str">
        <f>" - " &amp; 'Giá NC'!E5</f>
        <v xml:space="preserve"> - Nhân công bậc 3,0/7 - Nhóm 1</v>
      </c>
      <c r="F147" s="32" t="str">
        <f>'Giá NC'!F5</f>
        <v>công</v>
      </c>
      <c r="G147" s="270">
        <f>'Phan tich don gia'!G101</f>
        <v>3.39E-2</v>
      </c>
      <c r="H147" s="179">
        <f>'Giá NC'!K5</f>
        <v>218559</v>
      </c>
      <c r="I147" s="347">
        <f>'Du toan chi tiet'!W19</f>
        <v>1</v>
      </c>
      <c r="J147" s="179">
        <f>PRODUCT(G147,H147,I147)</f>
        <v>7409.1500999999998</v>
      </c>
      <c r="K147" s="676"/>
      <c r="L147" s="676"/>
      <c r="M147" s="676"/>
      <c r="N147" s="676"/>
      <c r="O147" s="676"/>
      <c r="P147" s="676"/>
      <c r="Q147" s="676"/>
      <c r="R147" s="676"/>
      <c r="S147" s="676"/>
      <c r="T147" s="676"/>
      <c r="U147" s="676"/>
      <c r="V147" s="676"/>
      <c r="W147" s="676"/>
      <c r="X147" s="676"/>
      <c r="Y147" s="676"/>
      <c r="Z147" s="676"/>
      <c r="AA147" s="676"/>
    </row>
    <row r="148" spans="1:27" x14ac:dyDescent="0.25">
      <c r="A148" s="98"/>
      <c r="B148" s="380"/>
      <c r="C148" s="251" t="s">
        <v>98</v>
      </c>
      <c r="D148" s="251" t="s">
        <v>98</v>
      </c>
      <c r="E148" s="449" t="s">
        <v>1175</v>
      </c>
      <c r="F148" s="380" t="s">
        <v>138</v>
      </c>
      <c r="G148" s="607"/>
      <c r="H148" s="511"/>
      <c r="I148" s="684"/>
      <c r="J148" s="511">
        <f>SUM(J149:J151)</f>
        <v>10603.674806999999</v>
      </c>
      <c r="K148" s="676"/>
      <c r="L148" s="676"/>
      <c r="M148" s="676"/>
      <c r="N148" s="676"/>
      <c r="O148" s="676"/>
      <c r="P148" s="676"/>
      <c r="Q148" s="676"/>
      <c r="R148" s="676"/>
      <c r="S148" s="676"/>
      <c r="T148" s="676"/>
      <c r="U148" s="676"/>
      <c r="V148" s="676"/>
      <c r="W148" s="676"/>
      <c r="X148" s="676"/>
      <c r="Y148" s="676"/>
      <c r="Z148" s="676"/>
      <c r="AA148" s="676"/>
    </row>
    <row r="149" spans="1:27" x14ac:dyDescent="0.25">
      <c r="A149" s="139"/>
      <c r="B149" s="32"/>
      <c r="C149" s="644" t="s">
        <v>98</v>
      </c>
      <c r="D149" s="507" t="s">
        <v>759</v>
      </c>
      <c r="E149" s="107" t="str">
        <f>" - " &amp; 'Giá Máy'!E14</f>
        <v xml:space="preserve"> - Máy đào 1,25m3</v>
      </c>
      <c r="F149" s="32" t="str">
        <f>'Giá Máy'!F14</f>
        <v>ca</v>
      </c>
      <c r="G149" s="270">
        <f>'Phan tich don gia'!G103</f>
        <v>2.64E-3</v>
      </c>
      <c r="H149" s="179">
        <f>'Giá Máy'!J14</f>
        <v>3756595.3</v>
      </c>
      <c r="I149" s="347">
        <f>'Du toan chi tiet'!X19</f>
        <v>1</v>
      </c>
      <c r="J149" s="179">
        <f t="shared" ref="J149:J150" si="15">PRODUCT(G149,H149,I149)</f>
        <v>9917.4115919999986</v>
      </c>
      <c r="K149" s="676"/>
      <c r="L149" s="676"/>
      <c r="M149" s="676"/>
      <c r="N149" s="676"/>
      <c r="O149" s="676"/>
      <c r="P149" s="676"/>
      <c r="Q149" s="676"/>
      <c r="R149" s="676"/>
      <c r="S149" s="676"/>
      <c r="T149" s="676"/>
      <c r="U149" s="676"/>
      <c r="V149" s="676"/>
      <c r="W149" s="676"/>
      <c r="X149" s="676"/>
      <c r="Y149" s="676"/>
      <c r="Z149" s="676"/>
      <c r="AA149" s="676"/>
    </row>
    <row r="150" spans="1:27" x14ac:dyDescent="0.25">
      <c r="A150" s="139"/>
      <c r="B150" s="32"/>
      <c r="C150" s="644" t="s">
        <v>98</v>
      </c>
      <c r="D150" s="507" t="s">
        <v>1055</v>
      </c>
      <c r="E150" s="107" t="str">
        <f>" - " &amp; 'Giá Máy'!E21</f>
        <v xml:space="preserve"> - Máy ủi 110CV</v>
      </c>
      <c r="F150" s="32" t="str">
        <f>'Giá Máy'!F21</f>
        <v>ca</v>
      </c>
      <c r="G150" s="270">
        <f>'Phan tich don gia'!G104</f>
        <v>3.5E-4</v>
      </c>
      <c r="H150" s="179">
        <f>'Giá Máy'!J21</f>
        <v>1960743.5</v>
      </c>
      <c r="I150" s="347">
        <f>'Du toan chi tiet'!X19</f>
        <v>1</v>
      </c>
      <c r="J150" s="179">
        <f t="shared" si="15"/>
        <v>686.26022499999999</v>
      </c>
      <c r="K150" s="676"/>
      <c r="L150" s="676"/>
      <c r="M150" s="676"/>
      <c r="N150" s="676"/>
      <c r="O150" s="676"/>
      <c r="P150" s="676"/>
      <c r="Q150" s="676"/>
      <c r="R150" s="676"/>
      <c r="S150" s="676"/>
      <c r="T150" s="676"/>
      <c r="U150" s="676"/>
      <c r="V150" s="676"/>
      <c r="W150" s="676"/>
      <c r="X150" s="676"/>
      <c r="Y150" s="676"/>
      <c r="Z150" s="676"/>
      <c r="AA150" s="676"/>
    </row>
    <row r="151" spans="1:27" x14ac:dyDescent="0.25">
      <c r="A151" s="139"/>
      <c r="B151" s="32"/>
      <c r="C151" s="644" t="s">
        <v>98</v>
      </c>
      <c r="D151" s="507" t="s">
        <v>98</v>
      </c>
      <c r="E151" s="107" t="s">
        <v>1230</v>
      </c>
      <c r="F151" s="32"/>
      <c r="G151" s="277"/>
      <c r="H151" s="179"/>
      <c r="I151" s="347"/>
      <c r="J151" s="179">
        <f>SUM(J152:J153)</f>
        <v>2.99E-3</v>
      </c>
      <c r="K151" s="676"/>
      <c r="L151" s="676"/>
      <c r="M151" s="676"/>
      <c r="N151" s="676"/>
      <c r="O151" s="676"/>
      <c r="P151" s="676"/>
      <c r="Q151" s="676"/>
      <c r="R151" s="676"/>
      <c r="S151" s="676"/>
      <c r="T151" s="676"/>
      <c r="U151" s="676"/>
      <c r="V151" s="676"/>
      <c r="W151" s="676"/>
      <c r="X151" s="676"/>
      <c r="Y151" s="676"/>
      <c r="Z151" s="676"/>
      <c r="AA151" s="676"/>
    </row>
    <row r="152" spans="1:27" x14ac:dyDescent="0.25">
      <c r="A152" s="139"/>
      <c r="B152" s="32"/>
      <c r="C152" s="644" t="s">
        <v>98</v>
      </c>
      <c r="D152" s="507" t="s">
        <v>98</v>
      </c>
      <c r="E152" s="107" t="s">
        <v>52</v>
      </c>
      <c r="F152" s="32"/>
      <c r="G152" s="277"/>
      <c r="H152" s="179"/>
      <c r="I152" s="347"/>
      <c r="J152" s="179">
        <f>PRODUCT(G149,I149,'Giá Máy'!L14)+PRODUCT(G150,I150,'Giá Máy'!L21)</f>
        <v>0</v>
      </c>
      <c r="K152" s="676"/>
      <c r="L152" s="676"/>
      <c r="M152" s="676"/>
      <c r="N152" s="676"/>
      <c r="O152" s="676"/>
      <c r="P152" s="676"/>
      <c r="Q152" s="676"/>
      <c r="R152" s="676"/>
      <c r="S152" s="676"/>
      <c r="T152" s="676"/>
      <c r="U152" s="676"/>
      <c r="V152" s="676"/>
      <c r="W152" s="676"/>
      <c r="X152" s="676"/>
      <c r="Y152" s="676"/>
      <c r="Z152" s="676"/>
      <c r="AA152" s="676"/>
    </row>
    <row r="153" spans="1:27" x14ac:dyDescent="0.25">
      <c r="A153" s="543"/>
      <c r="B153" s="736"/>
      <c r="C153" s="596" t="s">
        <v>98</v>
      </c>
      <c r="D153" s="438" t="s">
        <v>98</v>
      </c>
      <c r="E153" s="31" t="s">
        <v>597</v>
      </c>
      <c r="F153" s="736"/>
      <c r="G153" s="231"/>
      <c r="H153" s="93"/>
      <c r="I153" s="296"/>
      <c r="J153" s="93">
        <f>PRODUCT(G149,I149,'Giá Máy'!M14)+PRODUCT(G150,I150,'Giá Máy'!M21)</f>
        <v>2.99E-3</v>
      </c>
      <c r="K153" s="676"/>
      <c r="L153" s="676"/>
      <c r="M153" s="676"/>
      <c r="N153" s="676"/>
      <c r="O153" s="676"/>
      <c r="P153" s="676"/>
      <c r="Q153" s="676"/>
      <c r="R153" s="676"/>
      <c r="S153" s="676"/>
      <c r="T153" s="676"/>
      <c r="U153" s="676"/>
      <c r="V153" s="676"/>
      <c r="W153" s="676"/>
      <c r="X153" s="676"/>
      <c r="Y153" s="676"/>
      <c r="Z153" s="676"/>
      <c r="AA153" s="676"/>
    </row>
    <row r="154" spans="1:27" x14ac:dyDescent="0.25">
      <c r="A154" s="89"/>
      <c r="B154" s="318">
        <v>14</v>
      </c>
      <c r="C154" s="149" t="str">
        <f>'Du toan chi tiet'!C20</f>
        <v>AA.22112</v>
      </c>
      <c r="D154" s="149" t="str">
        <f>'Du toan chi tiet'!C20</f>
        <v>AA.22112</v>
      </c>
      <c r="E154" s="665" t="str">
        <f>'Du toan chi tiet'!D20</f>
        <v>Phá dỡ kết cấu bê tông không cốt thép bằng búa căn khí nén 3m3/ph</v>
      </c>
      <c r="F154" s="318" t="str">
        <f>'Du toan chi tiet'!E20</f>
        <v>m3</v>
      </c>
      <c r="G154" s="56"/>
      <c r="H154" s="435"/>
      <c r="I154" s="589"/>
      <c r="J154" s="367">
        <f>J155+J157</f>
        <v>272630.07500000001</v>
      </c>
      <c r="K154" s="676"/>
      <c r="L154" s="676"/>
      <c r="M154" s="676"/>
      <c r="N154" s="676"/>
      <c r="O154" s="676"/>
      <c r="P154" s="676"/>
      <c r="Q154" s="676"/>
      <c r="R154" s="676"/>
      <c r="S154" s="676"/>
      <c r="T154" s="676"/>
      <c r="U154" s="676"/>
      <c r="V154" s="676"/>
      <c r="W154" s="676"/>
      <c r="X154" s="676"/>
      <c r="Y154" s="676"/>
      <c r="Z154" s="676"/>
      <c r="AA154" s="676"/>
    </row>
    <row r="155" spans="1:27" x14ac:dyDescent="0.25">
      <c r="A155" s="98"/>
      <c r="B155" s="380"/>
      <c r="C155" s="251" t="s">
        <v>98</v>
      </c>
      <c r="D155" s="251" t="s">
        <v>98</v>
      </c>
      <c r="E155" s="449" t="s">
        <v>301</v>
      </c>
      <c r="F155" s="380" t="s">
        <v>1018</v>
      </c>
      <c r="G155" s="607"/>
      <c r="H155" s="511"/>
      <c r="I155" s="684"/>
      <c r="J155" s="511">
        <f>SUM(J156:J156)</f>
        <v>109279.5</v>
      </c>
      <c r="K155" s="676"/>
      <c r="L155" s="676"/>
      <c r="M155" s="676"/>
      <c r="N155" s="676"/>
      <c r="O155" s="676"/>
      <c r="P155" s="676"/>
      <c r="Q155" s="676"/>
      <c r="R155" s="676"/>
      <c r="S155" s="676"/>
      <c r="T155" s="676"/>
      <c r="U155" s="676"/>
      <c r="V155" s="676"/>
      <c r="W155" s="676"/>
      <c r="X155" s="676"/>
      <c r="Y155" s="676"/>
      <c r="Z155" s="676"/>
      <c r="AA155" s="676"/>
    </row>
    <row r="156" spans="1:27" x14ac:dyDescent="0.25">
      <c r="A156" s="139"/>
      <c r="B156" s="32"/>
      <c r="C156" s="644" t="s">
        <v>98</v>
      </c>
      <c r="D156" s="507" t="s">
        <v>475</v>
      </c>
      <c r="E156" s="107" t="str">
        <f>" - " &amp; 'Giá NC'!E5</f>
        <v xml:space="preserve"> - Nhân công bậc 3,0/7 - Nhóm 1</v>
      </c>
      <c r="F156" s="32" t="str">
        <f>'Giá NC'!F5</f>
        <v>công</v>
      </c>
      <c r="G156" s="270">
        <f>'Phan tich don gia'!G107</f>
        <v>0.5</v>
      </c>
      <c r="H156" s="179">
        <f>'Giá NC'!K5</f>
        <v>218559</v>
      </c>
      <c r="I156" s="347">
        <f>'Du toan chi tiet'!W20</f>
        <v>1</v>
      </c>
      <c r="J156" s="179">
        <f>PRODUCT(G156,H156,I156)</f>
        <v>109279.5</v>
      </c>
      <c r="K156" s="676"/>
      <c r="L156" s="676"/>
      <c r="M156" s="676"/>
      <c r="N156" s="676"/>
      <c r="O156" s="676"/>
      <c r="P156" s="676"/>
      <c r="Q156" s="676"/>
      <c r="R156" s="676"/>
      <c r="S156" s="676"/>
      <c r="T156" s="676"/>
      <c r="U156" s="676"/>
      <c r="V156" s="676"/>
      <c r="W156" s="676"/>
      <c r="X156" s="676"/>
      <c r="Y156" s="676"/>
      <c r="Z156" s="676"/>
      <c r="AA156" s="676"/>
    </row>
    <row r="157" spans="1:27" x14ac:dyDescent="0.25">
      <c r="A157" s="98"/>
      <c r="B157" s="380"/>
      <c r="C157" s="251" t="s">
        <v>98</v>
      </c>
      <c r="D157" s="251" t="s">
        <v>98</v>
      </c>
      <c r="E157" s="449" t="s">
        <v>1175</v>
      </c>
      <c r="F157" s="380" t="s">
        <v>138</v>
      </c>
      <c r="G157" s="607"/>
      <c r="H157" s="511"/>
      <c r="I157" s="684"/>
      <c r="J157" s="511">
        <f>SUM(J158:J160)</f>
        <v>163350.57500000001</v>
      </c>
      <c r="K157" s="676"/>
      <c r="L157" s="676"/>
      <c r="M157" s="676"/>
      <c r="N157" s="676"/>
      <c r="O157" s="676"/>
      <c r="P157" s="676"/>
      <c r="Q157" s="676"/>
      <c r="R157" s="676"/>
      <c r="S157" s="676"/>
      <c r="T157" s="676"/>
      <c r="U157" s="676"/>
      <c r="V157" s="676"/>
      <c r="W157" s="676"/>
      <c r="X157" s="676"/>
      <c r="Y157" s="676"/>
      <c r="Z157" s="676"/>
      <c r="AA157" s="676"/>
    </row>
    <row r="158" spans="1:27" x14ac:dyDescent="0.25">
      <c r="A158" s="139"/>
      <c r="B158" s="32"/>
      <c r="C158" s="644" t="s">
        <v>98</v>
      </c>
      <c r="D158" s="507" t="s">
        <v>1045</v>
      </c>
      <c r="E158" s="107" t="str">
        <f>" - " &amp; 'Giá Máy'!E5</f>
        <v xml:space="preserve"> - Búa căn khí nén 3m3/ph</v>
      </c>
      <c r="F158" s="32" t="str">
        <f>'Giá Máy'!F5</f>
        <v>ca</v>
      </c>
      <c r="G158" s="270">
        <f>'Phan tich don gia'!G109</f>
        <v>0.25</v>
      </c>
      <c r="H158" s="179">
        <f>'Giá Máy'!J5</f>
        <v>21147</v>
      </c>
      <c r="I158" s="347">
        <f>'Du toan chi tiet'!X20</f>
        <v>1</v>
      </c>
      <c r="J158" s="179">
        <f t="shared" ref="J158:J159" si="16">PRODUCT(G158,H158,I158)</f>
        <v>5286.75</v>
      </c>
      <c r="K158" s="676"/>
      <c r="L158" s="676"/>
      <c r="M158" s="676"/>
      <c r="N158" s="676"/>
      <c r="O158" s="676"/>
      <c r="P158" s="676"/>
      <c r="Q158" s="676"/>
      <c r="R158" s="676"/>
      <c r="S158" s="676"/>
      <c r="T158" s="676"/>
      <c r="U158" s="676"/>
      <c r="V158" s="676"/>
      <c r="W158" s="676"/>
      <c r="X158" s="676"/>
      <c r="Y158" s="676"/>
      <c r="Z158" s="676"/>
      <c r="AA158" s="676"/>
    </row>
    <row r="159" spans="1:27" x14ac:dyDescent="0.25">
      <c r="A159" s="139"/>
      <c r="B159" s="32"/>
      <c r="C159" s="644" t="s">
        <v>98</v>
      </c>
      <c r="D159" s="507" t="s">
        <v>1024</v>
      </c>
      <c r="E159" s="107" t="str">
        <f>" - " &amp; 'Giá Máy'!E17</f>
        <v xml:space="preserve"> - Máy nén khí diezel 360m3/h</v>
      </c>
      <c r="F159" s="32" t="str">
        <f>'Giá Máy'!F17</f>
        <v>ca</v>
      </c>
      <c r="G159" s="270">
        <f>'Phan tich don gia'!G110</f>
        <v>0.125</v>
      </c>
      <c r="H159" s="179">
        <f>'Giá Máy'!J17</f>
        <v>1264509.6000000001</v>
      </c>
      <c r="I159" s="347">
        <f>'Du toan chi tiet'!X20</f>
        <v>1</v>
      </c>
      <c r="J159" s="179">
        <f t="shared" si="16"/>
        <v>158063.70000000001</v>
      </c>
      <c r="K159" s="676"/>
      <c r="L159" s="676"/>
      <c r="M159" s="676"/>
      <c r="N159" s="676"/>
      <c r="O159" s="676"/>
      <c r="P159" s="676"/>
      <c r="Q159" s="676"/>
      <c r="R159" s="676"/>
      <c r="S159" s="676"/>
      <c r="T159" s="676"/>
      <c r="U159" s="676"/>
      <c r="V159" s="676"/>
      <c r="W159" s="676"/>
      <c r="X159" s="676"/>
      <c r="Y159" s="676"/>
      <c r="Z159" s="676"/>
      <c r="AA159" s="676"/>
    </row>
    <row r="160" spans="1:27" x14ac:dyDescent="0.25">
      <c r="A160" s="139"/>
      <c r="B160" s="32"/>
      <c r="C160" s="644" t="s">
        <v>98</v>
      </c>
      <c r="D160" s="507" t="s">
        <v>98</v>
      </c>
      <c r="E160" s="107" t="s">
        <v>1230</v>
      </c>
      <c r="F160" s="32"/>
      <c r="G160" s="277"/>
      <c r="H160" s="179"/>
      <c r="I160" s="347"/>
      <c r="J160" s="179">
        <f>SUM(J161:J162)</f>
        <v>0.125</v>
      </c>
      <c r="K160" s="676"/>
      <c r="L160" s="676"/>
      <c r="M160" s="676"/>
      <c r="N160" s="676"/>
      <c r="O160" s="676"/>
      <c r="P160" s="676"/>
      <c r="Q160" s="676"/>
      <c r="R160" s="676"/>
      <c r="S160" s="676"/>
      <c r="T160" s="676"/>
      <c r="U160" s="676"/>
      <c r="V160" s="676"/>
      <c r="W160" s="676"/>
      <c r="X160" s="676"/>
      <c r="Y160" s="676"/>
      <c r="Z160" s="676"/>
      <c r="AA160" s="676"/>
    </row>
    <row r="161" spans="1:27" x14ac:dyDescent="0.25">
      <c r="A161" s="139"/>
      <c r="B161" s="32"/>
      <c r="C161" s="644" t="s">
        <v>98</v>
      </c>
      <c r="D161" s="507" t="s">
        <v>98</v>
      </c>
      <c r="E161" s="107" t="s">
        <v>52</v>
      </c>
      <c r="F161" s="32"/>
      <c r="G161" s="277"/>
      <c r="H161" s="179"/>
      <c r="I161" s="347"/>
      <c r="J161" s="179">
        <f>PRODUCT(G158,I158,'Giá Máy'!L5)+PRODUCT(G159,I159,'Giá Máy'!L17)</f>
        <v>0</v>
      </c>
      <c r="K161" s="676"/>
      <c r="L161" s="676"/>
      <c r="M161" s="676"/>
      <c r="N161" s="676"/>
      <c r="O161" s="676"/>
      <c r="P161" s="676"/>
      <c r="Q161" s="676"/>
      <c r="R161" s="676"/>
      <c r="S161" s="676"/>
      <c r="T161" s="676"/>
      <c r="U161" s="676"/>
      <c r="V161" s="676"/>
      <c r="W161" s="676"/>
      <c r="X161" s="676"/>
      <c r="Y161" s="676"/>
      <c r="Z161" s="676"/>
      <c r="AA161" s="676"/>
    </row>
    <row r="162" spans="1:27" x14ac:dyDescent="0.25">
      <c r="A162" s="543"/>
      <c r="B162" s="736"/>
      <c r="C162" s="596" t="s">
        <v>98</v>
      </c>
      <c r="D162" s="438" t="s">
        <v>98</v>
      </c>
      <c r="E162" s="31" t="s">
        <v>597</v>
      </c>
      <c r="F162" s="736"/>
      <c r="G162" s="231"/>
      <c r="H162" s="93"/>
      <c r="I162" s="296"/>
      <c r="J162" s="93">
        <f>PRODUCT(G158,I158,'Giá Máy'!M5)+PRODUCT(G159,I159,'Giá Máy'!M17)</f>
        <v>0.125</v>
      </c>
      <c r="K162" s="676"/>
      <c r="L162" s="676"/>
      <c r="M162" s="676"/>
      <c r="N162" s="676"/>
      <c r="O162" s="676"/>
      <c r="P162" s="676"/>
      <c r="Q162" s="676"/>
      <c r="R162" s="676"/>
      <c r="S162" s="676"/>
      <c r="T162" s="676"/>
      <c r="U162" s="676"/>
      <c r="V162" s="676"/>
      <c r="W162" s="676"/>
      <c r="X162" s="676"/>
      <c r="Y162" s="676"/>
      <c r="Z162" s="676"/>
      <c r="AA162" s="676"/>
    </row>
    <row r="163" spans="1:27" x14ac:dyDescent="0.25">
      <c r="A163" s="89"/>
      <c r="B163" s="318">
        <v>15</v>
      </c>
      <c r="C163" s="149" t="str">
        <f>'Du toan chi tiet'!C21</f>
        <v>AA.13221</v>
      </c>
      <c r="D163" s="149" t="str">
        <f>'Du toan chi tiet'!C21</f>
        <v>AA.13221</v>
      </c>
      <c r="E163" s="665" t="str">
        <f>'Du toan chi tiet'!D21</f>
        <v>Đào bụi tre, đường kính bụi tre ≤50cm bằng thủ công</v>
      </c>
      <c r="F163" s="318" t="str">
        <f>'Du toan chi tiet'!E21</f>
        <v>bụi</v>
      </c>
      <c r="G163" s="56"/>
      <c r="H163" s="435"/>
      <c r="I163" s="589"/>
      <c r="J163" s="367">
        <f>J164</f>
        <v>172661.61000000002</v>
      </c>
      <c r="K163" s="676"/>
      <c r="L163" s="676"/>
      <c r="M163" s="676"/>
      <c r="N163" s="676"/>
      <c r="O163" s="676"/>
      <c r="P163" s="676"/>
      <c r="Q163" s="676"/>
      <c r="R163" s="676"/>
      <c r="S163" s="676"/>
      <c r="T163" s="676"/>
      <c r="U163" s="676"/>
      <c r="V163" s="676"/>
      <c r="W163" s="676"/>
      <c r="X163" s="676"/>
      <c r="Y163" s="676"/>
      <c r="Z163" s="676"/>
      <c r="AA163" s="676"/>
    </row>
    <row r="164" spans="1:27" x14ac:dyDescent="0.25">
      <c r="A164" s="98"/>
      <c r="B164" s="380"/>
      <c r="C164" s="251" t="s">
        <v>98</v>
      </c>
      <c r="D164" s="251" t="s">
        <v>98</v>
      </c>
      <c r="E164" s="449" t="s">
        <v>301</v>
      </c>
      <c r="F164" s="380" t="s">
        <v>1018</v>
      </c>
      <c r="G164" s="607"/>
      <c r="H164" s="511"/>
      <c r="I164" s="684"/>
      <c r="J164" s="511">
        <f>SUM(J165:J165)</f>
        <v>172661.61000000002</v>
      </c>
      <c r="K164" s="676"/>
      <c r="L164" s="676"/>
      <c r="M164" s="676"/>
      <c r="N164" s="676"/>
      <c r="O164" s="676"/>
      <c r="P164" s="676"/>
      <c r="Q164" s="676"/>
      <c r="R164" s="676"/>
      <c r="S164" s="676"/>
      <c r="T164" s="676"/>
      <c r="U164" s="676"/>
      <c r="V164" s="676"/>
      <c r="W164" s="676"/>
      <c r="X164" s="676"/>
      <c r="Y164" s="676"/>
      <c r="Z164" s="676"/>
      <c r="AA164" s="676"/>
    </row>
    <row r="165" spans="1:27" x14ac:dyDescent="0.25">
      <c r="A165" s="543"/>
      <c r="B165" s="736"/>
      <c r="C165" s="596" t="s">
        <v>98</v>
      </c>
      <c r="D165" s="438" t="s">
        <v>475</v>
      </c>
      <c r="E165" s="31" t="str">
        <f>" - " &amp; 'Giá NC'!E5</f>
        <v xml:space="preserve"> - Nhân công bậc 3,0/7 - Nhóm 1</v>
      </c>
      <c r="F165" s="736" t="str">
        <f>'Giá NC'!F5</f>
        <v>công</v>
      </c>
      <c r="G165" s="190">
        <f>'Phan tich don gia'!G113</f>
        <v>0.79</v>
      </c>
      <c r="H165" s="93">
        <f>'Giá NC'!K5</f>
        <v>218559</v>
      </c>
      <c r="I165" s="296">
        <f>'Du toan chi tiet'!W21</f>
        <v>1</v>
      </c>
      <c r="J165" s="93">
        <f>PRODUCT(G165,H165,I165)</f>
        <v>172661.61000000002</v>
      </c>
      <c r="K165" s="676"/>
      <c r="L165" s="676"/>
      <c r="M165" s="676"/>
      <c r="N165" s="676"/>
      <c r="O165" s="676"/>
      <c r="P165" s="676"/>
      <c r="Q165" s="676"/>
      <c r="R165" s="676"/>
      <c r="S165" s="676"/>
      <c r="T165" s="676"/>
      <c r="U165" s="676"/>
      <c r="V165" s="676"/>
      <c r="W165" s="676"/>
      <c r="X165" s="676"/>
      <c r="Y165" s="676"/>
      <c r="Z165" s="676"/>
      <c r="AA165" s="676"/>
    </row>
    <row r="166" spans="1:27" x14ac:dyDescent="0.25">
      <c r="A166" s="89"/>
      <c r="B166" s="318">
        <v>16</v>
      </c>
      <c r="C166" s="149" t="str">
        <f>'Du toan chi tiet'!C24</f>
        <v>AK.91141vd</v>
      </c>
      <c r="D166" s="149" t="str">
        <f>'Du toan chi tiet'!C24</f>
        <v>AK.91141vd</v>
      </c>
      <c r="E166" s="665" t="str">
        <f>'Du toan chi tiet'!D24</f>
        <v>Sơn kẻ đường bằng sơn dẻo nhiệt phản quang, dày sơn 6mm</v>
      </c>
      <c r="F166" s="318" t="str">
        <f>'Du toan chi tiet'!E24</f>
        <v>m2</v>
      </c>
      <c r="G166" s="56"/>
      <c r="H166" s="435"/>
      <c r="I166" s="589"/>
      <c r="J166" s="367">
        <f>J167+J172+J174</f>
        <v>701083.19952000002</v>
      </c>
      <c r="K166" s="676"/>
      <c r="L166" s="676"/>
      <c r="M166" s="676"/>
      <c r="N166" s="676"/>
      <c r="O166" s="676"/>
      <c r="P166" s="676"/>
      <c r="Q166" s="676"/>
      <c r="R166" s="676"/>
      <c r="S166" s="676"/>
      <c r="T166" s="676"/>
      <c r="U166" s="676"/>
      <c r="V166" s="676"/>
      <c r="W166" s="676"/>
      <c r="X166" s="676"/>
      <c r="Y166" s="676"/>
      <c r="Z166" s="676"/>
      <c r="AA166" s="676"/>
    </row>
    <row r="167" spans="1:27" x14ac:dyDescent="0.25">
      <c r="A167" s="98"/>
      <c r="B167" s="380"/>
      <c r="C167" s="251" t="s">
        <v>98</v>
      </c>
      <c r="D167" s="251" t="s">
        <v>98</v>
      </c>
      <c r="E167" s="449" t="s">
        <v>547</v>
      </c>
      <c r="F167" s="380" t="s">
        <v>962</v>
      </c>
      <c r="G167" s="607"/>
      <c r="H167" s="511"/>
      <c r="I167" s="684"/>
      <c r="J167" s="511">
        <f>SUM(J168:J171)</f>
        <v>482371.54560000001</v>
      </c>
      <c r="K167" s="676"/>
      <c r="L167" s="676"/>
      <c r="M167" s="676"/>
      <c r="N167" s="676"/>
      <c r="O167" s="676"/>
      <c r="P167" s="676"/>
      <c r="Q167" s="676"/>
      <c r="R167" s="676"/>
      <c r="S167" s="676"/>
      <c r="T167" s="676"/>
      <c r="U167" s="676"/>
      <c r="V167" s="676"/>
      <c r="W167" s="676"/>
      <c r="X167" s="676"/>
      <c r="Y167" s="676"/>
      <c r="Z167" s="676"/>
      <c r="AA167" s="676"/>
    </row>
    <row r="168" spans="1:27" x14ac:dyDescent="0.25">
      <c r="A168" s="139"/>
      <c r="B168" s="32"/>
      <c r="C168" s="644" t="s">
        <v>98</v>
      </c>
      <c r="D168" s="507" t="s">
        <v>1210</v>
      </c>
      <c r="E168" s="107" t="str">
        <f>" - " &amp; 'Giá VL'!E26</f>
        <v xml:space="preserve"> - Sơn dẻo nhiệt màu vàng</v>
      </c>
      <c r="F168" s="32" t="str">
        <f>'Giá VL'!F26</f>
        <v>kg</v>
      </c>
      <c r="G168" s="270">
        <f>'Phan tich don gia'!G128</f>
        <v>15.74</v>
      </c>
      <c r="H168" s="179">
        <f>'Giá VL'!V26</f>
        <v>28000</v>
      </c>
      <c r="I168" s="347">
        <f>'Du toan chi tiet'!V24</f>
        <v>1</v>
      </c>
      <c r="J168" s="179">
        <f t="shared" ref="J168:J171" si="17">PRODUCT(G168,H168,I168)</f>
        <v>440720</v>
      </c>
      <c r="K168" s="676"/>
      <c r="L168" s="676"/>
      <c r="M168" s="676"/>
      <c r="N168" s="676"/>
      <c r="O168" s="676"/>
      <c r="P168" s="676"/>
      <c r="Q168" s="676"/>
      <c r="R168" s="676"/>
      <c r="S168" s="676"/>
      <c r="T168" s="676"/>
      <c r="U168" s="676"/>
      <c r="V168" s="676"/>
      <c r="W168" s="676"/>
      <c r="X168" s="676"/>
      <c r="Y168" s="676"/>
      <c r="Z168" s="676"/>
      <c r="AA168" s="676"/>
    </row>
    <row r="169" spans="1:27" x14ac:dyDescent="0.25">
      <c r="A169" s="139"/>
      <c r="B169" s="32"/>
      <c r="C169" s="644" t="s">
        <v>98</v>
      </c>
      <c r="D169" s="507" t="s">
        <v>340</v>
      </c>
      <c r="E169" s="107" t="str">
        <f>" - " &amp; 'Giá VL'!E27</f>
        <v xml:space="preserve"> - Sơn lót</v>
      </c>
      <c r="F169" s="32" t="str">
        <f>'Giá VL'!F27</f>
        <v>kg</v>
      </c>
      <c r="G169" s="270">
        <f>'Phan tich don gia'!G129</f>
        <v>0.25</v>
      </c>
      <c r="H169" s="179">
        <f>'Giá VL'!V27</f>
        <v>89500</v>
      </c>
      <c r="I169" s="347">
        <f>'Du toan chi tiet'!V24</f>
        <v>1</v>
      </c>
      <c r="J169" s="179">
        <f t="shared" si="17"/>
        <v>22375</v>
      </c>
      <c r="K169" s="676"/>
      <c r="L169" s="676"/>
      <c r="M169" s="676"/>
      <c r="N169" s="676"/>
      <c r="O169" s="676"/>
      <c r="P169" s="676"/>
      <c r="Q169" s="676"/>
      <c r="R169" s="676"/>
      <c r="S169" s="676"/>
      <c r="T169" s="676"/>
      <c r="U169" s="676"/>
      <c r="V169" s="676"/>
      <c r="W169" s="676"/>
      <c r="X169" s="676"/>
      <c r="Y169" s="676"/>
      <c r="Z169" s="676"/>
      <c r="AA169" s="676"/>
    </row>
    <row r="170" spans="1:27" x14ac:dyDescent="0.25">
      <c r="A170" s="139"/>
      <c r="B170" s="32"/>
      <c r="C170" s="644" t="s">
        <v>98</v>
      </c>
      <c r="D170" s="507" t="s">
        <v>894</v>
      </c>
      <c r="E170" s="107" t="str">
        <f>" - " &amp; 'Giá VL'!E15</f>
        <v xml:space="preserve"> - Khí gas</v>
      </c>
      <c r="F170" s="32" t="str">
        <f>'Giá VL'!F15</f>
        <v>kg</v>
      </c>
      <c r="G170" s="270">
        <f>'Phan tich don gia'!G130</f>
        <v>0.36</v>
      </c>
      <c r="H170" s="179">
        <f>'Giá VL'!V15</f>
        <v>27273</v>
      </c>
      <c r="I170" s="347">
        <f>'Du toan chi tiet'!V24</f>
        <v>1</v>
      </c>
      <c r="J170" s="179">
        <f t="shared" si="17"/>
        <v>9818.2799999999988</v>
      </c>
      <c r="K170" s="676"/>
      <c r="L170" s="676"/>
      <c r="M170" s="676"/>
      <c r="N170" s="676"/>
      <c r="O170" s="676"/>
      <c r="P170" s="676"/>
      <c r="Q170" s="676"/>
      <c r="R170" s="676"/>
      <c r="S170" s="676"/>
      <c r="T170" s="676"/>
      <c r="U170" s="676"/>
      <c r="V170" s="676"/>
      <c r="W170" s="676"/>
      <c r="X170" s="676"/>
      <c r="Y170" s="676"/>
      <c r="Z170" s="676"/>
      <c r="AA170" s="676"/>
    </row>
    <row r="171" spans="1:27" x14ac:dyDescent="0.25">
      <c r="A171" s="139"/>
      <c r="B171" s="32"/>
      <c r="C171" s="644" t="s">
        <v>98</v>
      </c>
      <c r="D171" s="507" t="s">
        <v>667</v>
      </c>
      <c r="E171" s="107" t="s">
        <v>238</v>
      </c>
      <c r="F171" s="32" t="s">
        <v>1113</v>
      </c>
      <c r="G171" s="270">
        <f>'Phan tich don gia'!G131</f>
        <v>2</v>
      </c>
      <c r="H171" s="179">
        <f>(G168*H168+G169*H169+G170*H170)/100</f>
        <v>4729.1328000000003</v>
      </c>
      <c r="I171" s="347">
        <f>'Du toan chi tiet'!V24</f>
        <v>1</v>
      </c>
      <c r="J171" s="179">
        <f t="shared" si="17"/>
        <v>9458.2656000000006</v>
      </c>
      <c r="K171" s="676"/>
      <c r="L171" s="676"/>
      <c r="M171" s="676"/>
      <c r="N171" s="676"/>
      <c r="O171" s="676"/>
      <c r="P171" s="676"/>
      <c r="Q171" s="676"/>
      <c r="R171" s="676"/>
      <c r="S171" s="676"/>
      <c r="T171" s="676"/>
      <c r="U171" s="676"/>
      <c r="V171" s="676"/>
      <c r="W171" s="676"/>
      <c r="X171" s="676"/>
      <c r="Y171" s="676"/>
      <c r="Z171" s="676"/>
      <c r="AA171" s="676"/>
    </row>
    <row r="172" spans="1:27" x14ac:dyDescent="0.25">
      <c r="A172" s="98"/>
      <c r="B172" s="380"/>
      <c r="C172" s="251" t="s">
        <v>98</v>
      </c>
      <c r="D172" s="251" t="s">
        <v>98</v>
      </c>
      <c r="E172" s="449" t="s">
        <v>301</v>
      </c>
      <c r="F172" s="380" t="s">
        <v>1018</v>
      </c>
      <c r="G172" s="607"/>
      <c r="H172" s="511"/>
      <c r="I172" s="684"/>
      <c r="J172" s="511">
        <f>SUM(J173:J173)</f>
        <v>65572</v>
      </c>
      <c r="K172" s="676"/>
      <c r="L172" s="676"/>
      <c r="M172" s="676"/>
      <c r="N172" s="676"/>
      <c r="O172" s="676"/>
      <c r="P172" s="676"/>
      <c r="Q172" s="676"/>
      <c r="R172" s="676"/>
      <c r="S172" s="676"/>
      <c r="T172" s="676"/>
      <c r="U172" s="676"/>
      <c r="V172" s="676"/>
      <c r="W172" s="676"/>
      <c r="X172" s="676"/>
      <c r="Y172" s="676"/>
      <c r="Z172" s="676"/>
      <c r="AA172" s="676"/>
    </row>
    <row r="173" spans="1:27" x14ac:dyDescent="0.25">
      <c r="A173" s="139"/>
      <c r="B173" s="32"/>
      <c r="C173" s="644" t="s">
        <v>98</v>
      </c>
      <c r="D173" s="507" t="s">
        <v>706</v>
      </c>
      <c r="E173" s="107" t="str">
        <f>" - " &amp; 'Giá NC'!E8</f>
        <v xml:space="preserve"> - Nhân công bậc 3,5/7 - Nhóm 2</v>
      </c>
      <c r="F173" s="32" t="str">
        <f>'Giá NC'!F8</f>
        <v>công</v>
      </c>
      <c r="G173" s="270">
        <f>'Phan tich don gia'!G133</f>
        <v>0.26</v>
      </c>
      <c r="H173" s="179">
        <f>'Giá NC'!K8</f>
        <v>252200</v>
      </c>
      <c r="I173" s="347">
        <f>'Du toan chi tiet'!W24</f>
        <v>1</v>
      </c>
      <c r="J173" s="179">
        <f>PRODUCT(G173,H173,I173)</f>
        <v>65572</v>
      </c>
      <c r="K173" s="676"/>
      <c r="L173" s="676"/>
      <c r="M173" s="676"/>
      <c r="N173" s="676"/>
      <c r="O173" s="676"/>
      <c r="P173" s="676"/>
      <c r="Q173" s="676"/>
      <c r="R173" s="676"/>
      <c r="S173" s="676"/>
      <c r="T173" s="676"/>
      <c r="U173" s="676"/>
      <c r="V173" s="676"/>
      <c r="W173" s="676"/>
      <c r="X173" s="676"/>
      <c r="Y173" s="676"/>
      <c r="Z173" s="676"/>
      <c r="AA173" s="676"/>
    </row>
    <row r="174" spans="1:27" x14ac:dyDescent="0.25">
      <c r="A174" s="98"/>
      <c r="B174" s="380"/>
      <c r="C174" s="251" t="s">
        <v>98</v>
      </c>
      <c r="D174" s="251" t="s">
        <v>98</v>
      </c>
      <c r="E174" s="449" t="s">
        <v>1175</v>
      </c>
      <c r="F174" s="380" t="s">
        <v>138</v>
      </c>
      <c r="G174" s="607"/>
      <c r="H174" s="511"/>
      <c r="I174" s="684"/>
      <c r="J174" s="511">
        <f>SUM(J175:J179)</f>
        <v>153139.65391999998</v>
      </c>
      <c r="K174" s="676"/>
      <c r="L174" s="676"/>
      <c r="M174" s="676"/>
      <c r="N174" s="676"/>
      <c r="O174" s="676"/>
      <c r="P174" s="676"/>
      <c r="Q174" s="676"/>
      <c r="R174" s="676"/>
      <c r="S174" s="676"/>
      <c r="T174" s="676"/>
      <c r="U174" s="676"/>
      <c r="V174" s="676"/>
      <c r="W174" s="676"/>
      <c r="X174" s="676"/>
      <c r="Y174" s="676"/>
      <c r="Z174" s="676"/>
      <c r="AA174" s="676"/>
    </row>
    <row r="175" spans="1:27" x14ac:dyDescent="0.25">
      <c r="A175" s="139"/>
      <c r="B175" s="32"/>
      <c r="C175" s="644" t="s">
        <v>98</v>
      </c>
      <c r="D175" s="507" t="s">
        <v>995</v>
      </c>
      <c r="E175" s="107" t="str">
        <f>" - " &amp; 'Giá Máy'!E24</f>
        <v xml:space="preserve"> - Thiết bị sơn kẻ vạch YHK 10A</v>
      </c>
      <c r="F175" s="32" t="str">
        <f>'Giá Máy'!F24</f>
        <v>ca</v>
      </c>
      <c r="G175" s="270">
        <f>'Phan tich don gia'!G135</f>
        <v>0.08</v>
      </c>
      <c r="H175" s="179">
        <f>'Giá Máy'!J24</f>
        <v>366617</v>
      </c>
      <c r="I175" s="347">
        <f>'Du toan chi tiet'!X24</f>
        <v>1</v>
      </c>
      <c r="J175" s="179">
        <f t="shared" ref="J175:J178" si="18">PRODUCT(G175,H175,I175)</f>
        <v>29329.360000000001</v>
      </c>
      <c r="K175" s="676"/>
      <c r="L175" s="676"/>
      <c r="M175" s="676"/>
      <c r="N175" s="676"/>
      <c r="O175" s="676"/>
      <c r="P175" s="676"/>
      <c r="Q175" s="676"/>
      <c r="R175" s="676"/>
      <c r="S175" s="676"/>
      <c r="T175" s="676"/>
      <c r="U175" s="676"/>
      <c r="V175" s="676"/>
      <c r="W175" s="676"/>
      <c r="X175" s="676"/>
      <c r="Y175" s="676"/>
      <c r="Z175" s="676"/>
      <c r="AA175" s="676"/>
    </row>
    <row r="176" spans="1:27" x14ac:dyDescent="0.25">
      <c r="A176" s="139"/>
      <c r="B176" s="32"/>
      <c r="C176" s="644" t="s">
        <v>98</v>
      </c>
      <c r="D176" s="507" t="s">
        <v>1101</v>
      </c>
      <c r="E176" s="107" t="str">
        <f>" - " &amp; 'Giá Máy'!E6</f>
        <v xml:space="preserve"> - Lò nấu sơn YHK 3A</v>
      </c>
      <c r="F176" s="32" t="str">
        <f>'Giá Máy'!F6</f>
        <v>ca</v>
      </c>
      <c r="G176" s="270">
        <f>'Phan tich don gia'!G136</f>
        <v>0.08</v>
      </c>
      <c r="H176" s="179">
        <f>'Giá Máy'!J6</f>
        <v>908184.5</v>
      </c>
      <c r="I176" s="347">
        <f>'Du toan chi tiet'!X24</f>
        <v>1</v>
      </c>
      <c r="J176" s="179">
        <f t="shared" si="18"/>
        <v>72654.759999999995</v>
      </c>
      <c r="K176" s="676"/>
      <c r="L176" s="676"/>
      <c r="M176" s="676"/>
      <c r="N176" s="676"/>
      <c r="O176" s="676"/>
      <c r="P176" s="676"/>
      <c r="Q176" s="676"/>
      <c r="R176" s="676"/>
      <c r="S176" s="676"/>
      <c r="T176" s="676"/>
      <c r="U176" s="676"/>
      <c r="V176" s="676"/>
      <c r="W176" s="676"/>
      <c r="X176" s="676"/>
      <c r="Y176" s="676"/>
      <c r="Z176" s="676"/>
      <c r="AA176" s="676"/>
    </row>
    <row r="177" spans="1:27" x14ac:dyDescent="0.25">
      <c r="A177" s="139"/>
      <c r="B177" s="32"/>
      <c r="C177" s="644" t="s">
        <v>98</v>
      </c>
      <c r="D177" s="507" t="s">
        <v>1060</v>
      </c>
      <c r="E177" s="107" t="str">
        <f>" - " &amp; 'Giá Máy'!E22</f>
        <v xml:space="preserve"> - Ô tô vận tải thùng 2,5T</v>
      </c>
      <c r="F177" s="32" t="str">
        <f>'Giá Máy'!F22</f>
        <v>ca</v>
      </c>
      <c r="G177" s="270">
        <f>'Phan tich don gia'!G137</f>
        <v>6.4000000000000001E-2</v>
      </c>
      <c r="H177" s="179">
        <f>'Giá Máy'!J22</f>
        <v>752384</v>
      </c>
      <c r="I177" s="347">
        <f>'Du toan chi tiet'!X24</f>
        <v>1</v>
      </c>
      <c r="J177" s="179">
        <f t="shared" si="18"/>
        <v>48152.576000000001</v>
      </c>
      <c r="K177" s="676"/>
      <c r="L177" s="676"/>
      <c r="M177" s="676"/>
      <c r="N177" s="676"/>
      <c r="O177" s="676"/>
      <c r="P177" s="676"/>
      <c r="Q177" s="676"/>
      <c r="R177" s="676"/>
      <c r="S177" s="676"/>
      <c r="T177" s="676"/>
      <c r="U177" s="676"/>
      <c r="V177" s="676"/>
      <c r="W177" s="676"/>
      <c r="X177" s="676"/>
      <c r="Y177" s="676"/>
      <c r="Z177" s="676"/>
      <c r="AA177" s="676"/>
    </row>
    <row r="178" spans="1:27" x14ac:dyDescent="0.25">
      <c r="A178" s="139"/>
      <c r="B178" s="32"/>
      <c r="C178" s="644" t="s">
        <v>98</v>
      </c>
      <c r="D178" s="507" t="s">
        <v>1162</v>
      </c>
      <c r="E178" s="107" t="s">
        <v>1080</v>
      </c>
      <c r="F178" s="32" t="s">
        <v>1113</v>
      </c>
      <c r="G178" s="270">
        <f>'Phan tich don gia'!G138</f>
        <v>2</v>
      </c>
      <c r="H178" s="179">
        <f>(G175*H175+G176*H176+G177*H177)/100</f>
        <v>1501.3669600000001</v>
      </c>
      <c r="I178" s="347">
        <f>'Du toan chi tiet'!X24</f>
        <v>1</v>
      </c>
      <c r="J178" s="179">
        <f t="shared" si="18"/>
        <v>3002.7339200000001</v>
      </c>
      <c r="K178" s="676"/>
      <c r="L178" s="676"/>
      <c r="M178" s="676"/>
      <c r="N178" s="676"/>
      <c r="O178" s="676"/>
      <c r="P178" s="676"/>
      <c r="Q178" s="676"/>
      <c r="R178" s="676"/>
      <c r="S178" s="676"/>
      <c r="T178" s="676"/>
      <c r="U178" s="676"/>
      <c r="V178" s="676"/>
      <c r="W178" s="676"/>
      <c r="X178" s="676"/>
      <c r="Y178" s="676"/>
      <c r="Z178" s="676"/>
      <c r="AA178" s="676"/>
    </row>
    <row r="179" spans="1:27" x14ac:dyDescent="0.25">
      <c r="A179" s="139"/>
      <c r="B179" s="32"/>
      <c r="C179" s="644" t="s">
        <v>98</v>
      </c>
      <c r="D179" s="507" t="s">
        <v>98</v>
      </c>
      <c r="E179" s="107" t="s">
        <v>1230</v>
      </c>
      <c r="F179" s="32"/>
      <c r="G179" s="277"/>
      <c r="H179" s="179"/>
      <c r="I179" s="347"/>
      <c r="J179" s="179">
        <f>SUM(J180:J181)+PRODUCT(G178,I178,THM!X103-THM!R103)</f>
        <v>0.224</v>
      </c>
      <c r="K179" s="676"/>
      <c r="L179" s="676"/>
      <c r="M179" s="676"/>
      <c r="N179" s="676"/>
      <c r="O179" s="676"/>
      <c r="P179" s="676"/>
      <c r="Q179" s="676"/>
      <c r="R179" s="676"/>
      <c r="S179" s="676"/>
      <c r="T179" s="676"/>
      <c r="U179" s="676"/>
      <c r="V179" s="676"/>
      <c r="W179" s="676"/>
      <c r="X179" s="676"/>
      <c r="Y179" s="676"/>
      <c r="Z179" s="676"/>
      <c r="AA179" s="676"/>
    </row>
    <row r="180" spans="1:27" x14ac:dyDescent="0.25">
      <c r="A180" s="139"/>
      <c r="B180" s="32"/>
      <c r="C180" s="644" t="s">
        <v>98</v>
      </c>
      <c r="D180" s="507" t="s">
        <v>98</v>
      </c>
      <c r="E180" s="107" t="s">
        <v>52</v>
      </c>
      <c r="F180" s="32"/>
      <c r="G180" s="277"/>
      <c r="H180" s="179"/>
      <c r="I180" s="347"/>
      <c r="J180" s="179">
        <f>PRODUCT(G175,I175,'Giá Máy'!L24)+PRODUCT(G176,I176,'Giá Máy'!L6)+PRODUCT(G177,I177,'Giá Máy'!L22)</f>
        <v>0</v>
      </c>
      <c r="K180" s="676"/>
      <c r="L180" s="676"/>
      <c r="M180" s="676"/>
      <c r="N180" s="676"/>
      <c r="O180" s="676"/>
      <c r="P180" s="676"/>
      <c r="Q180" s="676"/>
      <c r="R180" s="676"/>
      <c r="S180" s="676"/>
      <c r="T180" s="676"/>
      <c r="U180" s="676"/>
      <c r="V180" s="676"/>
      <c r="W180" s="676"/>
      <c r="X180" s="676"/>
      <c r="Y180" s="676"/>
      <c r="Z180" s="676"/>
      <c r="AA180" s="676"/>
    </row>
    <row r="181" spans="1:27" x14ac:dyDescent="0.25">
      <c r="A181" s="543"/>
      <c r="B181" s="736"/>
      <c r="C181" s="596" t="s">
        <v>98</v>
      </c>
      <c r="D181" s="438" t="s">
        <v>98</v>
      </c>
      <c r="E181" s="31" t="s">
        <v>597</v>
      </c>
      <c r="F181" s="736"/>
      <c r="G181" s="231"/>
      <c r="H181" s="93"/>
      <c r="I181" s="296"/>
      <c r="J181" s="93">
        <f>PRODUCT(G175,I175,'Giá Máy'!M24)+PRODUCT(G176,I176,'Giá Máy'!M6)+PRODUCT(G177,I177,'Giá Máy'!M22)</f>
        <v>0.224</v>
      </c>
      <c r="K181" s="676"/>
      <c r="L181" s="676"/>
      <c r="M181" s="676"/>
      <c r="N181" s="676"/>
      <c r="O181" s="676"/>
      <c r="P181" s="676"/>
      <c r="Q181" s="676"/>
      <c r="R181" s="676"/>
      <c r="S181" s="676"/>
      <c r="T181" s="676"/>
      <c r="U181" s="676"/>
      <c r="V181" s="676"/>
      <c r="W181" s="676"/>
      <c r="X181" s="676"/>
      <c r="Y181" s="676"/>
      <c r="Z181" s="676"/>
      <c r="AA181" s="676"/>
    </row>
    <row r="182" spans="1:27" x14ac:dyDescent="0.25">
      <c r="A182" s="89"/>
      <c r="B182" s="318">
        <v>17</v>
      </c>
      <c r="C182" s="149" t="str">
        <f>'Du toan chi tiet'!C25</f>
        <v>AA.22212</v>
      </c>
      <c r="D182" s="149" t="str">
        <f>'Du toan chi tiet'!C25</f>
        <v>AA.22212</v>
      </c>
      <c r="E182" s="665" t="str">
        <f>'Du toan chi tiet'!D25</f>
        <v>Phá dỡ kết cấu bê tông không cốt thép bằng máy khoan bê tông 1,5kw cột biển báo</v>
      </c>
      <c r="F182" s="318" t="str">
        <f>'Du toan chi tiet'!E25</f>
        <v>m3</v>
      </c>
      <c r="G182" s="56"/>
      <c r="H182" s="435"/>
      <c r="I182" s="589"/>
      <c r="J182" s="367">
        <f>J183+J185</f>
        <v>435576.83999999997</v>
      </c>
      <c r="K182" s="676"/>
      <c r="L182" s="676"/>
      <c r="M182" s="676"/>
      <c r="N182" s="676"/>
      <c r="O182" s="676"/>
      <c r="P182" s="676"/>
      <c r="Q182" s="676"/>
      <c r="R182" s="676"/>
      <c r="S182" s="676"/>
      <c r="T182" s="676"/>
      <c r="U182" s="676"/>
      <c r="V182" s="676"/>
      <c r="W182" s="676"/>
      <c r="X182" s="676"/>
      <c r="Y182" s="676"/>
      <c r="Z182" s="676"/>
      <c r="AA182" s="676"/>
    </row>
    <row r="183" spans="1:27" x14ac:dyDescent="0.25">
      <c r="A183" s="98"/>
      <c r="B183" s="380"/>
      <c r="C183" s="251" t="s">
        <v>98</v>
      </c>
      <c r="D183" s="251" t="s">
        <v>98</v>
      </c>
      <c r="E183" s="449" t="s">
        <v>301</v>
      </c>
      <c r="F183" s="380" t="s">
        <v>1018</v>
      </c>
      <c r="G183" s="607"/>
      <c r="H183" s="511"/>
      <c r="I183" s="684"/>
      <c r="J183" s="511">
        <f>SUM(J184:J184)</f>
        <v>410890.92</v>
      </c>
      <c r="K183" s="676"/>
      <c r="L183" s="676"/>
      <c r="M183" s="676"/>
      <c r="N183" s="676"/>
      <c r="O183" s="676"/>
      <c r="P183" s="676"/>
      <c r="Q183" s="676"/>
      <c r="R183" s="676"/>
      <c r="S183" s="676"/>
      <c r="T183" s="676"/>
      <c r="U183" s="676"/>
      <c r="V183" s="676"/>
      <c r="W183" s="676"/>
      <c r="X183" s="676"/>
      <c r="Y183" s="676"/>
      <c r="Z183" s="676"/>
      <c r="AA183" s="676"/>
    </row>
    <row r="184" spans="1:27" x14ac:dyDescent="0.25">
      <c r="A184" s="139"/>
      <c r="B184" s="32"/>
      <c r="C184" s="644" t="s">
        <v>98</v>
      </c>
      <c r="D184" s="507" t="s">
        <v>475</v>
      </c>
      <c r="E184" s="107" t="str">
        <f>" - " &amp; 'Giá NC'!E5</f>
        <v xml:space="preserve"> - Nhân công bậc 3,0/7 - Nhóm 1</v>
      </c>
      <c r="F184" s="32" t="str">
        <f>'Giá NC'!F5</f>
        <v>công</v>
      </c>
      <c r="G184" s="270">
        <f>'Phan tich don gia'!G141</f>
        <v>1.88</v>
      </c>
      <c r="H184" s="179">
        <f>'Giá NC'!K5</f>
        <v>218559</v>
      </c>
      <c r="I184" s="347">
        <f>'Du toan chi tiet'!W25</f>
        <v>1</v>
      </c>
      <c r="J184" s="179">
        <f>PRODUCT(G184,H184,I184)</f>
        <v>410890.92</v>
      </c>
      <c r="K184" s="676"/>
      <c r="L184" s="676"/>
      <c r="M184" s="676"/>
      <c r="N184" s="676"/>
      <c r="O184" s="676"/>
      <c r="P184" s="676"/>
      <c r="Q184" s="676"/>
      <c r="R184" s="676"/>
      <c r="S184" s="676"/>
      <c r="T184" s="676"/>
      <c r="U184" s="676"/>
      <c r="V184" s="676"/>
      <c r="W184" s="676"/>
      <c r="X184" s="676"/>
      <c r="Y184" s="676"/>
      <c r="Z184" s="676"/>
      <c r="AA184" s="676"/>
    </row>
    <row r="185" spans="1:27" x14ac:dyDescent="0.25">
      <c r="A185" s="98"/>
      <c r="B185" s="380"/>
      <c r="C185" s="251" t="s">
        <v>98</v>
      </c>
      <c r="D185" s="251" t="s">
        <v>98</v>
      </c>
      <c r="E185" s="449" t="s">
        <v>1175</v>
      </c>
      <c r="F185" s="380" t="s">
        <v>138</v>
      </c>
      <c r="G185" s="607"/>
      <c r="H185" s="511"/>
      <c r="I185" s="684"/>
      <c r="J185" s="511">
        <f>SUM(J186:J187)</f>
        <v>24685.920000000002</v>
      </c>
      <c r="K185" s="676"/>
      <c r="L185" s="676"/>
      <c r="M185" s="676"/>
      <c r="N185" s="676"/>
      <c r="O185" s="676"/>
      <c r="P185" s="676"/>
      <c r="Q185" s="676"/>
      <c r="R185" s="676"/>
      <c r="S185" s="676"/>
      <c r="T185" s="676"/>
      <c r="U185" s="676"/>
      <c r="V185" s="676"/>
      <c r="W185" s="676"/>
      <c r="X185" s="676"/>
      <c r="Y185" s="676"/>
      <c r="Z185" s="676"/>
      <c r="AA185" s="676"/>
    </row>
    <row r="186" spans="1:27" x14ac:dyDescent="0.25">
      <c r="A186" s="139"/>
      <c r="B186" s="32"/>
      <c r="C186" s="644" t="s">
        <v>98</v>
      </c>
      <c r="D186" s="507" t="s">
        <v>5</v>
      </c>
      <c r="E186" s="107" t="str">
        <f>" - " &amp; 'Giá Máy'!E16</f>
        <v xml:space="preserve"> - Máy khoan bê tông 1,5kW</v>
      </c>
      <c r="F186" s="32" t="str">
        <f>'Giá Máy'!F16</f>
        <v>ca</v>
      </c>
      <c r="G186" s="270">
        <f>'Phan tich don gia'!G143</f>
        <v>0.72</v>
      </c>
      <c r="H186" s="179">
        <f>'Giá Máy'!J16</f>
        <v>34285</v>
      </c>
      <c r="I186" s="347">
        <f>'Du toan chi tiet'!X25</f>
        <v>1</v>
      </c>
      <c r="J186" s="179">
        <f>PRODUCT(G186,H186,I186)</f>
        <v>24685.200000000001</v>
      </c>
      <c r="K186" s="676"/>
      <c r="L186" s="676"/>
      <c r="M186" s="676"/>
      <c r="N186" s="676"/>
      <c r="O186" s="676"/>
      <c r="P186" s="676"/>
      <c r="Q186" s="676"/>
      <c r="R186" s="676"/>
      <c r="S186" s="676"/>
      <c r="T186" s="676"/>
      <c r="U186" s="676"/>
      <c r="V186" s="676"/>
      <c r="W186" s="676"/>
      <c r="X186" s="676"/>
      <c r="Y186" s="676"/>
      <c r="Z186" s="676"/>
      <c r="AA186" s="676"/>
    </row>
    <row r="187" spans="1:27" x14ac:dyDescent="0.25">
      <c r="A187" s="139"/>
      <c r="B187" s="32"/>
      <c r="C187" s="644" t="s">
        <v>98</v>
      </c>
      <c r="D187" s="507" t="s">
        <v>98</v>
      </c>
      <c r="E187" s="107" t="s">
        <v>1230</v>
      </c>
      <c r="F187" s="32"/>
      <c r="G187" s="277"/>
      <c r="H187" s="179"/>
      <c r="I187" s="347"/>
      <c r="J187" s="179">
        <f>SUM(J188:J189)</f>
        <v>0.72</v>
      </c>
      <c r="K187" s="676"/>
      <c r="L187" s="676"/>
      <c r="M187" s="676"/>
      <c r="N187" s="676"/>
      <c r="O187" s="676"/>
      <c r="P187" s="676"/>
      <c r="Q187" s="676"/>
      <c r="R187" s="676"/>
      <c r="S187" s="676"/>
      <c r="T187" s="676"/>
      <c r="U187" s="676"/>
      <c r="V187" s="676"/>
      <c r="W187" s="676"/>
      <c r="X187" s="676"/>
      <c r="Y187" s="676"/>
      <c r="Z187" s="676"/>
      <c r="AA187" s="676"/>
    </row>
    <row r="188" spans="1:27" x14ac:dyDescent="0.25">
      <c r="A188" s="139"/>
      <c r="B188" s="32"/>
      <c r="C188" s="644" t="s">
        <v>98</v>
      </c>
      <c r="D188" s="507" t="s">
        <v>98</v>
      </c>
      <c r="E188" s="107" t="s">
        <v>52</v>
      </c>
      <c r="F188" s="32"/>
      <c r="G188" s="277"/>
      <c r="H188" s="179"/>
      <c r="I188" s="347"/>
      <c r="J188" s="179">
        <f>PRODUCT(G186,I186,'Giá Máy'!L16)</f>
        <v>0</v>
      </c>
      <c r="K188" s="676"/>
      <c r="L188" s="676"/>
      <c r="M188" s="676"/>
      <c r="N188" s="676"/>
      <c r="O188" s="676"/>
      <c r="P188" s="676"/>
      <c r="Q188" s="676"/>
      <c r="R188" s="676"/>
      <c r="S188" s="676"/>
      <c r="T188" s="676"/>
      <c r="U188" s="676"/>
      <c r="V188" s="676"/>
      <c r="W188" s="676"/>
      <c r="X188" s="676"/>
      <c r="Y188" s="676"/>
      <c r="Z188" s="676"/>
      <c r="AA188" s="676"/>
    </row>
    <row r="189" spans="1:27" x14ac:dyDescent="0.25">
      <c r="A189" s="543"/>
      <c r="B189" s="736"/>
      <c r="C189" s="596" t="s">
        <v>98</v>
      </c>
      <c r="D189" s="438" t="s">
        <v>98</v>
      </c>
      <c r="E189" s="31" t="s">
        <v>597</v>
      </c>
      <c r="F189" s="736"/>
      <c r="G189" s="231"/>
      <c r="H189" s="93"/>
      <c r="I189" s="296"/>
      <c r="J189" s="93">
        <f>PRODUCT(G186,I186,'Giá Máy'!M16)</f>
        <v>0.72</v>
      </c>
      <c r="K189" s="676"/>
      <c r="L189" s="676"/>
      <c r="M189" s="676"/>
      <c r="N189" s="676"/>
      <c r="O189" s="676"/>
      <c r="P189" s="676"/>
      <c r="Q189" s="676"/>
      <c r="R189" s="676"/>
      <c r="S189" s="676"/>
      <c r="T189" s="676"/>
      <c r="U189" s="676"/>
      <c r="V189" s="676"/>
      <c r="W189" s="676"/>
      <c r="X189" s="676"/>
      <c r="Y189" s="676"/>
      <c r="Z189" s="676"/>
      <c r="AA189" s="676"/>
    </row>
    <row r="190" spans="1:27" x14ac:dyDescent="0.25">
      <c r="A190" s="89"/>
      <c r="B190" s="318">
        <v>18</v>
      </c>
      <c r="C190" s="149" t="str">
        <f>'Du toan chi tiet'!C26</f>
        <v>SE.31420</v>
      </c>
      <c r="D190" s="149" t="str">
        <f>'Du toan chi tiet'!C26</f>
        <v>SE.31420</v>
      </c>
      <c r="E190" s="665" t="str">
        <f>'Du toan chi tiet'!D26</f>
        <v>Sơn biển báo, cột biển báo bằng thép - 3 nước</v>
      </c>
      <c r="F190" s="318" t="str">
        <f>'Du toan chi tiet'!E26</f>
        <v>m2</v>
      </c>
      <c r="G190" s="56"/>
      <c r="H190" s="435"/>
      <c r="I190" s="589"/>
      <c r="J190" s="367">
        <f>J191+J194</f>
        <v>69544.397960000002</v>
      </c>
      <c r="K190" s="676"/>
      <c r="L190" s="676"/>
      <c r="M190" s="676"/>
      <c r="N190" s="676"/>
      <c r="O190" s="676"/>
      <c r="P190" s="676"/>
      <c r="Q190" s="676"/>
      <c r="R190" s="676"/>
      <c r="S190" s="676"/>
      <c r="T190" s="676"/>
      <c r="U190" s="676"/>
      <c r="V190" s="676"/>
      <c r="W190" s="676"/>
      <c r="X190" s="676"/>
      <c r="Y190" s="676"/>
      <c r="Z190" s="676"/>
      <c r="AA190" s="676"/>
    </row>
    <row r="191" spans="1:27" x14ac:dyDescent="0.25">
      <c r="A191" s="98"/>
      <c r="B191" s="380"/>
      <c r="C191" s="251" t="s">
        <v>98</v>
      </c>
      <c r="D191" s="251" t="s">
        <v>98</v>
      </c>
      <c r="E191" s="449" t="s">
        <v>547</v>
      </c>
      <c r="F191" s="380" t="s">
        <v>962</v>
      </c>
      <c r="G191" s="607"/>
      <c r="H191" s="511"/>
      <c r="I191" s="684"/>
      <c r="J191" s="511">
        <f>SUM(J192:J193)</f>
        <v>29192.397959999998</v>
      </c>
      <c r="K191" s="676"/>
      <c r="L191" s="676"/>
      <c r="M191" s="676"/>
      <c r="N191" s="676"/>
      <c r="O191" s="676"/>
      <c r="P191" s="676"/>
      <c r="Q191" s="676"/>
      <c r="R191" s="676"/>
      <c r="S191" s="676"/>
      <c r="T191" s="676"/>
      <c r="U191" s="676"/>
      <c r="V191" s="676"/>
      <c r="W191" s="676"/>
      <c r="X191" s="676"/>
      <c r="Y191" s="676"/>
      <c r="Z191" s="676"/>
      <c r="AA191" s="676"/>
    </row>
    <row r="192" spans="1:27" x14ac:dyDescent="0.25">
      <c r="A192" s="139"/>
      <c r="B192" s="32"/>
      <c r="C192" s="644" t="s">
        <v>98</v>
      </c>
      <c r="D192" s="507" t="s">
        <v>849</v>
      </c>
      <c r="E192" s="107" t="str">
        <f>" - " &amp; 'Giá VL'!E28</f>
        <v xml:space="preserve"> - Sơn sắt thép</v>
      </c>
      <c r="F192" s="32" t="str">
        <f>'Giá VL'!F28</f>
        <v>kg</v>
      </c>
      <c r="G192" s="270">
        <f>'Phan tich don gia'!G146</f>
        <v>0.22</v>
      </c>
      <c r="H192" s="179">
        <f>'Giá VL'!V28</f>
        <v>130090.9</v>
      </c>
      <c r="I192" s="347">
        <f>'Du toan chi tiet'!V26</f>
        <v>1</v>
      </c>
      <c r="J192" s="179">
        <f t="shared" ref="J192:J193" si="19">PRODUCT(G192,H192,I192)</f>
        <v>28619.998</v>
      </c>
      <c r="K192" s="676"/>
      <c r="L192" s="676"/>
      <c r="M192" s="676"/>
      <c r="N192" s="676"/>
      <c r="O192" s="676"/>
      <c r="P192" s="676"/>
      <c r="Q192" s="676"/>
      <c r="R192" s="676"/>
      <c r="S192" s="676"/>
      <c r="T192" s="676"/>
      <c r="U192" s="676"/>
      <c r="V192" s="676"/>
      <c r="W192" s="676"/>
      <c r="X192" s="676"/>
      <c r="Y192" s="676"/>
      <c r="Z192" s="676"/>
      <c r="AA192" s="676"/>
    </row>
    <row r="193" spans="1:27" x14ac:dyDescent="0.25">
      <c r="A193" s="139"/>
      <c r="B193" s="32"/>
      <c r="C193" s="644" t="s">
        <v>98</v>
      </c>
      <c r="D193" s="507" t="s">
        <v>667</v>
      </c>
      <c r="E193" s="107" t="s">
        <v>238</v>
      </c>
      <c r="F193" s="32" t="s">
        <v>1113</v>
      </c>
      <c r="G193" s="270">
        <f>'Phan tich don gia'!G147</f>
        <v>2</v>
      </c>
      <c r="H193" s="179">
        <f>(G192*H192)/100</f>
        <v>286.19997999999998</v>
      </c>
      <c r="I193" s="347">
        <f>'Du toan chi tiet'!V26</f>
        <v>1</v>
      </c>
      <c r="J193" s="179">
        <f t="shared" si="19"/>
        <v>572.39995999999996</v>
      </c>
      <c r="K193" s="676"/>
      <c r="L193" s="676"/>
      <c r="M193" s="676"/>
      <c r="N193" s="676"/>
      <c r="O193" s="676"/>
      <c r="P193" s="676"/>
      <c r="Q193" s="676"/>
      <c r="R193" s="676"/>
      <c r="S193" s="676"/>
      <c r="T193" s="676"/>
      <c r="U193" s="676"/>
      <c r="V193" s="676"/>
      <c r="W193" s="676"/>
      <c r="X193" s="676"/>
      <c r="Y193" s="676"/>
      <c r="Z193" s="676"/>
      <c r="AA193" s="676"/>
    </row>
    <row r="194" spans="1:27" x14ac:dyDescent="0.25">
      <c r="A194" s="98"/>
      <c r="B194" s="380"/>
      <c r="C194" s="251" t="s">
        <v>98</v>
      </c>
      <c r="D194" s="251" t="s">
        <v>98</v>
      </c>
      <c r="E194" s="449" t="s">
        <v>301</v>
      </c>
      <c r="F194" s="380" t="s">
        <v>1018</v>
      </c>
      <c r="G194" s="607"/>
      <c r="H194" s="511"/>
      <c r="I194" s="684"/>
      <c r="J194" s="511">
        <f>SUM(J195:J195)</f>
        <v>40352</v>
      </c>
      <c r="K194" s="676"/>
      <c r="L194" s="676"/>
      <c r="M194" s="676"/>
      <c r="N194" s="676"/>
      <c r="O194" s="676"/>
      <c r="P194" s="676"/>
      <c r="Q194" s="676"/>
      <c r="R194" s="676"/>
      <c r="S194" s="676"/>
      <c r="T194" s="676"/>
      <c r="U194" s="676"/>
      <c r="V194" s="676"/>
      <c r="W194" s="676"/>
      <c r="X194" s="676"/>
      <c r="Y194" s="676"/>
      <c r="Z194" s="676"/>
      <c r="AA194" s="676"/>
    </row>
    <row r="195" spans="1:27" x14ac:dyDescent="0.25">
      <c r="A195" s="543"/>
      <c r="B195" s="736"/>
      <c r="C195" s="596" t="s">
        <v>98</v>
      </c>
      <c r="D195" s="438" t="s">
        <v>706</v>
      </c>
      <c r="E195" s="31" t="str">
        <f>" - " &amp; 'Giá NC'!E8</f>
        <v xml:space="preserve"> - Nhân công bậc 3,5/7 - Nhóm 2</v>
      </c>
      <c r="F195" s="736" t="str">
        <f>'Giá NC'!F8</f>
        <v>công</v>
      </c>
      <c r="G195" s="190">
        <f>'Phan tich don gia'!G149</f>
        <v>0.16</v>
      </c>
      <c r="H195" s="93">
        <f>'Giá NC'!K8</f>
        <v>252200</v>
      </c>
      <c r="I195" s="296">
        <f>'Du toan chi tiet'!W26</f>
        <v>1</v>
      </c>
      <c r="J195" s="93">
        <f>PRODUCT(G195,H195,I195)</f>
        <v>40352</v>
      </c>
      <c r="K195" s="676"/>
      <c r="L195" s="676"/>
      <c r="M195" s="676"/>
      <c r="N195" s="676"/>
      <c r="O195" s="676"/>
      <c r="P195" s="676"/>
      <c r="Q195" s="676"/>
      <c r="R195" s="676"/>
      <c r="S195" s="676"/>
      <c r="T195" s="676"/>
      <c r="U195" s="676"/>
      <c r="V195" s="676"/>
      <c r="W195" s="676"/>
      <c r="X195" s="676"/>
      <c r="Y195" s="676"/>
      <c r="Z195" s="676"/>
      <c r="AA195" s="676"/>
    </row>
    <row r="196" spans="1:27" x14ac:dyDescent="0.25">
      <c r="A196" s="89"/>
      <c r="B196" s="318">
        <v>19</v>
      </c>
      <c r="C196" s="149" t="str">
        <f>'Du toan chi tiet'!C27</f>
        <v>SE.31330</v>
      </c>
      <c r="D196" s="149" t="str">
        <f>'Du toan chi tiet'!C27</f>
        <v>SE.31330</v>
      </c>
      <c r="E196" s="665" t="str">
        <f>'Du toan chi tiet'!D27</f>
        <v>Dán màng phản quang đầu dải phân cách</v>
      </c>
      <c r="F196" s="318" t="str">
        <f>'Du toan chi tiet'!E27</f>
        <v>m2</v>
      </c>
      <c r="G196" s="56"/>
      <c r="H196" s="435"/>
      <c r="I196" s="589"/>
      <c r="J196" s="367">
        <f>J197+J199</f>
        <v>560508</v>
      </c>
      <c r="K196" s="676"/>
      <c r="L196" s="676"/>
      <c r="M196" s="676"/>
      <c r="N196" s="676"/>
      <c r="O196" s="676"/>
      <c r="P196" s="676"/>
      <c r="Q196" s="676"/>
      <c r="R196" s="676"/>
      <c r="S196" s="676"/>
      <c r="T196" s="676"/>
      <c r="U196" s="676"/>
      <c r="V196" s="676"/>
      <c r="W196" s="676"/>
      <c r="X196" s="676"/>
      <c r="Y196" s="676"/>
      <c r="Z196" s="676"/>
      <c r="AA196" s="676"/>
    </row>
    <row r="197" spans="1:27" x14ac:dyDescent="0.25">
      <c r="A197" s="98"/>
      <c r="B197" s="380"/>
      <c r="C197" s="251" t="s">
        <v>98</v>
      </c>
      <c r="D197" s="251" t="s">
        <v>98</v>
      </c>
      <c r="E197" s="449" t="s">
        <v>547</v>
      </c>
      <c r="F197" s="380" t="s">
        <v>962</v>
      </c>
      <c r="G197" s="607"/>
      <c r="H197" s="511"/>
      <c r="I197" s="684"/>
      <c r="J197" s="511">
        <f>SUM(J198:J198)</f>
        <v>451000.00000000006</v>
      </c>
      <c r="K197" s="676"/>
      <c r="L197" s="676"/>
      <c r="M197" s="676"/>
      <c r="N197" s="676"/>
      <c r="O197" s="676"/>
      <c r="P197" s="676"/>
      <c r="Q197" s="676"/>
      <c r="R197" s="676"/>
      <c r="S197" s="676"/>
      <c r="T197" s="676"/>
      <c r="U197" s="676"/>
      <c r="V197" s="676"/>
      <c r="W197" s="676"/>
      <c r="X197" s="676"/>
      <c r="Y197" s="676"/>
      <c r="Z197" s="676"/>
      <c r="AA197" s="676"/>
    </row>
    <row r="198" spans="1:27" x14ac:dyDescent="0.25">
      <c r="A198" s="139"/>
      <c r="B198" s="32"/>
      <c r="C198" s="644" t="s">
        <v>98</v>
      </c>
      <c r="D198" s="507" t="s">
        <v>35</v>
      </c>
      <c r="E198" s="107" t="str">
        <f>" - " &amp; 'Giá VL'!E21</f>
        <v xml:space="preserve"> - Màng phản quang</v>
      </c>
      <c r="F198" s="32" t="str">
        <f>'Giá VL'!F21</f>
        <v>m2</v>
      </c>
      <c r="G198" s="270">
        <f>'Phan tich don gia'!G152</f>
        <v>1.1000000000000001</v>
      </c>
      <c r="H198" s="179">
        <f>'Giá VL'!V21</f>
        <v>410000</v>
      </c>
      <c r="I198" s="347">
        <f>'Du toan chi tiet'!V27</f>
        <v>1</v>
      </c>
      <c r="J198" s="179">
        <f>PRODUCT(G198,H198,I198)</f>
        <v>451000.00000000006</v>
      </c>
      <c r="K198" s="676"/>
      <c r="L198" s="676"/>
      <c r="M198" s="676"/>
      <c r="N198" s="676"/>
      <c r="O198" s="676"/>
      <c r="P198" s="676"/>
      <c r="Q198" s="676"/>
      <c r="R198" s="676"/>
      <c r="S198" s="676"/>
      <c r="T198" s="676"/>
      <c r="U198" s="676"/>
      <c r="V198" s="676"/>
      <c r="W198" s="676"/>
      <c r="X198" s="676"/>
      <c r="Y198" s="676"/>
      <c r="Z198" s="676"/>
      <c r="AA198" s="676"/>
    </row>
    <row r="199" spans="1:27" x14ac:dyDescent="0.25">
      <c r="A199" s="98"/>
      <c r="B199" s="380"/>
      <c r="C199" s="251" t="s">
        <v>98</v>
      </c>
      <c r="D199" s="251" t="s">
        <v>98</v>
      </c>
      <c r="E199" s="449" t="s">
        <v>301</v>
      </c>
      <c r="F199" s="380" t="s">
        <v>1018</v>
      </c>
      <c r="G199" s="607"/>
      <c r="H199" s="511"/>
      <c r="I199" s="684"/>
      <c r="J199" s="511">
        <f>SUM(J200:J200)</f>
        <v>109508</v>
      </c>
      <c r="K199" s="676"/>
      <c r="L199" s="676"/>
      <c r="M199" s="676"/>
      <c r="N199" s="676"/>
      <c r="O199" s="676"/>
      <c r="P199" s="676"/>
      <c r="Q199" s="676"/>
      <c r="R199" s="676"/>
      <c r="S199" s="676"/>
      <c r="T199" s="676"/>
      <c r="U199" s="676"/>
      <c r="V199" s="676"/>
      <c r="W199" s="676"/>
      <c r="X199" s="676"/>
      <c r="Y199" s="676"/>
      <c r="Z199" s="676"/>
      <c r="AA199" s="676"/>
    </row>
    <row r="200" spans="1:27" x14ac:dyDescent="0.25">
      <c r="A200" s="543"/>
      <c r="B200" s="736"/>
      <c r="C200" s="596" t="s">
        <v>98</v>
      </c>
      <c r="D200" s="438" t="s">
        <v>169</v>
      </c>
      <c r="E200" s="31" t="str">
        <f>" - " &amp; 'Giá NC'!E9</f>
        <v xml:space="preserve"> - Nhân công bậc 4,0/7 - Nhóm 2</v>
      </c>
      <c r="F200" s="736" t="str">
        <f>'Giá NC'!F9</f>
        <v>công</v>
      </c>
      <c r="G200" s="190">
        <f>'Phan tich don gia'!G154</f>
        <v>0.4</v>
      </c>
      <c r="H200" s="93">
        <f>'Giá NC'!K9</f>
        <v>273770</v>
      </c>
      <c r="I200" s="296">
        <f>'Du toan chi tiet'!W27</f>
        <v>1</v>
      </c>
      <c r="J200" s="93">
        <f>PRODUCT(G200,H200,I200)</f>
        <v>109508</v>
      </c>
      <c r="K200" s="676"/>
      <c r="L200" s="676"/>
      <c r="M200" s="676"/>
      <c r="N200" s="676"/>
      <c r="O200" s="676"/>
      <c r="P200" s="676"/>
      <c r="Q200" s="676"/>
      <c r="R200" s="676"/>
      <c r="S200" s="676"/>
      <c r="T200" s="676"/>
      <c r="U200" s="676"/>
      <c r="V200" s="676"/>
      <c r="W200" s="676"/>
      <c r="X200" s="676"/>
      <c r="Y200" s="676"/>
      <c r="Z200" s="676"/>
      <c r="AA200" s="676"/>
    </row>
    <row r="201" spans="1:27" x14ac:dyDescent="0.25">
      <c r="A201" s="89"/>
      <c r="B201" s="318">
        <v>20</v>
      </c>
      <c r="C201" s="149" t="str">
        <f>'Du toan chi tiet'!C28</f>
        <v>AD.32531</v>
      </c>
      <c r="D201" s="149" t="str">
        <f>'Du toan chi tiet'!C28</f>
        <v>AD.32531</v>
      </c>
      <c r="E201" s="665" t="str">
        <f>'Du toan chi tiet'!D28</f>
        <v>Lắp đặt cột và biển báo phản quang - Loại biển báo phản quang: Biển tam giác cạnh 70cm</v>
      </c>
      <c r="F201" s="318" t="str">
        <f>'Du toan chi tiet'!E28</f>
        <v>cái</v>
      </c>
      <c r="G201" s="56"/>
      <c r="H201" s="435"/>
      <c r="I201" s="589"/>
      <c r="J201" s="367">
        <f>J202+J207+J209</f>
        <v>260911.12498045023</v>
      </c>
      <c r="K201" s="676"/>
      <c r="L201" s="676"/>
      <c r="M201" s="676"/>
      <c r="N201" s="676"/>
      <c r="O201" s="676"/>
      <c r="P201" s="676"/>
      <c r="Q201" s="676"/>
      <c r="R201" s="676"/>
      <c r="S201" s="676"/>
      <c r="T201" s="676"/>
      <c r="U201" s="676"/>
      <c r="V201" s="676"/>
      <c r="W201" s="676"/>
      <c r="X201" s="676"/>
      <c r="Y201" s="676"/>
      <c r="Z201" s="676"/>
      <c r="AA201" s="676"/>
    </row>
    <row r="202" spans="1:27" x14ac:dyDescent="0.25">
      <c r="A202" s="98"/>
      <c r="B202" s="380"/>
      <c r="C202" s="251" t="s">
        <v>98</v>
      </c>
      <c r="D202" s="251" t="s">
        <v>98</v>
      </c>
      <c r="E202" s="449" t="s">
        <v>547</v>
      </c>
      <c r="F202" s="380" t="s">
        <v>962</v>
      </c>
      <c r="G202" s="607"/>
      <c r="H202" s="511"/>
      <c r="I202" s="684"/>
      <c r="J202" s="511">
        <f>SUM(J203:J206)</f>
        <v>78213.649980450224</v>
      </c>
      <c r="K202" s="676"/>
      <c r="L202" s="676"/>
      <c r="M202" s="676"/>
      <c r="N202" s="676"/>
      <c r="O202" s="676"/>
      <c r="P202" s="676"/>
      <c r="Q202" s="676"/>
      <c r="R202" s="676"/>
      <c r="S202" s="676"/>
      <c r="T202" s="676"/>
      <c r="U202" s="676"/>
      <c r="V202" s="676"/>
      <c r="W202" s="676"/>
      <c r="X202" s="676"/>
      <c r="Y202" s="676"/>
      <c r="Z202" s="676"/>
      <c r="AA202" s="676"/>
    </row>
    <row r="203" spans="1:27" x14ac:dyDescent="0.25">
      <c r="A203" s="139"/>
      <c r="B203" s="32"/>
      <c r="C203" s="644" t="s">
        <v>98</v>
      </c>
      <c r="D203" s="507" t="s">
        <v>235</v>
      </c>
      <c r="E203" s="107" t="str">
        <f>" - " &amp; 'Giá VL'!E37</f>
        <v xml:space="preserve"> - Xi măng PCB40</v>
      </c>
      <c r="F203" s="32" t="str">
        <f>'Giá VL'!F37</f>
        <v>kg</v>
      </c>
      <c r="G203" s="270">
        <f>'Phan tich don gia'!G157</f>
        <v>23.050999999999998</v>
      </c>
      <c r="H203" s="179">
        <f>'Giá VL'!V37</f>
        <v>1587.7239999999999</v>
      </c>
      <c r="I203" s="347">
        <f>'Du toan chi tiet'!V28</f>
        <v>1</v>
      </c>
      <c r="J203" s="179">
        <f t="shared" ref="J203:J206" si="20">PRODUCT(G203,H203,I203)</f>
        <v>36598.625923999993</v>
      </c>
      <c r="K203" s="676"/>
      <c r="L203" s="676"/>
      <c r="M203" s="676"/>
      <c r="N203" s="676"/>
      <c r="O203" s="676"/>
      <c r="P203" s="676"/>
      <c r="Q203" s="676"/>
      <c r="R203" s="676"/>
      <c r="S203" s="676"/>
      <c r="T203" s="676"/>
      <c r="U203" s="676"/>
      <c r="V203" s="676"/>
      <c r="W203" s="676"/>
      <c r="X203" s="676"/>
      <c r="Y203" s="676"/>
      <c r="Z203" s="676"/>
      <c r="AA203" s="676"/>
    </row>
    <row r="204" spans="1:27" x14ac:dyDescent="0.25">
      <c r="A204" s="139"/>
      <c r="B204" s="32"/>
      <c r="C204" s="644" t="s">
        <v>98</v>
      </c>
      <c r="D204" s="507" t="s">
        <v>523</v>
      </c>
      <c r="E204" s="107" t="str">
        <f>" - " &amp; 'Giá VL'!E9</f>
        <v xml:space="preserve"> - Cát vàng</v>
      </c>
      <c r="F204" s="32" t="str">
        <f>'Giá VL'!F9</f>
        <v>m3</v>
      </c>
      <c r="G204" s="270">
        <f>'Phan tich don gia'!G158</f>
        <v>4.6991999999999999E-2</v>
      </c>
      <c r="H204" s="179">
        <f>'Giá VL'!V9</f>
        <v>345317.29174999997</v>
      </c>
      <c r="I204" s="347">
        <f>'Du toan chi tiet'!V28</f>
        <v>1</v>
      </c>
      <c r="J204" s="179">
        <f t="shared" si="20"/>
        <v>16227.150173915998</v>
      </c>
      <c r="K204" s="676"/>
      <c r="L204" s="676"/>
      <c r="M204" s="676"/>
      <c r="N204" s="676"/>
      <c r="O204" s="676"/>
      <c r="P204" s="676"/>
      <c r="Q204" s="676"/>
      <c r="R204" s="676"/>
      <c r="S204" s="676"/>
      <c r="T204" s="676"/>
      <c r="U204" s="676"/>
      <c r="V204" s="676"/>
      <c r="W204" s="676"/>
      <c r="X204" s="676"/>
      <c r="Y204" s="676"/>
      <c r="Z204" s="676"/>
      <c r="AA204" s="676"/>
    </row>
    <row r="205" spans="1:27" x14ac:dyDescent="0.25">
      <c r="A205" s="139"/>
      <c r="B205" s="32"/>
      <c r="C205" s="644" t="s">
        <v>98</v>
      </c>
      <c r="D205" s="507" t="s">
        <v>123</v>
      </c>
      <c r="E205" s="107" t="str">
        <f>" - " &amp; 'Giá VL'!E11</f>
        <v xml:space="preserve"> - Đá 1x2</v>
      </c>
      <c r="F205" s="32" t="str">
        <f>'Giá VL'!F11</f>
        <v>m3</v>
      </c>
      <c r="G205" s="270">
        <f>'Phan tich don gia'!G159</f>
        <v>7.7519000000000005E-2</v>
      </c>
      <c r="H205" s="179">
        <f>'Giá VL'!V11</f>
        <v>325404.14456500002</v>
      </c>
      <c r="I205" s="347">
        <f>'Du toan chi tiet'!V28</f>
        <v>1</v>
      </c>
      <c r="J205" s="179">
        <f t="shared" si="20"/>
        <v>25225.003882534238</v>
      </c>
      <c r="K205" s="676"/>
      <c r="L205" s="676"/>
      <c r="M205" s="676"/>
      <c r="N205" s="676"/>
      <c r="O205" s="676"/>
      <c r="P205" s="676"/>
      <c r="Q205" s="676"/>
      <c r="R205" s="676"/>
      <c r="S205" s="676"/>
      <c r="T205" s="676"/>
      <c r="U205" s="676"/>
      <c r="V205" s="676"/>
      <c r="W205" s="676"/>
      <c r="X205" s="676"/>
      <c r="Y205" s="676"/>
      <c r="Z205" s="676"/>
      <c r="AA205" s="676"/>
    </row>
    <row r="206" spans="1:27" x14ac:dyDescent="0.25">
      <c r="A206" s="139"/>
      <c r="B206" s="32"/>
      <c r="C206" s="644" t="s">
        <v>98</v>
      </c>
      <c r="D206" s="507" t="s">
        <v>956</v>
      </c>
      <c r="E206" s="107" t="str">
        <f>" - " &amp; 'Giá VL'!E23</f>
        <v xml:space="preserve"> - Nước</v>
      </c>
      <c r="F206" s="32" t="str">
        <f>'Giá VL'!F23</f>
        <v>lít</v>
      </c>
      <c r="G206" s="270">
        <f>'Phan tich don gia'!G160</f>
        <v>16.286999999999999</v>
      </c>
      <c r="H206" s="179">
        <f>'Giá VL'!V23</f>
        <v>10</v>
      </c>
      <c r="I206" s="347">
        <f>'Du toan chi tiet'!V28</f>
        <v>1</v>
      </c>
      <c r="J206" s="179">
        <f t="shared" si="20"/>
        <v>162.87</v>
      </c>
      <c r="K206" s="676"/>
      <c r="L206" s="676"/>
      <c r="M206" s="676"/>
      <c r="N206" s="676"/>
      <c r="O206" s="676"/>
      <c r="P206" s="676"/>
      <c r="Q206" s="676"/>
      <c r="R206" s="676"/>
      <c r="S206" s="676"/>
      <c r="T206" s="676"/>
      <c r="U206" s="676"/>
      <c r="V206" s="676"/>
      <c r="W206" s="676"/>
      <c r="X206" s="676"/>
      <c r="Y206" s="676"/>
      <c r="Z206" s="676"/>
      <c r="AA206" s="676"/>
    </row>
    <row r="207" spans="1:27" x14ac:dyDescent="0.25">
      <c r="A207" s="98"/>
      <c r="B207" s="380"/>
      <c r="C207" s="251" t="s">
        <v>98</v>
      </c>
      <c r="D207" s="251" t="s">
        <v>98</v>
      </c>
      <c r="E207" s="449" t="s">
        <v>301</v>
      </c>
      <c r="F207" s="380" t="s">
        <v>1018</v>
      </c>
      <c r="G207" s="607"/>
      <c r="H207" s="511"/>
      <c r="I207" s="684"/>
      <c r="J207" s="511">
        <f>SUM(J208:J208)</f>
        <v>156364</v>
      </c>
      <c r="K207" s="676"/>
      <c r="L207" s="676"/>
      <c r="M207" s="676"/>
      <c r="N207" s="676"/>
      <c r="O207" s="676"/>
      <c r="P207" s="676"/>
      <c r="Q207" s="676"/>
      <c r="R207" s="676"/>
      <c r="S207" s="676"/>
      <c r="T207" s="676"/>
      <c r="U207" s="676"/>
      <c r="V207" s="676"/>
      <c r="W207" s="676"/>
      <c r="X207" s="676"/>
      <c r="Y207" s="676"/>
      <c r="Z207" s="676"/>
      <c r="AA207" s="676"/>
    </row>
    <row r="208" spans="1:27" x14ac:dyDescent="0.25">
      <c r="A208" s="139"/>
      <c r="B208" s="32"/>
      <c r="C208" s="644" t="s">
        <v>98</v>
      </c>
      <c r="D208" s="507" t="s">
        <v>706</v>
      </c>
      <c r="E208" s="107" t="str">
        <f>" - " &amp; 'Giá NC'!E8</f>
        <v xml:space="preserve"> - Nhân công bậc 3,5/7 - Nhóm 2</v>
      </c>
      <c r="F208" s="32" t="str">
        <f>'Giá NC'!F8</f>
        <v>công</v>
      </c>
      <c r="G208" s="270">
        <f>'Phan tich don gia'!G162</f>
        <v>0.62</v>
      </c>
      <c r="H208" s="179">
        <f>'Giá NC'!K8</f>
        <v>252200</v>
      </c>
      <c r="I208" s="347">
        <f>'Du toan chi tiet'!W28</f>
        <v>1</v>
      </c>
      <c r="J208" s="179">
        <f>PRODUCT(G208,H208,I208)</f>
        <v>156364</v>
      </c>
      <c r="K208" s="676"/>
      <c r="L208" s="676"/>
      <c r="M208" s="676"/>
      <c r="N208" s="676"/>
      <c r="O208" s="676"/>
      <c r="P208" s="676"/>
      <c r="Q208" s="676"/>
      <c r="R208" s="676"/>
      <c r="S208" s="676"/>
      <c r="T208" s="676"/>
      <c r="U208" s="676"/>
      <c r="V208" s="676"/>
      <c r="W208" s="676"/>
      <c r="X208" s="676"/>
      <c r="Y208" s="676"/>
      <c r="Z208" s="676"/>
      <c r="AA208" s="676"/>
    </row>
    <row r="209" spans="1:27" x14ac:dyDescent="0.25">
      <c r="A209" s="98"/>
      <c r="B209" s="380"/>
      <c r="C209" s="251" t="s">
        <v>98</v>
      </c>
      <c r="D209" s="251" t="s">
        <v>98</v>
      </c>
      <c r="E209" s="449" t="s">
        <v>1175</v>
      </c>
      <c r="F209" s="380" t="s">
        <v>138</v>
      </c>
      <c r="G209" s="607"/>
      <c r="H209" s="511"/>
      <c r="I209" s="684"/>
      <c r="J209" s="511">
        <f>SUM(J210:J211)</f>
        <v>26333.475000000002</v>
      </c>
      <c r="K209" s="676"/>
      <c r="L209" s="676"/>
      <c r="M209" s="676"/>
      <c r="N209" s="676"/>
      <c r="O209" s="676"/>
      <c r="P209" s="676"/>
      <c r="Q209" s="676"/>
      <c r="R209" s="676"/>
      <c r="S209" s="676"/>
      <c r="T209" s="676"/>
      <c r="U209" s="676"/>
      <c r="V209" s="676"/>
      <c r="W209" s="676"/>
      <c r="X209" s="676"/>
      <c r="Y209" s="676"/>
      <c r="Z209" s="676"/>
      <c r="AA209" s="676"/>
    </row>
    <row r="210" spans="1:27" x14ac:dyDescent="0.25">
      <c r="A210" s="139"/>
      <c r="B210" s="32"/>
      <c r="C210" s="644" t="s">
        <v>98</v>
      </c>
      <c r="D210" s="507" t="s">
        <v>1060</v>
      </c>
      <c r="E210" s="107" t="str">
        <f>" - " &amp; 'Giá Máy'!E22</f>
        <v xml:space="preserve"> - Ô tô vận tải thùng 2,5T</v>
      </c>
      <c r="F210" s="32" t="str">
        <f>'Giá Máy'!F22</f>
        <v>ca</v>
      </c>
      <c r="G210" s="270">
        <f>'Phan tich don gia'!G164</f>
        <v>3.5000000000000003E-2</v>
      </c>
      <c r="H210" s="179">
        <f>'Giá Máy'!J22</f>
        <v>752384</v>
      </c>
      <c r="I210" s="347">
        <f>'Du toan chi tiet'!X28</f>
        <v>1</v>
      </c>
      <c r="J210" s="179">
        <f>PRODUCT(G210,H210,I210)</f>
        <v>26333.440000000002</v>
      </c>
      <c r="K210" s="676"/>
      <c r="L210" s="676"/>
      <c r="M210" s="676"/>
      <c r="N210" s="676"/>
      <c r="O210" s="676"/>
      <c r="P210" s="676"/>
      <c r="Q210" s="676"/>
      <c r="R210" s="676"/>
      <c r="S210" s="676"/>
      <c r="T210" s="676"/>
      <c r="U210" s="676"/>
      <c r="V210" s="676"/>
      <c r="W210" s="676"/>
      <c r="X210" s="676"/>
      <c r="Y210" s="676"/>
      <c r="Z210" s="676"/>
      <c r="AA210" s="676"/>
    </row>
    <row r="211" spans="1:27" x14ac:dyDescent="0.25">
      <c r="A211" s="139"/>
      <c r="B211" s="32"/>
      <c r="C211" s="644" t="s">
        <v>98</v>
      </c>
      <c r="D211" s="507" t="s">
        <v>98</v>
      </c>
      <c r="E211" s="107" t="s">
        <v>1230</v>
      </c>
      <c r="F211" s="32"/>
      <c r="G211" s="277"/>
      <c r="H211" s="179"/>
      <c r="I211" s="347"/>
      <c r="J211" s="179">
        <f>SUM(J212:J213)</f>
        <v>3.5000000000000003E-2</v>
      </c>
      <c r="K211" s="676"/>
      <c r="L211" s="676"/>
      <c r="M211" s="676"/>
      <c r="N211" s="676"/>
      <c r="O211" s="676"/>
      <c r="P211" s="676"/>
      <c r="Q211" s="676"/>
      <c r="R211" s="676"/>
      <c r="S211" s="676"/>
      <c r="T211" s="676"/>
      <c r="U211" s="676"/>
      <c r="V211" s="676"/>
      <c r="W211" s="676"/>
      <c r="X211" s="676"/>
      <c r="Y211" s="676"/>
      <c r="Z211" s="676"/>
      <c r="AA211" s="676"/>
    </row>
    <row r="212" spans="1:27" x14ac:dyDescent="0.25">
      <c r="A212" s="139"/>
      <c r="B212" s="32"/>
      <c r="C212" s="644" t="s">
        <v>98</v>
      </c>
      <c r="D212" s="507" t="s">
        <v>98</v>
      </c>
      <c r="E212" s="107" t="s">
        <v>52</v>
      </c>
      <c r="F212" s="32"/>
      <c r="G212" s="277"/>
      <c r="H212" s="179"/>
      <c r="I212" s="347"/>
      <c r="J212" s="179">
        <f>PRODUCT(G210,I210,'Giá Máy'!L22)</f>
        <v>0</v>
      </c>
      <c r="K212" s="676"/>
      <c r="L212" s="676"/>
      <c r="M212" s="676"/>
      <c r="N212" s="676"/>
      <c r="O212" s="676"/>
      <c r="P212" s="676"/>
      <c r="Q212" s="676"/>
      <c r="R212" s="676"/>
      <c r="S212" s="676"/>
      <c r="T212" s="676"/>
      <c r="U212" s="676"/>
      <c r="V212" s="676"/>
      <c r="W212" s="676"/>
      <c r="X212" s="676"/>
      <c r="Y212" s="676"/>
      <c r="Z212" s="676"/>
      <c r="AA212" s="676"/>
    </row>
    <row r="213" spans="1:27" x14ac:dyDescent="0.25">
      <c r="A213" s="543"/>
      <c r="B213" s="736"/>
      <c r="C213" s="596" t="s">
        <v>98</v>
      </c>
      <c r="D213" s="438" t="s">
        <v>98</v>
      </c>
      <c r="E213" s="31" t="s">
        <v>597</v>
      </c>
      <c r="F213" s="736"/>
      <c r="G213" s="231"/>
      <c r="H213" s="93"/>
      <c r="I213" s="296"/>
      <c r="J213" s="93">
        <f>PRODUCT(G210,I210,'Giá Máy'!M22)</f>
        <v>3.5000000000000003E-2</v>
      </c>
      <c r="K213" s="676"/>
      <c r="L213" s="676"/>
      <c r="M213" s="676"/>
      <c r="N213" s="676"/>
      <c r="O213" s="676"/>
      <c r="P213" s="676"/>
      <c r="Q213" s="676"/>
      <c r="R213" s="676"/>
      <c r="S213" s="676"/>
      <c r="T213" s="676"/>
      <c r="U213" s="676"/>
      <c r="V213" s="676"/>
      <c r="W213" s="676"/>
      <c r="X213" s="676"/>
      <c r="Y213" s="676"/>
      <c r="Z213" s="676"/>
      <c r="AA213" s="676"/>
    </row>
    <row r="214" spans="1:27" x14ac:dyDescent="0.25">
      <c r="A214" s="89"/>
      <c r="B214" s="318">
        <v>21</v>
      </c>
      <c r="C214" s="149" t="str">
        <f>'Du toan chi tiet'!C29</f>
        <v>AB.11413</v>
      </c>
      <c r="D214" s="149" t="str">
        <f>'Du toan chi tiet'!C29</f>
        <v>AB.11413</v>
      </c>
      <c r="E214" s="665" t="str">
        <f>'Du toan chi tiet'!D29</f>
        <v>Đào móng cột, trụ, hố kiểm tra bằng thủ công, rộng ≤1m, sâu ≤1m - Cấp đất III</v>
      </c>
      <c r="F214" s="318" t="str">
        <f>'Du toan chi tiet'!E29</f>
        <v>1m3</v>
      </c>
      <c r="G214" s="56"/>
      <c r="H214" s="435"/>
      <c r="I214" s="589"/>
      <c r="J214" s="367">
        <f>J215</f>
        <v>415262.1</v>
      </c>
      <c r="K214" s="676"/>
      <c r="L214" s="676"/>
      <c r="M214" s="676"/>
      <c r="N214" s="676"/>
      <c r="O214" s="676"/>
      <c r="P214" s="676"/>
      <c r="Q214" s="676"/>
      <c r="R214" s="676"/>
      <c r="S214" s="676"/>
      <c r="T214" s="676"/>
      <c r="U214" s="676"/>
      <c r="V214" s="676"/>
      <c r="W214" s="676"/>
      <c r="X214" s="676"/>
      <c r="Y214" s="676"/>
      <c r="Z214" s="676"/>
      <c r="AA214" s="676"/>
    </row>
    <row r="215" spans="1:27" x14ac:dyDescent="0.25">
      <c r="A215" s="98"/>
      <c r="B215" s="380"/>
      <c r="C215" s="251" t="s">
        <v>98</v>
      </c>
      <c r="D215" s="251" t="s">
        <v>98</v>
      </c>
      <c r="E215" s="449" t="s">
        <v>301</v>
      </c>
      <c r="F215" s="380" t="s">
        <v>1018</v>
      </c>
      <c r="G215" s="607"/>
      <c r="H215" s="511"/>
      <c r="I215" s="684"/>
      <c r="J215" s="511">
        <f>SUM(J216:J216)</f>
        <v>415262.1</v>
      </c>
      <c r="K215" s="676"/>
      <c r="L215" s="676"/>
      <c r="M215" s="676"/>
      <c r="N215" s="676"/>
      <c r="O215" s="676"/>
      <c r="P215" s="676"/>
      <c r="Q215" s="676"/>
      <c r="R215" s="676"/>
      <c r="S215" s="676"/>
      <c r="T215" s="676"/>
      <c r="U215" s="676"/>
      <c r="V215" s="676"/>
      <c r="W215" s="676"/>
      <c r="X215" s="676"/>
      <c r="Y215" s="676"/>
      <c r="Z215" s="676"/>
      <c r="AA215" s="676"/>
    </row>
    <row r="216" spans="1:27" x14ac:dyDescent="0.25">
      <c r="A216" s="543"/>
      <c r="B216" s="736"/>
      <c r="C216" s="596" t="s">
        <v>98</v>
      </c>
      <c r="D216" s="438" t="s">
        <v>475</v>
      </c>
      <c r="E216" s="31" t="str">
        <f>" - " &amp; 'Giá NC'!E5</f>
        <v xml:space="preserve"> - Nhân công bậc 3,0/7 - Nhóm 1</v>
      </c>
      <c r="F216" s="736" t="str">
        <f>'Giá NC'!F5</f>
        <v>công</v>
      </c>
      <c r="G216" s="190">
        <f>'Phan tich don gia'!G167</f>
        <v>1.9</v>
      </c>
      <c r="H216" s="93">
        <f>'Giá NC'!K5</f>
        <v>218559</v>
      </c>
      <c r="I216" s="296">
        <f>'Du toan chi tiet'!W29</f>
        <v>1</v>
      </c>
      <c r="J216" s="93">
        <f>PRODUCT(G216,H216,I216)</f>
        <v>415262.1</v>
      </c>
      <c r="K216" s="676"/>
      <c r="L216" s="676"/>
      <c r="M216" s="676"/>
      <c r="N216" s="676"/>
      <c r="O216" s="676"/>
      <c r="P216" s="676"/>
      <c r="Q216" s="676"/>
      <c r="R216" s="676"/>
      <c r="S216" s="676"/>
      <c r="T216" s="676"/>
      <c r="U216" s="676"/>
      <c r="V216" s="676"/>
      <c r="W216" s="676"/>
      <c r="X216" s="676"/>
      <c r="Y216" s="676"/>
      <c r="Z216" s="676"/>
      <c r="AA216" s="676"/>
    </row>
    <row r="217" spans="1:27" x14ac:dyDescent="0.25">
      <c r="A217" s="89"/>
      <c r="B217" s="318">
        <v>22</v>
      </c>
      <c r="C217" s="149" t="str">
        <f>'Du toan chi tiet'!C30</f>
        <v>AB.13111</v>
      </c>
      <c r="D217" s="149" t="str">
        <f>'Du toan chi tiet'!C30</f>
        <v>AB.13111</v>
      </c>
      <c r="E217" s="665" t="str">
        <f>'Du toan chi tiet'!D30</f>
        <v>Đắp đất nền móng công trình, nền đường bằng thủ công</v>
      </c>
      <c r="F217" s="318" t="str">
        <f>'Du toan chi tiet'!E30</f>
        <v>m3</v>
      </c>
      <c r="G217" s="56"/>
      <c r="H217" s="435"/>
      <c r="I217" s="589"/>
      <c r="J217" s="367">
        <f>J218</f>
        <v>122393.04000000001</v>
      </c>
      <c r="K217" s="676"/>
      <c r="L217" s="676"/>
      <c r="M217" s="676"/>
      <c r="N217" s="676"/>
      <c r="O217" s="676"/>
      <c r="P217" s="676"/>
      <c r="Q217" s="676"/>
      <c r="R217" s="676"/>
      <c r="S217" s="676"/>
      <c r="T217" s="676"/>
      <c r="U217" s="676"/>
      <c r="V217" s="676"/>
      <c r="W217" s="676"/>
      <c r="X217" s="676"/>
      <c r="Y217" s="676"/>
      <c r="Z217" s="676"/>
      <c r="AA217" s="676"/>
    </row>
    <row r="218" spans="1:27" x14ac:dyDescent="0.25">
      <c r="A218" s="98"/>
      <c r="B218" s="380"/>
      <c r="C218" s="251" t="s">
        <v>98</v>
      </c>
      <c r="D218" s="251" t="s">
        <v>98</v>
      </c>
      <c r="E218" s="449" t="s">
        <v>301</v>
      </c>
      <c r="F218" s="380" t="s">
        <v>1018</v>
      </c>
      <c r="G218" s="607"/>
      <c r="H218" s="511"/>
      <c r="I218" s="684"/>
      <c r="J218" s="511">
        <f>SUM(J219:J219)</f>
        <v>122393.04000000001</v>
      </c>
      <c r="K218" s="676"/>
      <c r="L218" s="676"/>
      <c r="M218" s="676"/>
      <c r="N218" s="676"/>
      <c r="O218" s="676"/>
      <c r="P218" s="676"/>
      <c r="Q218" s="676"/>
      <c r="R218" s="676"/>
      <c r="S218" s="676"/>
      <c r="T218" s="676"/>
      <c r="U218" s="676"/>
      <c r="V218" s="676"/>
      <c r="W218" s="676"/>
      <c r="X218" s="676"/>
      <c r="Y218" s="676"/>
      <c r="Z218" s="676"/>
      <c r="AA218" s="676"/>
    </row>
    <row r="219" spans="1:27" x14ac:dyDescent="0.25">
      <c r="A219" s="543"/>
      <c r="B219" s="736"/>
      <c r="C219" s="596" t="s">
        <v>98</v>
      </c>
      <c r="D219" s="438" t="s">
        <v>475</v>
      </c>
      <c r="E219" s="31" t="str">
        <f>" - " &amp; 'Giá NC'!E5</f>
        <v xml:space="preserve"> - Nhân công bậc 3,0/7 - Nhóm 1</v>
      </c>
      <c r="F219" s="736" t="str">
        <f>'Giá NC'!F5</f>
        <v>công</v>
      </c>
      <c r="G219" s="190">
        <f>'Phan tich don gia'!G170</f>
        <v>0.56000000000000005</v>
      </c>
      <c r="H219" s="93">
        <f>'Giá NC'!K5</f>
        <v>218559</v>
      </c>
      <c r="I219" s="296">
        <f>'Du toan chi tiet'!W30</f>
        <v>1</v>
      </c>
      <c r="J219" s="93">
        <f>PRODUCT(G219,H219,I219)</f>
        <v>122393.04000000001</v>
      </c>
      <c r="K219" s="676"/>
      <c r="L219" s="676"/>
      <c r="M219" s="676"/>
      <c r="N219" s="676"/>
      <c r="O219" s="676"/>
      <c r="P219" s="676"/>
      <c r="Q219" s="676"/>
      <c r="R219" s="676"/>
      <c r="S219" s="676"/>
      <c r="T219" s="676"/>
      <c r="U219" s="676"/>
      <c r="V219" s="676"/>
      <c r="W219" s="676"/>
      <c r="X219" s="676"/>
      <c r="Y219" s="676"/>
      <c r="Z219" s="676"/>
      <c r="AA219" s="676"/>
    </row>
    <row r="220" spans="1:27" x14ac:dyDescent="0.25">
      <c r="A220" s="89"/>
      <c r="B220" s="318">
        <v>23</v>
      </c>
      <c r="C220" s="149" t="str">
        <f>'Du toan chi tiet'!C32</f>
        <v>AF.13413</v>
      </c>
      <c r="D220" s="149" t="str">
        <f>'Du toan chi tiet'!C32</f>
        <v>AF.13413</v>
      </c>
      <c r="E220" s="665" t="str">
        <f>'Du toan chi tiet'!D32</f>
        <v>Bê tông ống cống hình hộp SX bằng máy trộn, đổ bằng thủ công, bê tông M250, đá 1x2, PCB40</v>
      </c>
      <c r="F220" s="318" t="str">
        <f>'Du toan chi tiet'!E32</f>
        <v>m3</v>
      </c>
      <c r="G220" s="56"/>
      <c r="H220" s="435"/>
      <c r="I220" s="589"/>
      <c r="J220" s="367">
        <f>J221+J227+J229</f>
        <v>1590915.4019832953</v>
      </c>
      <c r="K220" s="676"/>
      <c r="L220" s="676"/>
      <c r="M220" s="676"/>
      <c r="N220" s="676"/>
      <c r="O220" s="676"/>
      <c r="P220" s="676"/>
      <c r="Q220" s="676"/>
      <c r="R220" s="676"/>
      <c r="S220" s="676"/>
      <c r="T220" s="676"/>
      <c r="U220" s="676"/>
      <c r="V220" s="676"/>
      <c r="W220" s="676"/>
      <c r="X220" s="676"/>
      <c r="Y220" s="676"/>
      <c r="Z220" s="676"/>
      <c r="AA220" s="676"/>
    </row>
    <row r="221" spans="1:27" x14ac:dyDescent="0.25">
      <c r="A221" s="98"/>
      <c r="B221" s="380"/>
      <c r="C221" s="251" t="s">
        <v>98</v>
      </c>
      <c r="D221" s="251" t="s">
        <v>98</v>
      </c>
      <c r="E221" s="449" t="s">
        <v>547</v>
      </c>
      <c r="F221" s="380" t="s">
        <v>962</v>
      </c>
      <c r="G221" s="607"/>
      <c r="H221" s="511"/>
      <c r="I221" s="684"/>
      <c r="J221" s="511">
        <f>SUM(J222:J226)</f>
        <v>979816.61098329537</v>
      </c>
      <c r="K221" s="676"/>
      <c r="L221" s="676"/>
      <c r="M221" s="676"/>
      <c r="N221" s="676"/>
      <c r="O221" s="676"/>
      <c r="P221" s="676"/>
      <c r="Q221" s="676"/>
      <c r="R221" s="676"/>
      <c r="S221" s="676"/>
      <c r="T221" s="676"/>
      <c r="U221" s="676"/>
      <c r="V221" s="676"/>
      <c r="W221" s="676"/>
      <c r="X221" s="676"/>
      <c r="Y221" s="676"/>
      <c r="Z221" s="676"/>
      <c r="AA221" s="676"/>
    </row>
    <row r="222" spans="1:27" x14ac:dyDescent="0.25">
      <c r="A222" s="139"/>
      <c r="B222" s="32"/>
      <c r="C222" s="644" t="s">
        <v>98</v>
      </c>
      <c r="D222" s="507" t="s">
        <v>235</v>
      </c>
      <c r="E222" s="107" t="str">
        <f>" - " &amp; 'Giá VL'!E37</f>
        <v xml:space="preserve"> - Xi măng PCB40</v>
      </c>
      <c r="F222" s="32" t="str">
        <f>'Giá VL'!F37</f>
        <v>kg</v>
      </c>
      <c r="G222" s="270">
        <f>'Phan tich don gia'!G173</f>
        <v>308.52499999999998</v>
      </c>
      <c r="H222" s="179">
        <f>'Giá VL'!V37</f>
        <v>1587.7239999999999</v>
      </c>
      <c r="I222" s="347">
        <f>'Du toan chi tiet'!V32</f>
        <v>1</v>
      </c>
      <c r="J222" s="179">
        <f t="shared" ref="J222:J226" si="21">PRODUCT(G222,H222,I222)</f>
        <v>489852.54709999997</v>
      </c>
      <c r="K222" s="676"/>
      <c r="L222" s="676"/>
      <c r="M222" s="676"/>
      <c r="N222" s="676"/>
      <c r="O222" s="676"/>
      <c r="P222" s="676"/>
      <c r="Q222" s="676"/>
      <c r="R222" s="676"/>
      <c r="S222" s="676"/>
      <c r="T222" s="676"/>
      <c r="U222" s="676"/>
      <c r="V222" s="676"/>
      <c r="W222" s="676"/>
      <c r="X222" s="676"/>
      <c r="Y222" s="676"/>
      <c r="Z222" s="676"/>
      <c r="AA222" s="676"/>
    </row>
    <row r="223" spans="1:27" x14ac:dyDescent="0.25">
      <c r="A223" s="139"/>
      <c r="B223" s="32"/>
      <c r="C223" s="644" t="s">
        <v>98</v>
      </c>
      <c r="D223" s="507" t="s">
        <v>523</v>
      </c>
      <c r="E223" s="107" t="str">
        <f>" - " &amp; 'Giá VL'!E9</f>
        <v xml:space="preserve"> - Cát vàng</v>
      </c>
      <c r="F223" s="32" t="str">
        <f>'Giá VL'!F9</f>
        <v>m3</v>
      </c>
      <c r="G223" s="270">
        <f>'Phan tich don gia'!G174</f>
        <v>0.53197499999999998</v>
      </c>
      <c r="H223" s="179">
        <f>'Giá VL'!V9</f>
        <v>345317.29174999997</v>
      </c>
      <c r="I223" s="347">
        <f>'Du toan chi tiet'!V32</f>
        <v>1</v>
      </c>
      <c r="J223" s="179">
        <f t="shared" si="21"/>
        <v>183700.16627870622</v>
      </c>
      <c r="K223" s="676"/>
      <c r="L223" s="676"/>
      <c r="M223" s="676"/>
      <c r="N223" s="676"/>
      <c r="O223" s="676"/>
      <c r="P223" s="676"/>
      <c r="Q223" s="676"/>
      <c r="R223" s="676"/>
      <c r="S223" s="676"/>
      <c r="T223" s="676"/>
      <c r="U223" s="676"/>
      <c r="V223" s="676"/>
      <c r="W223" s="676"/>
      <c r="X223" s="676"/>
      <c r="Y223" s="676"/>
      <c r="Z223" s="676"/>
      <c r="AA223" s="676"/>
    </row>
    <row r="224" spans="1:27" x14ac:dyDescent="0.25">
      <c r="A224" s="139"/>
      <c r="B224" s="32"/>
      <c r="C224" s="644" t="s">
        <v>98</v>
      </c>
      <c r="D224" s="507" t="s">
        <v>123</v>
      </c>
      <c r="E224" s="107" t="str">
        <f>" - " &amp; 'Giá VL'!E11</f>
        <v xml:space="preserve"> - Đá 1x2</v>
      </c>
      <c r="F224" s="32" t="str">
        <f>'Giá VL'!F11</f>
        <v>m3</v>
      </c>
      <c r="G224" s="270">
        <f>'Phan tich don gia'!G175</f>
        <v>0.87637500000000002</v>
      </c>
      <c r="H224" s="179">
        <f>'Giá VL'!V11</f>
        <v>325404.14456500002</v>
      </c>
      <c r="I224" s="347">
        <f>'Du toan chi tiet'!V32</f>
        <v>1</v>
      </c>
      <c r="J224" s="179">
        <f t="shared" si="21"/>
        <v>285176.05719315191</v>
      </c>
      <c r="K224" s="676"/>
      <c r="L224" s="676"/>
      <c r="M224" s="676"/>
      <c r="N224" s="676"/>
      <c r="O224" s="676"/>
      <c r="P224" s="676"/>
      <c r="Q224" s="676"/>
      <c r="R224" s="676"/>
      <c r="S224" s="676"/>
      <c r="T224" s="676"/>
      <c r="U224" s="676"/>
      <c r="V224" s="676"/>
      <c r="W224" s="676"/>
      <c r="X224" s="676"/>
      <c r="Y224" s="676"/>
      <c r="Z224" s="676"/>
      <c r="AA224" s="676"/>
    </row>
    <row r="225" spans="1:27" x14ac:dyDescent="0.25">
      <c r="A225" s="139"/>
      <c r="B225" s="32"/>
      <c r="C225" s="644" t="s">
        <v>98</v>
      </c>
      <c r="D225" s="507" t="s">
        <v>956</v>
      </c>
      <c r="E225" s="107" t="str">
        <f>" - " &amp; 'Giá VL'!E23</f>
        <v xml:space="preserve"> - Nước</v>
      </c>
      <c r="F225" s="32" t="str">
        <f>'Giá VL'!F23</f>
        <v>lít</v>
      </c>
      <c r="G225" s="270">
        <f>'Phan tich don gia'!G176</f>
        <v>187.57499999999999</v>
      </c>
      <c r="H225" s="179">
        <f>'Giá VL'!V23</f>
        <v>10</v>
      </c>
      <c r="I225" s="347">
        <f>'Du toan chi tiet'!V32</f>
        <v>1</v>
      </c>
      <c r="J225" s="179">
        <f t="shared" si="21"/>
        <v>1875.75</v>
      </c>
      <c r="K225" s="676"/>
      <c r="L225" s="676"/>
      <c r="M225" s="676"/>
      <c r="N225" s="676"/>
      <c r="O225" s="676"/>
      <c r="P225" s="676"/>
      <c r="Q225" s="676"/>
      <c r="R225" s="676"/>
      <c r="S225" s="676"/>
      <c r="T225" s="676"/>
      <c r="U225" s="676"/>
      <c r="V225" s="676"/>
      <c r="W225" s="676"/>
      <c r="X225" s="676"/>
      <c r="Y225" s="676"/>
      <c r="Z225" s="676"/>
      <c r="AA225" s="676"/>
    </row>
    <row r="226" spans="1:27" x14ac:dyDescent="0.25">
      <c r="A226" s="139"/>
      <c r="B226" s="32"/>
      <c r="C226" s="644" t="s">
        <v>98</v>
      </c>
      <c r="D226" s="507" t="s">
        <v>667</v>
      </c>
      <c r="E226" s="107" t="s">
        <v>238</v>
      </c>
      <c r="F226" s="32" t="s">
        <v>1113</v>
      </c>
      <c r="G226" s="270">
        <f>'Phan tich don gia'!G177</f>
        <v>2</v>
      </c>
      <c r="H226" s="179">
        <f>(G222*H222+G223*H223+G224*H224+G225*H225)/100</f>
        <v>9606.0452057185812</v>
      </c>
      <c r="I226" s="347">
        <f>'Du toan chi tiet'!V32</f>
        <v>1</v>
      </c>
      <c r="J226" s="179">
        <f t="shared" si="21"/>
        <v>19212.090411437162</v>
      </c>
      <c r="K226" s="676"/>
      <c r="L226" s="676"/>
      <c r="M226" s="676"/>
      <c r="N226" s="676"/>
      <c r="O226" s="676"/>
      <c r="P226" s="676"/>
      <c r="Q226" s="676"/>
      <c r="R226" s="676"/>
      <c r="S226" s="676"/>
      <c r="T226" s="676"/>
      <c r="U226" s="676"/>
      <c r="V226" s="676"/>
      <c r="W226" s="676"/>
      <c r="X226" s="676"/>
      <c r="Y226" s="676"/>
      <c r="Z226" s="676"/>
      <c r="AA226" s="676"/>
    </row>
    <row r="227" spans="1:27" x14ac:dyDescent="0.25">
      <c r="A227" s="98"/>
      <c r="B227" s="380"/>
      <c r="C227" s="251" t="s">
        <v>98</v>
      </c>
      <c r="D227" s="251" t="s">
        <v>98</v>
      </c>
      <c r="E227" s="449" t="s">
        <v>301</v>
      </c>
      <c r="F227" s="380" t="s">
        <v>1018</v>
      </c>
      <c r="G227" s="607"/>
      <c r="H227" s="511"/>
      <c r="I227" s="684"/>
      <c r="J227" s="511">
        <f>SUM(J228:J228)</f>
        <v>557362</v>
      </c>
      <c r="K227" s="676"/>
      <c r="L227" s="676"/>
      <c r="M227" s="676"/>
      <c r="N227" s="676"/>
      <c r="O227" s="676"/>
      <c r="P227" s="676"/>
      <c r="Q227" s="676"/>
      <c r="R227" s="676"/>
      <c r="S227" s="676"/>
      <c r="T227" s="676"/>
      <c r="U227" s="676"/>
      <c r="V227" s="676"/>
      <c r="W227" s="676"/>
      <c r="X227" s="676"/>
      <c r="Y227" s="676"/>
      <c r="Z227" s="676"/>
      <c r="AA227" s="676"/>
    </row>
    <row r="228" spans="1:27" x14ac:dyDescent="0.25">
      <c r="A228" s="139"/>
      <c r="B228" s="32"/>
      <c r="C228" s="644" t="s">
        <v>98</v>
      </c>
      <c r="D228" s="507" t="s">
        <v>706</v>
      </c>
      <c r="E228" s="107" t="str">
        <f>" - " &amp; 'Giá NC'!E8</f>
        <v xml:space="preserve"> - Nhân công bậc 3,5/7 - Nhóm 2</v>
      </c>
      <c r="F228" s="32" t="str">
        <f>'Giá NC'!F8</f>
        <v>công</v>
      </c>
      <c r="G228" s="270">
        <f>'Phan tich don gia'!G179</f>
        <v>2.21</v>
      </c>
      <c r="H228" s="179">
        <f>'Giá NC'!K8</f>
        <v>252200</v>
      </c>
      <c r="I228" s="347">
        <f>'Du toan chi tiet'!W32</f>
        <v>1</v>
      </c>
      <c r="J228" s="179">
        <f>PRODUCT(G228,H228,I228)</f>
        <v>557362</v>
      </c>
      <c r="K228" s="676"/>
      <c r="L228" s="676"/>
      <c r="M228" s="676"/>
      <c r="N228" s="676"/>
      <c r="O228" s="676"/>
      <c r="P228" s="676"/>
      <c r="Q228" s="676"/>
      <c r="R228" s="676"/>
      <c r="S228" s="676"/>
      <c r="T228" s="676"/>
      <c r="U228" s="676"/>
      <c r="V228" s="676"/>
      <c r="W228" s="676"/>
      <c r="X228" s="676"/>
      <c r="Y228" s="676"/>
      <c r="Z228" s="676"/>
      <c r="AA228" s="676"/>
    </row>
    <row r="229" spans="1:27" x14ac:dyDescent="0.25">
      <c r="A229" s="98"/>
      <c r="B229" s="380"/>
      <c r="C229" s="251" t="s">
        <v>98</v>
      </c>
      <c r="D229" s="251" t="s">
        <v>98</v>
      </c>
      <c r="E229" s="449" t="s">
        <v>1175</v>
      </c>
      <c r="F229" s="380" t="s">
        <v>138</v>
      </c>
      <c r="G229" s="607"/>
      <c r="H229" s="511"/>
      <c r="I229" s="684"/>
      <c r="J229" s="511">
        <f>SUM(J230:J232)</f>
        <v>53736.791000000005</v>
      </c>
      <c r="K229" s="676"/>
      <c r="L229" s="676"/>
      <c r="M229" s="676"/>
      <c r="N229" s="676"/>
      <c r="O229" s="676"/>
      <c r="P229" s="676"/>
      <c r="Q229" s="676"/>
      <c r="R229" s="676"/>
      <c r="S229" s="676"/>
      <c r="T229" s="676"/>
      <c r="U229" s="676"/>
      <c r="V229" s="676"/>
      <c r="W229" s="676"/>
      <c r="X229" s="676"/>
      <c r="Y229" s="676"/>
      <c r="Z229" s="676"/>
      <c r="AA229" s="676"/>
    </row>
    <row r="230" spans="1:27" x14ac:dyDescent="0.25">
      <c r="A230" s="139"/>
      <c r="B230" s="32"/>
      <c r="C230" s="644" t="s">
        <v>98</v>
      </c>
      <c r="D230" s="507" t="s">
        <v>113</v>
      </c>
      <c r="E230" s="107" t="str">
        <f>" - " &amp; 'Giá Máy'!E20</f>
        <v xml:space="preserve"> - Máy trộn bê tông 250 lít</v>
      </c>
      <c r="F230" s="32" t="str">
        <f>'Giá Máy'!F20</f>
        <v>ca</v>
      </c>
      <c r="G230" s="270">
        <f>'Phan tich don gia'!G181</f>
        <v>9.5000000000000001E-2</v>
      </c>
      <c r="H230" s="179">
        <f>'Giá Máy'!J20</f>
        <v>317242</v>
      </c>
      <c r="I230" s="347">
        <f>'Du toan chi tiet'!X32</f>
        <v>1</v>
      </c>
      <c r="J230" s="179">
        <f t="shared" ref="J230:J231" si="22">PRODUCT(G230,H230,I230)</f>
        <v>30137.99</v>
      </c>
      <c r="K230" s="676"/>
      <c r="L230" s="676"/>
      <c r="M230" s="676"/>
      <c r="N230" s="676"/>
      <c r="O230" s="676"/>
      <c r="P230" s="676"/>
      <c r="Q230" s="676"/>
      <c r="R230" s="676"/>
      <c r="S230" s="676"/>
      <c r="T230" s="676"/>
      <c r="U230" s="676"/>
      <c r="V230" s="676"/>
      <c r="W230" s="676"/>
      <c r="X230" s="676"/>
      <c r="Y230" s="676"/>
      <c r="Z230" s="676"/>
      <c r="AA230" s="676"/>
    </row>
    <row r="231" spans="1:27" x14ac:dyDescent="0.25">
      <c r="A231" s="139"/>
      <c r="B231" s="32"/>
      <c r="C231" s="644" t="s">
        <v>98</v>
      </c>
      <c r="D231" s="507" t="s">
        <v>194</v>
      </c>
      <c r="E231" s="107" t="str">
        <f>" - " &amp; 'Giá Máy'!E12</f>
        <v xml:space="preserve"> - Máy đầm dùi 1,5kW</v>
      </c>
      <c r="F231" s="32" t="str">
        <f>'Giá Máy'!F12</f>
        <v>ca</v>
      </c>
      <c r="G231" s="270">
        <f>'Phan tich don gia'!G182</f>
        <v>8.8999999999999996E-2</v>
      </c>
      <c r="H231" s="179">
        <f>'Giá Máy'!J12</f>
        <v>265153</v>
      </c>
      <c r="I231" s="347">
        <f>'Du toan chi tiet'!X32</f>
        <v>1</v>
      </c>
      <c r="J231" s="179">
        <f t="shared" si="22"/>
        <v>23598.616999999998</v>
      </c>
      <c r="K231" s="676"/>
      <c r="L231" s="676"/>
      <c r="M231" s="676"/>
      <c r="N231" s="676"/>
      <c r="O231" s="676"/>
      <c r="P231" s="676"/>
      <c r="Q231" s="676"/>
      <c r="R231" s="676"/>
      <c r="S231" s="676"/>
      <c r="T231" s="676"/>
      <c r="U231" s="676"/>
      <c r="V231" s="676"/>
      <c r="W231" s="676"/>
      <c r="X231" s="676"/>
      <c r="Y231" s="676"/>
      <c r="Z231" s="676"/>
      <c r="AA231" s="676"/>
    </row>
    <row r="232" spans="1:27" x14ac:dyDescent="0.25">
      <c r="A232" s="139"/>
      <c r="B232" s="32"/>
      <c r="C232" s="644" t="s">
        <v>98</v>
      </c>
      <c r="D232" s="507" t="s">
        <v>98</v>
      </c>
      <c r="E232" s="107" t="s">
        <v>1230</v>
      </c>
      <c r="F232" s="32"/>
      <c r="G232" s="277"/>
      <c r="H232" s="179"/>
      <c r="I232" s="347"/>
      <c r="J232" s="179">
        <f>SUM(J233:J234)</f>
        <v>0.184</v>
      </c>
      <c r="K232" s="676"/>
      <c r="L232" s="676"/>
      <c r="M232" s="676"/>
      <c r="N232" s="676"/>
      <c r="O232" s="676"/>
      <c r="P232" s="676"/>
      <c r="Q232" s="676"/>
      <c r="R232" s="676"/>
      <c r="S232" s="676"/>
      <c r="T232" s="676"/>
      <c r="U232" s="676"/>
      <c r="V232" s="676"/>
      <c r="W232" s="676"/>
      <c r="X232" s="676"/>
      <c r="Y232" s="676"/>
      <c r="Z232" s="676"/>
      <c r="AA232" s="676"/>
    </row>
    <row r="233" spans="1:27" x14ac:dyDescent="0.25">
      <c r="A233" s="139"/>
      <c r="B233" s="32"/>
      <c r="C233" s="644" t="s">
        <v>98</v>
      </c>
      <c r="D233" s="507" t="s">
        <v>98</v>
      </c>
      <c r="E233" s="107" t="s">
        <v>52</v>
      </c>
      <c r="F233" s="32"/>
      <c r="G233" s="277"/>
      <c r="H233" s="179"/>
      <c r="I233" s="347"/>
      <c r="J233" s="179">
        <f>PRODUCT(G230,I230,'Giá Máy'!L20)+PRODUCT(G231,I231,'Giá Máy'!L12)</f>
        <v>0</v>
      </c>
      <c r="K233" s="676"/>
      <c r="L233" s="676"/>
      <c r="M233" s="676"/>
      <c r="N233" s="676"/>
      <c r="O233" s="676"/>
      <c r="P233" s="676"/>
      <c r="Q233" s="676"/>
      <c r="R233" s="676"/>
      <c r="S233" s="676"/>
      <c r="T233" s="676"/>
      <c r="U233" s="676"/>
      <c r="V233" s="676"/>
      <c r="W233" s="676"/>
      <c r="X233" s="676"/>
      <c r="Y233" s="676"/>
      <c r="Z233" s="676"/>
      <c r="AA233" s="676"/>
    </row>
    <row r="234" spans="1:27" x14ac:dyDescent="0.25">
      <c r="A234" s="543"/>
      <c r="B234" s="736"/>
      <c r="C234" s="596" t="s">
        <v>98</v>
      </c>
      <c r="D234" s="438" t="s">
        <v>98</v>
      </c>
      <c r="E234" s="31" t="s">
        <v>597</v>
      </c>
      <c r="F234" s="736"/>
      <c r="G234" s="231"/>
      <c r="H234" s="93"/>
      <c r="I234" s="296"/>
      <c r="J234" s="93">
        <f>PRODUCT(G230,I230,'Giá Máy'!M20)+PRODUCT(G231,I231,'Giá Máy'!M12)</f>
        <v>0.184</v>
      </c>
      <c r="K234" s="676"/>
      <c r="L234" s="676"/>
      <c r="M234" s="676"/>
      <c r="N234" s="676"/>
      <c r="O234" s="676"/>
      <c r="P234" s="676"/>
      <c r="Q234" s="676"/>
      <c r="R234" s="676"/>
      <c r="S234" s="676"/>
      <c r="T234" s="676"/>
      <c r="U234" s="676"/>
      <c r="V234" s="676"/>
      <c r="W234" s="676"/>
      <c r="X234" s="676"/>
      <c r="Y234" s="676"/>
      <c r="Z234" s="676"/>
      <c r="AA234" s="676"/>
    </row>
    <row r="235" spans="1:27" x14ac:dyDescent="0.25">
      <c r="A235" s="89"/>
      <c r="B235" s="318">
        <v>24</v>
      </c>
      <c r="C235" s="149" t="str">
        <f>'Du toan chi tiet'!C33</f>
        <v>AF.63310</v>
      </c>
      <c r="D235" s="149" t="str">
        <f>'Du toan chi tiet'!C33</f>
        <v>AF.63310</v>
      </c>
      <c r="E235" s="665" t="str">
        <f>'Du toan chi tiet'!D33</f>
        <v>Lắp dựng cốt thép cống, ĐK ≤10mm</v>
      </c>
      <c r="F235" s="318" t="str">
        <f>'Du toan chi tiet'!E33</f>
        <v>tấn</v>
      </c>
      <c r="G235" s="56"/>
      <c r="H235" s="435"/>
      <c r="I235" s="589"/>
      <c r="J235" s="367">
        <f>J236+J239+J241</f>
        <v>19583526.075371951</v>
      </c>
      <c r="K235" s="676"/>
      <c r="L235" s="676"/>
      <c r="M235" s="676"/>
      <c r="N235" s="676"/>
      <c r="O235" s="676"/>
      <c r="P235" s="676"/>
      <c r="Q235" s="676"/>
      <c r="R235" s="676"/>
      <c r="S235" s="676"/>
      <c r="T235" s="676"/>
      <c r="U235" s="676"/>
      <c r="V235" s="676"/>
      <c r="W235" s="676"/>
      <c r="X235" s="676"/>
      <c r="Y235" s="676"/>
      <c r="Z235" s="676"/>
      <c r="AA235" s="676"/>
    </row>
    <row r="236" spans="1:27" x14ac:dyDescent="0.25">
      <c r="A236" s="98"/>
      <c r="B236" s="380"/>
      <c r="C236" s="251" t="s">
        <v>98</v>
      </c>
      <c r="D236" s="251" t="s">
        <v>98</v>
      </c>
      <c r="E236" s="449" t="s">
        <v>547</v>
      </c>
      <c r="F236" s="380" t="s">
        <v>962</v>
      </c>
      <c r="G236" s="607"/>
      <c r="H236" s="511"/>
      <c r="I236" s="684"/>
      <c r="J236" s="511">
        <f>SUM(J237:J238)</f>
        <v>14800769.27537195</v>
      </c>
      <c r="K236" s="676"/>
      <c r="L236" s="676"/>
      <c r="M236" s="676"/>
      <c r="N236" s="676"/>
      <c r="O236" s="676"/>
      <c r="P236" s="676"/>
      <c r="Q236" s="676"/>
      <c r="R236" s="676"/>
      <c r="S236" s="676"/>
      <c r="T236" s="676"/>
      <c r="U236" s="676"/>
      <c r="V236" s="676"/>
      <c r="W236" s="676"/>
      <c r="X236" s="676"/>
      <c r="Y236" s="676"/>
      <c r="Z236" s="676"/>
      <c r="AA236" s="676"/>
    </row>
    <row r="237" spans="1:27" x14ac:dyDescent="0.25">
      <c r="A237" s="139"/>
      <c r="B237" s="32"/>
      <c r="C237" s="644" t="s">
        <v>98</v>
      </c>
      <c r="D237" s="507" t="s">
        <v>132</v>
      </c>
      <c r="E237" s="107" t="str">
        <f>" - " &amp; 'Giá VL'!E32</f>
        <v xml:space="preserve"> - Thép tròn Fi ≤10mm</v>
      </c>
      <c r="F237" s="32" t="str">
        <f>'Giá VL'!F32</f>
        <v>kg</v>
      </c>
      <c r="G237" s="270">
        <f>'Phan tich don gia'!G185</f>
        <v>1005</v>
      </c>
      <c r="H237" s="179">
        <f>'Giá VL'!V32</f>
        <v>14466.49579639</v>
      </c>
      <c r="I237" s="347">
        <f>'Du toan chi tiet'!V33</f>
        <v>1</v>
      </c>
      <c r="J237" s="179">
        <f t="shared" ref="J237:J238" si="23">PRODUCT(G237,H237,I237)</f>
        <v>14538828.27537195</v>
      </c>
      <c r="K237" s="676"/>
      <c r="L237" s="676"/>
      <c r="M237" s="676"/>
      <c r="N237" s="676"/>
      <c r="O237" s="676"/>
      <c r="P237" s="676"/>
      <c r="Q237" s="676"/>
      <c r="R237" s="676"/>
      <c r="S237" s="676"/>
      <c r="T237" s="676"/>
      <c r="U237" s="676"/>
      <c r="V237" s="676"/>
      <c r="W237" s="676"/>
      <c r="X237" s="676"/>
      <c r="Y237" s="676"/>
      <c r="Z237" s="676"/>
      <c r="AA237" s="676"/>
    </row>
    <row r="238" spans="1:27" x14ac:dyDescent="0.25">
      <c r="A238" s="139"/>
      <c r="B238" s="32"/>
      <c r="C238" s="644" t="s">
        <v>98</v>
      </c>
      <c r="D238" s="507" t="s">
        <v>901</v>
      </c>
      <c r="E238" s="107" t="str">
        <f>" - " &amp; 'Giá VL'!E14</f>
        <v xml:space="preserve"> - Dây thép</v>
      </c>
      <c r="F238" s="32" t="str">
        <f>'Giá VL'!F14</f>
        <v>kg</v>
      </c>
      <c r="G238" s="270">
        <f>'Phan tich don gia'!G186</f>
        <v>16.07</v>
      </c>
      <c r="H238" s="179">
        <f>'Giá VL'!V14</f>
        <v>16300</v>
      </c>
      <c r="I238" s="347">
        <f>'Du toan chi tiet'!V33</f>
        <v>1</v>
      </c>
      <c r="J238" s="179">
        <f t="shared" si="23"/>
        <v>261941</v>
      </c>
      <c r="K238" s="676"/>
      <c r="L238" s="676"/>
      <c r="M238" s="676"/>
      <c r="N238" s="676"/>
      <c r="O238" s="676"/>
      <c r="P238" s="676"/>
      <c r="Q238" s="676"/>
      <c r="R238" s="676"/>
      <c r="S238" s="676"/>
      <c r="T238" s="676"/>
      <c r="U238" s="676"/>
      <c r="V238" s="676"/>
      <c r="W238" s="676"/>
      <c r="X238" s="676"/>
      <c r="Y238" s="676"/>
      <c r="Z238" s="676"/>
      <c r="AA238" s="676"/>
    </row>
    <row r="239" spans="1:27" x14ac:dyDescent="0.25">
      <c r="A239" s="98"/>
      <c r="B239" s="380"/>
      <c r="C239" s="251" t="s">
        <v>98</v>
      </c>
      <c r="D239" s="251" t="s">
        <v>98</v>
      </c>
      <c r="E239" s="449" t="s">
        <v>301</v>
      </c>
      <c r="F239" s="380" t="s">
        <v>1018</v>
      </c>
      <c r="G239" s="607"/>
      <c r="H239" s="511"/>
      <c r="I239" s="684"/>
      <c r="J239" s="511">
        <f>SUM(J240:J240)</f>
        <v>4673266</v>
      </c>
      <c r="K239" s="676"/>
      <c r="L239" s="676"/>
      <c r="M239" s="676"/>
      <c r="N239" s="676"/>
      <c r="O239" s="676"/>
      <c r="P239" s="676"/>
      <c r="Q239" s="676"/>
      <c r="R239" s="676"/>
      <c r="S239" s="676"/>
      <c r="T239" s="676"/>
      <c r="U239" s="676"/>
      <c r="V239" s="676"/>
      <c r="W239" s="676"/>
      <c r="X239" s="676"/>
      <c r="Y239" s="676"/>
      <c r="Z239" s="676"/>
      <c r="AA239" s="676"/>
    </row>
    <row r="240" spans="1:27" x14ac:dyDescent="0.25">
      <c r="A240" s="139"/>
      <c r="B240" s="32"/>
      <c r="C240" s="644" t="s">
        <v>98</v>
      </c>
      <c r="D240" s="507" t="s">
        <v>706</v>
      </c>
      <c r="E240" s="107" t="str">
        <f>" - " &amp; 'Giá NC'!E8</f>
        <v xml:space="preserve"> - Nhân công bậc 3,5/7 - Nhóm 2</v>
      </c>
      <c r="F240" s="32" t="str">
        <f>'Giá NC'!F8</f>
        <v>công</v>
      </c>
      <c r="G240" s="270">
        <f>'Phan tich don gia'!G188</f>
        <v>18.53</v>
      </c>
      <c r="H240" s="179">
        <f>'Giá NC'!K8</f>
        <v>252200</v>
      </c>
      <c r="I240" s="347">
        <f>'Du toan chi tiet'!W33</f>
        <v>1</v>
      </c>
      <c r="J240" s="179">
        <f>PRODUCT(G240,H240,I240)</f>
        <v>4673266</v>
      </c>
      <c r="K240" s="676"/>
      <c r="L240" s="676"/>
      <c r="M240" s="676"/>
      <c r="N240" s="676"/>
      <c r="O240" s="676"/>
      <c r="P240" s="676"/>
      <c r="Q240" s="676"/>
      <c r="R240" s="676"/>
      <c r="S240" s="676"/>
      <c r="T240" s="676"/>
      <c r="U240" s="676"/>
      <c r="V240" s="676"/>
      <c r="W240" s="676"/>
      <c r="X240" s="676"/>
      <c r="Y240" s="676"/>
      <c r="Z240" s="676"/>
      <c r="AA240" s="676"/>
    </row>
    <row r="241" spans="1:27" x14ac:dyDescent="0.25">
      <c r="A241" s="98"/>
      <c r="B241" s="380"/>
      <c r="C241" s="251" t="s">
        <v>98</v>
      </c>
      <c r="D241" s="251" t="s">
        <v>98</v>
      </c>
      <c r="E241" s="449" t="s">
        <v>1175</v>
      </c>
      <c r="F241" s="380" t="s">
        <v>138</v>
      </c>
      <c r="G241" s="607"/>
      <c r="H241" s="511"/>
      <c r="I241" s="684"/>
      <c r="J241" s="511">
        <f>SUM(J242:J243)</f>
        <v>109490.8</v>
      </c>
      <c r="K241" s="676"/>
      <c r="L241" s="676"/>
      <c r="M241" s="676"/>
      <c r="N241" s="676"/>
      <c r="O241" s="676"/>
      <c r="P241" s="676"/>
      <c r="Q241" s="676"/>
      <c r="R241" s="676"/>
      <c r="S241" s="676"/>
      <c r="T241" s="676"/>
      <c r="U241" s="676"/>
      <c r="V241" s="676"/>
      <c r="W241" s="676"/>
      <c r="X241" s="676"/>
      <c r="Y241" s="676"/>
      <c r="Z241" s="676"/>
      <c r="AA241" s="676"/>
    </row>
    <row r="242" spans="1:27" x14ac:dyDescent="0.25">
      <c r="A242" s="139"/>
      <c r="B242" s="32"/>
      <c r="C242" s="644" t="s">
        <v>98</v>
      </c>
      <c r="D242" s="507" t="s">
        <v>239</v>
      </c>
      <c r="E242" s="107" t="str">
        <f>" - " &amp; 'Giá Máy'!E9</f>
        <v xml:space="preserve"> - Máy cắt uốn cốt thép 5kW</v>
      </c>
      <c r="F242" s="32" t="str">
        <f>'Giá Máy'!F9</f>
        <v>ca</v>
      </c>
      <c r="G242" s="270">
        <f>'Phan tich don gia'!G190</f>
        <v>0.4</v>
      </c>
      <c r="H242" s="179">
        <f>'Giá Máy'!J9</f>
        <v>273726</v>
      </c>
      <c r="I242" s="347">
        <f>'Du toan chi tiet'!X33</f>
        <v>1</v>
      </c>
      <c r="J242" s="179">
        <f>PRODUCT(G242,H242,I242)</f>
        <v>109490.40000000001</v>
      </c>
      <c r="K242" s="676"/>
      <c r="L242" s="676"/>
      <c r="M242" s="676"/>
      <c r="N242" s="676"/>
      <c r="O242" s="676"/>
      <c r="P242" s="676"/>
      <c r="Q242" s="676"/>
      <c r="R242" s="676"/>
      <c r="S242" s="676"/>
      <c r="T242" s="676"/>
      <c r="U242" s="676"/>
      <c r="V242" s="676"/>
      <c r="W242" s="676"/>
      <c r="X242" s="676"/>
      <c r="Y242" s="676"/>
      <c r="Z242" s="676"/>
      <c r="AA242" s="676"/>
    </row>
    <row r="243" spans="1:27" x14ac:dyDescent="0.25">
      <c r="A243" s="139"/>
      <c r="B243" s="32"/>
      <c r="C243" s="644" t="s">
        <v>98</v>
      </c>
      <c r="D243" s="507" t="s">
        <v>98</v>
      </c>
      <c r="E243" s="107" t="s">
        <v>1230</v>
      </c>
      <c r="F243" s="32"/>
      <c r="G243" s="277"/>
      <c r="H243" s="179"/>
      <c r="I243" s="347"/>
      <c r="J243" s="179">
        <f>SUM(J244:J245)</f>
        <v>0.4</v>
      </c>
      <c r="K243" s="676"/>
      <c r="L243" s="676"/>
      <c r="M243" s="676"/>
      <c r="N243" s="676"/>
      <c r="O243" s="676"/>
      <c r="P243" s="676"/>
      <c r="Q243" s="676"/>
      <c r="R243" s="676"/>
      <c r="S243" s="676"/>
      <c r="T243" s="676"/>
      <c r="U243" s="676"/>
      <c r="V243" s="676"/>
      <c r="W243" s="676"/>
      <c r="X243" s="676"/>
      <c r="Y243" s="676"/>
      <c r="Z243" s="676"/>
      <c r="AA243" s="676"/>
    </row>
    <row r="244" spans="1:27" x14ac:dyDescent="0.25">
      <c r="A244" s="139"/>
      <c r="B244" s="32"/>
      <c r="C244" s="644" t="s">
        <v>98</v>
      </c>
      <c r="D244" s="507" t="s">
        <v>98</v>
      </c>
      <c r="E244" s="107" t="s">
        <v>52</v>
      </c>
      <c r="F244" s="32"/>
      <c r="G244" s="277"/>
      <c r="H244" s="179"/>
      <c r="I244" s="347"/>
      <c r="J244" s="179">
        <f>PRODUCT(G242,I242,'Giá Máy'!L9)</f>
        <v>0</v>
      </c>
      <c r="K244" s="676"/>
      <c r="L244" s="676"/>
      <c r="M244" s="676"/>
      <c r="N244" s="676"/>
      <c r="O244" s="676"/>
      <c r="P244" s="676"/>
      <c r="Q244" s="676"/>
      <c r="R244" s="676"/>
      <c r="S244" s="676"/>
      <c r="T244" s="676"/>
      <c r="U244" s="676"/>
      <c r="V244" s="676"/>
      <c r="W244" s="676"/>
      <c r="X244" s="676"/>
      <c r="Y244" s="676"/>
      <c r="Z244" s="676"/>
      <c r="AA244" s="676"/>
    </row>
    <row r="245" spans="1:27" x14ac:dyDescent="0.25">
      <c r="A245" s="543"/>
      <c r="B245" s="736"/>
      <c r="C245" s="596" t="s">
        <v>98</v>
      </c>
      <c r="D245" s="438" t="s">
        <v>98</v>
      </c>
      <c r="E245" s="31" t="s">
        <v>597</v>
      </c>
      <c r="F245" s="736"/>
      <c r="G245" s="231"/>
      <c r="H245" s="93"/>
      <c r="I245" s="296"/>
      <c r="J245" s="93">
        <f>PRODUCT(G242,I242,'Giá Máy'!M9)</f>
        <v>0.4</v>
      </c>
      <c r="K245" s="676"/>
      <c r="L245" s="676"/>
      <c r="M245" s="676"/>
      <c r="N245" s="676"/>
      <c r="O245" s="676"/>
      <c r="P245" s="676"/>
      <c r="Q245" s="676"/>
      <c r="R245" s="676"/>
      <c r="S245" s="676"/>
      <c r="T245" s="676"/>
      <c r="U245" s="676"/>
      <c r="V245" s="676"/>
      <c r="W245" s="676"/>
      <c r="X245" s="676"/>
      <c r="Y245" s="676"/>
      <c r="Z245" s="676"/>
      <c r="AA245" s="676"/>
    </row>
    <row r="246" spans="1:27" x14ac:dyDescent="0.25">
      <c r="A246" s="89"/>
      <c r="B246" s="318">
        <v>25</v>
      </c>
      <c r="C246" s="149" t="str">
        <f>'Du toan chi tiet'!C34</f>
        <v>AF.63320</v>
      </c>
      <c r="D246" s="149" t="str">
        <f>'Du toan chi tiet'!C34</f>
        <v>AF.63320</v>
      </c>
      <c r="E246" s="665" t="str">
        <f>'Du toan chi tiet'!D34</f>
        <v>Lắp dựng cốt thép cống, ĐK ≤18mm</v>
      </c>
      <c r="F246" s="318" t="str">
        <f>'Du toan chi tiet'!E34</f>
        <v>tấn</v>
      </c>
      <c r="G246" s="56"/>
      <c r="H246" s="435"/>
      <c r="I246" s="589"/>
      <c r="J246" s="367">
        <f>J247+J251+J253</f>
        <v>19928854.472317804</v>
      </c>
      <c r="K246" s="676"/>
      <c r="L246" s="676"/>
      <c r="M246" s="676"/>
      <c r="N246" s="676"/>
      <c r="O246" s="676"/>
      <c r="P246" s="676"/>
      <c r="Q246" s="676"/>
      <c r="R246" s="676"/>
      <c r="S246" s="676"/>
      <c r="T246" s="676"/>
      <c r="U246" s="676"/>
      <c r="V246" s="676"/>
      <c r="W246" s="676"/>
      <c r="X246" s="676"/>
      <c r="Y246" s="676"/>
      <c r="Z246" s="676"/>
      <c r="AA246" s="676"/>
    </row>
    <row r="247" spans="1:27" x14ac:dyDescent="0.25">
      <c r="A247" s="98"/>
      <c r="B247" s="380"/>
      <c r="C247" s="251" t="s">
        <v>98</v>
      </c>
      <c r="D247" s="251" t="s">
        <v>98</v>
      </c>
      <c r="E247" s="449" t="s">
        <v>547</v>
      </c>
      <c r="F247" s="380" t="s">
        <v>962</v>
      </c>
      <c r="G247" s="607"/>
      <c r="H247" s="511"/>
      <c r="I247" s="684"/>
      <c r="J247" s="511">
        <f>SUM(J248:J250)</f>
        <v>15079818.7123178</v>
      </c>
      <c r="K247" s="676"/>
      <c r="L247" s="676"/>
      <c r="M247" s="676"/>
      <c r="N247" s="676"/>
      <c r="O247" s="676"/>
      <c r="P247" s="676"/>
      <c r="Q247" s="676"/>
      <c r="R247" s="676"/>
      <c r="S247" s="676"/>
      <c r="T247" s="676"/>
      <c r="U247" s="676"/>
      <c r="V247" s="676"/>
      <c r="W247" s="676"/>
      <c r="X247" s="676"/>
      <c r="Y247" s="676"/>
      <c r="Z247" s="676"/>
      <c r="AA247" s="676"/>
    </row>
    <row r="248" spans="1:27" x14ac:dyDescent="0.25">
      <c r="A248" s="139"/>
      <c r="B248" s="32"/>
      <c r="C248" s="644" t="s">
        <v>98</v>
      </c>
      <c r="D248" s="507" t="s">
        <v>149</v>
      </c>
      <c r="E248" s="107" t="str">
        <f>" - " &amp; 'Giá VL'!E33</f>
        <v xml:space="preserve"> - Thép tròn Fi ≤18mm</v>
      </c>
      <c r="F248" s="32" t="str">
        <f>'Giá VL'!F33</f>
        <v>kg</v>
      </c>
      <c r="G248" s="270">
        <f>'Phan tich don gia'!G193</f>
        <v>1020</v>
      </c>
      <c r="H248" s="179">
        <f>'Giá VL'!V33</f>
        <v>14466.49579639</v>
      </c>
      <c r="I248" s="347">
        <f>'Du toan chi tiet'!V34</f>
        <v>1</v>
      </c>
      <c r="J248" s="179">
        <f t="shared" ref="J248:J250" si="24">PRODUCT(G248,H248,I248)</f>
        <v>14755825.7123178</v>
      </c>
      <c r="K248" s="676"/>
      <c r="L248" s="676"/>
      <c r="M248" s="676"/>
      <c r="N248" s="676"/>
      <c r="O248" s="676"/>
      <c r="P248" s="676"/>
      <c r="Q248" s="676"/>
      <c r="R248" s="676"/>
      <c r="S248" s="676"/>
      <c r="T248" s="676"/>
      <c r="U248" s="676"/>
      <c r="V248" s="676"/>
      <c r="W248" s="676"/>
      <c r="X248" s="676"/>
      <c r="Y248" s="676"/>
      <c r="Z248" s="676"/>
      <c r="AA248" s="676"/>
    </row>
    <row r="249" spans="1:27" x14ac:dyDescent="0.25">
      <c r="A249" s="139"/>
      <c r="B249" s="32"/>
      <c r="C249" s="644" t="s">
        <v>98</v>
      </c>
      <c r="D249" s="507" t="s">
        <v>901</v>
      </c>
      <c r="E249" s="107" t="str">
        <f>" - " &amp; 'Giá VL'!E14</f>
        <v xml:space="preserve"> - Dây thép</v>
      </c>
      <c r="F249" s="32" t="str">
        <f>'Giá VL'!F14</f>
        <v>kg</v>
      </c>
      <c r="G249" s="270">
        <f>'Phan tich don gia'!G194</f>
        <v>9.2799999999999994</v>
      </c>
      <c r="H249" s="179">
        <f>'Giá VL'!V14</f>
        <v>16300</v>
      </c>
      <c r="I249" s="347">
        <f>'Du toan chi tiet'!V34</f>
        <v>1</v>
      </c>
      <c r="J249" s="179">
        <f t="shared" si="24"/>
        <v>151264</v>
      </c>
      <c r="K249" s="676"/>
      <c r="L249" s="676"/>
      <c r="M249" s="676"/>
      <c r="N249" s="676"/>
      <c r="O249" s="676"/>
      <c r="P249" s="676"/>
      <c r="Q249" s="676"/>
      <c r="R249" s="676"/>
      <c r="S249" s="676"/>
      <c r="T249" s="676"/>
      <c r="U249" s="676"/>
      <c r="V249" s="676"/>
      <c r="W249" s="676"/>
      <c r="X249" s="676"/>
      <c r="Y249" s="676"/>
      <c r="Z249" s="676"/>
      <c r="AA249" s="676"/>
    </row>
    <row r="250" spans="1:27" x14ac:dyDescent="0.25">
      <c r="A250" s="139"/>
      <c r="B250" s="32"/>
      <c r="C250" s="644" t="s">
        <v>98</v>
      </c>
      <c r="D250" s="507" t="s">
        <v>919</v>
      </c>
      <c r="E250" s="107" t="str">
        <f>" - " &amp; 'Giá VL'!E25</f>
        <v xml:space="preserve"> - Que hàn</v>
      </c>
      <c r="F250" s="32" t="str">
        <f>'Giá VL'!F25</f>
        <v>kg</v>
      </c>
      <c r="G250" s="270">
        <f>'Phan tich don gia'!G195</f>
        <v>9.5</v>
      </c>
      <c r="H250" s="179">
        <f>'Giá VL'!V25</f>
        <v>18182</v>
      </c>
      <c r="I250" s="347">
        <f>'Du toan chi tiet'!V34</f>
        <v>1</v>
      </c>
      <c r="J250" s="179">
        <f t="shared" si="24"/>
        <v>172729</v>
      </c>
      <c r="K250" s="676"/>
      <c r="L250" s="676"/>
      <c r="M250" s="676"/>
      <c r="N250" s="676"/>
      <c r="O250" s="676"/>
      <c r="P250" s="676"/>
      <c r="Q250" s="676"/>
      <c r="R250" s="676"/>
      <c r="S250" s="676"/>
      <c r="T250" s="676"/>
      <c r="U250" s="676"/>
      <c r="V250" s="676"/>
      <c r="W250" s="676"/>
      <c r="X250" s="676"/>
      <c r="Y250" s="676"/>
      <c r="Z250" s="676"/>
      <c r="AA250" s="676"/>
    </row>
    <row r="251" spans="1:27" x14ac:dyDescent="0.25">
      <c r="A251" s="98"/>
      <c r="B251" s="380"/>
      <c r="C251" s="251" t="s">
        <v>98</v>
      </c>
      <c r="D251" s="251" t="s">
        <v>98</v>
      </c>
      <c r="E251" s="449" t="s">
        <v>301</v>
      </c>
      <c r="F251" s="380" t="s">
        <v>1018</v>
      </c>
      <c r="G251" s="607"/>
      <c r="H251" s="511"/>
      <c r="I251" s="684"/>
      <c r="J251" s="511">
        <f>SUM(J252:J252)</f>
        <v>3666988</v>
      </c>
      <c r="K251" s="676"/>
      <c r="L251" s="676"/>
      <c r="M251" s="676"/>
      <c r="N251" s="676"/>
      <c r="O251" s="676"/>
      <c r="P251" s="676"/>
      <c r="Q251" s="676"/>
      <c r="R251" s="676"/>
      <c r="S251" s="676"/>
      <c r="T251" s="676"/>
      <c r="U251" s="676"/>
      <c r="V251" s="676"/>
      <c r="W251" s="676"/>
      <c r="X251" s="676"/>
      <c r="Y251" s="676"/>
      <c r="Z251" s="676"/>
      <c r="AA251" s="676"/>
    </row>
    <row r="252" spans="1:27" x14ac:dyDescent="0.25">
      <c r="A252" s="139"/>
      <c r="B252" s="32"/>
      <c r="C252" s="644" t="s">
        <v>98</v>
      </c>
      <c r="D252" s="507" t="s">
        <v>706</v>
      </c>
      <c r="E252" s="107" t="str">
        <f>" - " &amp; 'Giá NC'!E8</f>
        <v xml:space="preserve"> - Nhân công bậc 3,5/7 - Nhóm 2</v>
      </c>
      <c r="F252" s="32" t="str">
        <f>'Giá NC'!F8</f>
        <v>công</v>
      </c>
      <c r="G252" s="270">
        <f>'Phan tich don gia'!G197</f>
        <v>14.54</v>
      </c>
      <c r="H252" s="179">
        <f>'Giá NC'!K8</f>
        <v>252200</v>
      </c>
      <c r="I252" s="347">
        <f>'Du toan chi tiet'!W34</f>
        <v>1</v>
      </c>
      <c r="J252" s="179">
        <f>PRODUCT(G252,H252,I252)</f>
        <v>3666988</v>
      </c>
      <c r="K252" s="676"/>
      <c r="L252" s="676"/>
      <c r="M252" s="676"/>
      <c r="N252" s="676"/>
      <c r="O252" s="676"/>
      <c r="P252" s="676"/>
      <c r="Q252" s="676"/>
      <c r="R252" s="676"/>
      <c r="S252" s="676"/>
      <c r="T252" s="676"/>
      <c r="U252" s="676"/>
      <c r="V252" s="676"/>
      <c r="W252" s="676"/>
      <c r="X252" s="676"/>
      <c r="Y252" s="676"/>
      <c r="Z252" s="676"/>
      <c r="AA252" s="676"/>
    </row>
    <row r="253" spans="1:27" x14ac:dyDescent="0.25">
      <c r="A253" s="98"/>
      <c r="B253" s="380"/>
      <c r="C253" s="251" t="s">
        <v>98</v>
      </c>
      <c r="D253" s="251" t="s">
        <v>98</v>
      </c>
      <c r="E253" s="449" t="s">
        <v>1175</v>
      </c>
      <c r="F253" s="380" t="s">
        <v>138</v>
      </c>
      <c r="G253" s="607"/>
      <c r="H253" s="511"/>
      <c r="I253" s="684"/>
      <c r="J253" s="511">
        <f>SUM(J254:J256)</f>
        <v>1182047.7600000002</v>
      </c>
      <c r="K253" s="676"/>
      <c r="L253" s="676"/>
      <c r="M253" s="676"/>
      <c r="N253" s="676"/>
      <c r="O253" s="676"/>
      <c r="P253" s="676"/>
      <c r="Q253" s="676"/>
      <c r="R253" s="676"/>
      <c r="S253" s="676"/>
      <c r="T253" s="676"/>
      <c r="U253" s="676"/>
      <c r="V253" s="676"/>
      <c r="W253" s="676"/>
      <c r="X253" s="676"/>
      <c r="Y253" s="676"/>
      <c r="Z253" s="676"/>
      <c r="AA253" s="676"/>
    </row>
    <row r="254" spans="1:27" x14ac:dyDescent="0.25">
      <c r="A254" s="139"/>
      <c r="B254" s="32"/>
      <c r="C254" s="644" t="s">
        <v>98</v>
      </c>
      <c r="D254" s="507" t="s">
        <v>82</v>
      </c>
      <c r="E254" s="107" t="str">
        <f>" - " &amp; 'Giá Máy'!E15</f>
        <v xml:space="preserve"> - Máy hàn điện 23kW</v>
      </c>
      <c r="F254" s="32" t="str">
        <f>'Giá Máy'!F15</f>
        <v>ca</v>
      </c>
      <c r="G254" s="270">
        <f>'Phan tich don gia'!G199</f>
        <v>2.29</v>
      </c>
      <c r="H254" s="179">
        <f>'Giá Máy'!J15</f>
        <v>477927</v>
      </c>
      <c r="I254" s="347">
        <f>'Du toan chi tiet'!X34</f>
        <v>1</v>
      </c>
      <c r="J254" s="179">
        <f t="shared" ref="J254:J255" si="25">PRODUCT(G254,H254,I254)</f>
        <v>1094452.83</v>
      </c>
      <c r="K254" s="676"/>
      <c r="L254" s="676"/>
      <c r="M254" s="676"/>
      <c r="N254" s="676"/>
      <c r="O254" s="676"/>
      <c r="P254" s="676"/>
      <c r="Q254" s="676"/>
      <c r="R254" s="676"/>
      <c r="S254" s="676"/>
      <c r="T254" s="676"/>
      <c r="U254" s="676"/>
      <c r="V254" s="676"/>
      <c r="W254" s="676"/>
      <c r="X254" s="676"/>
      <c r="Y254" s="676"/>
      <c r="Z254" s="676"/>
      <c r="AA254" s="676"/>
    </row>
    <row r="255" spans="1:27" x14ac:dyDescent="0.25">
      <c r="A255" s="139"/>
      <c r="B255" s="32"/>
      <c r="C255" s="644" t="s">
        <v>98</v>
      </c>
      <c r="D255" s="507" t="s">
        <v>239</v>
      </c>
      <c r="E255" s="107" t="str">
        <f>" - " &amp; 'Giá Máy'!E9</f>
        <v xml:space="preserve"> - Máy cắt uốn cốt thép 5kW</v>
      </c>
      <c r="F255" s="32" t="str">
        <f>'Giá Máy'!F9</f>
        <v>ca</v>
      </c>
      <c r="G255" s="270">
        <f>'Phan tich don gia'!G200</f>
        <v>0.32</v>
      </c>
      <c r="H255" s="179">
        <f>'Giá Máy'!J9</f>
        <v>273726</v>
      </c>
      <c r="I255" s="347">
        <f>'Du toan chi tiet'!X34</f>
        <v>1</v>
      </c>
      <c r="J255" s="179">
        <f t="shared" si="25"/>
        <v>87592.320000000007</v>
      </c>
      <c r="K255" s="676"/>
      <c r="L255" s="676"/>
      <c r="M255" s="676"/>
      <c r="N255" s="676"/>
      <c r="O255" s="676"/>
      <c r="P255" s="676"/>
      <c r="Q255" s="676"/>
      <c r="R255" s="676"/>
      <c r="S255" s="676"/>
      <c r="T255" s="676"/>
      <c r="U255" s="676"/>
      <c r="V255" s="676"/>
      <c r="W255" s="676"/>
      <c r="X255" s="676"/>
      <c r="Y255" s="676"/>
      <c r="Z255" s="676"/>
      <c r="AA255" s="676"/>
    </row>
    <row r="256" spans="1:27" x14ac:dyDescent="0.25">
      <c r="A256" s="139"/>
      <c r="B256" s="32"/>
      <c r="C256" s="644" t="s">
        <v>98</v>
      </c>
      <c r="D256" s="507" t="s">
        <v>98</v>
      </c>
      <c r="E256" s="107" t="s">
        <v>1230</v>
      </c>
      <c r="F256" s="32"/>
      <c r="G256" s="277"/>
      <c r="H256" s="179"/>
      <c r="I256" s="347"/>
      <c r="J256" s="179">
        <f>SUM(J257:J258)</f>
        <v>2.61</v>
      </c>
      <c r="K256" s="676"/>
      <c r="L256" s="676"/>
      <c r="M256" s="676"/>
      <c r="N256" s="676"/>
      <c r="O256" s="676"/>
      <c r="P256" s="676"/>
      <c r="Q256" s="676"/>
      <c r="R256" s="676"/>
      <c r="S256" s="676"/>
      <c r="T256" s="676"/>
      <c r="U256" s="676"/>
      <c r="V256" s="676"/>
      <c r="W256" s="676"/>
      <c r="X256" s="676"/>
      <c r="Y256" s="676"/>
      <c r="Z256" s="676"/>
      <c r="AA256" s="676"/>
    </row>
    <row r="257" spans="1:27" x14ac:dyDescent="0.25">
      <c r="A257" s="139"/>
      <c r="B257" s="32"/>
      <c r="C257" s="644" t="s">
        <v>98</v>
      </c>
      <c r="D257" s="507" t="s">
        <v>98</v>
      </c>
      <c r="E257" s="107" t="s">
        <v>52</v>
      </c>
      <c r="F257" s="32"/>
      <c r="G257" s="277"/>
      <c r="H257" s="179"/>
      <c r="I257" s="347"/>
      <c r="J257" s="179">
        <f>PRODUCT(G254,I254,'Giá Máy'!L15)+PRODUCT(G255,I255,'Giá Máy'!L9)</f>
        <v>0</v>
      </c>
      <c r="K257" s="676"/>
      <c r="L257" s="676"/>
      <c r="M257" s="676"/>
      <c r="N257" s="676"/>
      <c r="O257" s="676"/>
      <c r="P257" s="676"/>
      <c r="Q257" s="676"/>
      <c r="R257" s="676"/>
      <c r="S257" s="676"/>
      <c r="T257" s="676"/>
      <c r="U257" s="676"/>
      <c r="V257" s="676"/>
      <c r="W257" s="676"/>
      <c r="X257" s="676"/>
      <c r="Y257" s="676"/>
      <c r="Z257" s="676"/>
      <c r="AA257" s="676"/>
    </row>
    <row r="258" spans="1:27" x14ac:dyDescent="0.25">
      <c r="A258" s="543"/>
      <c r="B258" s="736"/>
      <c r="C258" s="596" t="s">
        <v>98</v>
      </c>
      <c r="D258" s="438" t="s">
        <v>98</v>
      </c>
      <c r="E258" s="31" t="s">
        <v>597</v>
      </c>
      <c r="F258" s="736"/>
      <c r="G258" s="231"/>
      <c r="H258" s="93"/>
      <c r="I258" s="296"/>
      <c r="J258" s="93">
        <f>PRODUCT(G254,I254,'Giá Máy'!M15)+PRODUCT(G255,I255,'Giá Máy'!M9)</f>
        <v>2.61</v>
      </c>
      <c r="K258" s="676"/>
      <c r="L258" s="676"/>
      <c r="M258" s="676"/>
      <c r="N258" s="676"/>
      <c r="O258" s="676"/>
      <c r="P258" s="676"/>
      <c r="Q258" s="676"/>
      <c r="R258" s="676"/>
      <c r="S258" s="676"/>
      <c r="T258" s="676"/>
      <c r="U258" s="676"/>
      <c r="V258" s="676"/>
      <c r="W258" s="676"/>
      <c r="X258" s="676"/>
      <c r="Y258" s="676"/>
      <c r="Z258" s="676"/>
      <c r="AA258" s="676"/>
    </row>
    <row r="259" spans="1:27" x14ac:dyDescent="0.25">
      <c r="A259" s="89"/>
      <c r="B259" s="318">
        <v>26</v>
      </c>
      <c r="C259" s="149" t="str">
        <f>'Du toan chi tiet'!C35</f>
        <v>AF.86211</v>
      </c>
      <c r="D259" s="149" t="str">
        <f>'Du toan chi tiet'!C35</f>
        <v>AF.86211</v>
      </c>
      <c r="E259" s="665" t="str">
        <f>'Du toan chi tiet'!D35</f>
        <v>Ván khuôn thép, khung xương, cột chống giáo ống, tường, chiều cao ≤28m</v>
      </c>
      <c r="F259" s="318" t="str">
        <f>'Du toan chi tiet'!E35</f>
        <v>m2</v>
      </c>
      <c r="G259" s="56"/>
      <c r="H259" s="435"/>
      <c r="I259" s="589"/>
      <c r="J259" s="367" t="e">
        <f>J260+J266+J268</f>
        <v>#REF!</v>
      </c>
      <c r="K259" s="676"/>
      <c r="L259" s="676"/>
      <c r="M259" s="676"/>
      <c r="N259" s="676"/>
      <c r="O259" s="676"/>
      <c r="P259" s="676"/>
      <c r="Q259" s="676"/>
      <c r="R259" s="676"/>
      <c r="S259" s="676"/>
      <c r="T259" s="676"/>
      <c r="U259" s="676"/>
      <c r="V259" s="676"/>
      <c r="W259" s="676"/>
      <c r="X259" s="676"/>
      <c r="Y259" s="676"/>
      <c r="Z259" s="676"/>
      <c r="AA259" s="676"/>
    </row>
    <row r="260" spans="1:27" x14ac:dyDescent="0.25">
      <c r="A260" s="98"/>
      <c r="B260" s="380"/>
      <c r="C260" s="251" t="s">
        <v>98</v>
      </c>
      <c r="D260" s="251" t="s">
        <v>98</v>
      </c>
      <c r="E260" s="449" t="s">
        <v>547</v>
      </c>
      <c r="F260" s="380" t="s">
        <v>962</v>
      </c>
      <c r="G260" s="607"/>
      <c r="H260" s="511"/>
      <c r="I260" s="684"/>
      <c r="J260" s="511" t="e">
        <f>SUM(J261:J265)</f>
        <v>#REF!</v>
      </c>
      <c r="K260" s="676"/>
      <c r="L260" s="676"/>
      <c r="M260" s="676"/>
      <c r="N260" s="676"/>
      <c r="O260" s="676"/>
      <c r="P260" s="676"/>
      <c r="Q260" s="676"/>
      <c r="R260" s="676"/>
      <c r="S260" s="676"/>
      <c r="T260" s="676"/>
      <c r="U260" s="676"/>
      <c r="V260" s="676"/>
      <c r="W260" s="676"/>
      <c r="X260" s="676"/>
      <c r="Y260" s="676"/>
      <c r="Z260" s="676"/>
      <c r="AA260" s="676"/>
    </row>
    <row r="261" spans="1:27" x14ac:dyDescent="0.25">
      <c r="A261" s="139"/>
      <c r="B261" s="32"/>
      <c r="C261" s="644" t="s">
        <v>98</v>
      </c>
      <c r="D261" s="507" t="s">
        <v>713</v>
      </c>
      <c r="E261" s="107" t="str">
        <f>" - " &amp; 'Giá VL'!E31</f>
        <v xml:space="preserve"> - Thép tấm</v>
      </c>
      <c r="F261" s="32" t="str">
        <f>'Giá VL'!F31</f>
        <v>kg</v>
      </c>
      <c r="G261" s="270">
        <f>'Phan tich don gia'!G203</f>
        <v>0.5181</v>
      </c>
      <c r="H261" s="179">
        <f>'Giá VL'!V31</f>
        <v>19657.495796390001</v>
      </c>
      <c r="I261" s="347">
        <f>'Du toan chi tiet'!V35</f>
        <v>1</v>
      </c>
      <c r="J261" s="179">
        <f t="shared" ref="J261:J265" si="26">PRODUCT(G261,H261,I261)</f>
        <v>10184.548572109659</v>
      </c>
      <c r="K261" s="676"/>
      <c r="L261" s="676"/>
      <c r="M261" s="676"/>
      <c r="N261" s="676"/>
      <c r="O261" s="676"/>
      <c r="P261" s="676"/>
      <c r="Q261" s="676"/>
      <c r="R261" s="676"/>
      <c r="S261" s="676"/>
      <c r="T261" s="676"/>
      <c r="U261" s="676"/>
      <c r="V261" s="676"/>
      <c r="W261" s="676"/>
      <c r="X261" s="676"/>
      <c r="Y261" s="676"/>
      <c r="Z261" s="676"/>
      <c r="AA261" s="676"/>
    </row>
    <row r="262" spans="1:27" x14ac:dyDescent="0.25">
      <c r="A262" s="139"/>
      <c r="B262" s="32"/>
      <c r="C262" s="644" t="s">
        <v>98</v>
      </c>
      <c r="D262" s="507" t="s">
        <v>1141</v>
      </c>
      <c r="E262" s="107" t="str">
        <f>" - " &amp; 'Giá VL'!E29</f>
        <v xml:space="preserve"> - Thép hình</v>
      </c>
      <c r="F262" s="32" t="str">
        <f>'Giá VL'!F29</f>
        <v>kg</v>
      </c>
      <c r="G262" s="270">
        <f>'Phan tich don gia'!G204</f>
        <v>0.4884</v>
      </c>
      <c r="H262" s="179">
        <f>'Giá VL'!V29</f>
        <v>19657.495796390001</v>
      </c>
      <c r="I262" s="347">
        <f>'Du toan chi tiet'!V35</f>
        <v>1</v>
      </c>
      <c r="J262" s="179">
        <f t="shared" si="26"/>
        <v>9600.720946956877</v>
      </c>
      <c r="K262" s="676"/>
      <c r="L262" s="676"/>
      <c r="M262" s="676"/>
      <c r="N262" s="676"/>
      <c r="O262" s="676"/>
      <c r="P262" s="676"/>
      <c r="Q262" s="676"/>
      <c r="R262" s="676"/>
      <c r="S262" s="676"/>
      <c r="T262" s="676"/>
      <c r="U262" s="676"/>
      <c r="V262" s="676"/>
      <c r="W262" s="676"/>
      <c r="X262" s="676"/>
      <c r="Y262" s="676"/>
      <c r="Z262" s="676"/>
      <c r="AA262" s="676"/>
    </row>
    <row r="263" spans="1:27" x14ac:dyDescent="0.25">
      <c r="A263" s="139"/>
      <c r="B263" s="32"/>
      <c r="C263" s="644" t="s">
        <v>98</v>
      </c>
      <c r="D263" s="507" t="s">
        <v>984</v>
      </c>
      <c r="E263" s="107" t="str">
        <f>" - " &amp; 'Giá VL'!E10</f>
        <v xml:space="preserve"> - Cột chống thép ống</v>
      </c>
      <c r="F263" s="32" t="str">
        <f>'Giá VL'!F10</f>
        <v>kg</v>
      </c>
      <c r="G263" s="270" t="e">
        <f>'Phan tich don gia'!#REF!</f>
        <v>#REF!</v>
      </c>
      <c r="H263" s="179">
        <f>'Giá VL'!V10</f>
        <v>17000</v>
      </c>
      <c r="I263" s="347">
        <f>'Du toan chi tiet'!V35</f>
        <v>1</v>
      </c>
      <c r="J263" s="179" t="e">
        <f t="shared" si="26"/>
        <v>#REF!</v>
      </c>
      <c r="K263" s="676"/>
      <c r="L263" s="676"/>
      <c r="M263" s="676"/>
      <c r="N263" s="676"/>
      <c r="O263" s="676"/>
      <c r="P263" s="676"/>
      <c r="Q263" s="676"/>
      <c r="R263" s="676"/>
      <c r="S263" s="676"/>
      <c r="T263" s="676"/>
      <c r="U263" s="676"/>
      <c r="V263" s="676"/>
      <c r="W263" s="676"/>
      <c r="X263" s="676"/>
      <c r="Y263" s="676"/>
      <c r="Z263" s="676"/>
      <c r="AA263" s="676"/>
    </row>
    <row r="264" spans="1:27" x14ac:dyDescent="0.25">
      <c r="A264" s="139"/>
      <c r="B264" s="32"/>
      <c r="C264" s="644" t="s">
        <v>98</v>
      </c>
      <c r="D264" s="507" t="s">
        <v>919</v>
      </c>
      <c r="E264" s="107" t="str">
        <f>" - " &amp; 'Giá VL'!E25</f>
        <v xml:space="preserve"> - Que hàn</v>
      </c>
      <c r="F264" s="32" t="str">
        <f>'Giá VL'!F25</f>
        <v>kg</v>
      </c>
      <c r="G264" s="270">
        <f>'Phan tich don gia'!G205</f>
        <v>5.6000000000000001E-2</v>
      </c>
      <c r="H264" s="179">
        <f>'Giá VL'!V25</f>
        <v>18182</v>
      </c>
      <c r="I264" s="347">
        <f>'Du toan chi tiet'!V35</f>
        <v>1</v>
      </c>
      <c r="J264" s="179">
        <f t="shared" si="26"/>
        <v>1018.192</v>
      </c>
      <c r="K264" s="676"/>
      <c r="L264" s="676"/>
      <c r="M264" s="676"/>
      <c r="N264" s="676"/>
      <c r="O264" s="676"/>
      <c r="P264" s="676"/>
      <c r="Q264" s="676"/>
      <c r="R264" s="676"/>
      <c r="S264" s="676"/>
      <c r="T264" s="676"/>
      <c r="U264" s="676"/>
      <c r="V264" s="676"/>
      <c r="W264" s="676"/>
      <c r="X264" s="676"/>
      <c r="Y264" s="676"/>
      <c r="Z264" s="676"/>
      <c r="AA264" s="676"/>
    </row>
    <row r="265" spans="1:27" x14ac:dyDescent="0.25">
      <c r="A265" s="139"/>
      <c r="B265" s="32"/>
      <c r="C265" s="644" t="s">
        <v>98</v>
      </c>
      <c r="D265" s="507" t="s">
        <v>667</v>
      </c>
      <c r="E265" s="107" t="s">
        <v>238</v>
      </c>
      <c r="F265" s="32" t="s">
        <v>1113</v>
      </c>
      <c r="G265" s="270">
        <f>'Phan tich don gia'!G206</f>
        <v>2</v>
      </c>
      <c r="H265" s="179" t="e">
        <f>(G261*H261+G262*H262+G263*H263+G264*H264)/100</f>
        <v>#REF!</v>
      </c>
      <c r="I265" s="347">
        <f>'Du toan chi tiet'!V35</f>
        <v>1</v>
      </c>
      <c r="J265" s="179" t="e">
        <f t="shared" si="26"/>
        <v>#REF!</v>
      </c>
      <c r="K265" s="676"/>
      <c r="L265" s="676"/>
      <c r="M265" s="676"/>
      <c r="N265" s="676"/>
      <c r="O265" s="676"/>
      <c r="P265" s="676"/>
      <c r="Q265" s="676"/>
      <c r="R265" s="676"/>
      <c r="S265" s="676"/>
      <c r="T265" s="676"/>
      <c r="U265" s="676"/>
      <c r="V265" s="676"/>
      <c r="W265" s="676"/>
      <c r="X265" s="676"/>
      <c r="Y265" s="676"/>
      <c r="Z265" s="676"/>
      <c r="AA265" s="676"/>
    </row>
    <row r="266" spans="1:27" x14ac:dyDescent="0.25">
      <c r="A266" s="98"/>
      <c r="B266" s="380"/>
      <c r="C266" s="251" t="s">
        <v>98</v>
      </c>
      <c r="D266" s="251" t="s">
        <v>98</v>
      </c>
      <c r="E266" s="449" t="s">
        <v>301</v>
      </c>
      <c r="F266" s="380" t="s">
        <v>1018</v>
      </c>
      <c r="G266" s="607"/>
      <c r="H266" s="511"/>
      <c r="I266" s="684"/>
      <c r="J266" s="511">
        <f>SUM(J267:J267)</f>
        <v>78024.45</v>
      </c>
      <c r="K266" s="676"/>
      <c r="L266" s="676"/>
      <c r="M266" s="676"/>
      <c r="N266" s="676"/>
      <c r="O266" s="676"/>
      <c r="P266" s="676"/>
      <c r="Q266" s="676"/>
      <c r="R266" s="676"/>
      <c r="S266" s="676"/>
      <c r="T266" s="676"/>
      <c r="U266" s="676"/>
      <c r="V266" s="676"/>
      <c r="W266" s="676"/>
      <c r="X266" s="676"/>
      <c r="Y266" s="676"/>
      <c r="Z266" s="676"/>
      <c r="AA266" s="676"/>
    </row>
    <row r="267" spans="1:27" x14ac:dyDescent="0.25">
      <c r="A267" s="139"/>
      <c r="B267" s="32"/>
      <c r="C267" s="644" t="s">
        <v>98</v>
      </c>
      <c r="D267" s="507" t="s">
        <v>169</v>
      </c>
      <c r="E267" s="107" t="str">
        <f>" - " &amp; 'Giá NC'!E9</f>
        <v xml:space="preserve"> - Nhân công bậc 4,0/7 - Nhóm 2</v>
      </c>
      <c r="F267" s="32" t="str">
        <f>'Giá NC'!F9</f>
        <v>công</v>
      </c>
      <c r="G267" s="270">
        <f>'Phan tich don gia'!G208</f>
        <v>0.28499999999999998</v>
      </c>
      <c r="H267" s="179">
        <f>'Giá NC'!K9</f>
        <v>273770</v>
      </c>
      <c r="I267" s="347">
        <f>'Du toan chi tiet'!W35</f>
        <v>1</v>
      </c>
      <c r="J267" s="179">
        <f>PRODUCT(G267,H267,I267)</f>
        <v>78024.45</v>
      </c>
      <c r="K267" s="676"/>
      <c r="L267" s="676"/>
      <c r="M267" s="676"/>
      <c r="N267" s="676"/>
      <c r="O267" s="676"/>
      <c r="P267" s="676"/>
      <c r="Q267" s="676"/>
      <c r="R267" s="676"/>
      <c r="S267" s="676"/>
      <c r="T267" s="676"/>
      <c r="U267" s="676"/>
      <c r="V267" s="676"/>
      <c r="W267" s="676"/>
      <c r="X267" s="676"/>
      <c r="Y267" s="676"/>
      <c r="Z267" s="676"/>
      <c r="AA267" s="676"/>
    </row>
    <row r="268" spans="1:27" x14ac:dyDescent="0.25">
      <c r="A268" s="98"/>
      <c r="B268" s="380"/>
      <c r="C268" s="251" t="s">
        <v>98</v>
      </c>
      <c r="D268" s="251" t="s">
        <v>98</v>
      </c>
      <c r="E268" s="449" t="s">
        <v>1175</v>
      </c>
      <c r="F268" s="380" t="s">
        <v>138</v>
      </c>
      <c r="G268" s="607"/>
      <c r="H268" s="511"/>
      <c r="I268" s="684"/>
      <c r="J268" s="511" t="e">
        <f>SUM(J269:J273)</f>
        <v>#REF!</v>
      </c>
      <c r="K268" s="676"/>
      <c r="L268" s="676"/>
      <c r="M268" s="676"/>
      <c r="N268" s="676"/>
      <c r="O268" s="676"/>
      <c r="P268" s="676"/>
      <c r="Q268" s="676"/>
      <c r="R268" s="676"/>
      <c r="S268" s="676"/>
      <c r="T268" s="676"/>
      <c r="U268" s="676"/>
      <c r="V268" s="676"/>
      <c r="W268" s="676"/>
      <c r="X268" s="676"/>
      <c r="Y268" s="676"/>
      <c r="Z268" s="676"/>
      <c r="AA268" s="676"/>
    </row>
    <row r="269" spans="1:27" x14ac:dyDescent="0.25">
      <c r="A269" s="139"/>
      <c r="B269" s="32"/>
      <c r="C269" s="644" t="s">
        <v>98</v>
      </c>
      <c r="D269" s="507" t="s">
        <v>82</v>
      </c>
      <c r="E269" s="107" t="str">
        <f>" - " &amp; 'Giá Máy'!E15</f>
        <v xml:space="preserve"> - Máy hàn điện 23kW</v>
      </c>
      <c r="F269" s="32" t="str">
        <f>'Giá Máy'!F15</f>
        <v>ca</v>
      </c>
      <c r="G269" s="270">
        <f>'Phan tich don gia'!G210</f>
        <v>1.4999999999999999E-2</v>
      </c>
      <c r="H269" s="179">
        <f>'Giá Máy'!J15</f>
        <v>477927</v>
      </c>
      <c r="I269" s="347">
        <f>'Du toan chi tiet'!X35</f>
        <v>1</v>
      </c>
      <c r="J269" s="179">
        <f t="shared" ref="J269:J272" si="27">PRODUCT(G269,H269,I269)</f>
        <v>7168.9049999999997</v>
      </c>
      <c r="K269" s="676"/>
      <c r="L269" s="676"/>
      <c r="M269" s="676"/>
      <c r="N269" s="676"/>
      <c r="O269" s="676"/>
      <c r="P269" s="676"/>
      <c r="Q269" s="676"/>
      <c r="R269" s="676"/>
      <c r="S269" s="676"/>
      <c r="T269" s="676"/>
      <c r="U269" s="676"/>
      <c r="V269" s="676"/>
      <c r="W269" s="676"/>
      <c r="X269" s="676"/>
      <c r="Y269" s="676"/>
      <c r="Z269" s="676"/>
      <c r="AA269" s="676"/>
    </row>
    <row r="270" spans="1:27" x14ac:dyDescent="0.25">
      <c r="A270" s="139"/>
      <c r="B270" s="32"/>
      <c r="C270" s="644" t="s">
        <v>98</v>
      </c>
      <c r="D270" s="507" t="s">
        <v>271</v>
      </c>
      <c r="E270" s="107" t="e">
        <f>" - " &amp; 'Giá Máy'!#REF!</f>
        <v>#REF!</v>
      </c>
      <c r="F270" s="32" t="e">
        <f>'Giá Máy'!#REF!</f>
        <v>#REF!</v>
      </c>
      <c r="G270" s="270" t="e">
        <f>'Phan tich don gia'!#REF!</f>
        <v>#REF!</v>
      </c>
      <c r="H270" s="179" t="e">
        <f>'Giá Máy'!#REF!</f>
        <v>#REF!</v>
      </c>
      <c r="I270" s="347">
        <f>'Du toan chi tiet'!X35</f>
        <v>1</v>
      </c>
      <c r="J270" s="179" t="e">
        <f t="shared" si="27"/>
        <v>#REF!</v>
      </c>
      <c r="K270" s="676"/>
      <c r="L270" s="676"/>
      <c r="M270" s="676"/>
      <c r="N270" s="676"/>
      <c r="O270" s="676"/>
      <c r="P270" s="676"/>
      <c r="Q270" s="676"/>
      <c r="R270" s="676"/>
      <c r="S270" s="676"/>
      <c r="T270" s="676"/>
      <c r="U270" s="676"/>
      <c r="V270" s="676"/>
      <c r="W270" s="676"/>
      <c r="X270" s="676"/>
      <c r="Y270" s="676"/>
      <c r="Z270" s="676"/>
      <c r="AA270" s="676"/>
    </row>
    <row r="271" spans="1:27" x14ac:dyDescent="0.25">
      <c r="A271" s="139"/>
      <c r="B271" s="32"/>
      <c r="C271" s="644" t="s">
        <v>98</v>
      </c>
      <c r="D271" s="507" t="s">
        <v>208</v>
      </c>
      <c r="E271" s="107" t="e">
        <f>" - " &amp; 'Giá Máy'!#REF!</f>
        <v>#REF!</v>
      </c>
      <c r="F271" s="32" t="e">
        <f>'Giá Máy'!#REF!</f>
        <v>#REF!</v>
      </c>
      <c r="G271" s="270" t="e">
        <f>'Phan tich don gia'!#REF!</f>
        <v>#REF!</v>
      </c>
      <c r="H271" s="179" t="e">
        <f>'Giá Máy'!#REF!</f>
        <v>#REF!</v>
      </c>
      <c r="I271" s="347">
        <f>'Du toan chi tiet'!X35</f>
        <v>1</v>
      </c>
      <c r="J271" s="179" t="e">
        <f t="shared" si="27"/>
        <v>#REF!</v>
      </c>
      <c r="K271" s="676"/>
      <c r="L271" s="676"/>
      <c r="M271" s="676"/>
      <c r="N271" s="676"/>
      <c r="O271" s="676"/>
      <c r="P271" s="676"/>
      <c r="Q271" s="676"/>
      <c r="R271" s="676"/>
      <c r="S271" s="676"/>
      <c r="T271" s="676"/>
      <c r="U271" s="676"/>
      <c r="V271" s="676"/>
      <c r="W271" s="676"/>
      <c r="X271" s="676"/>
      <c r="Y271" s="676"/>
      <c r="Z271" s="676"/>
      <c r="AA271" s="676"/>
    </row>
    <row r="272" spans="1:27" x14ac:dyDescent="0.25">
      <c r="A272" s="139"/>
      <c r="B272" s="32"/>
      <c r="C272" s="644" t="s">
        <v>98</v>
      </c>
      <c r="D272" s="507" t="s">
        <v>1162</v>
      </c>
      <c r="E272" s="107" t="s">
        <v>1080</v>
      </c>
      <c r="F272" s="32" t="s">
        <v>1113</v>
      </c>
      <c r="G272" s="270">
        <f>'Phan tich don gia'!G211</f>
        <v>2</v>
      </c>
      <c r="H272" s="179" t="e">
        <f>(G269*H269+G270*H270+G271*H271)/100</f>
        <v>#REF!</v>
      </c>
      <c r="I272" s="347">
        <f>'Du toan chi tiet'!X35</f>
        <v>1</v>
      </c>
      <c r="J272" s="179" t="e">
        <f t="shared" si="27"/>
        <v>#REF!</v>
      </c>
      <c r="K272" s="676"/>
      <c r="L272" s="676"/>
      <c r="M272" s="676"/>
      <c r="N272" s="676"/>
      <c r="O272" s="676"/>
      <c r="P272" s="676"/>
      <c r="Q272" s="676"/>
      <c r="R272" s="676"/>
      <c r="S272" s="676"/>
      <c r="T272" s="676"/>
      <c r="U272" s="676"/>
      <c r="V272" s="676"/>
      <c r="W272" s="676"/>
      <c r="X272" s="676"/>
      <c r="Y272" s="676"/>
      <c r="Z272" s="676"/>
      <c r="AA272" s="676"/>
    </row>
    <row r="273" spans="1:27" x14ac:dyDescent="0.25">
      <c r="A273" s="139"/>
      <c r="B273" s="32"/>
      <c r="C273" s="644" t="s">
        <v>98</v>
      </c>
      <c r="D273" s="507" t="s">
        <v>98</v>
      </c>
      <c r="E273" s="107" t="s">
        <v>1230</v>
      </c>
      <c r="F273" s="32"/>
      <c r="G273" s="277"/>
      <c r="H273" s="179"/>
      <c r="I273" s="347"/>
      <c r="J273" s="179" t="e">
        <f>SUM(J274:J275)+PRODUCT(G272,I272,THM!X101-THM!R101)</f>
        <v>#REF!</v>
      </c>
      <c r="K273" s="676"/>
      <c r="L273" s="676"/>
      <c r="M273" s="676"/>
      <c r="N273" s="676"/>
      <c r="O273" s="676"/>
      <c r="P273" s="676"/>
      <c r="Q273" s="676"/>
      <c r="R273" s="676"/>
      <c r="S273" s="676"/>
      <c r="T273" s="676"/>
      <c r="U273" s="676"/>
      <c r="V273" s="676"/>
      <c r="W273" s="676"/>
      <c r="X273" s="676"/>
      <c r="Y273" s="676"/>
      <c r="Z273" s="676"/>
      <c r="AA273" s="676"/>
    </row>
    <row r="274" spans="1:27" x14ac:dyDescent="0.25">
      <c r="A274" s="139"/>
      <c r="B274" s="32"/>
      <c r="C274" s="644" t="s">
        <v>98</v>
      </c>
      <c r="D274" s="507" t="s">
        <v>98</v>
      </c>
      <c r="E274" s="107" t="s">
        <v>52</v>
      </c>
      <c r="F274" s="32"/>
      <c r="G274" s="277"/>
      <c r="H274" s="179"/>
      <c r="I274" s="347"/>
      <c r="J274" s="179" t="e">
        <f>PRODUCT(G269,I269,'Giá Máy'!L15)+PRODUCT(G270,I270,'Giá Máy'!#REF!)+PRODUCT(G271,I271,'Giá Máy'!#REF!)</f>
        <v>#REF!</v>
      </c>
      <c r="K274" s="676"/>
      <c r="L274" s="676"/>
      <c r="M274" s="676"/>
      <c r="N274" s="676"/>
      <c r="O274" s="676"/>
      <c r="P274" s="676"/>
      <c r="Q274" s="676"/>
      <c r="R274" s="676"/>
      <c r="S274" s="676"/>
      <c r="T274" s="676"/>
      <c r="U274" s="676"/>
      <c r="V274" s="676"/>
      <c r="W274" s="676"/>
      <c r="X274" s="676"/>
      <c r="Y274" s="676"/>
      <c r="Z274" s="676"/>
      <c r="AA274" s="676"/>
    </row>
    <row r="275" spans="1:27" x14ac:dyDescent="0.25">
      <c r="A275" s="543"/>
      <c r="B275" s="736"/>
      <c r="C275" s="596" t="s">
        <v>98</v>
      </c>
      <c r="D275" s="438" t="s">
        <v>98</v>
      </c>
      <c r="E275" s="31" t="s">
        <v>597</v>
      </c>
      <c r="F275" s="736"/>
      <c r="G275" s="231"/>
      <c r="H275" s="93"/>
      <c r="I275" s="296"/>
      <c r="J275" s="93" t="e">
        <f>PRODUCT(G269,I269,'Giá Máy'!M15)+PRODUCT(G270,I270,'Giá Máy'!#REF!)+PRODUCT(G271,I271,'Giá Máy'!#REF!)</f>
        <v>#REF!</v>
      </c>
      <c r="K275" s="676"/>
      <c r="L275" s="676"/>
      <c r="M275" s="676"/>
      <c r="N275" s="676"/>
      <c r="O275" s="676"/>
      <c r="P275" s="676"/>
      <c r="Q275" s="676"/>
      <c r="R275" s="676"/>
      <c r="S275" s="676"/>
      <c r="T275" s="676"/>
      <c r="U275" s="676"/>
      <c r="V275" s="676"/>
      <c r="W275" s="676"/>
      <c r="X275" s="676"/>
      <c r="Y275" s="676"/>
      <c r="Z275" s="676"/>
      <c r="AA275" s="676"/>
    </row>
    <row r="276" spans="1:27" x14ac:dyDescent="0.25">
      <c r="A276" s="89"/>
      <c r="B276" s="318">
        <v>27</v>
      </c>
      <c r="C276" s="149" t="str">
        <f>'Du toan chi tiet'!C36</f>
        <v>AF.11231</v>
      </c>
      <c r="D276" s="149" t="str">
        <f>'Du toan chi tiet'!C36</f>
        <v>AF.11231</v>
      </c>
      <c r="E276" s="665" t="str">
        <f>'Du toan chi tiet'!D36</f>
        <v>Bê tông móng tường cánh SX bằng máy trộn, đổ bằng thủ công, rộng ≤250cm, M150, đá 2x4, PCB40</v>
      </c>
      <c r="F276" s="318" t="str">
        <f>'Du toan chi tiet'!E36</f>
        <v>m3</v>
      </c>
      <c r="G276" s="56"/>
      <c r="H276" s="435"/>
      <c r="I276" s="589"/>
      <c r="J276" s="367">
        <f>J277+J283+J285</f>
        <v>1172035.7125220287</v>
      </c>
      <c r="K276" s="676"/>
      <c r="L276" s="676"/>
      <c r="M276" s="676"/>
      <c r="N276" s="676"/>
      <c r="O276" s="676"/>
      <c r="P276" s="676"/>
      <c r="Q276" s="676"/>
      <c r="R276" s="676"/>
      <c r="S276" s="676"/>
      <c r="T276" s="676"/>
      <c r="U276" s="676"/>
      <c r="V276" s="676"/>
      <c r="W276" s="676"/>
      <c r="X276" s="676"/>
      <c r="Y276" s="676"/>
      <c r="Z276" s="676"/>
      <c r="AA276" s="676"/>
    </row>
    <row r="277" spans="1:27" x14ac:dyDescent="0.25">
      <c r="A277" s="98"/>
      <c r="B277" s="380"/>
      <c r="C277" s="251" t="s">
        <v>98</v>
      </c>
      <c r="D277" s="251" t="s">
        <v>98</v>
      </c>
      <c r="E277" s="449" t="s">
        <v>547</v>
      </c>
      <c r="F277" s="380" t="s">
        <v>962</v>
      </c>
      <c r="G277" s="607"/>
      <c r="H277" s="511"/>
      <c r="I277" s="684"/>
      <c r="J277" s="511">
        <f>SUM(J278:J282)</f>
        <v>834624.02152202884</v>
      </c>
      <c r="K277" s="676"/>
      <c r="L277" s="676"/>
      <c r="M277" s="676"/>
      <c r="N277" s="676"/>
      <c r="O277" s="676"/>
      <c r="P277" s="676"/>
      <c r="Q277" s="676"/>
      <c r="R277" s="676"/>
      <c r="S277" s="676"/>
      <c r="T277" s="676"/>
      <c r="U277" s="676"/>
      <c r="V277" s="676"/>
      <c r="W277" s="676"/>
      <c r="X277" s="676"/>
      <c r="Y277" s="676"/>
      <c r="Z277" s="676"/>
      <c r="AA277" s="676"/>
    </row>
    <row r="278" spans="1:27" x14ac:dyDescent="0.25">
      <c r="A278" s="139"/>
      <c r="B278" s="32"/>
      <c r="C278" s="644" t="s">
        <v>98</v>
      </c>
      <c r="D278" s="507" t="s">
        <v>235</v>
      </c>
      <c r="E278" s="107" t="str">
        <f>" - " &amp; 'Giá VL'!E37</f>
        <v xml:space="preserve"> - Xi măng PCB40</v>
      </c>
      <c r="F278" s="32" t="str">
        <f>'Giá VL'!F37</f>
        <v>kg</v>
      </c>
      <c r="G278" s="270">
        <f>'Phan tich don gia'!G214</f>
        <v>210.125</v>
      </c>
      <c r="H278" s="179">
        <f>'Giá VL'!V37</f>
        <v>1587.7239999999999</v>
      </c>
      <c r="I278" s="347">
        <f>'Du toan chi tiet'!V36</f>
        <v>1</v>
      </c>
      <c r="J278" s="179">
        <f t="shared" ref="J278:J282" si="28">PRODUCT(G278,H278,I278)</f>
        <v>333620.50549999997</v>
      </c>
      <c r="K278" s="676"/>
      <c r="L278" s="676"/>
      <c r="M278" s="676"/>
      <c r="N278" s="676"/>
      <c r="O278" s="676"/>
      <c r="P278" s="676"/>
      <c r="Q278" s="676"/>
      <c r="R278" s="676"/>
      <c r="S278" s="676"/>
      <c r="T278" s="676"/>
      <c r="U278" s="676"/>
      <c r="V278" s="676"/>
      <c r="W278" s="676"/>
      <c r="X278" s="676"/>
      <c r="Y278" s="676"/>
      <c r="Z278" s="676"/>
      <c r="AA278" s="676"/>
    </row>
    <row r="279" spans="1:27" x14ac:dyDescent="0.25">
      <c r="A279" s="139"/>
      <c r="B279" s="32"/>
      <c r="C279" s="644" t="s">
        <v>98</v>
      </c>
      <c r="D279" s="507" t="s">
        <v>523</v>
      </c>
      <c r="E279" s="107" t="str">
        <f>" - " &amp; 'Giá VL'!E9</f>
        <v xml:space="preserve"> - Cát vàng</v>
      </c>
      <c r="F279" s="32" t="str">
        <f>'Giá VL'!F9</f>
        <v>m3</v>
      </c>
      <c r="G279" s="270">
        <f>'Phan tich don gia'!G215</f>
        <v>0.56272500000000003</v>
      </c>
      <c r="H279" s="179">
        <f>'Giá VL'!V9</f>
        <v>345317.29174999997</v>
      </c>
      <c r="I279" s="347">
        <f>'Du toan chi tiet'!V36</f>
        <v>1</v>
      </c>
      <c r="J279" s="179">
        <f t="shared" si="28"/>
        <v>194318.67300001875</v>
      </c>
      <c r="K279" s="676"/>
      <c r="L279" s="676"/>
      <c r="M279" s="676"/>
      <c r="N279" s="676"/>
      <c r="O279" s="676"/>
      <c r="P279" s="676"/>
      <c r="Q279" s="676"/>
      <c r="R279" s="676"/>
      <c r="S279" s="676"/>
      <c r="T279" s="676"/>
      <c r="U279" s="676"/>
      <c r="V279" s="676"/>
      <c r="W279" s="676"/>
      <c r="X279" s="676"/>
      <c r="Y279" s="676"/>
      <c r="Z279" s="676"/>
      <c r="AA279" s="676"/>
    </row>
    <row r="280" spans="1:27" x14ac:dyDescent="0.25">
      <c r="A280" s="139"/>
      <c r="B280" s="32"/>
      <c r="C280" s="644" t="s">
        <v>98</v>
      </c>
      <c r="D280" s="507" t="s">
        <v>485</v>
      </c>
      <c r="E280" s="107" t="str">
        <f>" - " &amp; 'Giá VL'!E12</f>
        <v xml:space="preserve"> - Đá 2x4</v>
      </c>
      <c r="F280" s="32" t="str">
        <f>'Giá VL'!F12</f>
        <v>m3</v>
      </c>
      <c r="G280" s="270">
        <f>'Phan tich don gia'!G216</f>
        <v>0.91225000000000001</v>
      </c>
      <c r="H280" s="179">
        <f>'Giá VL'!V12</f>
        <v>316313.14456500002</v>
      </c>
      <c r="I280" s="347">
        <f>'Du toan chi tiet'!V36</f>
        <v>1</v>
      </c>
      <c r="J280" s="179">
        <f t="shared" si="28"/>
        <v>288556.66612942127</v>
      </c>
      <c r="K280" s="676"/>
      <c r="L280" s="676"/>
      <c r="M280" s="676"/>
      <c r="N280" s="676"/>
      <c r="O280" s="676"/>
      <c r="P280" s="676"/>
      <c r="Q280" s="676"/>
      <c r="R280" s="676"/>
      <c r="S280" s="676"/>
      <c r="T280" s="676"/>
      <c r="U280" s="676"/>
      <c r="V280" s="676"/>
      <c r="W280" s="676"/>
      <c r="X280" s="676"/>
      <c r="Y280" s="676"/>
      <c r="Z280" s="676"/>
      <c r="AA280" s="676"/>
    </row>
    <row r="281" spans="1:27" x14ac:dyDescent="0.25">
      <c r="A281" s="139"/>
      <c r="B281" s="32"/>
      <c r="C281" s="644" t="s">
        <v>98</v>
      </c>
      <c r="D281" s="507" t="s">
        <v>956</v>
      </c>
      <c r="E281" s="107" t="str">
        <f>" - " &amp; 'Giá VL'!E23</f>
        <v xml:space="preserve"> - Nước</v>
      </c>
      <c r="F281" s="32" t="str">
        <f>'Giá VL'!F23</f>
        <v>lít</v>
      </c>
      <c r="G281" s="270">
        <f>'Phan tich don gia'!G217</f>
        <v>176.3</v>
      </c>
      <c r="H281" s="179">
        <f>'Giá VL'!V23</f>
        <v>10</v>
      </c>
      <c r="I281" s="347">
        <f>'Du toan chi tiet'!V36</f>
        <v>1</v>
      </c>
      <c r="J281" s="179">
        <f t="shared" si="28"/>
        <v>1763</v>
      </c>
      <c r="K281" s="676"/>
      <c r="L281" s="676"/>
      <c r="M281" s="676"/>
      <c r="N281" s="676"/>
      <c r="O281" s="676"/>
      <c r="P281" s="676"/>
      <c r="Q281" s="676"/>
      <c r="R281" s="676"/>
      <c r="S281" s="676"/>
      <c r="T281" s="676"/>
      <c r="U281" s="676"/>
      <c r="V281" s="676"/>
      <c r="W281" s="676"/>
      <c r="X281" s="676"/>
      <c r="Y281" s="676"/>
      <c r="Z281" s="676"/>
      <c r="AA281" s="676"/>
    </row>
    <row r="282" spans="1:27" x14ac:dyDescent="0.25">
      <c r="A282" s="139"/>
      <c r="B282" s="32"/>
      <c r="C282" s="644" t="s">
        <v>98</v>
      </c>
      <c r="D282" s="507" t="s">
        <v>667</v>
      </c>
      <c r="E282" s="107" t="s">
        <v>238</v>
      </c>
      <c r="F282" s="32" t="s">
        <v>1113</v>
      </c>
      <c r="G282" s="270">
        <f>'Phan tich don gia'!G218</f>
        <v>2</v>
      </c>
      <c r="H282" s="179">
        <f>(G278*H278+G279*H279+G280*H280+G281*H281)/100</f>
        <v>8182.5884462943995</v>
      </c>
      <c r="I282" s="347">
        <f>'Du toan chi tiet'!V36</f>
        <v>1</v>
      </c>
      <c r="J282" s="179">
        <f t="shared" si="28"/>
        <v>16365.176892588799</v>
      </c>
      <c r="K282" s="676"/>
      <c r="L282" s="676"/>
      <c r="M282" s="676"/>
      <c r="N282" s="676"/>
      <c r="O282" s="676"/>
      <c r="P282" s="676"/>
      <c r="Q282" s="676"/>
      <c r="R282" s="676"/>
      <c r="S282" s="676"/>
      <c r="T282" s="676"/>
      <c r="U282" s="676"/>
      <c r="V282" s="676"/>
      <c r="W282" s="676"/>
      <c r="X282" s="676"/>
      <c r="Y282" s="676"/>
      <c r="Z282" s="676"/>
      <c r="AA282" s="676"/>
    </row>
    <row r="283" spans="1:27" x14ac:dyDescent="0.25">
      <c r="A283" s="98"/>
      <c r="B283" s="380"/>
      <c r="C283" s="251" t="s">
        <v>98</v>
      </c>
      <c r="D283" s="251" t="s">
        <v>98</v>
      </c>
      <c r="E283" s="449" t="s">
        <v>301</v>
      </c>
      <c r="F283" s="380" t="s">
        <v>1018</v>
      </c>
      <c r="G283" s="607"/>
      <c r="H283" s="511"/>
      <c r="I283" s="684"/>
      <c r="J283" s="511">
        <f>SUM(J284:J284)</f>
        <v>283674.90000000002</v>
      </c>
      <c r="K283" s="676"/>
      <c r="L283" s="676"/>
      <c r="M283" s="676"/>
      <c r="N283" s="676"/>
      <c r="O283" s="676"/>
      <c r="P283" s="676"/>
      <c r="Q283" s="676"/>
      <c r="R283" s="676"/>
      <c r="S283" s="676"/>
      <c r="T283" s="676"/>
      <c r="U283" s="676"/>
      <c r="V283" s="676"/>
      <c r="W283" s="676"/>
      <c r="X283" s="676"/>
      <c r="Y283" s="676"/>
      <c r="Z283" s="676"/>
      <c r="AA283" s="676"/>
    </row>
    <row r="284" spans="1:27" x14ac:dyDescent="0.25">
      <c r="A284" s="139"/>
      <c r="B284" s="32"/>
      <c r="C284" s="644" t="s">
        <v>98</v>
      </c>
      <c r="D284" s="507" t="s">
        <v>1156</v>
      </c>
      <c r="E284" s="107" t="str">
        <f>" - " &amp; 'Giá NC'!E7</f>
        <v xml:space="preserve"> - Nhân công bậc 3,0/7 - Nhóm 2</v>
      </c>
      <c r="F284" s="32" t="str">
        <f>'Giá NC'!F7</f>
        <v>công</v>
      </c>
      <c r="G284" s="270">
        <f>'Phan tich don gia'!G220</f>
        <v>1.23</v>
      </c>
      <c r="H284" s="179">
        <f>'Giá NC'!K7</f>
        <v>230630</v>
      </c>
      <c r="I284" s="347">
        <f>'Du toan chi tiet'!W36</f>
        <v>1</v>
      </c>
      <c r="J284" s="179">
        <f>PRODUCT(G284,H284,I284)</f>
        <v>283674.90000000002</v>
      </c>
      <c r="K284" s="676"/>
      <c r="L284" s="676"/>
      <c r="M284" s="676"/>
      <c r="N284" s="676"/>
      <c r="O284" s="676"/>
      <c r="P284" s="676"/>
      <c r="Q284" s="676"/>
      <c r="R284" s="676"/>
      <c r="S284" s="676"/>
      <c r="T284" s="676"/>
      <c r="U284" s="676"/>
      <c r="V284" s="676"/>
      <c r="W284" s="676"/>
      <c r="X284" s="676"/>
      <c r="Y284" s="676"/>
      <c r="Z284" s="676"/>
      <c r="AA284" s="676"/>
    </row>
    <row r="285" spans="1:27" x14ac:dyDescent="0.25">
      <c r="A285" s="98"/>
      <c r="B285" s="380"/>
      <c r="C285" s="251" t="s">
        <v>98</v>
      </c>
      <c r="D285" s="251" t="s">
        <v>98</v>
      </c>
      <c r="E285" s="449" t="s">
        <v>1175</v>
      </c>
      <c r="F285" s="380" t="s">
        <v>138</v>
      </c>
      <c r="G285" s="607"/>
      <c r="H285" s="511"/>
      <c r="I285" s="684"/>
      <c r="J285" s="511">
        <f>SUM(J286:J288)</f>
        <v>53736.791000000005</v>
      </c>
      <c r="K285" s="676"/>
      <c r="L285" s="676"/>
      <c r="M285" s="676"/>
      <c r="N285" s="676"/>
      <c r="O285" s="676"/>
      <c r="P285" s="676"/>
      <c r="Q285" s="676"/>
      <c r="R285" s="676"/>
      <c r="S285" s="676"/>
      <c r="T285" s="676"/>
      <c r="U285" s="676"/>
      <c r="V285" s="676"/>
      <c r="W285" s="676"/>
      <c r="X285" s="676"/>
      <c r="Y285" s="676"/>
      <c r="Z285" s="676"/>
      <c r="AA285" s="676"/>
    </row>
    <row r="286" spans="1:27" x14ac:dyDescent="0.25">
      <c r="A286" s="139"/>
      <c r="B286" s="32"/>
      <c r="C286" s="644" t="s">
        <v>98</v>
      </c>
      <c r="D286" s="507" t="s">
        <v>113</v>
      </c>
      <c r="E286" s="107" t="str">
        <f>" - " &amp; 'Giá Máy'!E20</f>
        <v xml:space="preserve"> - Máy trộn bê tông 250 lít</v>
      </c>
      <c r="F286" s="32" t="str">
        <f>'Giá Máy'!F20</f>
        <v>ca</v>
      </c>
      <c r="G286" s="270">
        <f>'Phan tich don gia'!G222</f>
        <v>9.5000000000000001E-2</v>
      </c>
      <c r="H286" s="179">
        <f>'Giá Máy'!J20</f>
        <v>317242</v>
      </c>
      <c r="I286" s="347">
        <f>'Du toan chi tiet'!X36</f>
        <v>1</v>
      </c>
      <c r="J286" s="179">
        <f t="shared" ref="J286:J287" si="29">PRODUCT(G286,H286,I286)</f>
        <v>30137.99</v>
      </c>
      <c r="K286" s="676"/>
      <c r="L286" s="676"/>
      <c r="M286" s="676"/>
      <c r="N286" s="676"/>
      <c r="O286" s="676"/>
      <c r="P286" s="676"/>
      <c r="Q286" s="676"/>
      <c r="R286" s="676"/>
      <c r="S286" s="676"/>
      <c r="T286" s="676"/>
      <c r="U286" s="676"/>
      <c r="V286" s="676"/>
      <c r="W286" s="676"/>
      <c r="X286" s="676"/>
      <c r="Y286" s="676"/>
      <c r="Z286" s="676"/>
      <c r="AA286" s="676"/>
    </row>
    <row r="287" spans="1:27" x14ac:dyDescent="0.25">
      <c r="A287" s="139"/>
      <c r="B287" s="32"/>
      <c r="C287" s="644" t="s">
        <v>98</v>
      </c>
      <c r="D287" s="507" t="s">
        <v>194</v>
      </c>
      <c r="E287" s="107" t="str">
        <f>" - " &amp; 'Giá Máy'!E12</f>
        <v xml:space="preserve"> - Máy đầm dùi 1,5kW</v>
      </c>
      <c r="F287" s="32" t="str">
        <f>'Giá Máy'!F12</f>
        <v>ca</v>
      </c>
      <c r="G287" s="270">
        <f>'Phan tich don gia'!G223</f>
        <v>8.8999999999999996E-2</v>
      </c>
      <c r="H287" s="179">
        <f>'Giá Máy'!J12</f>
        <v>265153</v>
      </c>
      <c r="I287" s="347">
        <f>'Du toan chi tiet'!X36</f>
        <v>1</v>
      </c>
      <c r="J287" s="179">
        <f t="shared" si="29"/>
        <v>23598.616999999998</v>
      </c>
      <c r="K287" s="676"/>
      <c r="L287" s="676"/>
      <c r="M287" s="676"/>
      <c r="N287" s="676"/>
      <c r="O287" s="676"/>
      <c r="P287" s="676"/>
      <c r="Q287" s="676"/>
      <c r="R287" s="676"/>
      <c r="S287" s="676"/>
      <c r="T287" s="676"/>
      <c r="U287" s="676"/>
      <c r="V287" s="676"/>
      <c r="W287" s="676"/>
      <c r="X287" s="676"/>
      <c r="Y287" s="676"/>
      <c r="Z287" s="676"/>
      <c r="AA287" s="676"/>
    </row>
    <row r="288" spans="1:27" x14ac:dyDescent="0.25">
      <c r="A288" s="139"/>
      <c r="B288" s="32"/>
      <c r="C288" s="644" t="s">
        <v>98</v>
      </c>
      <c r="D288" s="507" t="s">
        <v>98</v>
      </c>
      <c r="E288" s="107" t="s">
        <v>1230</v>
      </c>
      <c r="F288" s="32"/>
      <c r="G288" s="277"/>
      <c r="H288" s="179"/>
      <c r="I288" s="347"/>
      <c r="J288" s="179">
        <f>SUM(J289:J290)</f>
        <v>0.184</v>
      </c>
      <c r="K288" s="676"/>
      <c r="L288" s="676"/>
      <c r="M288" s="676"/>
      <c r="N288" s="676"/>
      <c r="O288" s="676"/>
      <c r="P288" s="676"/>
      <c r="Q288" s="676"/>
      <c r="R288" s="676"/>
      <c r="S288" s="676"/>
      <c r="T288" s="676"/>
      <c r="U288" s="676"/>
      <c r="V288" s="676"/>
      <c r="W288" s="676"/>
      <c r="X288" s="676"/>
      <c r="Y288" s="676"/>
      <c r="Z288" s="676"/>
      <c r="AA288" s="676"/>
    </row>
    <row r="289" spans="1:27" x14ac:dyDescent="0.25">
      <c r="A289" s="139"/>
      <c r="B289" s="32"/>
      <c r="C289" s="644" t="s">
        <v>98</v>
      </c>
      <c r="D289" s="507" t="s">
        <v>98</v>
      </c>
      <c r="E289" s="107" t="s">
        <v>52</v>
      </c>
      <c r="F289" s="32"/>
      <c r="G289" s="277"/>
      <c r="H289" s="179"/>
      <c r="I289" s="347"/>
      <c r="J289" s="179">
        <f>PRODUCT(G286,I286,'Giá Máy'!L20)+PRODUCT(G287,I287,'Giá Máy'!L12)</f>
        <v>0</v>
      </c>
      <c r="K289" s="676"/>
      <c r="L289" s="676"/>
      <c r="M289" s="676"/>
      <c r="N289" s="676"/>
      <c r="O289" s="676"/>
      <c r="P289" s="676"/>
      <c r="Q289" s="676"/>
      <c r="R289" s="676"/>
      <c r="S289" s="676"/>
      <c r="T289" s="676"/>
      <c r="U289" s="676"/>
      <c r="V289" s="676"/>
      <c r="W289" s="676"/>
      <c r="X289" s="676"/>
      <c r="Y289" s="676"/>
      <c r="Z289" s="676"/>
      <c r="AA289" s="676"/>
    </row>
    <row r="290" spans="1:27" x14ac:dyDescent="0.25">
      <c r="A290" s="543"/>
      <c r="B290" s="736"/>
      <c r="C290" s="596" t="s">
        <v>98</v>
      </c>
      <c r="D290" s="438" t="s">
        <v>98</v>
      </c>
      <c r="E290" s="31" t="s">
        <v>597</v>
      </c>
      <c r="F290" s="736"/>
      <c r="G290" s="231"/>
      <c r="H290" s="93"/>
      <c r="I290" s="296"/>
      <c r="J290" s="93">
        <f>PRODUCT(G286,I286,'Giá Máy'!M20)+PRODUCT(G287,I287,'Giá Máy'!M12)</f>
        <v>0.184</v>
      </c>
      <c r="K290" s="676"/>
      <c r="L290" s="676"/>
      <c r="M290" s="676"/>
      <c r="N290" s="676"/>
      <c r="O290" s="676"/>
      <c r="P290" s="676"/>
      <c r="Q290" s="676"/>
      <c r="R290" s="676"/>
      <c r="S290" s="676"/>
      <c r="T290" s="676"/>
      <c r="U290" s="676"/>
      <c r="V290" s="676"/>
      <c r="W290" s="676"/>
      <c r="X290" s="676"/>
      <c r="Y290" s="676"/>
      <c r="Z290" s="676"/>
      <c r="AA290" s="676"/>
    </row>
    <row r="291" spans="1:27" x14ac:dyDescent="0.25">
      <c r="A291" s="89"/>
      <c r="B291" s="318">
        <v>28</v>
      </c>
      <c r="C291" s="149" t="str">
        <f>'Du toan chi tiet'!C37</f>
        <v>AF.82511</v>
      </c>
      <c r="D291" s="149" t="str">
        <f>'Du toan chi tiet'!C37</f>
        <v>AF.82511</v>
      </c>
      <c r="E291" s="665" t="str">
        <f>'Du toan chi tiet'!D37</f>
        <v>Ván khuôn móng dài</v>
      </c>
      <c r="F291" s="318" t="str">
        <f>'Du toan chi tiet'!E37</f>
        <v>m2</v>
      </c>
      <c r="G291" s="56"/>
      <c r="H291" s="435"/>
      <c r="I291" s="589"/>
      <c r="J291" s="367">
        <f>J292+J297+J299</f>
        <v>54947.258792636007</v>
      </c>
      <c r="K291" s="676"/>
      <c r="L291" s="676"/>
      <c r="M291" s="676"/>
      <c r="N291" s="676"/>
      <c r="O291" s="676"/>
      <c r="P291" s="676"/>
      <c r="Q291" s="676"/>
      <c r="R291" s="676"/>
      <c r="S291" s="676"/>
      <c r="T291" s="676"/>
      <c r="U291" s="676"/>
      <c r="V291" s="676"/>
      <c r="W291" s="676"/>
      <c r="X291" s="676"/>
      <c r="Y291" s="676"/>
      <c r="Z291" s="676"/>
      <c r="AA291" s="676"/>
    </row>
    <row r="292" spans="1:27" x14ac:dyDescent="0.25">
      <c r="A292" s="98"/>
      <c r="B292" s="380"/>
      <c r="C292" s="251" t="s">
        <v>98</v>
      </c>
      <c r="D292" s="251" t="s">
        <v>98</v>
      </c>
      <c r="E292" s="449" t="s">
        <v>547</v>
      </c>
      <c r="F292" s="380" t="s">
        <v>962</v>
      </c>
      <c r="G292" s="607"/>
      <c r="H292" s="511"/>
      <c r="I292" s="684"/>
      <c r="J292" s="511">
        <f>SUM(J293:J296)</f>
        <v>17413.044164636009</v>
      </c>
      <c r="K292" s="676"/>
      <c r="L292" s="676"/>
      <c r="M292" s="676"/>
      <c r="N292" s="676"/>
      <c r="O292" s="676"/>
      <c r="P292" s="676"/>
      <c r="Q292" s="676"/>
      <c r="R292" s="676"/>
      <c r="S292" s="676"/>
      <c r="T292" s="676"/>
      <c r="U292" s="676"/>
      <c r="V292" s="676"/>
      <c r="W292" s="676"/>
      <c r="X292" s="676"/>
      <c r="Y292" s="676"/>
      <c r="Z292" s="676"/>
      <c r="AA292" s="676"/>
    </row>
    <row r="293" spans="1:27" x14ac:dyDescent="0.25">
      <c r="A293" s="139"/>
      <c r="B293" s="32"/>
      <c r="C293" s="644" t="s">
        <v>98</v>
      </c>
      <c r="D293" s="507" t="s">
        <v>713</v>
      </c>
      <c r="E293" s="107" t="str">
        <f>" - " &amp; 'Giá VL'!E31</f>
        <v xml:space="preserve"> - Thép tấm</v>
      </c>
      <c r="F293" s="32" t="str">
        <f>'Giá VL'!F31</f>
        <v>kg</v>
      </c>
      <c r="G293" s="270">
        <f>'Phan tich don gia'!G226</f>
        <v>0.5181</v>
      </c>
      <c r="H293" s="179">
        <f>'Giá VL'!V31</f>
        <v>19657.495796390001</v>
      </c>
      <c r="I293" s="347">
        <f>'Du toan chi tiet'!V37</f>
        <v>1</v>
      </c>
      <c r="J293" s="179">
        <f t="shared" ref="J293:J296" si="30">PRODUCT(G293,H293,I293)</f>
        <v>10184.548572109659</v>
      </c>
      <c r="K293" s="676"/>
      <c r="L293" s="676"/>
      <c r="M293" s="676"/>
      <c r="N293" s="676"/>
      <c r="O293" s="676"/>
      <c r="P293" s="676"/>
      <c r="Q293" s="676"/>
      <c r="R293" s="676"/>
      <c r="S293" s="676"/>
      <c r="T293" s="676"/>
      <c r="U293" s="676"/>
      <c r="V293" s="676"/>
      <c r="W293" s="676"/>
      <c r="X293" s="676"/>
      <c r="Y293" s="676"/>
      <c r="Z293" s="676"/>
      <c r="AA293" s="676"/>
    </row>
    <row r="294" spans="1:27" x14ac:dyDescent="0.25">
      <c r="A294" s="139"/>
      <c r="B294" s="32"/>
      <c r="C294" s="644" t="s">
        <v>98</v>
      </c>
      <c r="D294" s="507" t="s">
        <v>1141</v>
      </c>
      <c r="E294" s="107" t="str">
        <f>" - " &amp; 'Giá VL'!E29</f>
        <v xml:space="preserve"> - Thép hình</v>
      </c>
      <c r="F294" s="32" t="str">
        <f>'Giá VL'!F29</f>
        <v>kg</v>
      </c>
      <c r="G294" s="270">
        <f>'Phan tich don gia'!G227</f>
        <v>0.32019999999999998</v>
      </c>
      <c r="H294" s="179">
        <f>'Giá VL'!V29</f>
        <v>19657.495796390001</v>
      </c>
      <c r="I294" s="347">
        <f>'Du toan chi tiet'!V37</f>
        <v>1</v>
      </c>
      <c r="J294" s="179">
        <f t="shared" si="30"/>
        <v>6294.3301540040784</v>
      </c>
      <c r="K294" s="676"/>
      <c r="L294" s="676"/>
      <c r="M294" s="676"/>
      <c r="N294" s="676"/>
      <c r="O294" s="676"/>
      <c r="P294" s="676"/>
      <c r="Q294" s="676"/>
      <c r="R294" s="676"/>
      <c r="S294" s="676"/>
      <c r="T294" s="676"/>
      <c r="U294" s="676"/>
      <c r="V294" s="676"/>
      <c r="W294" s="676"/>
      <c r="X294" s="676"/>
      <c r="Y294" s="676"/>
      <c r="Z294" s="676"/>
      <c r="AA294" s="676"/>
    </row>
    <row r="295" spans="1:27" x14ac:dyDescent="0.25">
      <c r="A295" s="139"/>
      <c r="B295" s="32"/>
      <c r="C295" s="644" t="s">
        <v>98</v>
      </c>
      <c r="D295" s="507" t="s">
        <v>919</v>
      </c>
      <c r="E295" s="107" t="str">
        <f>" - " &amp; 'Giá VL'!E25</f>
        <v xml:space="preserve"> - Que hàn</v>
      </c>
      <c r="F295" s="32" t="str">
        <f>'Giá VL'!F25</f>
        <v>kg</v>
      </c>
      <c r="G295" s="270">
        <f>'Phan tich don gia'!G228</f>
        <v>3.2599999999999997E-2</v>
      </c>
      <c r="H295" s="179">
        <f>'Giá VL'!V25</f>
        <v>18182</v>
      </c>
      <c r="I295" s="347">
        <f>'Du toan chi tiet'!V37</f>
        <v>1</v>
      </c>
      <c r="J295" s="179">
        <f t="shared" si="30"/>
        <v>592.7331999999999</v>
      </c>
      <c r="K295" s="676"/>
      <c r="L295" s="676"/>
      <c r="M295" s="676"/>
      <c r="N295" s="676"/>
      <c r="O295" s="676"/>
      <c r="P295" s="676"/>
      <c r="Q295" s="676"/>
      <c r="R295" s="676"/>
      <c r="S295" s="676"/>
      <c r="T295" s="676"/>
      <c r="U295" s="676"/>
      <c r="V295" s="676"/>
      <c r="W295" s="676"/>
      <c r="X295" s="676"/>
      <c r="Y295" s="676"/>
      <c r="Z295" s="676"/>
      <c r="AA295" s="676"/>
    </row>
    <row r="296" spans="1:27" x14ac:dyDescent="0.25">
      <c r="A296" s="139"/>
      <c r="B296" s="32"/>
      <c r="C296" s="644" t="s">
        <v>98</v>
      </c>
      <c r="D296" s="507" t="s">
        <v>667</v>
      </c>
      <c r="E296" s="107" t="s">
        <v>238</v>
      </c>
      <c r="F296" s="32" t="s">
        <v>1113</v>
      </c>
      <c r="G296" s="270">
        <f>'Phan tich don gia'!G229</f>
        <v>2</v>
      </c>
      <c r="H296" s="179">
        <f>(G293*H293+G294*H294+G295*H295)/100</f>
        <v>170.71611926113735</v>
      </c>
      <c r="I296" s="347">
        <f>'Du toan chi tiet'!V37</f>
        <v>1</v>
      </c>
      <c r="J296" s="179">
        <f t="shared" si="30"/>
        <v>341.4322385222747</v>
      </c>
      <c r="K296" s="676"/>
      <c r="L296" s="676"/>
      <c r="M296" s="676"/>
      <c r="N296" s="676"/>
      <c r="O296" s="676"/>
      <c r="P296" s="676"/>
      <c r="Q296" s="676"/>
      <c r="R296" s="676"/>
      <c r="S296" s="676"/>
      <c r="T296" s="676"/>
      <c r="U296" s="676"/>
      <c r="V296" s="676"/>
      <c r="W296" s="676"/>
      <c r="X296" s="676"/>
      <c r="Y296" s="676"/>
      <c r="Z296" s="676"/>
      <c r="AA296" s="676"/>
    </row>
    <row r="297" spans="1:27" x14ac:dyDescent="0.25">
      <c r="A297" s="98"/>
      <c r="B297" s="380"/>
      <c r="C297" s="251" t="s">
        <v>98</v>
      </c>
      <c r="D297" s="251" t="s">
        <v>98</v>
      </c>
      <c r="E297" s="449" t="s">
        <v>301</v>
      </c>
      <c r="F297" s="380" t="s">
        <v>1018</v>
      </c>
      <c r="G297" s="607"/>
      <c r="H297" s="511"/>
      <c r="I297" s="684"/>
      <c r="J297" s="511">
        <f>SUM(J298:J298)</f>
        <v>33536.824999999997</v>
      </c>
      <c r="K297" s="676"/>
      <c r="L297" s="676"/>
      <c r="M297" s="676"/>
      <c r="N297" s="676"/>
      <c r="O297" s="676"/>
      <c r="P297" s="676"/>
      <c r="Q297" s="676"/>
      <c r="R297" s="676"/>
      <c r="S297" s="676"/>
      <c r="T297" s="676"/>
      <c r="U297" s="676"/>
      <c r="V297" s="676"/>
      <c r="W297" s="676"/>
      <c r="X297" s="676"/>
      <c r="Y297" s="676"/>
      <c r="Z297" s="676"/>
      <c r="AA297" s="676"/>
    </row>
    <row r="298" spans="1:27" x14ac:dyDescent="0.25">
      <c r="A298" s="139"/>
      <c r="B298" s="32"/>
      <c r="C298" s="644" t="s">
        <v>98</v>
      </c>
      <c r="D298" s="507" t="s">
        <v>169</v>
      </c>
      <c r="E298" s="107" t="str">
        <f>" - " &amp; 'Giá NC'!E9</f>
        <v xml:space="preserve"> - Nhân công bậc 4,0/7 - Nhóm 2</v>
      </c>
      <c r="F298" s="32" t="str">
        <f>'Giá NC'!F9</f>
        <v>công</v>
      </c>
      <c r="G298" s="270">
        <f>'Phan tich don gia'!G231</f>
        <v>0.1225</v>
      </c>
      <c r="H298" s="179">
        <f>'Giá NC'!K9</f>
        <v>273770</v>
      </c>
      <c r="I298" s="347">
        <f>'Du toan chi tiet'!W37</f>
        <v>1</v>
      </c>
      <c r="J298" s="179">
        <f>PRODUCT(G298,H298,I298)</f>
        <v>33536.824999999997</v>
      </c>
      <c r="K298" s="676"/>
      <c r="L298" s="676"/>
      <c r="M298" s="676"/>
      <c r="N298" s="676"/>
      <c r="O298" s="676"/>
      <c r="P298" s="676"/>
      <c r="Q298" s="676"/>
      <c r="R298" s="676"/>
      <c r="S298" s="676"/>
      <c r="T298" s="676"/>
      <c r="U298" s="676"/>
      <c r="V298" s="676"/>
      <c r="W298" s="676"/>
      <c r="X298" s="676"/>
      <c r="Y298" s="676"/>
      <c r="Z298" s="676"/>
      <c r="AA298" s="676"/>
    </row>
    <row r="299" spans="1:27" x14ac:dyDescent="0.25">
      <c r="A299" s="98"/>
      <c r="B299" s="380"/>
      <c r="C299" s="251" t="s">
        <v>98</v>
      </c>
      <c r="D299" s="251" t="s">
        <v>98</v>
      </c>
      <c r="E299" s="449" t="s">
        <v>1175</v>
      </c>
      <c r="F299" s="380" t="s">
        <v>138</v>
      </c>
      <c r="G299" s="607"/>
      <c r="H299" s="511"/>
      <c r="I299" s="684"/>
      <c r="J299" s="511">
        <f>SUM(J300:J302)</f>
        <v>3997.3896280000004</v>
      </c>
      <c r="K299" s="676"/>
      <c r="L299" s="676"/>
      <c r="M299" s="676"/>
      <c r="N299" s="676"/>
      <c r="O299" s="676"/>
      <c r="P299" s="676"/>
      <c r="Q299" s="676"/>
      <c r="R299" s="676"/>
      <c r="S299" s="676"/>
      <c r="T299" s="676"/>
      <c r="U299" s="676"/>
      <c r="V299" s="676"/>
      <c r="W299" s="676"/>
      <c r="X299" s="676"/>
      <c r="Y299" s="676"/>
      <c r="Z299" s="676"/>
      <c r="AA299" s="676"/>
    </row>
    <row r="300" spans="1:27" x14ac:dyDescent="0.25">
      <c r="A300" s="139"/>
      <c r="B300" s="32"/>
      <c r="C300" s="644" t="s">
        <v>98</v>
      </c>
      <c r="D300" s="507" t="s">
        <v>82</v>
      </c>
      <c r="E300" s="107" t="str">
        <f>" - " &amp; 'Giá Máy'!E15</f>
        <v xml:space="preserve"> - Máy hàn điện 23kW</v>
      </c>
      <c r="F300" s="32" t="str">
        <f>'Giá Máy'!F15</f>
        <v>ca</v>
      </c>
      <c r="G300" s="270">
        <f>'Phan tich don gia'!G233</f>
        <v>8.2000000000000007E-3</v>
      </c>
      <c r="H300" s="179">
        <f>'Giá Máy'!J15</f>
        <v>477927</v>
      </c>
      <c r="I300" s="347">
        <f>'Du toan chi tiet'!X37</f>
        <v>1</v>
      </c>
      <c r="J300" s="179">
        <f t="shared" ref="J300:J301" si="31">PRODUCT(G300,H300,I300)</f>
        <v>3919.0014000000001</v>
      </c>
      <c r="K300" s="676"/>
      <c r="L300" s="676"/>
      <c r="M300" s="676"/>
      <c r="N300" s="676"/>
      <c r="O300" s="676"/>
      <c r="P300" s="676"/>
      <c r="Q300" s="676"/>
      <c r="R300" s="676"/>
      <c r="S300" s="676"/>
      <c r="T300" s="676"/>
      <c r="U300" s="676"/>
      <c r="V300" s="676"/>
      <c r="W300" s="676"/>
      <c r="X300" s="676"/>
      <c r="Y300" s="676"/>
      <c r="Z300" s="676"/>
      <c r="AA300" s="676"/>
    </row>
    <row r="301" spans="1:27" x14ac:dyDescent="0.25">
      <c r="A301" s="139"/>
      <c r="B301" s="32"/>
      <c r="C301" s="644" t="s">
        <v>98</v>
      </c>
      <c r="D301" s="507" t="s">
        <v>1162</v>
      </c>
      <c r="E301" s="107" t="s">
        <v>1080</v>
      </c>
      <c r="F301" s="32" t="s">
        <v>1113</v>
      </c>
      <c r="G301" s="270">
        <f>'Phan tich don gia'!G234</f>
        <v>2</v>
      </c>
      <c r="H301" s="179">
        <f>(G300*H300)/100</f>
        <v>39.190013999999998</v>
      </c>
      <c r="I301" s="347">
        <f>'Du toan chi tiet'!X37</f>
        <v>1</v>
      </c>
      <c r="J301" s="179">
        <f t="shared" si="31"/>
        <v>78.380027999999996</v>
      </c>
      <c r="K301" s="676"/>
      <c r="L301" s="676"/>
      <c r="M301" s="676"/>
      <c r="N301" s="676"/>
      <c r="O301" s="676"/>
      <c r="P301" s="676"/>
      <c r="Q301" s="676"/>
      <c r="R301" s="676"/>
      <c r="S301" s="676"/>
      <c r="T301" s="676"/>
      <c r="U301" s="676"/>
      <c r="V301" s="676"/>
      <c r="W301" s="676"/>
      <c r="X301" s="676"/>
      <c r="Y301" s="676"/>
      <c r="Z301" s="676"/>
      <c r="AA301" s="676"/>
    </row>
    <row r="302" spans="1:27" x14ac:dyDescent="0.25">
      <c r="A302" s="139"/>
      <c r="B302" s="32"/>
      <c r="C302" s="644" t="s">
        <v>98</v>
      </c>
      <c r="D302" s="507" t="s">
        <v>98</v>
      </c>
      <c r="E302" s="107" t="s">
        <v>1230</v>
      </c>
      <c r="F302" s="32"/>
      <c r="G302" s="277"/>
      <c r="H302" s="179"/>
      <c r="I302" s="347"/>
      <c r="J302" s="179">
        <f>SUM(J303:J304)+PRODUCT(G301,I301,THM!X98-THM!R98)</f>
        <v>8.2000000000000007E-3</v>
      </c>
      <c r="K302" s="676"/>
      <c r="L302" s="676"/>
      <c r="M302" s="676"/>
      <c r="N302" s="676"/>
      <c r="O302" s="676"/>
      <c r="P302" s="676"/>
      <c r="Q302" s="676"/>
      <c r="R302" s="676"/>
      <c r="S302" s="676"/>
      <c r="T302" s="676"/>
      <c r="U302" s="676"/>
      <c r="V302" s="676"/>
      <c r="W302" s="676"/>
      <c r="X302" s="676"/>
      <c r="Y302" s="676"/>
      <c r="Z302" s="676"/>
      <c r="AA302" s="676"/>
    </row>
    <row r="303" spans="1:27" x14ac:dyDescent="0.25">
      <c r="A303" s="139"/>
      <c r="B303" s="32"/>
      <c r="C303" s="644" t="s">
        <v>98</v>
      </c>
      <c r="D303" s="507" t="s">
        <v>98</v>
      </c>
      <c r="E303" s="107" t="s">
        <v>52</v>
      </c>
      <c r="F303" s="32"/>
      <c r="G303" s="277"/>
      <c r="H303" s="179"/>
      <c r="I303" s="347"/>
      <c r="J303" s="179">
        <f>PRODUCT(G300,I300,'Giá Máy'!L15)</f>
        <v>0</v>
      </c>
      <c r="K303" s="676"/>
      <c r="L303" s="676"/>
      <c r="M303" s="676"/>
      <c r="N303" s="676"/>
      <c r="O303" s="676"/>
      <c r="P303" s="676"/>
      <c r="Q303" s="676"/>
      <c r="R303" s="676"/>
      <c r="S303" s="676"/>
      <c r="T303" s="676"/>
      <c r="U303" s="676"/>
      <c r="V303" s="676"/>
      <c r="W303" s="676"/>
      <c r="X303" s="676"/>
      <c r="Y303" s="676"/>
      <c r="Z303" s="676"/>
      <c r="AA303" s="676"/>
    </row>
    <row r="304" spans="1:27" x14ac:dyDescent="0.25">
      <c r="A304" s="543"/>
      <c r="B304" s="736"/>
      <c r="C304" s="596" t="s">
        <v>98</v>
      </c>
      <c r="D304" s="438" t="s">
        <v>98</v>
      </c>
      <c r="E304" s="31" t="s">
        <v>597</v>
      </c>
      <c r="F304" s="736"/>
      <c r="G304" s="231"/>
      <c r="H304" s="93"/>
      <c r="I304" s="296"/>
      <c r="J304" s="93">
        <f>PRODUCT(G300,I300,'Giá Máy'!M15)</f>
        <v>8.2000000000000007E-3</v>
      </c>
      <c r="K304" s="676"/>
      <c r="L304" s="676"/>
      <c r="M304" s="676"/>
      <c r="N304" s="676"/>
      <c r="O304" s="676"/>
      <c r="P304" s="676"/>
      <c r="Q304" s="676"/>
      <c r="R304" s="676"/>
      <c r="S304" s="676"/>
      <c r="T304" s="676"/>
      <c r="U304" s="676"/>
      <c r="V304" s="676"/>
      <c r="W304" s="676"/>
      <c r="X304" s="676"/>
      <c r="Y304" s="676"/>
      <c r="Z304" s="676"/>
      <c r="AA304" s="676"/>
    </row>
    <row r="305" spans="1:27" x14ac:dyDescent="0.25">
      <c r="A305" s="89"/>
      <c r="B305" s="318">
        <v>29</v>
      </c>
      <c r="C305" s="149" t="str">
        <f>'Du toan chi tiet'!C38</f>
        <v>AF.12151</v>
      </c>
      <c r="D305" s="149" t="str">
        <f>'Du toan chi tiet'!C38</f>
        <v>AF.12151</v>
      </c>
      <c r="E305" s="665" t="str">
        <f>'Du toan chi tiet'!D38</f>
        <v>Bê tông tường cánh SX bằng máy trộn, đổ bằng thủ công - Chiều dày ≤45cm, chiều cao ≤6m, M150, đá 2x4, PCB40</v>
      </c>
      <c r="F305" s="318" t="str">
        <f>'Du toan chi tiet'!E38</f>
        <v>m3</v>
      </c>
      <c r="G305" s="56"/>
      <c r="H305" s="435"/>
      <c r="I305" s="589"/>
      <c r="J305" s="367">
        <f>J306+J312+J314</f>
        <v>1540467.8265220288</v>
      </c>
      <c r="K305" s="676"/>
      <c r="L305" s="676"/>
      <c r="M305" s="676"/>
      <c r="N305" s="676"/>
      <c r="O305" s="676"/>
      <c r="P305" s="676"/>
      <c r="Q305" s="676"/>
      <c r="R305" s="676"/>
      <c r="S305" s="676"/>
      <c r="T305" s="676"/>
      <c r="U305" s="676"/>
      <c r="V305" s="676"/>
      <c r="W305" s="676"/>
      <c r="X305" s="676"/>
      <c r="Y305" s="676"/>
      <c r="Z305" s="676"/>
      <c r="AA305" s="676"/>
    </row>
    <row r="306" spans="1:27" x14ac:dyDescent="0.25">
      <c r="A306" s="98"/>
      <c r="B306" s="380"/>
      <c r="C306" s="251" t="s">
        <v>98</v>
      </c>
      <c r="D306" s="251" t="s">
        <v>98</v>
      </c>
      <c r="E306" s="449" t="s">
        <v>547</v>
      </c>
      <c r="F306" s="380" t="s">
        <v>962</v>
      </c>
      <c r="G306" s="607"/>
      <c r="H306" s="511"/>
      <c r="I306" s="684"/>
      <c r="J306" s="511">
        <f>SUM(J307:J311)</f>
        <v>834624.02152202884</v>
      </c>
      <c r="K306" s="676"/>
      <c r="L306" s="676"/>
      <c r="M306" s="676"/>
      <c r="N306" s="676"/>
      <c r="O306" s="676"/>
      <c r="P306" s="676"/>
      <c r="Q306" s="676"/>
      <c r="R306" s="676"/>
      <c r="S306" s="676"/>
      <c r="T306" s="676"/>
      <c r="U306" s="676"/>
      <c r="V306" s="676"/>
      <c r="W306" s="676"/>
      <c r="X306" s="676"/>
      <c r="Y306" s="676"/>
      <c r="Z306" s="676"/>
      <c r="AA306" s="676"/>
    </row>
    <row r="307" spans="1:27" x14ac:dyDescent="0.25">
      <c r="A307" s="139"/>
      <c r="B307" s="32"/>
      <c r="C307" s="644" t="s">
        <v>98</v>
      </c>
      <c r="D307" s="507" t="s">
        <v>235</v>
      </c>
      <c r="E307" s="107" t="str">
        <f>" - " &amp; 'Giá VL'!E37</f>
        <v xml:space="preserve"> - Xi măng PCB40</v>
      </c>
      <c r="F307" s="32" t="str">
        <f>'Giá VL'!F37</f>
        <v>kg</v>
      </c>
      <c r="G307" s="270">
        <f>'Phan tich don gia'!G237</f>
        <v>210.125</v>
      </c>
      <c r="H307" s="179">
        <f>'Giá VL'!V37</f>
        <v>1587.7239999999999</v>
      </c>
      <c r="I307" s="347">
        <f>'Du toan chi tiet'!V38</f>
        <v>1</v>
      </c>
      <c r="J307" s="179">
        <f t="shared" ref="J307:J311" si="32">PRODUCT(G307,H307,I307)</f>
        <v>333620.50549999997</v>
      </c>
      <c r="K307" s="676"/>
      <c r="L307" s="676"/>
      <c r="M307" s="676"/>
      <c r="N307" s="676"/>
      <c r="O307" s="676"/>
      <c r="P307" s="676"/>
      <c r="Q307" s="676"/>
      <c r="R307" s="676"/>
      <c r="S307" s="676"/>
      <c r="T307" s="676"/>
      <c r="U307" s="676"/>
      <c r="V307" s="676"/>
      <c r="W307" s="676"/>
      <c r="X307" s="676"/>
      <c r="Y307" s="676"/>
      <c r="Z307" s="676"/>
      <c r="AA307" s="676"/>
    </row>
    <row r="308" spans="1:27" x14ac:dyDescent="0.25">
      <c r="A308" s="139"/>
      <c r="B308" s="32"/>
      <c r="C308" s="644" t="s">
        <v>98</v>
      </c>
      <c r="D308" s="507" t="s">
        <v>523</v>
      </c>
      <c r="E308" s="107" t="str">
        <f>" - " &amp; 'Giá VL'!E9</f>
        <v xml:space="preserve"> - Cát vàng</v>
      </c>
      <c r="F308" s="32" t="str">
        <f>'Giá VL'!F9</f>
        <v>m3</v>
      </c>
      <c r="G308" s="270">
        <f>'Phan tich don gia'!G238</f>
        <v>0.56272500000000003</v>
      </c>
      <c r="H308" s="179">
        <f>'Giá VL'!V9</f>
        <v>345317.29174999997</v>
      </c>
      <c r="I308" s="347">
        <f>'Du toan chi tiet'!V38</f>
        <v>1</v>
      </c>
      <c r="J308" s="179">
        <f t="shared" si="32"/>
        <v>194318.67300001875</v>
      </c>
      <c r="K308" s="676"/>
      <c r="L308" s="676"/>
      <c r="M308" s="676"/>
      <c r="N308" s="676"/>
      <c r="O308" s="676"/>
      <c r="P308" s="676"/>
      <c r="Q308" s="676"/>
      <c r="R308" s="676"/>
      <c r="S308" s="676"/>
      <c r="T308" s="676"/>
      <c r="U308" s="676"/>
      <c r="V308" s="676"/>
      <c r="W308" s="676"/>
      <c r="X308" s="676"/>
      <c r="Y308" s="676"/>
      <c r="Z308" s="676"/>
      <c r="AA308" s="676"/>
    </row>
    <row r="309" spans="1:27" x14ac:dyDescent="0.25">
      <c r="A309" s="139"/>
      <c r="B309" s="32"/>
      <c r="C309" s="644" t="s">
        <v>98</v>
      </c>
      <c r="D309" s="507" t="s">
        <v>485</v>
      </c>
      <c r="E309" s="107" t="str">
        <f>" - " &amp; 'Giá VL'!E12</f>
        <v xml:space="preserve"> - Đá 2x4</v>
      </c>
      <c r="F309" s="32" t="str">
        <f>'Giá VL'!F12</f>
        <v>m3</v>
      </c>
      <c r="G309" s="270">
        <f>'Phan tich don gia'!G239</f>
        <v>0.91225000000000001</v>
      </c>
      <c r="H309" s="179">
        <f>'Giá VL'!V12</f>
        <v>316313.14456500002</v>
      </c>
      <c r="I309" s="347">
        <f>'Du toan chi tiet'!V38</f>
        <v>1</v>
      </c>
      <c r="J309" s="179">
        <f t="shared" si="32"/>
        <v>288556.66612942127</v>
      </c>
      <c r="K309" s="676"/>
      <c r="L309" s="676"/>
      <c r="M309" s="676"/>
      <c r="N309" s="676"/>
      <c r="O309" s="676"/>
      <c r="P309" s="676"/>
      <c r="Q309" s="676"/>
      <c r="R309" s="676"/>
      <c r="S309" s="676"/>
      <c r="T309" s="676"/>
      <c r="U309" s="676"/>
      <c r="V309" s="676"/>
      <c r="W309" s="676"/>
      <c r="X309" s="676"/>
      <c r="Y309" s="676"/>
      <c r="Z309" s="676"/>
      <c r="AA309" s="676"/>
    </row>
    <row r="310" spans="1:27" x14ac:dyDescent="0.25">
      <c r="A310" s="139"/>
      <c r="B310" s="32"/>
      <c r="C310" s="644" t="s">
        <v>98</v>
      </c>
      <c r="D310" s="507" t="s">
        <v>956</v>
      </c>
      <c r="E310" s="107" t="str">
        <f>" - " &amp; 'Giá VL'!E23</f>
        <v xml:space="preserve"> - Nước</v>
      </c>
      <c r="F310" s="32" t="str">
        <f>'Giá VL'!F23</f>
        <v>lít</v>
      </c>
      <c r="G310" s="270">
        <f>'Phan tich don gia'!G240</f>
        <v>176.3</v>
      </c>
      <c r="H310" s="179">
        <f>'Giá VL'!V23</f>
        <v>10</v>
      </c>
      <c r="I310" s="347">
        <f>'Du toan chi tiet'!V38</f>
        <v>1</v>
      </c>
      <c r="J310" s="179">
        <f t="shared" si="32"/>
        <v>1763</v>
      </c>
      <c r="K310" s="676"/>
      <c r="L310" s="676"/>
      <c r="M310" s="676"/>
      <c r="N310" s="676"/>
      <c r="O310" s="676"/>
      <c r="P310" s="676"/>
      <c r="Q310" s="676"/>
      <c r="R310" s="676"/>
      <c r="S310" s="676"/>
      <c r="T310" s="676"/>
      <c r="U310" s="676"/>
      <c r="V310" s="676"/>
      <c r="W310" s="676"/>
      <c r="X310" s="676"/>
      <c r="Y310" s="676"/>
      <c r="Z310" s="676"/>
      <c r="AA310" s="676"/>
    </row>
    <row r="311" spans="1:27" x14ac:dyDescent="0.25">
      <c r="A311" s="139"/>
      <c r="B311" s="32"/>
      <c r="C311" s="644" t="s">
        <v>98</v>
      </c>
      <c r="D311" s="507" t="s">
        <v>667</v>
      </c>
      <c r="E311" s="107" t="s">
        <v>238</v>
      </c>
      <c r="F311" s="32" t="s">
        <v>1113</v>
      </c>
      <c r="G311" s="270">
        <f>'Phan tich don gia'!G241</f>
        <v>2</v>
      </c>
      <c r="H311" s="179">
        <f>(G307*H307+G308*H308+G309*H309+G310*H310)/100</f>
        <v>8182.5884462943995</v>
      </c>
      <c r="I311" s="347">
        <f>'Du toan chi tiet'!V38</f>
        <v>1</v>
      </c>
      <c r="J311" s="179">
        <f t="shared" si="32"/>
        <v>16365.176892588799</v>
      </c>
      <c r="K311" s="676"/>
      <c r="L311" s="676"/>
      <c r="M311" s="676"/>
      <c r="N311" s="676"/>
      <c r="O311" s="676"/>
      <c r="P311" s="676"/>
      <c r="Q311" s="676"/>
      <c r="R311" s="676"/>
      <c r="S311" s="676"/>
      <c r="T311" s="676"/>
      <c r="U311" s="676"/>
      <c r="V311" s="676"/>
      <c r="W311" s="676"/>
      <c r="X311" s="676"/>
      <c r="Y311" s="676"/>
      <c r="Z311" s="676"/>
      <c r="AA311" s="676"/>
    </row>
    <row r="312" spans="1:27" x14ac:dyDescent="0.25">
      <c r="A312" s="98"/>
      <c r="B312" s="380"/>
      <c r="C312" s="251" t="s">
        <v>98</v>
      </c>
      <c r="D312" s="251" t="s">
        <v>98</v>
      </c>
      <c r="E312" s="449" t="s">
        <v>301</v>
      </c>
      <c r="F312" s="380" t="s">
        <v>1018</v>
      </c>
      <c r="G312" s="607"/>
      <c r="H312" s="511"/>
      <c r="I312" s="684"/>
      <c r="J312" s="511">
        <f>SUM(J313:J313)</f>
        <v>627978</v>
      </c>
      <c r="K312" s="676"/>
      <c r="L312" s="676"/>
      <c r="M312" s="676"/>
      <c r="N312" s="676"/>
      <c r="O312" s="676"/>
      <c r="P312" s="676"/>
      <c r="Q312" s="676"/>
      <c r="R312" s="676"/>
      <c r="S312" s="676"/>
      <c r="T312" s="676"/>
      <c r="U312" s="676"/>
      <c r="V312" s="676"/>
      <c r="W312" s="676"/>
      <c r="X312" s="676"/>
      <c r="Y312" s="676"/>
      <c r="Z312" s="676"/>
      <c r="AA312" s="676"/>
    </row>
    <row r="313" spans="1:27" x14ac:dyDescent="0.25">
      <c r="A313" s="139"/>
      <c r="B313" s="32"/>
      <c r="C313" s="644" t="s">
        <v>98</v>
      </c>
      <c r="D313" s="507" t="s">
        <v>706</v>
      </c>
      <c r="E313" s="107" t="str">
        <f>" - " &amp; 'Giá NC'!E8</f>
        <v xml:space="preserve"> - Nhân công bậc 3,5/7 - Nhóm 2</v>
      </c>
      <c r="F313" s="32" t="str">
        <f>'Giá NC'!F8</f>
        <v>công</v>
      </c>
      <c r="G313" s="270">
        <f>'Phan tich don gia'!G243</f>
        <v>2.4900000000000002</v>
      </c>
      <c r="H313" s="179">
        <f>'Giá NC'!K8</f>
        <v>252200</v>
      </c>
      <c r="I313" s="347">
        <f>'Du toan chi tiet'!W38</f>
        <v>1</v>
      </c>
      <c r="J313" s="179">
        <f>PRODUCT(G313,H313,I313)</f>
        <v>627978</v>
      </c>
      <c r="K313" s="676"/>
      <c r="L313" s="676"/>
      <c r="M313" s="676"/>
      <c r="N313" s="676"/>
      <c r="O313" s="676"/>
      <c r="P313" s="676"/>
      <c r="Q313" s="676"/>
      <c r="R313" s="676"/>
      <c r="S313" s="676"/>
      <c r="T313" s="676"/>
      <c r="U313" s="676"/>
      <c r="V313" s="676"/>
      <c r="W313" s="676"/>
      <c r="X313" s="676"/>
      <c r="Y313" s="676"/>
      <c r="Z313" s="676"/>
      <c r="AA313" s="676"/>
    </row>
    <row r="314" spans="1:27" x14ac:dyDescent="0.25">
      <c r="A314" s="98"/>
      <c r="B314" s="380"/>
      <c r="C314" s="251" t="s">
        <v>98</v>
      </c>
      <c r="D314" s="251" t="s">
        <v>98</v>
      </c>
      <c r="E314" s="449" t="s">
        <v>1175</v>
      </c>
      <c r="F314" s="380" t="s">
        <v>138</v>
      </c>
      <c r="G314" s="607"/>
      <c r="H314" s="511"/>
      <c r="I314" s="684"/>
      <c r="J314" s="511">
        <f>SUM(J315:J317)</f>
        <v>77865.804999999993</v>
      </c>
      <c r="K314" s="676"/>
      <c r="L314" s="676"/>
      <c r="M314" s="676"/>
      <c r="N314" s="676"/>
      <c r="O314" s="676"/>
      <c r="P314" s="676"/>
      <c r="Q314" s="676"/>
      <c r="R314" s="676"/>
      <c r="S314" s="676"/>
      <c r="T314" s="676"/>
      <c r="U314" s="676"/>
      <c r="V314" s="676"/>
      <c r="W314" s="676"/>
      <c r="X314" s="676"/>
      <c r="Y314" s="676"/>
      <c r="Z314" s="676"/>
      <c r="AA314" s="676"/>
    </row>
    <row r="315" spans="1:27" x14ac:dyDescent="0.25">
      <c r="A315" s="139"/>
      <c r="B315" s="32"/>
      <c r="C315" s="644" t="s">
        <v>98</v>
      </c>
      <c r="D315" s="507" t="s">
        <v>113</v>
      </c>
      <c r="E315" s="107" t="str">
        <f>" - " &amp; 'Giá Máy'!E20</f>
        <v xml:space="preserve"> - Máy trộn bê tông 250 lít</v>
      </c>
      <c r="F315" s="32" t="str">
        <f>'Giá Máy'!F20</f>
        <v>ca</v>
      </c>
      <c r="G315" s="270">
        <f>'Phan tich don gia'!G245</f>
        <v>9.5000000000000001E-2</v>
      </c>
      <c r="H315" s="179">
        <f>'Giá Máy'!J20</f>
        <v>317242</v>
      </c>
      <c r="I315" s="347">
        <f>'Du toan chi tiet'!X38</f>
        <v>1</v>
      </c>
      <c r="J315" s="179">
        <f t="shared" ref="J315:J316" si="33">PRODUCT(G315,H315,I315)</f>
        <v>30137.99</v>
      </c>
      <c r="K315" s="676"/>
      <c r="L315" s="676"/>
      <c r="M315" s="676"/>
      <c r="N315" s="676"/>
      <c r="O315" s="676"/>
      <c r="P315" s="676"/>
      <c r="Q315" s="676"/>
      <c r="R315" s="676"/>
      <c r="S315" s="676"/>
      <c r="T315" s="676"/>
      <c r="U315" s="676"/>
      <c r="V315" s="676"/>
      <c r="W315" s="676"/>
      <c r="X315" s="676"/>
      <c r="Y315" s="676"/>
      <c r="Z315" s="676"/>
      <c r="AA315" s="676"/>
    </row>
    <row r="316" spans="1:27" x14ac:dyDescent="0.25">
      <c r="A316" s="139"/>
      <c r="B316" s="32"/>
      <c r="C316" s="644" t="s">
        <v>98</v>
      </c>
      <c r="D316" s="507" t="s">
        <v>194</v>
      </c>
      <c r="E316" s="107" t="str">
        <f>" - " &amp; 'Giá Máy'!E12</f>
        <v xml:space="preserve"> - Máy đầm dùi 1,5kW</v>
      </c>
      <c r="F316" s="32" t="str">
        <f>'Giá Máy'!F12</f>
        <v>ca</v>
      </c>
      <c r="G316" s="270">
        <f>'Phan tich don gia'!G246</f>
        <v>0.18</v>
      </c>
      <c r="H316" s="179">
        <f>'Giá Máy'!J12</f>
        <v>265153</v>
      </c>
      <c r="I316" s="347">
        <f>'Du toan chi tiet'!X38</f>
        <v>1</v>
      </c>
      <c r="J316" s="179">
        <f t="shared" si="33"/>
        <v>47727.54</v>
      </c>
      <c r="K316" s="676"/>
      <c r="L316" s="676"/>
      <c r="M316" s="676"/>
      <c r="N316" s="676"/>
      <c r="O316" s="676"/>
      <c r="P316" s="676"/>
      <c r="Q316" s="676"/>
      <c r="R316" s="676"/>
      <c r="S316" s="676"/>
      <c r="T316" s="676"/>
      <c r="U316" s="676"/>
      <c r="V316" s="676"/>
      <c r="W316" s="676"/>
      <c r="X316" s="676"/>
      <c r="Y316" s="676"/>
      <c r="Z316" s="676"/>
      <c r="AA316" s="676"/>
    </row>
    <row r="317" spans="1:27" x14ac:dyDescent="0.25">
      <c r="A317" s="139"/>
      <c r="B317" s="32"/>
      <c r="C317" s="644" t="s">
        <v>98</v>
      </c>
      <c r="D317" s="507" t="s">
        <v>98</v>
      </c>
      <c r="E317" s="107" t="s">
        <v>1230</v>
      </c>
      <c r="F317" s="32"/>
      <c r="G317" s="277"/>
      <c r="H317" s="179"/>
      <c r="I317" s="347"/>
      <c r="J317" s="179">
        <f>SUM(J318:J319)</f>
        <v>0.27500000000000002</v>
      </c>
      <c r="K317" s="676"/>
      <c r="L317" s="676"/>
      <c r="M317" s="676"/>
      <c r="N317" s="676"/>
      <c r="O317" s="676"/>
      <c r="P317" s="676"/>
      <c r="Q317" s="676"/>
      <c r="R317" s="676"/>
      <c r="S317" s="676"/>
      <c r="T317" s="676"/>
      <c r="U317" s="676"/>
      <c r="V317" s="676"/>
      <c r="W317" s="676"/>
      <c r="X317" s="676"/>
      <c r="Y317" s="676"/>
      <c r="Z317" s="676"/>
      <c r="AA317" s="676"/>
    </row>
    <row r="318" spans="1:27" x14ac:dyDescent="0.25">
      <c r="A318" s="139"/>
      <c r="B318" s="32"/>
      <c r="C318" s="644" t="s">
        <v>98</v>
      </c>
      <c r="D318" s="507" t="s">
        <v>98</v>
      </c>
      <c r="E318" s="107" t="s">
        <v>52</v>
      </c>
      <c r="F318" s="32"/>
      <c r="G318" s="277"/>
      <c r="H318" s="179"/>
      <c r="I318" s="347"/>
      <c r="J318" s="179">
        <f>PRODUCT(G315,I315,'Giá Máy'!L20)+PRODUCT(G316,I316,'Giá Máy'!L12)</f>
        <v>0</v>
      </c>
      <c r="K318" s="676"/>
      <c r="L318" s="676"/>
      <c r="M318" s="676"/>
      <c r="N318" s="676"/>
      <c r="O318" s="676"/>
      <c r="P318" s="676"/>
      <c r="Q318" s="676"/>
      <c r="R318" s="676"/>
      <c r="S318" s="676"/>
      <c r="T318" s="676"/>
      <c r="U318" s="676"/>
      <c r="V318" s="676"/>
      <c r="W318" s="676"/>
      <c r="X318" s="676"/>
      <c r="Y318" s="676"/>
      <c r="Z318" s="676"/>
      <c r="AA318" s="676"/>
    </row>
    <row r="319" spans="1:27" x14ac:dyDescent="0.25">
      <c r="A319" s="543"/>
      <c r="B319" s="736"/>
      <c r="C319" s="596" t="s">
        <v>98</v>
      </c>
      <c r="D319" s="438" t="s">
        <v>98</v>
      </c>
      <c r="E319" s="31" t="s">
        <v>597</v>
      </c>
      <c r="F319" s="736"/>
      <c r="G319" s="231"/>
      <c r="H319" s="93"/>
      <c r="I319" s="296"/>
      <c r="J319" s="93">
        <f>PRODUCT(G315,I315,'Giá Máy'!M20)+PRODUCT(G316,I316,'Giá Máy'!M12)</f>
        <v>0.27500000000000002</v>
      </c>
      <c r="K319" s="676"/>
      <c r="L319" s="676"/>
      <c r="M319" s="676"/>
      <c r="N319" s="676"/>
      <c r="O319" s="676"/>
      <c r="P319" s="676"/>
      <c r="Q319" s="676"/>
      <c r="R319" s="676"/>
      <c r="S319" s="676"/>
      <c r="T319" s="676"/>
      <c r="U319" s="676"/>
      <c r="V319" s="676"/>
      <c r="W319" s="676"/>
      <c r="X319" s="676"/>
      <c r="Y319" s="676"/>
      <c r="Z319" s="676"/>
      <c r="AA319" s="676"/>
    </row>
    <row r="320" spans="1:27" x14ac:dyDescent="0.25">
      <c r="A320" s="89"/>
      <c r="B320" s="318">
        <v>30</v>
      </c>
      <c r="C320" s="149" t="str">
        <f>'Du toan chi tiet'!C39</f>
        <v>AF.86211</v>
      </c>
      <c r="D320" s="149" t="str">
        <f>'Du toan chi tiet'!C39</f>
        <v>AF.86211</v>
      </c>
      <c r="E320" s="665" t="str">
        <f>'Du toan chi tiet'!D39</f>
        <v>Ván khuôn thép, khung xương, cột chống giáo ống, tường cánh chiều cao ≤28m</v>
      </c>
      <c r="F320" s="318" t="str">
        <f>'Du toan chi tiet'!E39</f>
        <v>m2</v>
      </c>
      <c r="G320" s="56"/>
      <c r="H320" s="435"/>
      <c r="I320" s="589"/>
      <c r="J320" s="367" t="e">
        <f>J321+J327+J329</f>
        <v>#REF!</v>
      </c>
      <c r="K320" s="676"/>
      <c r="L320" s="676"/>
      <c r="M320" s="676"/>
      <c r="N320" s="676"/>
      <c r="O320" s="676"/>
      <c r="P320" s="676"/>
      <c r="Q320" s="676"/>
      <c r="R320" s="676"/>
      <c r="S320" s="676"/>
      <c r="T320" s="676"/>
      <c r="U320" s="676"/>
      <c r="V320" s="676"/>
      <c r="W320" s="676"/>
      <c r="X320" s="676"/>
      <c r="Y320" s="676"/>
      <c r="Z320" s="676"/>
      <c r="AA320" s="676"/>
    </row>
    <row r="321" spans="1:27" x14ac:dyDescent="0.25">
      <c r="A321" s="98"/>
      <c r="B321" s="380"/>
      <c r="C321" s="251" t="s">
        <v>98</v>
      </c>
      <c r="D321" s="251" t="s">
        <v>98</v>
      </c>
      <c r="E321" s="449" t="s">
        <v>547</v>
      </c>
      <c r="F321" s="380" t="s">
        <v>962</v>
      </c>
      <c r="G321" s="607"/>
      <c r="H321" s="511"/>
      <c r="I321" s="684"/>
      <c r="J321" s="511" t="e">
        <f>SUM(J322:J326)</f>
        <v>#REF!</v>
      </c>
      <c r="K321" s="676"/>
      <c r="L321" s="676"/>
      <c r="M321" s="676"/>
      <c r="N321" s="676"/>
      <c r="O321" s="676"/>
      <c r="P321" s="676"/>
      <c r="Q321" s="676"/>
      <c r="R321" s="676"/>
      <c r="S321" s="676"/>
      <c r="T321" s="676"/>
      <c r="U321" s="676"/>
      <c r="V321" s="676"/>
      <c r="W321" s="676"/>
      <c r="X321" s="676"/>
      <c r="Y321" s="676"/>
      <c r="Z321" s="676"/>
      <c r="AA321" s="676"/>
    </row>
    <row r="322" spans="1:27" x14ac:dyDescent="0.25">
      <c r="A322" s="139"/>
      <c r="B322" s="32"/>
      <c r="C322" s="644" t="s">
        <v>98</v>
      </c>
      <c r="D322" s="507" t="s">
        <v>713</v>
      </c>
      <c r="E322" s="107" t="str">
        <f>" - " &amp; 'Giá VL'!E31</f>
        <v xml:space="preserve"> - Thép tấm</v>
      </c>
      <c r="F322" s="32" t="str">
        <f>'Giá VL'!F31</f>
        <v>kg</v>
      </c>
      <c r="G322" s="270">
        <f>'Phan tich don gia'!G249</f>
        <v>0.5181</v>
      </c>
      <c r="H322" s="179">
        <f>'Giá VL'!V31</f>
        <v>19657.495796390001</v>
      </c>
      <c r="I322" s="347">
        <f>'Du toan chi tiet'!V39</f>
        <v>1</v>
      </c>
      <c r="J322" s="179">
        <f t="shared" ref="J322:J326" si="34">PRODUCT(G322,H322,I322)</f>
        <v>10184.548572109659</v>
      </c>
      <c r="K322" s="676"/>
      <c r="L322" s="676"/>
      <c r="M322" s="676"/>
      <c r="N322" s="676"/>
      <c r="O322" s="676"/>
      <c r="P322" s="676"/>
      <c r="Q322" s="676"/>
      <c r="R322" s="676"/>
      <c r="S322" s="676"/>
      <c r="T322" s="676"/>
      <c r="U322" s="676"/>
      <c r="V322" s="676"/>
      <c r="W322" s="676"/>
      <c r="X322" s="676"/>
      <c r="Y322" s="676"/>
      <c r="Z322" s="676"/>
      <c r="AA322" s="676"/>
    </row>
    <row r="323" spans="1:27" x14ac:dyDescent="0.25">
      <c r="A323" s="139"/>
      <c r="B323" s="32"/>
      <c r="C323" s="644" t="s">
        <v>98</v>
      </c>
      <c r="D323" s="507" t="s">
        <v>1141</v>
      </c>
      <c r="E323" s="107" t="str">
        <f>" - " &amp; 'Giá VL'!E29</f>
        <v xml:space="preserve"> - Thép hình</v>
      </c>
      <c r="F323" s="32" t="str">
        <f>'Giá VL'!F29</f>
        <v>kg</v>
      </c>
      <c r="G323" s="270">
        <f>'Phan tich don gia'!G250</f>
        <v>0.4884</v>
      </c>
      <c r="H323" s="179">
        <f>'Giá VL'!V29</f>
        <v>19657.495796390001</v>
      </c>
      <c r="I323" s="347">
        <f>'Du toan chi tiet'!V39</f>
        <v>1</v>
      </c>
      <c r="J323" s="179">
        <f t="shared" si="34"/>
        <v>9600.720946956877</v>
      </c>
      <c r="K323" s="676"/>
      <c r="L323" s="676"/>
      <c r="M323" s="676"/>
      <c r="N323" s="676"/>
      <c r="O323" s="676"/>
      <c r="P323" s="676"/>
      <c r="Q323" s="676"/>
      <c r="R323" s="676"/>
      <c r="S323" s="676"/>
      <c r="T323" s="676"/>
      <c r="U323" s="676"/>
      <c r="V323" s="676"/>
      <c r="W323" s="676"/>
      <c r="X323" s="676"/>
      <c r="Y323" s="676"/>
      <c r="Z323" s="676"/>
      <c r="AA323" s="676"/>
    </row>
    <row r="324" spans="1:27" x14ac:dyDescent="0.25">
      <c r="A324" s="139"/>
      <c r="B324" s="32"/>
      <c r="C324" s="644" t="s">
        <v>98</v>
      </c>
      <c r="D324" s="507" t="s">
        <v>984</v>
      </c>
      <c r="E324" s="107" t="str">
        <f>" - " &amp; 'Giá VL'!E10</f>
        <v xml:space="preserve"> - Cột chống thép ống</v>
      </c>
      <c r="F324" s="32" t="str">
        <f>'Giá VL'!F10</f>
        <v>kg</v>
      </c>
      <c r="G324" s="270" t="e">
        <f>'Phan tich don gia'!#REF!</f>
        <v>#REF!</v>
      </c>
      <c r="H324" s="179">
        <f>'Giá VL'!V10</f>
        <v>17000</v>
      </c>
      <c r="I324" s="347">
        <f>'Du toan chi tiet'!V39</f>
        <v>1</v>
      </c>
      <c r="J324" s="179" t="e">
        <f t="shared" si="34"/>
        <v>#REF!</v>
      </c>
      <c r="K324" s="676"/>
      <c r="L324" s="676"/>
      <c r="M324" s="676"/>
      <c r="N324" s="676"/>
      <c r="O324" s="676"/>
      <c r="P324" s="676"/>
      <c r="Q324" s="676"/>
      <c r="R324" s="676"/>
      <c r="S324" s="676"/>
      <c r="T324" s="676"/>
      <c r="U324" s="676"/>
      <c r="V324" s="676"/>
      <c r="W324" s="676"/>
      <c r="X324" s="676"/>
      <c r="Y324" s="676"/>
      <c r="Z324" s="676"/>
      <c r="AA324" s="676"/>
    </row>
    <row r="325" spans="1:27" x14ac:dyDescent="0.25">
      <c r="A325" s="139"/>
      <c r="B325" s="32"/>
      <c r="C325" s="644" t="s">
        <v>98</v>
      </c>
      <c r="D325" s="507" t="s">
        <v>919</v>
      </c>
      <c r="E325" s="107" t="str">
        <f>" - " &amp; 'Giá VL'!E25</f>
        <v xml:space="preserve"> - Que hàn</v>
      </c>
      <c r="F325" s="32" t="str">
        <f>'Giá VL'!F25</f>
        <v>kg</v>
      </c>
      <c r="G325" s="270">
        <f>'Phan tich don gia'!G251</f>
        <v>5.6000000000000001E-2</v>
      </c>
      <c r="H325" s="179">
        <f>'Giá VL'!V25</f>
        <v>18182</v>
      </c>
      <c r="I325" s="347">
        <f>'Du toan chi tiet'!V39</f>
        <v>1</v>
      </c>
      <c r="J325" s="179">
        <f t="shared" si="34"/>
        <v>1018.192</v>
      </c>
      <c r="K325" s="676"/>
      <c r="L325" s="676"/>
      <c r="M325" s="676"/>
      <c r="N325" s="676"/>
      <c r="O325" s="676"/>
      <c r="P325" s="676"/>
      <c r="Q325" s="676"/>
      <c r="R325" s="676"/>
      <c r="S325" s="676"/>
      <c r="T325" s="676"/>
      <c r="U325" s="676"/>
      <c r="V325" s="676"/>
      <c r="W325" s="676"/>
      <c r="X325" s="676"/>
      <c r="Y325" s="676"/>
      <c r="Z325" s="676"/>
      <c r="AA325" s="676"/>
    </row>
    <row r="326" spans="1:27" x14ac:dyDescent="0.25">
      <c r="A326" s="139"/>
      <c r="B326" s="32"/>
      <c r="C326" s="644" t="s">
        <v>98</v>
      </c>
      <c r="D326" s="507" t="s">
        <v>667</v>
      </c>
      <c r="E326" s="107" t="s">
        <v>238</v>
      </c>
      <c r="F326" s="32" t="s">
        <v>1113</v>
      </c>
      <c r="G326" s="270">
        <f>'Phan tich don gia'!G252</f>
        <v>2</v>
      </c>
      <c r="H326" s="179" t="e">
        <f>(G322*H322+G323*H323+G324*H324+G325*H325)/100</f>
        <v>#REF!</v>
      </c>
      <c r="I326" s="347">
        <f>'Du toan chi tiet'!V39</f>
        <v>1</v>
      </c>
      <c r="J326" s="179" t="e">
        <f t="shared" si="34"/>
        <v>#REF!</v>
      </c>
      <c r="K326" s="676"/>
      <c r="L326" s="676"/>
      <c r="M326" s="676"/>
      <c r="N326" s="676"/>
      <c r="O326" s="676"/>
      <c r="P326" s="676"/>
      <c r="Q326" s="676"/>
      <c r="R326" s="676"/>
      <c r="S326" s="676"/>
      <c r="T326" s="676"/>
      <c r="U326" s="676"/>
      <c r="V326" s="676"/>
      <c r="W326" s="676"/>
      <c r="X326" s="676"/>
      <c r="Y326" s="676"/>
      <c r="Z326" s="676"/>
      <c r="AA326" s="676"/>
    </row>
    <row r="327" spans="1:27" x14ac:dyDescent="0.25">
      <c r="A327" s="98"/>
      <c r="B327" s="380"/>
      <c r="C327" s="251" t="s">
        <v>98</v>
      </c>
      <c r="D327" s="251" t="s">
        <v>98</v>
      </c>
      <c r="E327" s="449" t="s">
        <v>301</v>
      </c>
      <c r="F327" s="380" t="s">
        <v>1018</v>
      </c>
      <c r="G327" s="607"/>
      <c r="H327" s="511"/>
      <c r="I327" s="684"/>
      <c r="J327" s="511">
        <f>SUM(J328:J328)</f>
        <v>78024.45</v>
      </c>
      <c r="K327" s="676"/>
      <c r="L327" s="676"/>
      <c r="M327" s="676"/>
      <c r="N327" s="676"/>
      <c r="O327" s="676"/>
      <c r="P327" s="676"/>
      <c r="Q327" s="676"/>
      <c r="R327" s="676"/>
      <c r="S327" s="676"/>
      <c r="T327" s="676"/>
      <c r="U327" s="676"/>
      <c r="V327" s="676"/>
      <c r="W327" s="676"/>
      <c r="X327" s="676"/>
      <c r="Y327" s="676"/>
      <c r="Z327" s="676"/>
      <c r="AA327" s="676"/>
    </row>
    <row r="328" spans="1:27" x14ac:dyDescent="0.25">
      <c r="A328" s="139"/>
      <c r="B328" s="32"/>
      <c r="C328" s="644" t="s">
        <v>98</v>
      </c>
      <c r="D328" s="507" t="s">
        <v>169</v>
      </c>
      <c r="E328" s="107" t="str">
        <f>" - " &amp; 'Giá NC'!E9</f>
        <v xml:space="preserve"> - Nhân công bậc 4,0/7 - Nhóm 2</v>
      </c>
      <c r="F328" s="32" t="str">
        <f>'Giá NC'!F9</f>
        <v>công</v>
      </c>
      <c r="G328" s="270">
        <f>'Phan tich don gia'!G254</f>
        <v>0.28499999999999998</v>
      </c>
      <c r="H328" s="179">
        <f>'Giá NC'!K9</f>
        <v>273770</v>
      </c>
      <c r="I328" s="347">
        <f>'Du toan chi tiet'!W39</f>
        <v>1</v>
      </c>
      <c r="J328" s="179">
        <f>PRODUCT(G328,H328,I328)</f>
        <v>78024.45</v>
      </c>
      <c r="K328" s="676"/>
      <c r="L328" s="676"/>
      <c r="M328" s="676"/>
      <c r="N328" s="676"/>
      <c r="O328" s="676"/>
      <c r="P328" s="676"/>
      <c r="Q328" s="676"/>
      <c r="R328" s="676"/>
      <c r="S328" s="676"/>
      <c r="T328" s="676"/>
      <c r="U328" s="676"/>
      <c r="V328" s="676"/>
      <c r="W328" s="676"/>
      <c r="X328" s="676"/>
      <c r="Y328" s="676"/>
      <c r="Z328" s="676"/>
      <c r="AA328" s="676"/>
    </row>
    <row r="329" spans="1:27" x14ac:dyDescent="0.25">
      <c r="A329" s="98"/>
      <c r="B329" s="380"/>
      <c r="C329" s="251" t="s">
        <v>98</v>
      </c>
      <c r="D329" s="251" t="s">
        <v>98</v>
      </c>
      <c r="E329" s="449" t="s">
        <v>1175</v>
      </c>
      <c r="F329" s="380" t="s">
        <v>138</v>
      </c>
      <c r="G329" s="607"/>
      <c r="H329" s="511"/>
      <c r="I329" s="684"/>
      <c r="J329" s="511" t="e">
        <f>SUM(J330:J334)</f>
        <v>#REF!</v>
      </c>
      <c r="K329" s="676"/>
      <c r="L329" s="676"/>
      <c r="M329" s="676"/>
      <c r="N329" s="676"/>
      <c r="O329" s="676"/>
      <c r="P329" s="676"/>
      <c r="Q329" s="676"/>
      <c r="R329" s="676"/>
      <c r="S329" s="676"/>
      <c r="T329" s="676"/>
      <c r="U329" s="676"/>
      <c r="V329" s="676"/>
      <c r="W329" s="676"/>
      <c r="X329" s="676"/>
      <c r="Y329" s="676"/>
      <c r="Z329" s="676"/>
      <c r="AA329" s="676"/>
    </row>
    <row r="330" spans="1:27" x14ac:dyDescent="0.25">
      <c r="A330" s="139"/>
      <c r="B330" s="32"/>
      <c r="C330" s="644" t="s">
        <v>98</v>
      </c>
      <c r="D330" s="507" t="s">
        <v>82</v>
      </c>
      <c r="E330" s="107" t="str">
        <f>" - " &amp; 'Giá Máy'!E15</f>
        <v xml:space="preserve"> - Máy hàn điện 23kW</v>
      </c>
      <c r="F330" s="32" t="str">
        <f>'Giá Máy'!F15</f>
        <v>ca</v>
      </c>
      <c r="G330" s="270">
        <f>'Phan tich don gia'!G256</f>
        <v>1.4999999999999999E-2</v>
      </c>
      <c r="H330" s="179">
        <f>'Giá Máy'!J15</f>
        <v>477927</v>
      </c>
      <c r="I330" s="347">
        <f>'Du toan chi tiet'!X39</f>
        <v>1</v>
      </c>
      <c r="J330" s="179">
        <f t="shared" ref="J330:J333" si="35">PRODUCT(G330,H330,I330)</f>
        <v>7168.9049999999997</v>
      </c>
      <c r="K330" s="676"/>
      <c r="L330" s="676"/>
      <c r="M330" s="676"/>
      <c r="N330" s="676"/>
      <c r="O330" s="676"/>
      <c r="P330" s="676"/>
      <c r="Q330" s="676"/>
      <c r="R330" s="676"/>
      <c r="S330" s="676"/>
      <c r="T330" s="676"/>
      <c r="U330" s="676"/>
      <c r="V330" s="676"/>
      <c r="W330" s="676"/>
      <c r="X330" s="676"/>
      <c r="Y330" s="676"/>
      <c r="Z330" s="676"/>
      <c r="AA330" s="676"/>
    </row>
    <row r="331" spans="1:27" x14ac:dyDescent="0.25">
      <c r="A331" s="139"/>
      <c r="B331" s="32"/>
      <c r="C331" s="644" t="s">
        <v>98</v>
      </c>
      <c r="D331" s="507" t="s">
        <v>271</v>
      </c>
      <c r="E331" s="107" t="e">
        <f>" - " &amp; 'Giá Máy'!#REF!</f>
        <v>#REF!</v>
      </c>
      <c r="F331" s="32" t="e">
        <f>'Giá Máy'!#REF!</f>
        <v>#REF!</v>
      </c>
      <c r="G331" s="270" t="e">
        <f>'Phan tich don gia'!#REF!</f>
        <v>#REF!</v>
      </c>
      <c r="H331" s="179" t="e">
        <f>'Giá Máy'!#REF!</f>
        <v>#REF!</v>
      </c>
      <c r="I331" s="347">
        <f>'Du toan chi tiet'!X39</f>
        <v>1</v>
      </c>
      <c r="J331" s="179" t="e">
        <f t="shared" si="35"/>
        <v>#REF!</v>
      </c>
      <c r="K331" s="676"/>
      <c r="L331" s="676"/>
      <c r="M331" s="676"/>
      <c r="N331" s="676"/>
      <c r="O331" s="676"/>
      <c r="P331" s="676"/>
      <c r="Q331" s="676"/>
      <c r="R331" s="676"/>
      <c r="S331" s="676"/>
      <c r="T331" s="676"/>
      <c r="U331" s="676"/>
      <c r="V331" s="676"/>
      <c r="W331" s="676"/>
      <c r="X331" s="676"/>
      <c r="Y331" s="676"/>
      <c r="Z331" s="676"/>
      <c r="AA331" s="676"/>
    </row>
    <row r="332" spans="1:27" x14ac:dyDescent="0.25">
      <c r="A332" s="139"/>
      <c r="B332" s="32"/>
      <c r="C332" s="644" t="s">
        <v>98</v>
      </c>
      <c r="D332" s="507" t="s">
        <v>208</v>
      </c>
      <c r="E332" s="107" t="e">
        <f>" - " &amp; 'Giá Máy'!#REF!</f>
        <v>#REF!</v>
      </c>
      <c r="F332" s="32" t="e">
        <f>'Giá Máy'!#REF!</f>
        <v>#REF!</v>
      </c>
      <c r="G332" s="270" t="e">
        <f>'Phan tich don gia'!#REF!</f>
        <v>#REF!</v>
      </c>
      <c r="H332" s="179" t="e">
        <f>'Giá Máy'!#REF!</f>
        <v>#REF!</v>
      </c>
      <c r="I332" s="347">
        <f>'Du toan chi tiet'!X39</f>
        <v>1</v>
      </c>
      <c r="J332" s="179" t="e">
        <f t="shared" si="35"/>
        <v>#REF!</v>
      </c>
      <c r="K332" s="676"/>
      <c r="L332" s="676"/>
      <c r="M332" s="676"/>
      <c r="N332" s="676"/>
      <c r="O332" s="676"/>
      <c r="P332" s="676"/>
      <c r="Q332" s="676"/>
      <c r="R332" s="676"/>
      <c r="S332" s="676"/>
      <c r="T332" s="676"/>
      <c r="U332" s="676"/>
      <c r="V332" s="676"/>
      <c r="W332" s="676"/>
      <c r="X332" s="676"/>
      <c r="Y332" s="676"/>
      <c r="Z332" s="676"/>
      <c r="AA332" s="676"/>
    </row>
    <row r="333" spans="1:27" x14ac:dyDescent="0.25">
      <c r="A333" s="139"/>
      <c r="B333" s="32"/>
      <c r="C333" s="644" t="s">
        <v>98</v>
      </c>
      <c r="D333" s="507" t="s">
        <v>1162</v>
      </c>
      <c r="E333" s="107" t="s">
        <v>1080</v>
      </c>
      <c r="F333" s="32" t="s">
        <v>1113</v>
      </c>
      <c r="G333" s="270">
        <f>'Phan tich don gia'!G257</f>
        <v>2</v>
      </c>
      <c r="H333" s="179" t="e">
        <f>(G330*H330+G331*H331+G332*H332)/100</f>
        <v>#REF!</v>
      </c>
      <c r="I333" s="347">
        <f>'Du toan chi tiet'!X39</f>
        <v>1</v>
      </c>
      <c r="J333" s="179" t="e">
        <f t="shared" si="35"/>
        <v>#REF!</v>
      </c>
      <c r="K333" s="676"/>
      <c r="L333" s="676"/>
      <c r="M333" s="676"/>
      <c r="N333" s="676"/>
      <c r="O333" s="676"/>
      <c r="P333" s="676"/>
      <c r="Q333" s="676"/>
      <c r="R333" s="676"/>
      <c r="S333" s="676"/>
      <c r="T333" s="676"/>
      <c r="U333" s="676"/>
      <c r="V333" s="676"/>
      <c r="W333" s="676"/>
      <c r="X333" s="676"/>
      <c r="Y333" s="676"/>
      <c r="Z333" s="676"/>
      <c r="AA333" s="676"/>
    </row>
    <row r="334" spans="1:27" x14ac:dyDescent="0.25">
      <c r="A334" s="139"/>
      <c r="B334" s="32"/>
      <c r="C334" s="644" t="s">
        <v>98</v>
      </c>
      <c r="D334" s="507" t="s">
        <v>98</v>
      </c>
      <c r="E334" s="107" t="s">
        <v>1230</v>
      </c>
      <c r="F334" s="32"/>
      <c r="G334" s="277"/>
      <c r="H334" s="179"/>
      <c r="I334" s="347"/>
      <c r="J334" s="179" t="e">
        <f>SUM(J335:J336)+PRODUCT(G333,I333,THM!X102-THM!R102)</f>
        <v>#REF!</v>
      </c>
      <c r="K334" s="676"/>
      <c r="L334" s="676"/>
      <c r="M334" s="676"/>
      <c r="N334" s="676"/>
      <c r="O334" s="676"/>
      <c r="P334" s="676"/>
      <c r="Q334" s="676"/>
      <c r="R334" s="676"/>
      <c r="S334" s="676"/>
      <c r="T334" s="676"/>
      <c r="U334" s="676"/>
      <c r="V334" s="676"/>
      <c r="W334" s="676"/>
      <c r="X334" s="676"/>
      <c r="Y334" s="676"/>
      <c r="Z334" s="676"/>
      <c r="AA334" s="676"/>
    </row>
    <row r="335" spans="1:27" x14ac:dyDescent="0.25">
      <c r="A335" s="139"/>
      <c r="B335" s="32"/>
      <c r="C335" s="644" t="s">
        <v>98</v>
      </c>
      <c r="D335" s="507" t="s">
        <v>98</v>
      </c>
      <c r="E335" s="107" t="s">
        <v>52</v>
      </c>
      <c r="F335" s="32"/>
      <c r="G335" s="277"/>
      <c r="H335" s="179"/>
      <c r="I335" s="347"/>
      <c r="J335" s="179" t="e">
        <f>PRODUCT(G330,I330,'Giá Máy'!L15)+PRODUCT(G331,I331,'Giá Máy'!#REF!)+PRODUCT(G332,I332,'Giá Máy'!#REF!)</f>
        <v>#REF!</v>
      </c>
      <c r="K335" s="676"/>
      <c r="L335" s="676"/>
      <c r="M335" s="676"/>
      <c r="N335" s="676"/>
      <c r="O335" s="676"/>
      <c r="P335" s="676"/>
      <c r="Q335" s="676"/>
      <c r="R335" s="676"/>
      <c r="S335" s="676"/>
      <c r="T335" s="676"/>
      <c r="U335" s="676"/>
      <c r="V335" s="676"/>
      <c r="W335" s="676"/>
      <c r="X335" s="676"/>
      <c r="Y335" s="676"/>
      <c r="Z335" s="676"/>
      <c r="AA335" s="676"/>
    </row>
    <row r="336" spans="1:27" x14ac:dyDescent="0.25">
      <c r="A336" s="543"/>
      <c r="B336" s="736"/>
      <c r="C336" s="596" t="s">
        <v>98</v>
      </c>
      <c r="D336" s="438" t="s">
        <v>98</v>
      </c>
      <c r="E336" s="31" t="s">
        <v>597</v>
      </c>
      <c r="F336" s="736"/>
      <c r="G336" s="231"/>
      <c r="H336" s="93"/>
      <c r="I336" s="296"/>
      <c r="J336" s="93" t="e">
        <f>PRODUCT(G330,I330,'Giá Máy'!M15)+PRODUCT(G331,I331,'Giá Máy'!#REF!)+PRODUCT(G332,I332,'Giá Máy'!#REF!)</f>
        <v>#REF!</v>
      </c>
      <c r="K336" s="676"/>
      <c r="L336" s="676"/>
      <c r="M336" s="676"/>
      <c r="N336" s="676"/>
      <c r="O336" s="676"/>
      <c r="P336" s="676"/>
      <c r="Q336" s="676"/>
      <c r="R336" s="676"/>
      <c r="S336" s="676"/>
      <c r="T336" s="676"/>
      <c r="U336" s="676"/>
      <c r="V336" s="676"/>
      <c r="W336" s="676"/>
      <c r="X336" s="676"/>
      <c r="Y336" s="676"/>
      <c r="Z336" s="676"/>
      <c r="AA336" s="676"/>
    </row>
    <row r="337" spans="1:27" x14ac:dyDescent="0.25">
      <c r="A337" s="89"/>
      <c r="B337" s="318">
        <v>31</v>
      </c>
      <c r="C337" s="149" t="str">
        <f>'Du toan chi tiet'!C40</f>
        <v>AK.98110</v>
      </c>
      <c r="D337" s="149" t="str">
        <f>'Du toan chi tiet'!C40</f>
        <v>AK.98110</v>
      </c>
      <c r="E337" s="665" t="str">
        <f>'Du toan chi tiet'!D40</f>
        <v>Thi công lớp đá đệm móng, đá dăm 2x4</v>
      </c>
      <c r="F337" s="318" t="str">
        <f>'Du toan chi tiet'!E40</f>
        <v>m3</v>
      </c>
      <c r="G337" s="56"/>
      <c r="H337" s="435"/>
      <c r="I337" s="589"/>
      <c r="J337" s="367" t="e">
        <f>J338+J341</f>
        <v>#REF!</v>
      </c>
      <c r="K337" s="676"/>
      <c r="L337" s="676"/>
      <c r="M337" s="676"/>
      <c r="N337" s="676"/>
      <c r="O337" s="676"/>
      <c r="P337" s="676"/>
      <c r="Q337" s="676"/>
      <c r="R337" s="676"/>
      <c r="S337" s="676"/>
      <c r="T337" s="676"/>
      <c r="U337" s="676"/>
      <c r="V337" s="676"/>
      <c r="W337" s="676"/>
      <c r="X337" s="676"/>
      <c r="Y337" s="676"/>
      <c r="Z337" s="676"/>
      <c r="AA337" s="676"/>
    </row>
    <row r="338" spans="1:27" x14ac:dyDescent="0.25">
      <c r="A338" s="98"/>
      <c r="B338" s="380"/>
      <c r="C338" s="251" t="s">
        <v>98</v>
      </c>
      <c r="D338" s="251" t="s">
        <v>98</v>
      </c>
      <c r="E338" s="449" t="s">
        <v>547</v>
      </c>
      <c r="F338" s="380" t="s">
        <v>962</v>
      </c>
      <c r="G338" s="607"/>
      <c r="H338" s="511"/>
      <c r="I338" s="684"/>
      <c r="J338" s="511" t="e">
        <f>SUM(J339:J340)</f>
        <v>#REF!</v>
      </c>
      <c r="K338" s="676"/>
      <c r="L338" s="676"/>
      <c r="M338" s="676"/>
      <c r="N338" s="676"/>
      <c r="O338" s="676"/>
      <c r="P338" s="676"/>
      <c r="Q338" s="676"/>
      <c r="R338" s="676"/>
      <c r="S338" s="676"/>
      <c r="T338" s="676"/>
      <c r="U338" s="676"/>
      <c r="V338" s="676"/>
      <c r="W338" s="676"/>
      <c r="X338" s="676"/>
      <c r="Y338" s="676"/>
      <c r="Z338" s="676"/>
      <c r="AA338" s="676"/>
    </row>
    <row r="339" spans="1:27" x14ac:dyDescent="0.25">
      <c r="A339" s="139"/>
      <c r="B339" s="32"/>
      <c r="C339" s="644" t="s">
        <v>98</v>
      </c>
      <c r="D339" s="507" t="s">
        <v>552</v>
      </c>
      <c r="E339" s="107" t="str">
        <f>" - " &amp; 'Giá VL'!E13</f>
        <v xml:space="preserve"> - Đá dăm 2x4 </v>
      </c>
      <c r="F339" s="32" t="str">
        <f>'Giá VL'!F13</f>
        <v>m3</v>
      </c>
      <c r="G339" s="270">
        <f>'Phan tich don gia'!G260</f>
        <v>1.2</v>
      </c>
      <c r="H339" s="179">
        <f>'Giá VL'!V13</f>
        <v>316313.14456500002</v>
      </c>
      <c r="I339" s="347">
        <f>'Du toan chi tiet'!V40</f>
        <v>1</v>
      </c>
      <c r="J339" s="179">
        <f t="shared" ref="J339:J340" si="36">PRODUCT(G339,H339,I339)</f>
        <v>379575.77347800002</v>
      </c>
      <c r="K339" s="676"/>
      <c r="L339" s="676"/>
      <c r="M339" s="676"/>
      <c r="N339" s="676"/>
      <c r="O339" s="676"/>
      <c r="P339" s="676"/>
      <c r="Q339" s="676"/>
      <c r="R339" s="676"/>
      <c r="S339" s="676"/>
      <c r="T339" s="676"/>
      <c r="U339" s="676"/>
      <c r="V339" s="676"/>
      <c r="W339" s="676"/>
      <c r="X339" s="676"/>
      <c r="Y339" s="676"/>
      <c r="Z339" s="676"/>
      <c r="AA339" s="676"/>
    </row>
    <row r="340" spans="1:27" x14ac:dyDescent="0.25">
      <c r="A340" s="139"/>
      <c r="B340" s="32"/>
      <c r="C340" s="644" t="s">
        <v>98</v>
      </c>
      <c r="D340" s="507" t="s">
        <v>603</v>
      </c>
      <c r="E340" s="107" t="str">
        <f>" - " &amp; 'Giá VL'!E7</f>
        <v xml:space="preserve"> - Cát</v>
      </c>
      <c r="F340" s="32" t="str">
        <f>'Giá VL'!F7</f>
        <v>m3</v>
      </c>
      <c r="G340" s="270" t="e">
        <f>'Phan tich don gia'!#REF!</f>
        <v>#REF!</v>
      </c>
      <c r="H340" s="179">
        <f>'Giá VL'!V7</f>
        <v>306207.189442</v>
      </c>
      <c r="I340" s="347">
        <f>'Du toan chi tiet'!V40</f>
        <v>1</v>
      </c>
      <c r="J340" s="179" t="e">
        <f t="shared" si="36"/>
        <v>#REF!</v>
      </c>
      <c r="K340" s="676"/>
      <c r="L340" s="676"/>
      <c r="M340" s="676"/>
      <c r="N340" s="676"/>
      <c r="O340" s="676"/>
      <c r="P340" s="676"/>
      <c r="Q340" s="676"/>
      <c r="R340" s="676"/>
      <c r="S340" s="676"/>
      <c r="T340" s="676"/>
      <c r="U340" s="676"/>
      <c r="V340" s="676"/>
      <c r="W340" s="676"/>
      <c r="X340" s="676"/>
      <c r="Y340" s="676"/>
      <c r="Z340" s="676"/>
      <c r="AA340" s="676"/>
    </row>
    <row r="341" spans="1:27" x14ac:dyDescent="0.25">
      <c r="A341" s="98"/>
      <c r="B341" s="380"/>
      <c r="C341" s="251" t="s">
        <v>98</v>
      </c>
      <c r="D341" s="251" t="s">
        <v>98</v>
      </c>
      <c r="E341" s="449" t="s">
        <v>301</v>
      </c>
      <c r="F341" s="380" t="s">
        <v>1018</v>
      </c>
      <c r="G341" s="607"/>
      <c r="H341" s="511"/>
      <c r="I341" s="684"/>
      <c r="J341" s="511">
        <f>SUM(J342:J342)</f>
        <v>405179.6</v>
      </c>
      <c r="K341" s="676"/>
      <c r="L341" s="676"/>
      <c r="M341" s="676"/>
      <c r="N341" s="676"/>
      <c r="O341" s="676"/>
      <c r="P341" s="676"/>
      <c r="Q341" s="676"/>
      <c r="R341" s="676"/>
      <c r="S341" s="676"/>
      <c r="T341" s="676"/>
      <c r="U341" s="676"/>
      <c r="V341" s="676"/>
      <c r="W341" s="676"/>
      <c r="X341" s="676"/>
      <c r="Y341" s="676"/>
      <c r="Z341" s="676"/>
      <c r="AA341" s="676"/>
    </row>
    <row r="342" spans="1:27" x14ac:dyDescent="0.25">
      <c r="A342" s="543"/>
      <c r="B342" s="736"/>
      <c r="C342" s="596" t="s">
        <v>98</v>
      </c>
      <c r="D342" s="438" t="s">
        <v>169</v>
      </c>
      <c r="E342" s="31" t="str">
        <f>" - " &amp; 'Giá NC'!E9</f>
        <v xml:space="preserve"> - Nhân công bậc 4,0/7 - Nhóm 2</v>
      </c>
      <c r="F342" s="736" t="str">
        <f>'Giá NC'!F9</f>
        <v>công</v>
      </c>
      <c r="G342" s="190">
        <f>'Phan tich don gia'!G262</f>
        <v>1.48</v>
      </c>
      <c r="H342" s="93">
        <f>'Giá NC'!K9</f>
        <v>273770</v>
      </c>
      <c r="I342" s="296">
        <f>'Du toan chi tiet'!W40</f>
        <v>1</v>
      </c>
      <c r="J342" s="93">
        <f>PRODUCT(G342,H342,I342)</f>
        <v>405179.6</v>
      </c>
      <c r="K342" s="676"/>
      <c r="L342" s="676"/>
      <c r="M342" s="676"/>
      <c r="N342" s="676"/>
      <c r="O342" s="676"/>
      <c r="P342" s="676"/>
      <c r="Q342" s="676"/>
      <c r="R342" s="676"/>
      <c r="S342" s="676"/>
      <c r="T342" s="676"/>
      <c r="U342" s="676"/>
      <c r="V342" s="676"/>
      <c r="W342" s="676"/>
      <c r="X342" s="676"/>
      <c r="Y342" s="676"/>
      <c r="Z342" s="676"/>
      <c r="AA342" s="676"/>
    </row>
    <row r="343" spans="1:27" x14ac:dyDescent="0.25">
      <c r="A343" s="89"/>
      <c r="B343" s="318">
        <v>32</v>
      </c>
      <c r="C343" s="149" t="str">
        <f>'Du toan chi tiet'!C41</f>
        <v>AL.22112</v>
      </c>
      <c r="D343" s="149" t="str">
        <f>'Du toan chi tiet'!C41</f>
        <v>AL.22112</v>
      </c>
      <c r="E343" s="665" t="str">
        <f>'Du toan chi tiet'!D41</f>
        <v>Cắt mặt đường bê tông hiện có</v>
      </c>
      <c r="F343" s="318" t="str">
        <f>'Du toan chi tiet'!E41</f>
        <v>10m</v>
      </c>
      <c r="G343" s="56"/>
      <c r="H343" s="435"/>
      <c r="I343" s="589"/>
      <c r="J343" s="367">
        <f>J344+J347+J349</f>
        <v>445575.72</v>
      </c>
      <c r="K343" s="676"/>
      <c r="L343" s="676"/>
      <c r="M343" s="676"/>
      <c r="N343" s="676"/>
      <c r="O343" s="676"/>
      <c r="P343" s="676"/>
      <c r="Q343" s="676"/>
      <c r="R343" s="676"/>
      <c r="S343" s="676"/>
      <c r="T343" s="676"/>
      <c r="U343" s="676"/>
      <c r="V343" s="676"/>
      <c r="W343" s="676"/>
      <c r="X343" s="676"/>
      <c r="Y343" s="676"/>
      <c r="Z343" s="676"/>
      <c r="AA343" s="676"/>
    </row>
    <row r="344" spans="1:27" x14ac:dyDescent="0.25">
      <c r="A344" s="98"/>
      <c r="B344" s="380"/>
      <c r="C344" s="251" t="s">
        <v>98</v>
      </c>
      <c r="D344" s="251" t="s">
        <v>98</v>
      </c>
      <c r="E344" s="449" t="s">
        <v>547</v>
      </c>
      <c r="F344" s="380" t="s">
        <v>962</v>
      </c>
      <c r="G344" s="607"/>
      <c r="H344" s="511"/>
      <c r="I344" s="684"/>
      <c r="J344" s="511">
        <f>SUM(J345:J346)</f>
        <v>239181.84</v>
      </c>
      <c r="K344" s="676"/>
      <c r="L344" s="676"/>
      <c r="M344" s="676"/>
      <c r="N344" s="676"/>
      <c r="O344" s="676"/>
      <c r="P344" s="676"/>
      <c r="Q344" s="676"/>
      <c r="R344" s="676"/>
      <c r="S344" s="676"/>
      <c r="T344" s="676"/>
      <c r="U344" s="676"/>
      <c r="V344" s="676"/>
      <c r="W344" s="676"/>
      <c r="X344" s="676"/>
      <c r="Y344" s="676"/>
      <c r="Z344" s="676"/>
      <c r="AA344" s="676"/>
    </row>
    <row r="345" spans="1:27" x14ac:dyDescent="0.25">
      <c r="A345" s="139"/>
      <c r="B345" s="32"/>
      <c r="C345" s="644" t="s">
        <v>98</v>
      </c>
      <c r="D345" s="507" t="s">
        <v>1077</v>
      </c>
      <c r="E345" s="107" t="str">
        <f>" - " &amp; 'Giá VL'!E19</f>
        <v xml:space="preserve"> - Lưỡi cắt D350mm</v>
      </c>
      <c r="F345" s="32" t="str">
        <f>'Giá VL'!F19</f>
        <v>cái</v>
      </c>
      <c r="G345" s="270">
        <f>'Phan tich don gia'!G265</f>
        <v>0.18</v>
      </c>
      <c r="H345" s="179">
        <f>'Giá VL'!V19</f>
        <v>1322000</v>
      </c>
      <c r="I345" s="347">
        <f>'Du toan chi tiet'!V41</f>
        <v>1</v>
      </c>
      <c r="J345" s="179">
        <f t="shared" ref="J345:J346" si="37">PRODUCT(G345,H345,I345)</f>
        <v>237960</v>
      </c>
      <c r="K345" s="676"/>
      <c r="L345" s="676"/>
      <c r="M345" s="676"/>
      <c r="N345" s="676"/>
      <c r="O345" s="676"/>
      <c r="P345" s="676"/>
      <c r="Q345" s="676"/>
      <c r="R345" s="676"/>
      <c r="S345" s="676"/>
      <c r="T345" s="676"/>
      <c r="U345" s="676"/>
      <c r="V345" s="676"/>
      <c r="W345" s="676"/>
      <c r="X345" s="676"/>
      <c r="Y345" s="676"/>
      <c r="Z345" s="676"/>
      <c r="AA345" s="676"/>
    </row>
    <row r="346" spans="1:27" x14ac:dyDescent="0.25">
      <c r="A346" s="139"/>
      <c r="B346" s="32"/>
      <c r="C346" s="644" t="s">
        <v>98</v>
      </c>
      <c r="D346" s="507" t="s">
        <v>615</v>
      </c>
      <c r="E346" s="107" t="str">
        <f>" - " &amp; 'Giá VL'!E24</f>
        <v xml:space="preserve"> - Nước</v>
      </c>
      <c r="F346" s="32" t="str">
        <f>'Giá VL'!F24</f>
        <v>m3</v>
      </c>
      <c r="G346" s="270">
        <f>'Phan tich don gia'!G266</f>
        <v>0.12</v>
      </c>
      <c r="H346" s="179">
        <f>'Giá VL'!V24</f>
        <v>10182</v>
      </c>
      <c r="I346" s="347">
        <f>'Du toan chi tiet'!V41</f>
        <v>1</v>
      </c>
      <c r="J346" s="179">
        <f t="shared" si="37"/>
        <v>1221.8399999999999</v>
      </c>
      <c r="K346" s="676"/>
      <c r="L346" s="676"/>
      <c r="M346" s="676"/>
      <c r="N346" s="676"/>
      <c r="O346" s="676"/>
      <c r="P346" s="676"/>
      <c r="Q346" s="676"/>
      <c r="R346" s="676"/>
      <c r="S346" s="676"/>
      <c r="T346" s="676"/>
      <c r="U346" s="676"/>
      <c r="V346" s="676"/>
      <c r="W346" s="676"/>
      <c r="X346" s="676"/>
      <c r="Y346" s="676"/>
      <c r="Z346" s="676"/>
      <c r="AA346" s="676"/>
    </row>
    <row r="347" spans="1:27" x14ac:dyDescent="0.25">
      <c r="A347" s="98"/>
      <c r="B347" s="380"/>
      <c r="C347" s="251" t="s">
        <v>98</v>
      </c>
      <c r="D347" s="251" t="s">
        <v>98</v>
      </c>
      <c r="E347" s="449" t="s">
        <v>301</v>
      </c>
      <c r="F347" s="380" t="s">
        <v>1018</v>
      </c>
      <c r="G347" s="607"/>
      <c r="H347" s="511"/>
      <c r="I347" s="684"/>
      <c r="J347" s="511">
        <f>SUM(J348:J348)</f>
        <v>138710</v>
      </c>
      <c r="K347" s="676"/>
      <c r="L347" s="676"/>
      <c r="M347" s="676"/>
      <c r="N347" s="676"/>
      <c r="O347" s="676"/>
      <c r="P347" s="676"/>
      <c r="Q347" s="676"/>
      <c r="R347" s="676"/>
      <c r="S347" s="676"/>
      <c r="T347" s="676"/>
      <c r="U347" s="676"/>
      <c r="V347" s="676"/>
      <c r="W347" s="676"/>
      <c r="X347" s="676"/>
      <c r="Y347" s="676"/>
      <c r="Z347" s="676"/>
      <c r="AA347" s="676"/>
    </row>
    <row r="348" spans="1:27" x14ac:dyDescent="0.25">
      <c r="A348" s="139"/>
      <c r="B348" s="32"/>
      <c r="C348" s="644" t="s">
        <v>98</v>
      </c>
      <c r="D348" s="507" t="s">
        <v>706</v>
      </c>
      <c r="E348" s="107" t="str">
        <f>" - " &amp; 'Giá NC'!E8</f>
        <v xml:space="preserve"> - Nhân công bậc 3,5/7 - Nhóm 2</v>
      </c>
      <c r="F348" s="32" t="str">
        <f>'Giá NC'!F8</f>
        <v>công</v>
      </c>
      <c r="G348" s="270">
        <f>'Phan tich don gia'!G268</f>
        <v>0.55000000000000004</v>
      </c>
      <c r="H348" s="179">
        <f>'Giá NC'!K8</f>
        <v>252200</v>
      </c>
      <c r="I348" s="347">
        <f>'Du toan chi tiet'!W41</f>
        <v>1</v>
      </c>
      <c r="J348" s="179">
        <f>PRODUCT(G348,H348,I348)</f>
        <v>138710</v>
      </c>
      <c r="K348" s="676"/>
      <c r="L348" s="676"/>
      <c r="M348" s="676"/>
      <c r="N348" s="676"/>
      <c r="O348" s="676"/>
      <c r="P348" s="676"/>
      <c r="Q348" s="676"/>
      <c r="R348" s="676"/>
      <c r="S348" s="676"/>
      <c r="T348" s="676"/>
      <c r="U348" s="676"/>
      <c r="V348" s="676"/>
      <c r="W348" s="676"/>
      <c r="X348" s="676"/>
      <c r="Y348" s="676"/>
      <c r="Z348" s="676"/>
      <c r="AA348" s="676"/>
    </row>
    <row r="349" spans="1:27" x14ac:dyDescent="0.25">
      <c r="A349" s="98"/>
      <c r="B349" s="380"/>
      <c r="C349" s="251" t="s">
        <v>98</v>
      </c>
      <c r="D349" s="251" t="s">
        <v>98</v>
      </c>
      <c r="E349" s="449" t="s">
        <v>1175</v>
      </c>
      <c r="F349" s="380" t="s">
        <v>138</v>
      </c>
      <c r="G349" s="607"/>
      <c r="H349" s="511"/>
      <c r="I349" s="684"/>
      <c r="J349" s="511">
        <f>SUM(J350:J351)</f>
        <v>67683.88</v>
      </c>
      <c r="K349" s="676"/>
      <c r="L349" s="676"/>
      <c r="M349" s="676"/>
      <c r="N349" s="676"/>
      <c r="O349" s="676"/>
      <c r="P349" s="676"/>
      <c r="Q349" s="676"/>
      <c r="R349" s="676"/>
      <c r="S349" s="676"/>
      <c r="T349" s="676"/>
      <c r="U349" s="676"/>
      <c r="V349" s="676"/>
      <c r="W349" s="676"/>
      <c r="X349" s="676"/>
      <c r="Y349" s="676"/>
      <c r="Z349" s="676"/>
      <c r="AA349" s="676"/>
    </row>
    <row r="350" spans="1:27" x14ac:dyDescent="0.25">
      <c r="A350" s="139"/>
      <c r="B350" s="32"/>
      <c r="C350" s="644" t="s">
        <v>98</v>
      </c>
      <c r="D350" s="507" t="s">
        <v>177</v>
      </c>
      <c r="E350" s="107" t="str">
        <f>" - " &amp; 'Giá Máy'!E7</f>
        <v xml:space="preserve"> - Máy cắt bê tông 7,5kW</v>
      </c>
      <c r="F350" s="32" t="str">
        <f>'Giá Máy'!F7</f>
        <v>ca</v>
      </c>
      <c r="G350" s="270">
        <f>'Phan tich don gia'!G270</f>
        <v>0.22</v>
      </c>
      <c r="H350" s="179">
        <f>'Giá Máy'!J7</f>
        <v>307653</v>
      </c>
      <c r="I350" s="347">
        <f>'Du toan chi tiet'!X41</f>
        <v>1</v>
      </c>
      <c r="J350" s="179">
        <f>PRODUCT(G350,H350,I350)</f>
        <v>67683.66</v>
      </c>
      <c r="K350" s="676"/>
      <c r="L350" s="676"/>
      <c r="M350" s="676"/>
      <c r="N350" s="676"/>
      <c r="O350" s="676"/>
      <c r="P350" s="676"/>
      <c r="Q350" s="676"/>
      <c r="R350" s="676"/>
      <c r="S350" s="676"/>
      <c r="T350" s="676"/>
      <c r="U350" s="676"/>
      <c r="V350" s="676"/>
      <c r="W350" s="676"/>
      <c r="X350" s="676"/>
      <c r="Y350" s="676"/>
      <c r="Z350" s="676"/>
      <c r="AA350" s="676"/>
    </row>
    <row r="351" spans="1:27" x14ac:dyDescent="0.25">
      <c r="A351" s="139"/>
      <c r="B351" s="32"/>
      <c r="C351" s="644" t="s">
        <v>98</v>
      </c>
      <c r="D351" s="507" t="s">
        <v>98</v>
      </c>
      <c r="E351" s="107" t="s">
        <v>1230</v>
      </c>
      <c r="F351" s="32"/>
      <c r="G351" s="277"/>
      <c r="H351" s="179"/>
      <c r="I351" s="347"/>
      <c r="J351" s="179">
        <f>SUM(J352:J353)</f>
        <v>0.22</v>
      </c>
      <c r="K351" s="676"/>
      <c r="L351" s="676"/>
      <c r="M351" s="676"/>
      <c r="N351" s="676"/>
      <c r="O351" s="676"/>
      <c r="P351" s="676"/>
      <c r="Q351" s="676"/>
      <c r="R351" s="676"/>
      <c r="S351" s="676"/>
      <c r="T351" s="676"/>
      <c r="U351" s="676"/>
      <c r="V351" s="676"/>
      <c r="W351" s="676"/>
      <c r="X351" s="676"/>
      <c r="Y351" s="676"/>
      <c r="Z351" s="676"/>
      <c r="AA351" s="676"/>
    </row>
    <row r="352" spans="1:27" x14ac:dyDescent="0.25">
      <c r="A352" s="139"/>
      <c r="B352" s="32"/>
      <c r="C352" s="644" t="s">
        <v>98</v>
      </c>
      <c r="D352" s="507" t="s">
        <v>98</v>
      </c>
      <c r="E352" s="107" t="s">
        <v>52</v>
      </c>
      <c r="F352" s="32"/>
      <c r="G352" s="277"/>
      <c r="H352" s="179"/>
      <c r="I352" s="347"/>
      <c r="J352" s="179">
        <f>PRODUCT(G350,I350,'Giá Máy'!L7)</f>
        <v>0</v>
      </c>
      <c r="K352" s="676"/>
      <c r="L352" s="676"/>
      <c r="M352" s="676"/>
      <c r="N352" s="676"/>
      <c r="O352" s="676"/>
      <c r="P352" s="676"/>
      <c r="Q352" s="676"/>
      <c r="R352" s="676"/>
      <c r="S352" s="676"/>
      <c r="T352" s="676"/>
      <c r="U352" s="676"/>
      <c r="V352" s="676"/>
      <c r="W352" s="676"/>
      <c r="X352" s="676"/>
      <c r="Y352" s="676"/>
      <c r="Z352" s="676"/>
      <c r="AA352" s="676"/>
    </row>
    <row r="353" spans="1:27" x14ac:dyDescent="0.25">
      <c r="A353" s="543"/>
      <c r="B353" s="736"/>
      <c r="C353" s="596" t="s">
        <v>98</v>
      </c>
      <c r="D353" s="438" t="s">
        <v>98</v>
      </c>
      <c r="E353" s="31" t="s">
        <v>597</v>
      </c>
      <c r="F353" s="736"/>
      <c r="G353" s="231"/>
      <c r="H353" s="93"/>
      <c r="I353" s="296"/>
      <c r="J353" s="93">
        <f>PRODUCT(G350,I350,'Giá Máy'!M7)</f>
        <v>0.22</v>
      </c>
      <c r="K353" s="676"/>
      <c r="L353" s="676"/>
      <c r="M353" s="676"/>
      <c r="N353" s="676"/>
      <c r="O353" s="676"/>
      <c r="P353" s="676"/>
      <c r="Q353" s="676"/>
      <c r="R353" s="676"/>
      <c r="S353" s="676"/>
      <c r="T353" s="676"/>
      <c r="U353" s="676"/>
      <c r="V353" s="676"/>
      <c r="W353" s="676"/>
      <c r="X353" s="676"/>
      <c r="Y353" s="676"/>
      <c r="Z353" s="676"/>
      <c r="AA353" s="676"/>
    </row>
    <row r="354" spans="1:27" x14ac:dyDescent="0.25">
      <c r="A354" s="89"/>
      <c r="B354" s="318">
        <v>33</v>
      </c>
      <c r="C354" s="149" t="str">
        <f>'Du toan chi tiet'!C42</f>
        <v>AB.31134</v>
      </c>
      <c r="D354" s="149" t="str">
        <f>'Du toan chi tiet'!C42</f>
        <v>AB.31134</v>
      </c>
      <c r="E354" s="665" t="str">
        <f>'Du toan chi tiet'!D42</f>
        <v xml:space="preserve">Đào kết cấu mặt đường hiện có </v>
      </c>
      <c r="F354" s="318" t="str">
        <f>'Du toan chi tiet'!E42</f>
        <v>m3</v>
      </c>
      <c r="G354" s="56"/>
      <c r="H354" s="435"/>
      <c r="I354" s="589"/>
      <c r="J354" s="367">
        <f>J355+J357</f>
        <v>27577.888021999999</v>
      </c>
      <c r="K354" s="676"/>
      <c r="L354" s="676"/>
      <c r="M354" s="676"/>
      <c r="N354" s="676"/>
      <c r="O354" s="676"/>
      <c r="P354" s="676"/>
      <c r="Q354" s="676"/>
      <c r="R354" s="676"/>
      <c r="S354" s="676"/>
      <c r="T354" s="676"/>
      <c r="U354" s="676"/>
      <c r="V354" s="676"/>
      <c r="W354" s="676"/>
      <c r="X354" s="676"/>
      <c r="Y354" s="676"/>
      <c r="Z354" s="676"/>
      <c r="AA354" s="676"/>
    </row>
    <row r="355" spans="1:27" x14ac:dyDescent="0.25">
      <c r="A355" s="98"/>
      <c r="B355" s="380"/>
      <c r="C355" s="251" t="s">
        <v>98</v>
      </c>
      <c r="D355" s="251" t="s">
        <v>98</v>
      </c>
      <c r="E355" s="449" t="s">
        <v>301</v>
      </c>
      <c r="F355" s="380" t="s">
        <v>1018</v>
      </c>
      <c r="G355" s="607"/>
      <c r="H355" s="511"/>
      <c r="I355" s="684"/>
      <c r="J355" s="511">
        <f>SUM(J356:J356)</f>
        <v>10512.687899999999</v>
      </c>
      <c r="K355" s="676"/>
      <c r="L355" s="676"/>
      <c r="M355" s="676"/>
      <c r="N355" s="676"/>
      <c r="O355" s="676"/>
      <c r="P355" s="676"/>
      <c r="Q355" s="676"/>
      <c r="R355" s="676"/>
      <c r="S355" s="676"/>
      <c r="T355" s="676"/>
      <c r="U355" s="676"/>
      <c r="V355" s="676"/>
      <c r="W355" s="676"/>
      <c r="X355" s="676"/>
      <c r="Y355" s="676"/>
      <c r="Z355" s="676"/>
      <c r="AA355" s="676"/>
    </row>
    <row r="356" spans="1:27" x14ac:dyDescent="0.25">
      <c r="A356" s="139"/>
      <c r="B356" s="32"/>
      <c r="C356" s="644" t="s">
        <v>98</v>
      </c>
      <c r="D356" s="507" t="s">
        <v>475</v>
      </c>
      <c r="E356" s="107" t="str">
        <f>" - " &amp; 'Giá NC'!E5</f>
        <v xml:space="preserve"> - Nhân công bậc 3,0/7 - Nhóm 1</v>
      </c>
      <c r="F356" s="32" t="str">
        <f>'Giá NC'!F5</f>
        <v>công</v>
      </c>
      <c r="G356" s="270">
        <f>'Phan tich don gia'!G273</f>
        <v>4.8099999999999997E-2</v>
      </c>
      <c r="H356" s="179">
        <f>'Giá NC'!K5</f>
        <v>218559</v>
      </c>
      <c r="I356" s="347">
        <f>'Du toan chi tiet'!W42</f>
        <v>1</v>
      </c>
      <c r="J356" s="179">
        <f>PRODUCT(G356,H356,I356)</f>
        <v>10512.687899999999</v>
      </c>
      <c r="K356" s="676"/>
      <c r="L356" s="676"/>
      <c r="M356" s="676"/>
      <c r="N356" s="676"/>
      <c r="O356" s="676"/>
      <c r="P356" s="676"/>
      <c r="Q356" s="676"/>
      <c r="R356" s="676"/>
      <c r="S356" s="676"/>
      <c r="T356" s="676"/>
      <c r="U356" s="676"/>
      <c r="V356" s="676"/>
      <c r="W356" s="676"/>
      <c r="X356" s="676"/>
      <c r="Y356" s="676"/>
      <c r="Z356" s="676"/>
      <c r="AA356" s="676"/>
    </row>
    <row r="357" spans="1:27" x14ac:dyDescent="0.25">
      <c r="A357" s="98"/>
      <c r="B357" s="380"/>
      <c r="C357" s="251" t="s">
        <v>98</v>
      </c>
      <c r="D357" s="251" t="s">
        <v>98</v>
      </c>
      <c r="E357" s="449" t="s">
        <v>1175</v>
      </c>
      <c r="F357" s="380" t="s">
        <v>138</v>
      </c>
      <c r="G357" s="607"/>
      <c r="H357" s="511"/>
      <c r="I357" s="684"/>
      <c r="J357" s="511">
        <f>SUM(J358:J360)</f>
        <v>17065.200121999998</v>
      </c>
      <c r="K357" s="676"/>
      <c r="L357" s="676"/>
      <c r="M357" s="676"/>
      <c r="N357" s="676"/>
      <c r="O357" s="676"/>
      <c r="P357" s="676"/>
      <c r="Q357" s="676"/>
      <c r="R357" s="676"/>
      <c r="S357" s="676"/>
      <c r="T357" s="676"/>
      <c r="U357" s="676"/>
      <c r="V357" s="676"/>
      <c r="W357" s="676"/>
      <c r="X357" s="676"/>
      <c r="Y357" s="676"/>
      <c r="Z357" s="676"/>
      <c r="AA357" s="676"/>
    </row>
    <row r="358" spans="1:27" x14ac:dyDescent="0.25">
      <c r="A358" s="139"/>
      <c r="B358" s="32"/>
      <c r="C358" s="644" t="s">
        <v>98</v>
      </c>
      <c r="D358" s="507" t="s">
        <v>759</v>
      </c>
      <c r="E358" s="107" t="str">
        <f>" - " &amp; 'Giá Máy'!E14</f>
        <v xml:space="preserve"> - Máy đào 1,25m3</v>
      </c>
      <c r="F358" s="32" t="str">
        <f>'Giá Máy'!F14</f>
        <v>ca</v>
      </c>
      <c r="G358" s="270">
        <f>'Phan tich don gia'!G275</f>
        <v>4.2399999999999998E-3</v>
      </c>
      <c r="H358" s="179">
        <f>'Giá Máy'!J14</f>
        <v>3756595.3</v>
      </c>
      <c r="I358" s="347">
        <f>'Du toan chi tiet'!X42</f>
        <v>1</v>
      </c>
      <c r="J358" s="179">
        <f t="shared" ref="J358:J359" si="38">PRODUCT(G358,H358,I358)</f>
        <v>15927.964071999999</v>
      </c>
      <c r="K358" s="676"/>
      <c r="L358" s="676"/>
      <c r="M358" s="676"/>
      <c r="N358" s="676"/>
      <c r="O358" s="676"/>
      <c r="P358" s="676"/>
      <c r="Q358" s="676"/>
      <c r="R358" s="676"/>
      <c r="S358" s="676"/>
      <c r="T358" s="676"/>
      <c r="U358" s="676"/>
      <c r="V358" s="676"/>
      <c r="W358" s="676"/>
      <c r="X358" s="676"/>
      <c r="Y358" s="676"/>
      <c r="Z358" s="676"/>
      <c r="AA358" s="676"/>
    </row>
    <row r="359" spans="1:27" x14ac:dyDescent="0.25">
      <c r="A359" s="139"/>
      <c r="B359" s="32"/>
      <c r="C359" s="644" t="s">
        <v>98</v>
      </c>
      <c r="D359" s="507" t="s">
        <v>1055</v>
      </c>
      <c r="E359" s="107" t="str">
        <f>" - " &amp; 'Giá Máy'!E21</f>
        <v xml:space="preserve"> - Máy ủi 110CV</v>
      </c>
      <c r="F359" s="32" t="str">
        <f>'Giá Máy'!F21</f>
        <v>ca</v>
      </c>
      <c r="G359" s="270">
        <f>'Phan tich don gia'!G276</f>
        <v>5.8E-4</v>
      </c>
      <c r="H359" s="179">
        <f>'Giá Máy'!J21</f>
        <v>1960743.5</v>
      </c>
      <c r="I359" s="347">
        <f>'Du toan chi tiet'!X42</f>
        <v>1</v>
      </c>
      <c r="J359" s="179">
        <f t="shared" si="38"/>
        <v>1137.2312300000001</v>
      </c>
      <c r="K359" s="676"/>
      <c r="L359" s="676"/>
      <c r="M359" s="676"/>
      <c r="N359" s="676"/>
      <c r="O359" s="676"/>
      <c r="P359" s="676"/>
      <c r="Q359" s="676"/>
      <c r="R359" s="676"/>
      <c r="S359" s="676"/>
      <c r="T359" s="676"/>
      <c r="U359" s="676"/>
      <c r="V359" s="676"/>
      <c r="W359" s="676"/>
      <c r="X359" s="676"/>
      <c r="Y359" s="676"/>
      <c r="Z359" s="676"/>
      <c r="AA359" s="676"/>
    </row>
    <row r="360" spans="1:27" x14ac:dyDescent="0.25">
      <c r="A360" s="139"/>
      <c r="B360" s="32"/>
      <c r="C360" s="644" t="s">
        <v>98</v>
      </c>
      <c r="D360" s="507" t="s">
        <v>98</v>
      </c>
      <c r="E360" s="107" t="s">
        <v>1230</v>
      </c>
      <c r="F360" s="32"/>
      <c r="G360" s="277"/>
      <c r="H360" s="179"/>
      <c r="I360" s="347"/>
      <c r="J360" s="179">
        <f>SUM(J361:J362)</f>
        <v>4.8199999999999996E-3</v>
      </c>
      <c r="K360" s="676"/>
      <c r="L360" s="676"/>
      <c r="M360" s="676"/>
      <c r="N360" s="676"/>
      <c r="O360" s="676"/>
      <c r="P360" s="676"/>
      <c r="Q360" s="676"/>
      <c r="R360" s="676"/>
      <c r="S360" s="676"/>
      <c r="T360" s="676"/>
      <c r="U360" s="676"/>
      <c r="V360" s="676"/>
      <c r="W360" s="676"/>
      <c r="X360" s="676"/>
      <c r="Y360" s="676"/>
      <c r="Z360" s="676"/>
      <c r="AA360" s="676"/>
    </row>
    <row r="361" spans="1:27" x14ac:dyDescent="0.25">
      <c r="A361" s="139"/>
      <c r="B361" s="32"/>
      <c r="C361" s="644" t="s">
        <v>98</v>
      </c>
      <c r="D361" s="507" t="s">
        <v>98</v>
      </c>
      <c r="E361" s="107" t="s">
        <v>52</v>
      </c>
      <c r="F361" s="32"/>
      <c r="G361" s="277"/>
      <c r="H361" s="179"/>
      <c r="I361" s="347"/>
      <c r="J361" s="179">
        <f>PRODUCT(G358,I358,'Giá Máy'!L14)+PRODUCT(G359,I359,'Giá Máy'!L21)</f>
        <v>0</v>
      </c>
      <c r="K361" s="676"/>
      <c r="L361" s="676"/>
      <c r="M361" s="676"/>
      <c r="N361" s="676"/>
      <c r="O361" s="676"/>
      <c r="P361" s="676"/>
      <c r="Q361" s="676"/>
      <c r="R361" s="676"/>
      <c r="S361" s="676"/>
      <c r="T361" s="676"/>
      <c r="U361" s="676"/>
      <c r="V361" s="676"/>
      <c r="W361" s="676"/>
      <c r="X361" s="676"/>
      <c r="Y361" s="676"/>
      <c r="Z361" s="676"/>
      <c r="AA361" s="676"/>
    </row>
    <row r="362" spans="1:27" x14ac:dyDescent="0.25">
      <c r="A362" s="543"/>
      <c r="B362" s="736"/>
      <c r="C362" s="596" t="s">
        <v>98</v>
      </c>
      <c r="D362" s="438" t="s">
        <v>98</v>
      </c>
      <c r="E362" s="31" t="s">
        <v>597</v>
      </c>
      <c r="F362" s="736"/>
      <c r="G362" s="231"/>
      <c r="H362" s="93"/>
      <c r="I362" s="296"/>
      <c r="J362" s="93">
        <f>PRODUCT(G358,I358,'Giá Máy'!M14)+PRODUCT(G359,I359,'Giá Máy'!M21)</f>
        <v>4.8199999999999996E-3</v>
      </c>
      <c r="K362" s="676"/>
      <c r="L362" s="676"/>
      <c r="M362" s="676"/>
      <c r="N362" s="676"/>
      <c r="O362" s="676"/>
      <c r="P362" s="676"/>
      <c r="Q362" s="676"/>
      <c r="R362" s="676"/>
      <c r="S362" s="676"/>
      <c r="T362" s="676"/>
      <c r="U362" s="676"/>
      <c r="V362" s="676"/>
      <c r="W362" s="676"/>
      <c r="X362" s="676"/>
      <c r="Y362" s="676"/>
      <c r="Z362" s="676"/>
      <c r="AA362" s="676"/>
    </row>
    <row r="363" spans="1:27" x14ac:dyDescent="0.25">
      <c r="A363" s="89"/>
      <c r="B363" s="318">
        <v>34</v>
      </c>
      <c r="C363" s="149" t="str">
        <f>'Du toan chi tiet'!C43</f>
        <v>AB.25103</v>
      </c>
      <c r="D363" s="149" t="str">
        <f>'Du toan chi tiet'!C43</f>
        <v>AB.25103</v>
      </c>
      <c r="E363" s="665" t="str">
        <f>'Du toan chi tiet'!D43</f>
        <v>Đào móng bằng máy đào 0,4m3, chiều rộng móng ≤6m - Cấp đất III</v>
      </c>
      <c r="F363" s="318" t="str">
        <f>'Du toan chi tiet'!E43</f>
        <v>m3</v>
      </c>
      <c r="G363" s="56"/>
      <c r="H363" s="435"/>
      <c r="I363" s="589"/>
      <c r="J363" s="367">
        <f>J364+J366</f>
        <v>27489.396875999999</v>
      </c>
      <c r="K363" s="676"/>
      <c r="L363" s="676"/>
      <c r="M363" s="676"/>
      <c r="N363" s="676"/>
      <c r="O363" s="676"/>
      <c r="P363" s="676"/>
      <c r="Q363" s="676"/>
      <c r="R363" s="676"/>
      <c r="S363" s="676"/>
      <c r="T363" s="676"/>
      <c r="U363" s="676"/>
      <c r="V363" s="676"/>
      <c r="W363" s="676"/>
      <c r="X363" s="676"/>
      <c r="Y363" s="676"/>
      <c r="Z363" s="676"/>
      <c r="AA363" s="676"/>
    </row>
    <row r="364" spans="1:27" x14ac:dyDescent="0.25">
      <c r="A364" s="98"/>
      <c r="B364" s="380"/>
      <c r="C364" s="251" t="s">
        <v>98</v>
      </c>
      <c r="D364" s="251" t="s">
        <v>98</v>
      </c>
      <c r="E364" s="449" t="s">
        <v>301</v>
      </c>
      <c r="F364" s="380" t="s">
        <v>1018</v>
      </c>
      <c r="G364" s="607"/>
      <c r="H364" s="511"/>
      <c r="I364" s="684"/>
      <c r="J364" s="511">
        <f>SUM(J365:J365)</f>
        <v>10075.5699</v>
      </c>
      <c r="K364" s="676"/>
      <c r="L364" s="676"/>
      <c r="M364" s="676"/>
      <c r="N364" s="676"/>
      <c r="O364" s="676"/>
      <c r="P364" s="676"/>
      <c r="Q364" s="676"/>
      <c r="R364" s="676"/>
      <c r="S364" s="676"/>
      <c r="T364" s="676"/>
      <c r="U364" s="676"/>
      <c r="V364" s="676"/>
      <c r="W364" s="676"/>
      <c r="X364" s="676"/>
      <c r="Y364" s="676"/>
      <c r="Z364" s="676"/>
      <c r="AA364" s="676"/>
    </row>
    <row r="365" spans="1:27" x14ac:dyDescent="0.25">
      <c r="A365" s="139"/>
      <c r="B365" s="32"/>
      <c r="C365" s="644" t="s">
        <v>98</v>
      </c>
      <c r="D365" s="507" t="s">
        <v>475</v>
      </c>
      <c r="E365" s="107" t="str">
        <f>" - " &amp; 'Giá NC'!E5</f>
        <v xml:space="preserve"> - Nhân công bậc 3,0/7 - Nhóm 1</v>
      </c>
      <c r="F365" s="32" t="str">
        <f>'Giá NC'!F5</f>
        <v>công</v>
      </c>
      <c r="G365" s="270">
        <f>'Phan tich don gia'!G279</f>
        <v>4.6100000000000002E-2</v>
      </c>
      <c r="H365" s="179">
        <f>'Giá NC'!K5</f>
        <v>218559</v>
      </c>
      <c r="I365" s="347">
        <f>'Du toan chi tiet'!W43</f>
        <v>1</v>
      </c>
      <c r="J365" s="179">
        <f>PRODUCT(G365,H365,I365)</f>
        <v>10075.5699</v>
      </c>
      <c r="K365" s="676"/>
      <c r="L365" s="676"/>
      <c r="M365" s="676"/>
      <c r="N365" s="676"/>
      <c r="O365" s="676"/>
      <c r="P365" s="676"/>
      <c r="Q365" s="676"/>
      <c r="R365" s="676"/>
      <c r="S365" s="676"/>
      <c r="T365" s="676"/>
      <c r="U365" s="676"/>
      <c r="V365" s="676"/>
      <c r="W365" s="676"/>
      <c r="X365" s="676"/>
      <c r="Y365" s="676"/>
      <c r="Z365" s="676"/>
      <c r="AA365" s="676"/>
    </row>
    <row r="366" spans="1:27" x14ac:dyDescent="0.25">
      <c r="A366" s="98"/>
      <c r="B366" s="380"/>
      <c r="C366" s="251" t="s">
        <v>98</v>
      </c>
      <c r="D366" s="251" t="s">
        <v>98</v>
      </c>
      <c r="E366" s="449" t="s">
        <v>1175</v>
      </c>
      <c r="F366" s="380" t="s">
        <v>138</v>
      </c>
      <c r="G366" s="607"/>
      <c r="H366" s="511"/>
      <c r="I366" s="684"/>
      <c r="J366" s="511">
        <f>SUM(J367:J368)</f>
        <v>17413.826976</v>
      </c>
      <c r="K366" s="676"/>
      <c r="L366" s="676"/>
      <c r="M366" s="676"/>
      <c r="N366" s="676"/>
      <c r="O366" s="676"/>
      <c r="P366" s="676"/>
      <c r="Q366" s="676"/>
      <c r="R366" s="676"/>
      <c r="S366" s="676"/>
      <c r="T366" s="676"/>
      <c r="U366" s="676"/>
      <c r="V366" s="676"/>
      <c r="W366" s="676"/>
      <c r="X366" s="676"/>
      <c r="Y366" s="676"/>
      <c r="Z366" s="676"/>
      <c r="AA366" s="676"/>
    </row>
    <row r="367" spans="1:27" x14ac:dyDescent="0.25">
      <c r="A367" s="139"/>
      <c r="B367" s="32"/>
      <c r="C367" s="644" t="s">
        <v>98</v>
      </c>
      <c r="D367" s="507" t="s">
        <v>1126</v>
      </c>
      <c r="E367" s="107" t="str">
        <f>" - " &amp; 'Giá Máy'!E13</f>
        <v xml:space="preserve"> - Máy đào 0,4m3</v>
      </c>
      <c r="F367" s="32" t="str">
        <f>'Giá Máy'!F13</f>
        <v>ca</v>
      </c>
      <c r="G367" s="270">
        <f>'Phan tich don gia'!G281</f>
        <v>8.9700000000000005E-3</v>
      </c>
      <c r="H367" s="179">
        <f>'Giá Máy'!J13</f>
        <v>1941339.8</v>
      </c>
      <c r="I367" s="347">
        <f>'Du toan chi tiet'!X43</f>
        <v>1</v>
      </c>
      <c r="J367" s="179">
        <f>PRODUCT(G367,H367,I367)</f>
        <v>17413.818006000001</v>
      </c>
      <c r="K367" s="676"/>
      <c r="L367" s="676"/>
      <c r="M367" s="676"/>
      <c r="N367" s="676"/>
      <c r="O367" s="676"/>
      <c r="P367" s="676"/>
      <c r="Q367" s="676"/>
      <c r="R367" s="676"/>
      <c r="S367" s="676"/>
      <c r="T367" s="676"/>
      <c r="U367" s="676"/>
      <c r="V367" s="676"/>
      <c r="W367" s="676"/>
      <c r="X367" s="676"/>
      <c r="Y367" s="676"/>
      <c r="Z367" s="676"/>
      <c r="AA367" s="676"/>
    </row>
    <row r="368" spans="1:27" x14ac:dyDescent="0.25">
      <c r="A368" s="139"/>
      <c r="B368" s="32"/>
      <c r="C368" s="644" t="s">
        <v>98</v>
      </c>
      <c r="D368" s="507" t="s">
        <v>98</v>
      </c>
      <c r="E368" s="107" t="s">
        <v>1230</v>
      </c>
      <c r="F368" s="32"/>
      <c r="G368" s="277"/>
      <c r="H368" s="179"/>
      <c r="I368" s="347"/>
      <c r="J368" s="179">
        <f>SUM(J369:J370)</f>
        <v>8.9700000000000005E-3</v>
      </c>
      <c r="K368" s="676"/>
      <c r="L368" s="676"/>
      <c r="M368" s="676"/>
      <c r="N368" s="676"/>
      <c r="O368" s="676"/>
      <c r="P368" s="676"/>
      <c r="Q368" s="676"/>
      <c r="R368" s="676"/>
      <c r="S368" s="676"/>
      <c r="T368" s="676"/>
      <c r="U368" s="676"/>
      <c r="V368" s="676"/>
      <c r="W368" s="676"/>
      <c r="X368" s="676"/>
      <c r="Y368" s="676"/>
      <c r="Z368" s="676"/>
      <c r="AA368" s="676"/>
    </row>
    <row r="369" spans="1:27" x14ac:dyDescent="0.25">
      <c r="A369" s="139"/>
      <c r="B369" s="32"/>
      <c r="C369" s="644" t="s">
        <v>98</v>
      </c>
      <c r="D369" s="507" t="s">
        <v>98</v>
      </c>
      <c r="E369" s="107" t="s">
        <v>52</v>
      </c>
      <c r="F369" s="32"/>
      <c r="G369" s="277"/>
      <c r="H369" s="179"/>
      <c r="I369" s="347"/>
      <c r="J369" s="179">
        <f>PRODUCT(G367,I367,'Giá Máy'!L13)</f>
        <v>0</v>
      </c>
      <c r="K369" s="676"/>
      <c r="L369" s="676"/>
      <c r="M369" s="676"/>
      <c r="N369" s="676"/>
      <c r="O369" s="676"/>
      <c r="P369" s="676"/>
      <c r="Q369" s="676"/>
      <c r="R369" s="676"/>
      <c r="S369" s="676"/>
      <c r="T369" s="676"/>
      <c r="U369" s="676"/>
      <c r="V369" s="676"/>
      <c r="W369" s="676"/>
      <c r="X369" s="676"/>
      <c r="Y369" s="676"/>
      <c r="Z369" s="676"/>
      <c r="AA369" s="676"/>
    </row>
    <row r="370" spans="1:27" x14ac:dyDescent="0.25">
      <c r="A370" s="543"/>
      <c r="B370" s="736"/>
      <c r="C370" s="596" t="s">
        <v>98</v>
      </c>
      <c r="D370" s="438" t="s">
        <v>98</v>
      </c>
      <c r="E370" s="31" t="s">
        <v>597</v>
      </c>
      <c r="F370" s="736"/>
      <c r="G370" s="231"/>
      <c r="H370" s="93"/>
      <c r="I370" s="296"/>
      <c r="J370" s="93">
        <f>PRODUCT(G367,I367,'Giá Máy'!M13)</f>
        <v>8.9700000000000005E-3</v>
      </c>
      <c r="K370" s="676"/>
      <c r="L370" s="676"/>
      <c r="M370" s="676"/>
      <c r="N370" s="676"/>
      <c r="O370" s="676"/>
      <c r="P370" s="676"/>
      <c r="Q370" s="676"/>
      <c r="R370" s="676"/>
      <c r="S370" s="676"/>
      <c r="T370" s="676"/>
      <c r="U370" s="676"/>
      <c r="V370" s="676"/>
      <c r="W370" s="676"/>
      <c r="X370" s="676"/>
      <c r="Y370" s="676"/>
      <c r="Z370" s="676"/>
      <c r="AA370" s="676"/>
    </row>
    <row r="371" spans="1:27" x14ac:dyDescent="0.25">
      <c r="A371" s="89"/>
      <c r="B371" s="318">
        <v>35</v>
      </c>
      <c r="C371" s="149" t="str">
        <f>'Du toan chi tiet'!C44</f>
        <v>AB.65130</v>
      </c>
      <c r="D371" s="149" t="str">
        <f>'Du toan chi tiet'!C44</f>
        <v>AB.65130</v>
      </c>
      <c r="E371" s="665" t="str">
        <f>'Du toan chi tiet'!D44</f>
        <v>Đắp đất bằng đầm đất cầm tay 70kg, độ chặt Y/C K = 0,95</v>
      </c>
      <c r="F371" s="318" t="str">
        <f>'Du toan chi tiet'!E44</f>
        <v>m3</v>
      </c>
      <c r="G371" s="56"/>
      <c r="H371" s="435"/>
      <c r="I371" s="589"/>
      <c r="J371" s="367">
        <f>J372+J374</f>
        <v>32451.811259999995</v>
      </c>
      <c r="K371" s="676"/>
      <c r="L371" s="676"/>
      <c r="M371" s="676"/>
      <c r="N371" s="676"/>
      <c r="O371" s="676"/>
      <c r="P371" s="676"/>
      <c r="Q371" s="676"/>
      <c r="R371" s="676"/>
      <c r="S371" s="676"/>
      <c r="T371" s="676"/>
      <c r="U371" s="676"/>
      <c r="V371" s="676"/>
      <c r="W371" s="676"/>
      <c r="X371" s="676"/>
      <c r="Y371" s="676"/>
      <c r="Z371" s="676"/>
      <c r="AA371" s="676"/>
    </row>
    <row r="372" spans="1:27" x14ac:dyDescent="0.25">
      <c r="A372" s="98"/>
      <c r="B372" s="380"/>
      <c r="C372" s="251" t="s">
        <v>98</v>
      </c>
      <c r="D372" s="251" t="s">
        <v>98</v>
      </c>
      <c r="E372" s="449" t="s">
        <v>301</v>
      </c>
      <c r="F372" s="380" t="s">
        <v>1018</v>
      </c>
      <c r="G372" s="607"/>
      <c r="H372" s="511"/>
      <c r="I372" s="684"/>
      <c r="J372" s="511">
        <f>SUM(J373:J373)</f>
        <v>15583.2567</v>
      </c>
      <c r="K372" s="676"/>
      <c r="L372" s="676"/>
      <c r="M372" s="676"/>
      <c r="N372" s="676"/>
      <c r="O372" s="676"/>
      <c r="P372" s="676"/>
      <c r="Q372" s="676"/>
      <c r="R372" s="676"/>
      <c r="S372" s="676"/>
      <c r="T372" s="676"/>
      <c r="U372" s="676"/>
      <c r="V372" s="676"/>
      <c r="W372" s="676"/>
      <c r="X372" s="676"/>
      <c r="Y372" s="676"/>
      <c r="Z372" s="676"/>
      <c r="AA372" s="676"/>
    </row>
    <row r="373" spans="1:27" x14ac:dyDescent="0.25">
      <c r="A373" s="139"/>
      <c r="B373" s="32"/>
      <c r="C373" s="644" t="s">
        <v>98</v>
      </c>
      <c r="D373" s="507" t="s">
        <v>475</v>
      </c>
      <c r="E373" s="107" t="str">
        <f>" - " &amp; 'Giá NC'!E5</f>
        <v xml:space="preserve"> - Nhân công bậc 3,0/7 - Nhóm 1</v>
      </c>
      <c r="F373" s="32" t="str">
        <f>'Giá NC'!F5</f>
        <v>công</v>
      </c>
      <c r="G373" s="270">
        <f>'Phan tich don gia'!G284</f>
        <v>7.1300000000000002E-2</v>
      </c>
      <c r="H373" s="179">
        <f>'Giá NC'!K5</f>
        <v>218559</v>
      </c>
      <c r="I373" s="347">
        <f>'Du toan chi tiet'!W44</f>
        <v>1</v>
      </c>
      <c r="J373" s="179">
        <f>PRODUCT(G373,H373,I373)</f>
        <v>15583.2567</v>
      </c>
      <c r="K373" s="676"/>
      <c r="L373" s="676"/>
      <c r="M373" s="676"/>
      <c r="N373" s="676"/>
      <c r="O373" s="676"/>
      <c r="P373" s="676"/>
      <c r="Q373" s="676"/>
      <c r="R373" s="676"/>
      <c r="S373" s="676"/>
      <c r="T373" s="676"/>
      <c r="U373" s="676"/>
      <c r="V373" s="676"/>
      <c r="W373" s="676"/>
      <c r="X373" s="676"/>
      <c r="Y373" s="676"/>
      <c r="Z373" s="676"/>
      <c r="AA373" s="676"/>
    </row>
    <row r="374" spans="1:27" x14ac:dyDescent="0.25">
      <c r="A374" s="98"/>
      <c r="B374" s="380"/>
      <c r="C374" s="251" t="s">
        <v>98</v>
      </c>
      <c r="D374" s="251" t="s">
        <v>98</v>
      </c>
      <c r="E374" s="449" t="s">
        <v>1175</v>
      </c>
      <c r="F374" s="380" t="s">
        <v>138</v>
      </c>
      <c r="G374" s="607"/>
      <c r="H374" s="511"/>
      <c r="I374" s="684"/>
      <c r="J374" s="511">
        <f>SUM(J375:J376)</f>
        <v>16868.554559999997</v>
      </c>
      <c r="K374" s="676"/>
      <c r="L374" s="676"/>
      <c r="M374" s="676"/>
      <c r="N374" s="676"/>
      <c r="O374" s="676"/>
      <c r="P374" s="676"/>
      <c r="Q374" s="676"/>
      <c r="R374" s="676"/>
      <c r="S374" s="676"/>
      <c r="T374" s="676"/>
      <c r="U374" s="676"/>
      <c r="V374" s="676"/>
      <c r="W374" s="676"/>
      <c r="X374" s="676"/>
      <c r="Y374" s="676"/>
      <c r="Z374" s="676"/>
      <c r="AA374" s="676"/>
    </row>
    <row r="375" spans="1:27" x14ac:dyDescent="0.25">
      <c r="A375" s="139"/>
      <c r="B375" s="32"/>
      <c r="C375" s="644" t="s">
        <v>98</v>
      </c>
      <c r="D375" s="507" t="s">
        <v>551</v>
      </c>
      <c r="E375" s="107" t="str">
        <f>" - " &amp; 'Giá Máy'!E11</f>
        <v xml:space="preserve"> - Máy đầm đất cầm tay 70kg</v>
      </c>
      <c r="F375" s="32" t="str">
        <f>'Giá Máy'!F11</f>
        <v>ca</v>
      </c>
      <c r="G375" s="270">
        <f>'Phan tich don gia'!G286</f>
        <v>4.428E-2</v>
      </c>
      <c r="H375" s="179">
        <f>'Giá Máy'!J11</f>
        <v>380951</v>
      </c>
      <c r="I375" s="347">
        <f>'Du toan chi tiet'!X44</f>
        <v>1</v>
      </c>
      <c r="J375" s="179">
        <f>PRODUCT(G375,H375,I375)</f>
        <v>16868.510279999999</v>
      </c>
      <c r="K375" s="676"/>
      <c r="L375" s="676"/>
      <c r="M375" s="676"/>
      <c r="N375" s="676"/>
      <c r="O375" s="676"/>
      <c r="P375" s="676"/>
      <c r="Q375" s="676"/>
      <c r="R375" s="676"/>
      <c r="S375" s="676"/>
      <c r="T375" s="676"/>
      <c r="U375" s="676"/>
      <c r="V375" s="676"/>
      <c r="W375" s="676"/>
      <c r="X375" s="676"/>
      <c r="Y375" s="676"/>
      <c r="Z375" s="676"/>
      <c r="AA375" s="676"/>
    </row>
    <row r="376" spans="1:27" x14ac:dyDescent="0.25">
      <c r="A376" s="139"/>
      <c r="B376" s="32"/>
      <c r="C376" s="644" t="s">
        <v>98</v>
      </c>
      <c r="D376" s="507" t="s">
        <v>98</v>
      </c>
      <c r="E376" s="107" t="s">
        <v>1230</v>
      </c>
      <c r="F376" s="32"/>
      <c r="G376" s="277"/>
      <c r="H376" s="179"/>
      <c r="I376" s="347"/>
      <c r="J376" s="179">
        <f>SUM(J377:J378)</f>
        <v>4.428E-2</v>
      </c>
      <c r="K376" s="676"/>
      <c r="L376" s="676"/>
      <c r="M376" s="676"/>
      <c r="N376" s="676"/>
      <c r="O376" s="676"/>
      <c r="P376" s="676"/>
      <c r="Q376" s="676"/>
      <c r="R376" s="676"/>
      <c r="S376" s="676"/>
      <c r="T376" s="676"/>
      <c r="U376" s="676"/>
      <c r="V376" s="676"/>
      <c r="W376" s="676"/>
      <c r="X376" s="676"/>
      <c r="Y376" s="676"/>
      <c r="Z376" s="676"/>
      <c r="AA376" s="676"/>
    </row>
    <row r="377" spans="1:27" x14ac:dyDescent="0.25">
      <c r="A377" s="139"/>
      <c r="B377" s="32"/>
      <c r="C377" s="644" t="s">
        <v>98</v>
      </c>
      <c r="D377" s="507" t="s">
        <v>98</v>
      </c>
      <c r="E377" s="107" t="s">
        <v>52</v>
      </c>
      <c r="F377" s="32"/>
      <c r="G377" s="277"/>
      <c r="H377" s="179"/>
      <c r="I377" s="347"/>
      <c r="J377" s="179">
        <f>PRODUCT(G375,I375,'Giá Máy'!L11)</f>
        <v>0</v>
      </c>
      <c r="K377" s="676"/>
      <c r="L377" s="676"/>
      <c r="M377" s="676"/>
      <c r="N377" s="676"/>
      <c r="O377" s="676"/>
      <c r="P377" s="676"/>
      <c r="Q377" s="676"/>
      <c r="R377" s="676"/>
      <c r="S377" s="676"/>
      <c r="T377" s="676"/>
      <c r="U377" s="676"/>
      <c r="V377" s="676"/>
      <c r="W377" s="676"/>
      <c r="X377" s="676"/>
      <c r="Y377" s="676"/>
      <c r="Z377" s="676"/>
      <c r="AA377" s="676"/>
    </row>
    <row r="378" spans="1:27" x14ac:dyDescent="0.25">
      <c r="A378" s="543"/>
      <c r="B378" s="736"/>
      <c r="C378" s="596" t="s">
        <v>98</v>
      </c>
      <c r="D378" s="438" t="s">
        <v>98</v>
      </c>
      <c r="E378" s="31" t="s">
        <v>597</v>
      </c>
      <c r="F378" s="736"/>
      <c r="G378" s="231"/>
      <c r="H378" s="93"/>
      <c r="I378" s="296"/>
      <c r="J378" s="93">
        <f>PRODUCT(G375,I375,'Giá Máy'!M11)</f>
        <v>4.428E-2</v>
      </c>
      <c r="K378" s="676"/>
      <c r="L378" s="676"/>
      <c r="M378" s="676"/>
      <c r="N378" s="676"/>
      <c r="O378" s="676"/>
      <c r="P378" s="676"/>
      <c r="Q378" s="676"/>
      <c r="R378" s="676"/>
      <c r="S378" s="676"/>
      <c r="T378" s="676"/>
      <c r="U378" s="676"/>
      <c r="V378" s="676"/>
      <c r="W378" s="676"/>
      <c r="X378" s="676"/>
      <c r="Y378" s="676"/>
      <c r="Z378" s="676"/>
      <c r="AA378" s="676"/>
    </row>
    <row r="379" spans="1:27" x14ac:dyDescent="0.25">
      <c r="A379" s="89"/>
      <c r="B379" s="318">
        <v>36</v>
      </c>
      <c r="C379" s="149" t="str">
        <f>'Du toan chi tiet'!C45</f>
        <v>AF.15433</v>
      </c>
      <c r="D379" s="149" t="str">
        <f>'Du toan chi tiet'!C45</f>
        <v>AF.15433</v>
      </c>
      <c r="E379" s="665" t="str">
        <f>'Du toan chi tiet'!D45</f>
        <v>Bê tông thương phẩm, bê tông hoàn trả mặt đường dày mặt đường ≤25cm, bê tông M250, đá 2x4, PCB40</v>
      </c>
      <c r="F379" s="318" t="str">
        <f>'Du toan chi tiet'!E45</f>
        <v>m3</v>
      </c>
      <c r="G379" s="56"/>
      <c r="H379" s="435"/>
      <c r="I379" s="589"/>
      <c r="J379" s="367" t="e">
        <f>J380+J388+J390</f>
        <v>#REF!</v>
      </c>
      <c r="K379" s="676"/>
      <c r="L379" s="676"/>
      <c r="M379" s="676"/>
      <c r="N379" s="676"/>
      <c r="O379" s="676"/>
      <c r="P379" s="676"/>
      <c r="Q379" s="676"/>
      <c r="R379" s="676"/>
      <c r="S379" s="676"/>
      <c r="T379" s="676"/>
      <c r="U379" s="676"/>
      <c r="V379" s="676"/>
      <c r="W379" s="676"/>
      <c r="X379" s="676"/>
      <c r="Y379" s="676"/>
      <c r="Z379" s="676"/>
      <c r="AA379" s="676"/>
    </row>
    <row r="380" spans="1:27" x14ac:dyDescent="0.25">
      <c r="A380" s="98"/>
      <c r="B380" s="380"/>
      <c r="C380" s="251" t="s">
        <v>98</v>
      </c>
      <c r="D380" s="251" t="s">
        <v>98</v>
      </c>
      <c r="E380" s="449" t="s">
        <v>547</v>
      </c>
      <c r="F380" s="380" t="s">
        <v>962</v>
      </c>
      <c r="G380" s="607"/>
      <c r="H380" s="511"/>
      <c r="I380" s="684"/>
      <c r="J380" s="511" t="e">
        <f>SUM(J381:J387)</f>
        <v>#REF!</v>
      </c>
      <c r="K380" s="676"/>
      <c r="L380" s="676"/>
      <c r="M380" s="676"/>
      <c r="N380" s="676"/>
      <c r="O380" s="676"/>
      <c r="P380" s="676"/>
      <c r="Q380" s="676"/>
      <c r="R380" s="676"/>
      <c r="S380" s="676"/>
      <c r="T380" s="676"/>
      <c r="U380" s="676"/>
      <c r="V380" s="676"/>
      <c r="W380" s="676"/>
      <c r="X380" s="676"/>
      <c r="Y380" s="676"/>
      <c r="Z380" s="676"/>
      <c r="AA380" s="676"/>
    </row>
    <row r="381" spans="1:27" x14ac:dyDescent="0.25">
      <c r="A381" s="139"/>
      <c r="B381" s="32"/>
      <c r="C381" s="644" t="s">
        <v>98</v>
      </c>
      <c r="D381" s="507" t="s">
        <v>235</v>
      </c>
      <c r="E381" s="107" t="str">
        <f>" - " &amp; 'Giá VL'!E37</f>
        <v xml:space="preserve"> - Xi măng PCB40</v>
      </c>
      <c r="F381" s="32" t="str">
        <f>'Giá VL'!F37</f>
        <v>kg</v>
      </c>
      <c r="G381" s="270" t="e">
        <f>'Phan tich don gia'!#REF!</f>
        <v>#REF!</v>
      </c>
      <c r="H381" s="179">
        <f>'Giá VL'!V37</f>
        <v>1587.7239999999999</v>
      </c>
      <c r="I381" s="347">
        <f>'Du toan chi tiet'!V45</f>
        <v>1</v>
      </c>
      <c r="J381" s="179" t="e">
        <f t="shared" ref="J381:J387" si="39">PRODUCT(G381,H381,I381)</f>
        <v>#REF!</v>
      </c>
      <c r="K381" s="676"/>
      <c r="L381" s="676"/>
      <c r="M381" s="676"/>
      <c r="N381" s="676"/>
      <c r="O381" s="676"/>
      <c r="P381" s="676"/>
      <c r="Q381" s="676"/>
      <c r="R381" s="676"/>
      <c r="S381" s="676"/>
      <c r="T381" s="676"/>
      <c r="U381" s="676"/>
      <c r="V381" s="676"/>
      <c r="W381" s="676"/>
      <c r="X381" s="676"/>
      <c r="Y381" s="676"/>
      <c r="Z381" s="676"/>
      <c r="AA381" s="676"/>
    </row>
    <row r="382" spans="1:27" x14ac:dyDescent="0.25">
      <c r="A382" s="139"/>
      <c r="B382" s="32"/>
      <c r="C382" s="644" t="s">
        <v>98</v>
      </c>
      <c r="D382" s="507" t="s">
        <v>523</v>
      </c>
      <c r="E382" s="107" t="str">
        <f>" - " &amp; 'Giá VL'!E9</f>
        <v xml:space="preserve"> - Cát vàng</v>
      </c>
      <c r="F382" s="32" t="str">
        <f>'Giá VL'!F9</f>
        <v>m3</v>
      </c>
      <c r="G382" s="270" t="e">
        <f>'Phan tich don gia'!#REF!</f>
        <v>#REF!</v>
      </c>
      <c r="H382" s="179">
        <f>'Giá VL'!V9</f>
        <v>345317.29174999997</v>
      </c>
      <c r="I382" s="347">
        <f>'Du toan chi tiet'!V45</f>
        <v>1</v>
      </c>
      <c r="J382" s="179" t="e">
        <f t="shared" si="39"/>
        <v>#REF!</v>
      </c>
      <c r="K382" s="676"/>
      <c r="L382" s="676"/>
      <c r="M382" s="676"/>
      <c r="N382" s="676"/>
      <c r="O382" s="676"/>
      <c r="P382" s="676"/>
      <c r="Q382" s="676"/>
      <c r="R382" s="676"/>
      <c r="S382" s="676"/>
      <c r="T382" s="676"/>
      <c r="U382" s="676"/>
      <c r="V382" s="676"/>
      <c r="W382" s="676"/>
      <c r="X382" s="676"/>
      <c r="Y382" s="676"/>
      <c r="Z382" s="676"/>
      <c r="AA382" s="676"/>
    </row>
    <row r="383" spans="1:27" x14ac:dyDescent="0.25">
      <c r="A383" s="139"/>
      <c r="B383" s="32"/>
      <c r="C383" s="644" t="s">
        <v>98</v>
      </c>
      <c r="D383" s="507" t="s">
        <v>485</v>
      </c>
      <c r="E383" s="107" t="str">
        <f>" - " &amp; 'Giá VL'!E12</f>
        <v xml:space="preserve"> - Đá 2x4</v>
      </c>
      <c r="F383" s="32" t="str">
        <f>'Giá VL'!F12</f>
        <v>m3</v>
      </c>
      <c r="G383" s="270" t="e">
        <f>'Phan tich don gia'!#REF!</f>
        <v>#REF!</v>
      </c>
      <c r="H383" s="179">
        <f>'Giá VL'!V12</f>
        <v>316313.14456500002</v>
      </c>
      <c r="I383" s="347">
        <f>'Du toan chi tiet'!V45</f>
        <v>1</v>
      </c>
      <c r="J383" s="179" t="e">
        <f t="shared" si="39"/>
        <v>#REF!</v>
      </c>
      <c r="K383" s="676"/>
      <c r="L383" s="676"/>
      <c r="M383" s="676"/>
      <c r="N383" s="676"/>
      <c r="O383" s="676"/>
      <c r="P383" s="676"/>
      <c r="Q383" s="676"/>
      <c r="R383" s="676"/>
      <c r="S383" s="676"/>
      <c r="T383" s="676"/>
      <c r="U383" s="676"/>
      <c r="V383" s="676"/>
      <c r="W383" s="676"/>
      <c r="X383" s="676"/>
      <c r="Y383" s="676"/>
      <c r="Z383" s="676"/>
      <c r="AA383" s="676"/>
    </row>
    <row r="384" spans="1:27" x14ac:dyDescent="0.25">
      <c r="A384" s="139"/>
      <c r="B384" s="32"/>
      <c r="C384" s="644" t="s">
        <v>98</v>
      </c>
      <c r="D384" s="507" t="s">
        <v>956</v>
      </c>
      <c r="E384" s="107" t="str">
        <f>" - " &amp; 'Giá VL'!E23</f>
        <v xml:space="preserve"> - Nước</v>
      </c>
      <c r="F384" s="32" t="str">
        <f>'Giá VL'!F23</f>
        <v>lít</v>
      </c>
      <c r="G384" s="270">
        <f>'Phan tich don gia'!G289</f>
        <v>1.0249999999999999</v>
      </c>
      <c r="H384" s="179">
        <f>'Giá VL'!V23</f>
        <v>10</v>
      </c>
      <c r="I384" s="347">
        <f>'Du toan chi tiet'!V45</f>
        <v>1</v>
      </c>
      <c r="J384" s="179">
        <f t="shared" si="39"/>
        <v>10.25</v>
      </c>
      <c r="K384" s="676"/>
      <c r="L384" s="676"/>
      <c r="M384" s="676"/>
      <c r="N384" s="676"/>
      <c r="O384" s="676"/>
      <c r="P384" s="676"/>
      <c r="Q384" s="676"/>
      <c r="R384" s="676"/>
      <c r="S384" s="676"/>
      <c r="T384" s="676"/>
      <c r="U384" s="676"/>
      <c r="V384" s="676"/>
      <c r="W384" s="676"/>
      <c r="X384" s="676"/>
      <c r="Y384" s="676"/>
      <c r="Z384" s="676"/>
      <c r="AA384" s="676"/>
    </row>
    <row r="385" spans="1:27" x14ac:dyDescent="0.25">
      <c r="A385" s="139"/>
      <c r="B385" s="32"/>
      <c r="C385" s="644" t="s">
        <v>98</v>
      </c>
      <c r="D385" s="507" t="s">
        <v>103</v>
      </c>
      <c r="E385" s="107" t="str">
        <f>" - " &amp; 'Giá VL'!E17</f>
        <v xml:space="preserve"> - Gỗ làm khe co dãn</v>
      </c>
      <c r="F385" s="32" t="str">
        <f>'Giá VL'!F17</f>
        <v>m3</v>
      </c>
      <c r="G385" s="270">
        <f>'Phan tich don gia'!G290</f>
        <v>1.4E-2</v>
      </c>
      <c r="H385" s="179">
        <f>'Giá VL'!V17</f>
        <v>4123452.631914</v>
      </c>
      <c r="I385" s="347">
        <f>'Du toan chi tiet'!V45</f>
        <v>1</v>
      </c>
      <c r="J385" s="179">
        <f t="shared" si="39"/>
        <v>57728.336846796003</v>
      </c>
      <c r="K385" s="676"/>
      <c r="L385" s="676"/>
      <c r="M385" s="676"/>
      <c r="N385" s="676"/>
      <c r="O385" s="676"/>
      <c r="P385" s="676"/>
      <c r="Q385" s="676"/>
      <c r="R385" s="676"/>
      <c r="S385" s="676"/>
      <c r="T385" s="676"/>
      <c r="U385" s="676"/>
      <c r="V385" s="676"/>
      <c r="W385" s="676"/>
      <c r="X385" s="676"/>
      <c r="Y385" s="676"/>
      <c r="Z385" s="676"/>
      <c r="AA385" s="676"/>
    </row>
    <row r="386" spans="1:27" x14ac:dyDescent="0.25">
      <c r="A386" s="139"/>
      <c r="B386" s="32"/>
      <c r="C386" s="644" t="s">
        <v>98</v>
      </c>
      <c r="D386" s="507" t="s">
        <v>104</v>
      </c>
      <c r="E386" s="107" t="str">
        <f>" - " &amp; 'Giá VL'!E22</f>
        <v xml:space="preserve"> - Nhựa đường</v>
      </c>
      <c r="F386" s="32" t="str">
        <f>'Giá VL'!F22</f>
        <v>kg</v>
      </c>
      <c r="G386" s="270">
        <f>'Phan tich don gia'!G291</f>
        <v>3.5</v>
      </c>
      <c r="H386" s="179">
        <f>'Giá VL'!V22</f>
        <v>16818</v>
      </c>
      <c r="I386" s="347">
        <f>'Du toan chi tiet'!V45</f>
        <v>1</v>
      </c>
      <c r="J386" s="179">
        <f t="shared" si="39"/>
        <v>58863</v>
      </c>
      <c r="K386" s="676"/>
      <c r="L386" s="676"/>
      <c r="M386" s="676"/>
      <c r="N386" s="676"/>
      <c r="O386" s="676"/>
      <c r="P386" s="676"/>
      <c r="Q386" s="676"/>
      <c r="R386" s="676"/>
      <c r="S386" s="676"/>
      <c r="T386" s="676"/>
      <c r="U386" s="676"/>
      <c r="V386" s="676"/>
      <c r="W386" s="676"/>
      <c r="X386" s="676"/>
      <c r="Y386" s="676"/>
      <c r="Z386" s="676"/>
      <c r="AA386" s="676"/>
    </row>
    <row r="387" spans="1:27" x14ac:dyDescent="0.25">
      <c r="A387" s="139"/>
      <c r="B387" s="32"/>
      <c r="C387" s="644" t="s">
        <v>98</v>
      </c>
      <c r="D387" s="507" t="s">
        <v>667</v>
      </c>
      <c r="E387" s="107" t="s">
        <v>238</v>
      </c>
      <c r="F387" s="32" t="s">
        <v>1113</v>
      </c>
      <c r="G387" s="270">
        <f>'Phan tich don gia'!G292</f>
        <v>2</v>
      </c>
      <c r="H387" s="179" t="e">
        <f>(G381*H381+G382*H382+G383*H383+G384*H384+G385*H385+G386*H386)/100</f>
        <v>#REF!</v>
      </c>
      <c r="I387" s="347">
        <f>'Du toan chi tiet'!V45</f>
        <v>1</v>
      </c>
      <c r="J387" s="179" t="e">
        <f t="shared" si="39"/>
        <v>#REF!</v>
      </c>
      <c r="K387" s="676"/>
      <c r="L387" s="676"/>
      <c r="M387" s="676"/>
      <c r="N387" s="676"/>
      <c r="O387" s="676"/>
      <c r="P387" s="676"/>
      <c r="Q387" s="676"/>
      <c r="R387" s="676"/>
      <c r="S387" s="676"/>
      <c r="T387" s="676"/>
      <c r="U387" s="676"/>
      <c r="V387" s="676"/>
      <c r="W387" s="676"/>
      <c r="X387" s="676"/>
      <c r="Y387" s="676"/>
      <c r="Z387" s="676"/>
      <c r="AA387" s="676"/>
    </row>
    <row r="388" spans="1:27" x14ac:dyDescent="0.25">
      <c r="A388" s="98"/>
      <c r="B388" s="380"/>
      <c r="C388" s="251" t="s">
        <v>98</v>
      </c>
      <c r="D388" s="251" t="s">
        <v>98</v>
      </c>
      <c r="E388" s="449" t="s">
        <v>301</v>
      </c>
      <c r="F388" s="380" t="s">
        <v>1018</v>
      </c>
      <c r="G388" s="607"/>
      <c r="H388" s="511"/>
      <c r="I388" s="684"/>
      <c r="J388" s="511">
        <f>SUM(J389:J389)</f>
        <v>156364</v>
      </c>
      <c r="K388" s="676"/>
      <c r="L388" s="676"/>
      <c r="M388" s="676"/>
      <c r="N388" s="676"/>
      <c r="O388" s="676"/>
      <c r="P388" s="676"/>
      <c r="Q388" s="676"/>
      <c r="R388" s="676"/>
      <c r="S388" s="676"/>
      <c r="T388" s="676"/>
      <c r="U388" s="676"/>
      <c r="V388" s="676"/>
      <c r="W388" s="676"/>
      <c r="X388" s="676"/>
      <c r="Y388" s="676"/>
      <c r="Z388" s="676"/>
      <c r="AA388" s="676"/>
    </row>
    <row r="389" spans="1:27" x14ac:dyDescent="0.25">
      <c r="A389" s="139"/>
      <c r="B389" s="32"/>
      <c r="C389" s="644" t="s">
        <v>98</v>
      </c>
      <c r="D389" s="507" t="s">
        <v>706</v>
      </c>
      <c r="E389" s="107" t="str">
        <f>" - " &amp; 'Giá NC'!E8</f>
        <v xml:space="preserve"> - Nhân công bậc 3,5/7 - Nhóm 2</v>
      </c>
      <c r="F389" s="32" t="str">
        <f>'Giá NC'!F8</f>
        <v>công</v>
      </c>
      <c r="G389" s="270">
        <f>'Phan tich don gia'!G294</f>
        <v>0.62</v>
      </c>
      <c r="H389" s="179">
        <f>'Giá NC'!K8</f>
        <v>252200</v>
      </c>
      <c r="I389" s="347">
        <f>'Du toan chi tiet'!W45</f>
        <v>1</v>
      </c>
      <c r="J389" s="179">
        <f>PRODUCT(G389,H389,I389)</f>
        <v>156364</v>
      </c>
      <c r="K389" s="676"/>
      <c r="L389" s="676"/>
      <c r="M389" s="676"/>
      <c r="N389" s="676"/>
      <c r="O389" s="676"/>
      <c r="P389" s="676"/>
      <c r="Q389" s="676"/>
      <c r="R389" s="676"/>
      <c r="S389" s="676"/>
      <c r="T389" s="676"/>
      <c r="U389" s="676"/>
      <c r="V389" s="676"/>
      <c r="W389" s="676"/>
      <c r="X389" s="676"/>
      <c r="Y389" s="676"/>
      <c r="Z389" s="676"/>
      <c r="AA389" s="676"/>
    </row>
    <row r="390" spans="1:27" x14ac:dyDescent="0.25">
      <c r="A390" s="98"/>
      <c r="B390" s="380"/>
      <c r="C390" s="251" t="s">
        <v>98</v>
      </c>
      <c r="D390" s="251" t="s">
        <v>98</v>
      </c>
      <c r="E390" s="449" t="s">
        <v>1175</v>
      </c>
      <c r="F390" s="380" t="s">
        <v>138</v>
      </c>
      <c r="G390" s="607"/>
      <c r="H390" s="511"/>
      <c r="I390" s="684"/>
      <c r="J390" s="511" t="e">
        <f>SUM(J391:J395)</f>
        <v>#REF!</v>
      </c>
      <c r="K390" s="676"/>
      <c r="L390" s="676"/>
      <c r="M390" s="676"/>
      <c r="N390" s="676"/>
      <c r="O390" s="676"/>
      <c r="P390" s="676"/>
      <c r="Q390" s="676"/>
      <c r="R390" s="676"/>
      <c r="S390" s="676"/>
      <c r="T390" s="676"/>
      <c r="U390" s="676"/>
      <c r="V390" s="676"/>
      <c r="W390" s="676"/>
      <c r="X390" s="676"/>
      <c r="Y390" s="676"/>
      <c r="Z390" s="676"/>
      <c r="AA390" s="676"/>
    </row>
    <row r="391" spans="1:27" x14ac:dyDescent="0.25">
      <c r="A391" s="139"/>
      <c r="B391" s="32"/>
      <c r="C391" s="644" t="s">
        <v>98</v>
      </c>
      <c r="D391" s="507" t="s">
        <v>113</v>
      </c>
      <c r="E391" s="107" t="str">
        <f>" - " &amp; 'Giá Máy'!E20</f>
        <v xml:space="preserve"> - Máy trộn bê tông 250 lít</v>
      </c>
      <c r="F391" s="32" t="str">
        <f>'Giá Máy'!F20</f>
        <v>ca</v>
      </c>
      <c r="G391" s="270" t="e">
        <f>'Phan tich don gia'!#REF!</f>
        <v>#REF!</v>
      </c>
      <c r="H391" s="179">
        <f>'Giá Máy'!J20</f>
        <v>317242</v>
      </c>
      <c r="I391" s="347">
        <f>'Du toan chi tiet'!X45</f>
        <v>1</v>
      </c>
      <c r="J391" s="179" t="e">
        <f t="shared" ref="J391:J394" si="40">PRODUCT(G391,H391,I391)</f>
        <v>#REF!</v>
      </c>
      <c r="K391" s="676"/>
      <c r="L391" s="676"/>
      <c r="M391" s="676"/>
      <c r="N391" s="676"/>
      <c r="O391" s="676"/>
      <c r="P391" s="676"/>
      <c r="Q391" s="676"/>
      <c r="R391" s="676"/>
      <c r="S391" s="676"/>
      <c r="T391" s="676"/>
      <c r="U391" s="676"/>
      <c r="V391" s="676"/>
      <c r="W391" s="676"/>
      <c r="X391" s="676"/>
      <c r="Y391" s="676"/>
      <c r="Z391" s="676"/>
      <c r="AA391" s="676"/>
    </row>
    <row r="392" spans="1:27" x14ac:dyDescent="0.25">
      <c r="A392" s="139"/>
      <c r="B392" s="32"/>
      <c r="C392" s="644" t="s">
        <v>98</v>
      </c>
      <c r="D392" s="507" t="s">
        <v>201</v>
      </c>
      <c r="E392" s="107" t="str">
        <f>" - " &amp; 'Giá Máy'!E10</f>
        <v xml:space="preserve"> - Máy đầm bàn 1kW</v>
      </c>
      <c r="F392" s="32" t="str">
        <f>'Giá Máy'!F10</f>
        <v>ca</v>
      </c>
      <c r="G392" s="270">
        <f>'Phan tich don gia'!G296</f>
        <v>8.8999999999999996E-2</v>
      </c>
      <c r="H392" s="179">
        <f>'Giá Máy'!J10</f>
        <v>257212</v>
      </c>
      <c r="I392" s="347">
        <f>'Du toan chi tiet'!X45</f>
        <v>1</v>
      </c>
      <c r="J392" s="179">
        <f t="shared" si="40"/>
        <v>22891.867999999999</v>
      </c>
      <c r="K392" s="676"/>
      <c r="L392" s="676"/>
      <c r="M392" s="676"/>
      <c r="N392" s="676"/>
      <c r="O392" s="676"/>
      <c r="P392" s="676"/>
      <c r="Q392" s="676"/>
      <c r="R392" s="676"/>
      <c r="S392" s="676"/>
      <c r="T392" s="676"/>
      <c r="U392" s="676"/>
      <c r="V392" s="676"/>
      <c r="W392" s="676"/>
      <c r="X392" s="676"/>
      <c r="Y392" s="676"/>
      <c r="Z392" s="676"/>
      <c r="AA392" s="676"/>
    </row>
    <row r="393" spans="1:27" x14ac:dyDescent="0.25">
      <c r="A393" s="139"/>
      <c r="B393" s="32"/>
      <c r="C393" s="644" t="s">
        <v>98</v>
      </c>
      <c r="D393" s="507" t="s">
        <v>194</v>
      </c>
      <c r="E393" s="107" t="str">
        <f>" - " &amp; 'Giá Máy'!E12</f>
        <v xml:space="preserve"> - Máy đầm dùi 1,5kW</v>
      </c>
      <c r="F393" s="32" t="str">
        <f>'Giá Máy'!F12</f>
        <v>ca</v>
      </c>
      <c r="G393" s="270">
        <f>'Phan tich don gia'!G297</f>
        <v>8.8999999999999996E-2</v>
      </c>
      <c r="H393" s="179">
        <f>'Giá Máy'!J12</f>
        <v>265153</v>
      </c>
      <c r="I393" s="347">
        <f>'Du toan chi tiet'!X45</f>
        <v>1</v>
      </c>
      <c r="J393" s="179">
        <f t="shared" si="40"/>
        <v>23598.616999999998</v>
      </c>
      <c r="K393" s="676"/>
      <c r="L393" s="676"/>
      <c r="M393" s="676"/>
      <c r="N393" s="676"/>
      <c r="O393" s="676"/>
      <c r="P393" s="676"/>
      <c r="Q393" s="676"/>
      <c r="R393" s="676"/>
      <c r="S393" s="676"/>
      <c r="T393" s="676"/>
      <c r="U393" s="676"/>
      <c r="V393" s="676"/>
      <c r="W393" s="676"/>
      <c r="X393" s="676"/>
      <c r="Y393" s="676"/>
      <c r="Z393" s="676"/>
      <c r="AA393" s="676"/>
    </row>
    <row r="394" spans="1:27" x14ac:dyDescent="0.25">
      <c r="A394" s="139"/>
      <c r="B394" s="32"/>
      <c r="C394" s="644" t="s">
        <v>98</v>
      </c>
      <c r="D394" s="507" t="s">
        <v>1162</v>
      </c>
      <c r="E394" s="107" t="s">
        <v>1080</v>
      </c>
      <c r="F394" s="32" t="s">
        <v>1113</v>
      </c>
      <c r="G394" s="270">
        <f>'Phan tich don gia'!G298</f>
        <v>2</v>
      </c>
      <c r="H394" s="179" t="e">
        <f>(G391*H391+G392*H392+G393*H393)/100</f>
        <v>#REF!</v>
      </c>
      <c r="I394" s="347">
        <f>'Du toan chi tiet'!X45</f>
        <v>1</v>
      </c>
      <c r="J394" s="179" t="e">
        <f t="shared" si="40"/>
        <v>#REF!</v>
      </c>
      <c r="K394" s="676"/>
      <c r="L394" s="676"/>
      <c r="M394" s="676"/>
      <c r="N394" s="676"/>
      <c r="O394" s="676"/>
      <c r="P394" s="676"/>
      <c r="Q394" s="676"/>
      <c r="R394" s="676"/>
      <c r="S394" s="676"/>
      <c r="T394" s="676"/>
      <c r="U394" s="676"/>
      <c r="V394" s="676"/>
      <c r="W394" s="676"/>
      <c r="X394" s="676"/>
      <c r="Y394" s="676"/>
      <c r="Z394" s="676"/>
      <c r="AA394" s="676"/>
    </row>
    <row r="395" spans="1:27" x14ac:dyDescent="0.25">
      <c r="A395" s="139"/>
      <c r="B395" s="32"/>
      <c r="C395" s="644" t="s">
        <v>98</v>
      </c>
      <c r="D395" s="507" t="s">
        <v>98</v>
      </c>
      <c r="E395" s="107" t="s">
        <v>1230</v>
      </c>
      <c r="F395" s="32"/>
      <c r="G395" s="277"/>
      <c r="H395" s="179"/>
      <c r="I395" s="347"/>
      <c r="J395" s="179" t="e">
        <f>SUM(J396:J397)+PRODUCT(G394,I394,THM!X105-THM!R105)</f>
        <v>#REF!</v>
      </c>
      <c r="K395" s="676"/>
      <c r="L395" s="676"/>
      <c r="M395" s="676"/>
      <c r="N395" s="676"/>
      <c r="O395" s="676"/>
      <c r="P395" s="676"/>
      <c r="Q395" s="676"/>
      <c r="R395" s="676"/>
      <c r="S395" s="676"/>
      <c r="T395" s="676"/>
      <c r="U395" s="676"/>
      <c r="V395" s="676"/>
      <c r="W395" s="676"/>
      <c r="X395" s="676"/>
      <c r="Y395" s="676"/>
      <c r="Z395" s="676"/>
      <c r="AA395" s="676"/>
    </row>
    <row r="396" spans="1:27" x14ac:dyDescent="0.25">
      <c r="A396" s="139"/>
      <c r="B396" s="32"/>
      <c r="C396" s="644" t="s">
        <v>98</v>
      </c>
      <c r="D396" s="507" t="s">
        <v>98</v>
      </c>
      <c r="E396" s="107" t="s">
        <v>52</v>
      </c>
      <c r="F396" s="32"/>
      <c r="G396" s="277"/>
      <c r="H396" s="179"/>
      <c r="I396" s="347"/>
      <c r="J396" s="179" t="e">
        <f>PRODUCT(G391,I391,'Giá Máy'!L20)+PRODUCT(G392,I392,'Giá Máy'!L10)+PRODUCT(G393,I393,'Giá Máy'!L12)</f>
        <v>#REF!</v>
      </c>
      <c r="K396" s="676"/>
      <c r="L396" s="676"/>
      <c r="M396" s="676"/>
      <c r="N396" s="676"/>
      <c r="O396" s="676"/>
      <c r="P396" s="676"/>
      <c r="Q396" s="676"/>
      <c r="R396" s="676"/>
      <c r="S396" s="676"/>
      <c r="T396" s="676"/>
      <c r="U396" s="676"/>
      <c r="V396" s="676"/>
      <c r="W396" s="676"/>
      <c r="X396" s="676"/>
      <c r="Y396" s="676"/>
      <c r="Z396" s="676"/>
      <c r="AA396" s="676"/>
    </row>
    <row r="397" spans="1:27" x14ac:dyDescent="0.25">
      <c r="A397" s="543"/>
      <c r="B397" s="736"/>
      <c r="C397" s="596" t="s">
        <v>98</v>
      </c>
      <c r="D397" s="438" t="s">
        <v>98</v>
      </c>
      <c r="E397" s="31" t="s">
        <v>597</v>
      </c>
      <c r="F397" s="736"/>
      <c r="G397" s="231"/>
      <c r="H397" s="93"/>
      <c r="I397" s="296"/>
      <c r="J397" s="93" t="e">
        <f>PRODUCT(G391,I391,'Giá Máy'!M20)+PRODUCT(G392,I392,'Giá Máy'!M10)+PRODUCT(G393,I393,'Giá Máy'!M12)</f>
        <v>#REF!</v>
      </c>
      <c r="K397" s="676"/>
      <c r="L397" s="676"/>
      <c r="M397" s="676"/>
      <c r="N397" s="676"/>
      <c r="O397" s="676"/>
      <c r="P397" s="676"/>
      <c r="Q397" s="676"/>
      <c r="R397" s="676"/>
      <c r="S397" s="676"/>
      <c r="T397" s="676"/>
      <c r="U397" s="676"/>
      <c r="V397" s="676"/>
      <c r="W397" s="676"/>
      <c r="X397" s="676"/>
      <c r="Y397" s="676"/>
      <c r="Z397" s="676"/>
      <c r="AA397" s="676"/>
    </row>
    <row r="398" spans="1:27" x14ac:dyDescent="0.25">
      <c r="A398" s="89"/>
      <c r="B398" s="318">
        <v>37</v>
      </c>
      <c r="C398" s="149" t="str">
        <f>'Du toan chi tiet'!C46</f>
        <v>AB.66141</v>
      </c>
      <c r="D398" s="149" t="str">
        <f>'Du toan chi tiet'!C46</f>
        <v>AB.66141</v>
      </c>
      <c r="E398" s="665" t="str">
        <f>'Du toan chi tiet'!D46</f>
        <v>Đắpbột đáy dày 5cm</v>
      </c>
      <c r="F398" s="318" t="str">
        <f>'Du toan chi tiet'!E46</f>
        <v>m3</v>
      </c>
      <c r="G398" s="56"/>
      <c r="H398" s="435"/>
      <c r="I398" s="589"/>
      <c r="J398" s="367">
        <f>J399+J401+J403</f>
        <v>189821.64559924</v>
      </c>
      <c r="K398" s="676"/>
      <c r="L398" s="676"/>
      <c r="M398" s="676"/>
      <c r="N398" s="676"/>
      <c r="O398" s="676"/>
      <c r="P398" s="676"/>
      <c r="Q398" s="676"/>
      <c r="R398" s="676"/>
      <c r="S398" s="676"/>
      <c r="T398" s="676"/>
      <c r="U398" s="676"/>
      <c r="V398" s="676"/>
      <c r="W398" s="676"/>
      <c r="X398" s="676"/>
      <c r="Y398" s="676"/>
      <c r="Z398" s="676"/>
      <c r="AA398" s="676"/>
    </row>
    <row r="399" spans="1:27" x14ac:dyDescent="0.25">
      <c r="A399" s="98"/>
      <c r="B399" s="380"/>
      <c r="C399" s="251" t="s">
        <v>98</v>
      </c>
      <c r="D399" s="251" t="s">
        <v>98</v>
      </c>
      <c r="E399" s="449" t="s">
        <v>547</v>
      </c>
      <c r="F399" s="380" t="s">
        <v>962</v>
      </c>
      <c r="G399" s="607"/>
      <c r="H399" s="511"/>
      <c r="I399" s="684"/>
      <c r="J399" s="511">
        <f>SUM(J400:J400)</f>
        <v>173936.85111923999</v>
      </c>
      <c r="K399" s="676"/>
      <c r="L399" s="676"/>
      <c r="M399" s="676"/>
      <c r="N399" s="676"/>
      <c r="O399" s="676"/>
      <c r="P399" s="676"/>
      <c r="Q399" s="676"/>
      <c r="R399" s="676"/>
      <c r="S399" s="676"/>
      <c r="T399" s="676"/>
      <c r="U399" s="676"/>
      <c r="V399" s="676"/>
      <c r="W399" s="676"/>
      <c r="X399" s="676"/>
      <c r="Y399" s="676"/>
      <c r="Z399" s="676"/>
      <c r="AA399" s="676"/>
    </row>
    <row r="400" spans="1:27" x14ac:dyDescent="0.25">
      <c r="A400" s="139"/>
      <c r="B400" s="32"/>
      <c r="C400" s="644" t="s">
        <v>98</v>
      </c>
      <c r="D400" s="507" t="s">
        <v>99</v>
      </c>
      <c r="E400" s="107" t="str">
        <f>" - " &amp; 'Giá VL'!E8</f>
        <v xml:space="preserve"> - Bột đá</v>
      </c>
      <c r="F400" s="32" t="str">
        <f>'Giá VL'!F8</f>
        <v>m3</v>
      </c>
      <c r="G400" s="270">
        <f>'Phan tich don gia'!G301</f>
        <v>1.22</v>
      </c>
      <c r="H400" s="179">
        <f>'Giá VL'!V8</f>
        <v>142571.189442</v>
      </c>
      <c r="I400" s="347">
        <f>'Du toan chi tiet'!V46</f>
        <v>1</v>
      </c>
      <c r="J400" s="179">
        <f>PRODUCT(G400,H400,I400)</f>
        <v>173936.85111923999</v>
      </c>
      <c r="K400" s="676"/>
      <c r="L400" s="676"/>
      <c r="M400" s="676"/>
      <c r="N400" s="676"/>
      <c r="O400" s="676"/>
      <c r="P400" s="676"/>
      <c r="Q400" s="676"/>
      <c r="R400" s="676"/>
      <c r="S400" s="676"/>
      <c r="T400" s="676"/>
      <c r="U400" s="676"/>
      <c r="V400" s="676"/>
      <c r="W400" s="676"/>
      <c r="X400" s="676"/>
      <c r="Y400" s="676"/>
      <c r="Z400" s="676"/>
      <c r="AA400" s="676"/>
    </row>
    <row r="401" spans="1:27" x14ac:dyDescent="0.25">
      <c r="A401" s="98"/>
      <c r="B401" s="380"/>
      <c r="C401" s="251" t="s">
        <v>98</v>
      </c>
      <c r="D401" s="251" t="s">
        <v>98</v>
      </c>
      <c r="E401" s="449" t="s">
        <v>301</v>
      </c>
      <c r="F401" s="380" t="s">
        <v>1018</v>
      </c>
      <c r="G401" s="607"/>
      <c r="H401" s="511"/>
      <c r="I401" s="684"/>
      <c r="J401" s="511">
        <f>SUM(J402:J402)</f>
        <v>8501.945099999999</v>
      </c>
      <c r="K401" s="676"/>
      <c r="L401" s="676"/>
      <c r="M401" s="676"/>
      <c r="N401" s="676"/>
      <c r="O401" s="676"/>
      <c r="P401" s="676"/>
      <c r="Q401" s="676"/>
      <c r="R401" s="676"/>
      <c r="S401" s="676"/>
      <c r="T401" s="676"/>
      <c r="U401" s="676"/>
      <c r="V401" s="676"/>
      <c r="W401" s="676"/>
      <c r="X401" s="676"/>
      <c r="Y401" s="676"/>
      <c r="Z401" s="676"/>
      <c r="AA401" s="676"/>
    </row>
    <row r="402" spans="1:27" x14ac:dyDescent="0.25">
      <c r="A402" s="139"/>
      <c r="B402" s="32"/>
      <c r="C402" s="644" t="s">
        <v>98</v>
      </c>
      <c r="D402" s="507" t="s">
        <v>475</v>
      </c>
      <c r="E402" s="107" t="str">
        <f>" - " &amp; 'Giá NC'!E5</f>
        <v xml:space="preserve"> - Nhân công bậc 3,0/7 - Nhóm 1</v>
      </c>
      <c r="F402" s="32" t="str">
        <f>'Giá NC'!F5</f>
        <v>công</v>
      </c>
      <c r="G402" s="270">
        <f>'Phan tich don gia'!G303</f>
        <v>3.8899999999999997E-2</v>
      </c>
      <c r="H402" s="179">
        <f>'Giá NC'!K5</f>
        <v>218559</v>
      </c>
      <c r="I402" s="347">
        <f>'Du toan chi tiet'!W46</f>
        <v>1</v>
      </c>
      <c r="J402" s="179">
        <f>PRODUCT(G402,H402,I402)</f>
        <v>8501.945099999999</v>
      </c>
      <c r="K402" s="676"/>
      <c r="L402" s="676"/>
      <c r="M402" s="676"/>
      <c r="N402" s="676"/>
      <c r="O402" s="676"/>
      <c r="P402" s="676"/>
      <c r="Q402" s="676"/>
      <c r="R402" s="676"/>
      <c r="S402" s="676"/>
      <c r="T402" s="676"/>
      <c r="U402" s="676"/>
      <c r="V402" s="676"/>
      <c r="W402" s="676"/>
      <c r="X402" s="676"/>
      <c r="Y402" s="676"/>
      <c r="Z402" s="676"/>
      <c r="AA402" s="676"/>
    </row>
    <row r="403" spans="1:27" x14ac:dyDescent="0.25">
      <c r="A403" s="98"/>
      <c r="B403" s="380"/>
      <c r="C403" s="251" t="s">
        <v>98</v>
      </c>
      <c r="D403" s="251" t="s">
        <v>98</v>
      </c>
      <c r="E403" s="449" t="s">
        <v>1175</v>
      </c>
      <c r="F403" s="380" t="s">
        <v>138</v>
      </c>
      <c r="G403" s="607"/>
      <c r="H403" s="511"/>
      <c r="I403" s="684"/>
      <c r="J403" s="511">
        <f>SUM(J404:J406)</f>
        <v>7382.8493799999997</v>
      </c>
      <c r="K403" s="676"/>
      <c r="L403" s="676"/>
      <c r="M403" s="676"/>
      <c r="N403" s="676"/>
      <c r="O403" s="676"/>
      <c r="P403" s="676"/>
      <c r="Q403" s="676"/>
      <c r="R403" s="676"/>
      <c r="S403" s="676"/>
      <c r="T403" s="676"/>
      <c r="U403" s="676"/>
      <c r="V403" s="676"/>
      <c r="W403" s="676"/>
      <c r="X403" s="676"/>
      <c r="Y403" s="676"/>
      <c r="Z403" s="676"/>
      <c r="AA403" s="676"/>
    </row>
    <row r="404" spans="1:27" x14ac:dyDescent="0.25">
      <c r="A404" s="139"/>
      <c r="B404" s="32"/>
      <c r="C404" s="644" t="s">
        <v>98</v>
      </c>
      <c r="D404" s="507" t="s">
        <v>551</v>
      </c>
      <c r="E404" s="107" t="str">
        <f>" - " &amp; 'Giá Máy'!E11</f>
        <v xml:space="preserve"> - Máy đầm đất cầm tay 70kg</v>
      </c>
      <c r="F404" s="32" t="str">
        <f>'Giá Máy'!F11</f>
        <v>ca</v>
      </c>
      <c r="G404" s="270">
        <f>'Phan tich don gia'!G305</f>
        <v>1.9E-2</v>
      </c>
      <c r="H404" s="179">
        <f>'Giá Máy'!J11</f>
        <v>380951</v>
      </c>
      <c r="I404" s="347">
        <f>'Du toan chi tiet'!X46</f>
        <v>1</v>
      </c>
      <c r="J404" s="179">
        <f t="shared" ref="J404:J405" si="41">PRODUCT(G404,H404,I404)</f>
        <v>7238.0689999999995</v>
      </c>
      <c r="K404" s="676"/>
      <c r="L404" s="676"/>
      <c r="M404" s="676"/>
      <c r="N404" s="676"/>
      <c r="O404" s="676"/>
      <c r="P404" s="676"/>
      <c r="Q404" s="676"/>
      <c r="R404" s="676"/>
      <c r="S404" s="676"/>
      <c r="T404" s="676"/>
      <c r="U404" s="676"/>
      <c r="V404" s="676"/>
      <c r="W404" s="676"/>
      <c r="X404" s="676"/>
      <c r="Y404" s="676"/>
      <c r="Z404" s="676"/>
      <c r="AA404" s="676"/>
    </row>
    <row r="405" spans="1:27" x14ac:dyDescent="0.25">
      <c r="A405" s="139"/>
      <c r="B405" s="32"/>
      <c r="C405" s="644" t="s">
        <v>98</v>
      </c>
      <c r="D405" s="507" t="s">
        <v>1162</v>
      </c>
      <c r="E405" s="107" t="s">
        <v>1080</v>
      </c>
      <c r="F405" s="32" t="s">
        <v>1113</v>
      </c>
      <c r="G405" s="270">
        <f>'Phan tich don gia'!G306</f>
        <v>2</v>
      </c>
      <c r="H405" s="179">
        <f>(G404*H404)/100</f>
        <v>72.380690000000001</v>
      </c>
      <c r="I405" s="347">
        <f>'Du toan chi tiet'!X46</f>
        <v>1</v>
      </c>
      <c r="J405" s="179">
        <f t="shared" si="41"/>
        <v>144.76138</v>
      </c>
      <c r="K405" s="676"/>
      <c r="L405" s="676"/>
      <c r="M405" s="676"/>
      <c r="N405" s="676"/>
      <c r="O405" s="676"/>
      <c r="P405" s="676"/>
      <c r="Q405" s="676"/>
      <c r="R405" s="676"/>
      <c r="S405" s="676"/>
      <c r="T405" s="676"/>
      <c r="U405" s="676"/>
      <c r="V405" s="676"/>
      <c r="W405" s="676"/>
      <c r="X405" s="676"/>
      <c r="Y405" s="676"/>
      <c r="Z405" s="676"/>
      <c r="AA405" s="676"/>
    </row>
    <row r="406" spans="1:27" x14ac:dyDescent="0.25">
      <c r="A406" s="139"/>
      <c r="B406" s="32"/>
      <c r="C406" s="644" t="s">
        <v>98</v>
      </c>
      <c r="D406" s="507" t="s">
        <v>98</v>
      </c>
      <c r="E406" s="107" t="s">
        <v>1230</v>
      </c>
      <c r="F406" s="32"/>
      <c r="G406" s="277"/>
      <c r="H406" s="179"/>
      <c r="I406" s="347"/>
      <c r="J406" s="179">
        <f>SUM(J407:J408)+PRODUCT(G405,I405,THM!X100-THM!R100)</f>
        <v>1.9E-2</v>
      </c>
      <c r="K406" s="676"/>
      <c r="L406" s="676"/>
      <c r="M406" s="676"/>
      <c r="N406" s="676"/>
      <c r="O406" s="676"/>
      <c r="P406" s="676"/>
      <c r="Q406" s="676"/>
      <c r="R406" s="676"/>
      <c r="S406" s="676"/>
      <c r="T406" s="676"/>
      <c r="U406" s="676"/>
      <c r="V406" s="676"/>
      <c r="W406" s="676"/>
      <c r="X406" s="676"/>
      <c r="Y406" s="676"/>
      <c r="Z406" s="676"/>
      <c r="AA406" s="676"/>
    </row>
    <row r="407" spans="1:27" x14ac:dyDescent="0.25">
      <c r="A407" s="139"/>
      <c r="B407" s="32"/>
      <c r="C407" s="644" t="s">
        <v>98</v>
      </c>
      <c r="D407" s="507" t="s">
        <v>98</v>
      </c>
      <c r="E407" s="107" t="s">
        <v>52</v>
      </c>
      <c r="F407" s="32"/>
      <c r="G407" s="277"/>
      <c r="H407" s="179"/>
      <c r="I407" s="347"/>
      <c r="J407" s="179">
        <f>PRODUCT(G404,I404,'Giá Máy'!L11)</f>
        <v>0</v>
      </c>
      <c r="K407" s="676"/>
      <c r="L407" s="676"/>
      <c r="M407" s="676"/>
      <c r="N407" s="676"/>
      <c r="O407" s="676"/>
      <c r="P407" s="676"/>
      <c r="Q407" s="676"/>
      <c r="R407" s="676"/>
      <c r="S407" s="676"/>
      <c r="T407" s="676"/>
      <c r="U407" s="676"/>
      <c r="V407" s="676"/>
      <c r="W407" s="676"/>
      <c r="X407" s="676"/>
      <c r="Y407" s="676"/>
      <c r="Z407" s="676"/>
      <c r="AA407" s="676"/>
    </row>
    <row r="408" spans="1:27" x14ac:dyDescent="0.25">
      <c r="A408" s="543"/>
      <c r="B408" s="736"/>
      <c r="C408" s="596" t="s">
        <v>98</v>
      </c>
      <c r="D408" s="438" t="s">
        <v>98</v>
      </c>
      <c r="E408" s="31" t="s">
        <v>597</v>
      </c>
      <c r="F408" s="736"/>
      <c r="G408" s="231"/>
      <c r="H408" s="93"/>
      <c r="I408" s="296"/>
      <c r="J408" s="93">
        <f>PRODUCT(G404,I404,'Giá Máy'!M11)</f>
        <v>1.9E-2</v>
      </c>
      <c r="K408" s="676"/>
      <c r="L408" s="676"/>
      <c r="M408" s="676"/>
      <c r="N408" s="676"/>
      <c r="O408" s="676"/>
      <c r="P408" s="676"/>
      <c r="Q408" s="676"/>
      <c r="R408" s="676"/>
      <c r="S408" s="676"/>
      <c r="T408" s="676"/>
      <c r="U408" s="676"/>
      <c r="V408" s="676"/>
      <c r="W408" s="676"/>
      <c r="X408" s="676"/>
      <c r="Y408" s="676"/>
      <c r="Z408" s="676"/>
      <c r="AA408" s="676"/>
    </row>
    <row r="409" spans="1:27" x14ac:dyDescent="0.25">
      <c r="A409" s="89"/>
      <c r="B409" s="318">
        <v>38</v>
      </c>
      <c r="C409" s="149" t="str">
        <f>'Du toan chi tiet'!C47</f>
        <v>AL.16201</v>
      </c>
      <c r="D409" s="149" t="str">
        <f>'Du toan chi tiet'!C47</f>
        <v>AL.16201</v>
      </c>
      <c r="E409" s="665" t="str">
        <f>'Du toan chi tiet'!D47</f>
        <v>Lót bạc nilong sọc xanh đỏ</v>
      </c>
      <c r="F409" s="318" t="str">
        <f>'Du toan chi tiet'!E47</f>
        <v>m2</v>
      </c>
      <c r="G409" s="56"/>
      <c r="H409" s="435"/>
      <c r="I409" s="589"/>
      <c r="J409" s="367">
        <f>J410+J413</f>
        <v>5988.3</v>
      </c>
      <c r="K409" s="676"/>
      <c r="L409" s="676"/>
      <c r="M409" s="676"/>
      <c r="N409" s="676"/>
      <c r="O409" s="676"/>
      <c r="P409" s="676"/>
      <c r="Q409" s="676"/>
      <c r="R409" s="676"/>
      <c r="S409" s="676"/>
      <c r="T409" s="676"/>
      <c r="U409" s="676"/>
      <c r="V409" s="676"/>
      <c r="W409" s="676"/>
      <c r="X409" s="676"/>
      <c r="Y409" s="676"/>
      <c r="Z409" s="676"/>
      <c r="AA409" s="676"/>
    </row>
    <row r="410" spans="1:27" x14ac:dyDescent="0.25">
      <c r="A410" s="98"/>
      <c r="B410" s="380"/>
      <c r="C410" s="251" t="s">
        <v>98</v>
      </c>
      <c r="D410" s="251" t="s">
        <v>98</v>
      </c>
      <c r="E410" s="449" t="s">
        <v>547</v>
      </c>
      <c r="F410" s="380" t="s">
        <v>962</v>
      </c>
      <c r="G410" s="607"/>
      <c r="H410" s="511"/>
      <c r="I410" s="684"/>
      <c r="J410" s="511">
        <f>SUM(J411:J412)</f>
        <v>5610</v>
      </c>
      <c r="K410" s="676"/>
      <c r="L410" s="676"/>
      <c r="M410" s="676"/>
      <c r="N410" s="676"/>
      <c r="O410" s="676"/>
      <c r="P410" s="676"/>
      <c r="Q410" s="676"/>
      <c r="R410" s="676"/>
      <c r="S410" s="676"/>
      <c r="T410" s="676"/>
      <c r="U410" s="676"/>
      <c r="V410" s="676"/>
      <c r="W410" s="676"/>
      <c r="X410" s="676"/>
      <c r="Y410" s="676"/>
      <c r="Z410" s="676"/>
      <c r="AA410" s="676"/>
    </row>
    <row r="411" spans="1:27" x14ac:dyDescent="0.25">
      <c r="A411" s="139"/>
      <c r="B411" s="32"/>
      <c r="C411" s="644" t="s">
        <v>98</v>
      </c>
      <c r="D411" s="507" t="s">
        <v>580</v>
      </c>
      <c r="E411" s="107" t="str">
        <f>" - " &amp; 'Giá VL'!E16</f>
        <v xml:space="preserve"> - Bạc sọc xanh trắng</v>
      </c>
      <c r="F411" s="32" t="str">
        <f>'Giá VL'!F16</f>
        <v>m2</v>
      </c>
      <c r="G411" s="270">
        <f>'Phan tich don gia'!G309</f>
        <v>1.1000000000000001</v>
      </c>
      <c r="H411" s="179">
        <f>'Giá VL'!V16</f>
        <v>5000</v>
      </c>
      <c r="I411" s="347">
        <f>'Du toan chi tiet'!V47</f>
        <v>1</v>
      </c>
      <c r="J411" s="179">
        <f t="shared" ref="J411:J412" si="42">PRODUCT(G411,H411,I411)</f>
        <v>5500</v>
      </c>
      <c r="K411" s="676"/>
      <c r="L411" s="676"/>
      <c r="M411" s="676"/>
      <c r="N411" s="676"/>
      <c r="O411" s="676"/>
      <c r="P411" s="676"/>
      <c r="Q411" s="676"/>
      <c r="R411" s="676"/>
      <c r="S411" s="676"/>
      <c r="T411" s="676"/>
      <c r="U411" s="676"/>
      <c r="V411" s="676"/>
      <c r="W411" s="676"/>
      <c r="X411" s="676"/>
      <c r="Y411" s="676"/>
      <c r="Z411" s="676"/>
      <c r="AA411" s="676"/>
    </row>
    <row r="412" spans="1:27" x14ac:dyDescent="0.25">
      <c r="A412" s="139"/>
      <c r="B412" s="32"/>
      <c r="C412" s="644" t="s">
        <v>98</v>
      </c>
      <c r="D412" s="507" t="s">
        <v>667</v>
      </c>
      <c r="E412" s="107" t="s">
        <v>238</v>
      </c>
      <c r="F412" s="32" t="s">
        <v>1113</v>
      </c>
      <c r="G412" s="270">
        <f>'Phan tich don gia'!G310</f>
        <v>2</v>
      </c>
      <c r="H412" s="179">
        <f>(G411*H411)/100</f>
        <v>55</v>
      </c>
      <c r="I412" s="347">
        <f>'Du toan chi tiet'!V47</f>
        <v>1</v>
      </c>
      <c r="J412" s="179">
        <f t="shared" si="42"/>
        <v>110</v>
      </c>
      <c r="K412" s="676"/>
      <c r="L412" s="676"/>
      <c r="M412" s="676"/>
      <c r="N412" s="676"/>
      <c r="O412" s="676"/>
      <c r="P412" s="676"/>
      <c r="Q412" s="676"/>
      <c r="R412" s="676"/>
      <c r="S412" s="676"/>
      <c r="T412" s="676"/>
      <c r="U412" s="676"/>
      <c r="V412" s="676"/>
      <c r="W412" s="676"/>
      <c r="X412" s="676"/>
      <c r="Y412" s="676"/>
      <c r="Z412" s="676"/>
      <c r="AA412" s="676"/>
    </row>
    <row r="413" spans="1:27" x14ac:dyDescent="0.25">
      <c r="A413" s="98"/>
      <c r="B413" s="380"/>
      <c r="C413" s="251" t="s">
        <v>98</v>
      </c>
      <c r="D413" s="251" t="s">
        <v>98</v>
      </c>
      <c r="E413" s="449" t="s">
        <v>301</v>
      </c>
      <c r="F413" s="380" t="s">
        <v>1018</v>
      </c>
      <c r="G413" s="607"/>
      <c r="H413" s="511"/>
      <c r="I413" s="684"/>
      <c r="J413" s="511">
        <f>SUM(J414:J414)</f>
        <v>378.3</v>
      </c>
      <c r="K413" s="676"/>
      <c r="L413" s="676"/>
      <c r="M413" s="676"/>
      <c r="N413" s="676"/>
      <c r="O413" s="676"/>
      <c r="P413" s="676"/>
      <c r="Q413" s="676"/>
      <c r="R413" s="676"/>
      <c r="S413" s="676"/>
      <c r="T413" s="676"/>
      <c r="U413" s="676"/>
      <c r="V413" s="676"/>
      <c r="W413" s="676"/>
      <c r="X413" s="676"/>
      <c r="Y413" s="676"/>
      <c r="Z413" s="676"/>
      <c r="AA413" s="676"/>
    </row>
    <row r="414" spans="1:27" x14ac:dyDescent="0.25">
      <c r="A414" s="543"/>
      <c r="B414" s="736"/>
      <c r="C414" s="596" t="s">
        <v>98</v>
      </c>
      <c r="D414" s="438" t="s">
        <v>706</v>
      </c>
      <c r="E414" s="31" t="str">
        <f>" - " &amp; 'Giá NC'!E8</f>
        <v xml:space="preserve"> - Nhân công bậc 3,5/7 - Nhóm 2</v>
      </c>
      <c r="F414" s="736" t="str">
        <f>'Giá NC'!F8</f>
        <v>công</v>
      </c>
      <c r="G414" s="190">
        <f>'Phan tich don gia'!G312</f>
        <v>1.5E-3</v>
      </c>
      <c r="H414" s="93">
        <f>'Giá NC'!K8</f>
        <v>252200</v>
      </c>
      <c r="I414" s="296">
        <f>'Du toan chi tiet'!W47</f>
        <v>1</v>
      </c>
      <c r="J414" s="93">
        <f>PRODUCT(G414,H414,I414)</f>
        <v>378.3</v>
      </c>
      <c r="K414" s="676"/>
      <c r="L414" s="676"/>
      <c r="M414" s="676"/>
      <c r="N414" s="676"/>
      <c r="O414" s="676"/>
      <c r="P414" s="676"/>
      <c r="Q414" s="676"/>
      <c r="R414" s="676"/>
      <c r="S414" s="676"/>
      <c r="T414" s="676"/>
      <c r="U414" s="676"/>
      <c r="V414" s="676"/>
      <c r="W414" s="676"/>
      <c r="X414" s="676"/>
      <c r="Y414" s="676"/>
      <c r="Z414" s="676"/>
      <c r="AA414" s="676"/>
    </row>
    <row r="415" spans="1:27" x14ac:dyDescent="0.25">
      <c r="A415" s="89"/>
      <c r="B415" s="318">
        <v>39</v>
      </c>
      <c r="C415" s="149" t="str">
        <f>'Du toan chi tiet'!C48</f>
        <v>AF.82411</v>
      </c>
      <c r="D415" s="149" t="str">
        <f>'Du toan chi tiet'!C48</f>
        <v>AF.82411</v>
      </c>
      <c r="E415" s="665" t="str">
        <f>'Du toan chi tiet'!D48</f>
        <v>Ván khuôn thép mặt đường bê tông</v>
      </c>
      <c r="F415" s="318" t="str">
        <f>'Du toan chi tiet'!E48</f>
        <v>m2</v>
      </c>
      <c r="G415" s="56"/>
      <c r="H415" s="435"/>
      <c r="I415" s="589"/>
      <c r="J415" s="367">
        <f>J416+J420+J422</f>
        <v>40139.967979380104</v>
      </c>
      <c r="K415" s="676"/>
      <c r="L415" s="676"/>
      <c r="M415" s="676"/>
      <c r="N415" s="676"/>
      <c r="O415" s="676"/>
      <c r="P415" s="676"/>
      <c r="Q415" s="676"/>
      <c r="R415" s="676"/>
      <c r="S415" s="676"/>
      <c r="T415" s="676"/>
      <c r="U415" s="676"/>
      <c r="V415" s="676"/>
      <c r="W415" s="676"/>
      <c r="X415" s="676"/>
      <c r="Y415" s="676"/>
      <c r="Z415" s="676"/>
      <c r="AA415" s="676"/>
    </row>
    <row r="416" spans="1:27" x14ac:dyDescent="0.25">
      <c r="A416" s="98"/>
      <c r="B416" s="380"/>
      <c r="C416" s="251" t="s">
        <v>98</v>
      </c>
      <c r="D416" s="251" t="s">
        <v>98</v>
      </c>
      <c r="E416" s="449" t="s">
        <v>547</v>
      </c>
      <c r="F416" s="380" t="s">
        <v>962</v>
      </c>
      <c r="G416" s="607"/>
      <c r="H416" s="511"/>
      <c r="I416" s="684"/>
      <c r="J416" s="511">
        <f>SUM(J417:J419)</f>
        <v>6608.9745113801073</v>
      </c>
      <c r="K416" s="676"/>
      <c r="L416" s="676"/>
      <c r="M416" s="676"/>
      <c r="N416" s="676"/>
      <c r="O416" s="676"/>
      <c r="P416" s="676"/>
      <c r="Q416" s="676"/>
      <c r="R416" s="676"/>
      <c r="S416" s="676"/>
      <c r="T416" s="676"/>
      <c r="U416" s="676"/>
      <c r="V416" s="676"/>
      <c r="W416" s="676"/>
      <c r="X416" s="676"/>
      <c r="Y416" s="676"/>
      <c r="Z416" s="676"/>
      <c r="AA416" s="676"/>
    </row>
    <row r="417" spans="1:27" x14ac:dyDescent="0.25">
      <c r="A417" s="139"/>
      <c r="B417" s="32"/>
      <c r="C417" s="644" t="s">
        <v>98</v>
      </c>
      <c r="D417" s="507" t="s">
        <v>649</v>
      </c>
      <c r="E417" s="107" t="str">
        <f>" - " &amp; 'Giá VL'!E30</f>
        <v xml:space="preserve"> - Thép hình, thép tấm</v>
      </c>
      <c r="F417" s="32" t="str">
        <f>'Giá VL'!F30</f>
        <v>kg</v>
      </c>
      <c r="G417" s="270">
        <f>'Phan tich don gia'!G315</f>
        <v>0.315</v>
      </c>
      <c r="H417" s="179">
        <f>'Giá VL'!V30</f>
        <v>19657.495796390001</v>
      </c>
      <c r="I417" s="347">
        <f>'Du toan chi tiet'!V48</f>
        <v>1</v>
      </c>
      <c r="J417" s="179">
        <f t="shared" ref="J417:J419" si="43">PRODUCT(G417,H417,I417)</f>
        <v>6192.1111758628504</v>
      </c>
      <c r="K417" s="676"/>
      <c r="L417" s="676"/>
      <c r="M417" s="676"/>
      <c r="N417" s="676"/>
      <c r="O417" s="676"/>
      <c r="P417" s="676"/>
      <c r="Q417" s="676"/>
      <c r="R417" s="676"/>
      <c r="S417" s="676"/>
      <c r="T417" s="676"/>
      <c r="U417" s="676"/>
      <c r="V417" s="676"/>
      <c r="W417" s="676"/>
      <c r="X417" s="676"/>
      <c r="Y417" s="676"/>
      <c r="Z417" s="676"/>
      <c r="AA417" s="676"/>
    </row>
    <row r="418" spans="1:27" x14ac:dyDescent="0.25">
      <c r="A418" s="139"/>
      <c r="B418" s="32"/>
      <c r="C418" s="644" t="s">
        <v>98</v>
      </c>
      <c r="D418" s="507" t="s">
        <v>919</v>
      </c>
      <c r="E418" s="107" t="str">
        <f>" - " &amp; 'Giá VL'!E25</f>
        <v xml:space="preserve"> - Que hàn</v>
      </c>
      <c r="F418" s="32" t="str">
        <f>'Giá VL'!F25</f>
        <v>kg</v>
      </c>
      <c r="G418" s="270">
        <f>'Phan tich don gia'!G316</f>
        <v>1.5800000000000002E-2</v>
      </c>
      <c r="H418" s="179">
        <f>'Giá VL'!V25</f>
        <v>18182</v>
      </c>
      <c r="I418" s="347">
        <f>'Du toan chi tiet'!V48</f>
        <v>1</v>
      </c>
      <c r="J418" s="179">
        <f t="shared" si="43"/>
        <v>287.27560000000005</v>
      </c>
      <c r="K418" s="676"/>
      <c r="L418" s="676"/>
      <c r="M418" s="676"/>
      <c r="N418" s="676"/>
      <c r="O418" s="676"/>
      <c r="P418" s="676"/>
      <c r="Q418" s="676"/>
      <c r="R418" s="676"/>
      <c r="S418" s="676"/>
      <c r="T418" s="676"/>
      <c r="U418" s="676"/>
      <c r="V418" s="676"/>
      <c r="W418" s="676"/>
      <c r="X418" s="676"/>
      <c r="Y418" s="676"/>
      <c r="Z418" s="676"/>
      <c r="AA418" s="676"/>
    </row>
    <row r="419" spans="1:27" x14ac:dyDescent="0.25">
      <c r="A419" s="139"/>
      <c r="B419" s="32"/>
      <c r="C419" s="644" t="s">
        <v>98</v>
      </c>
      <c r="D419" s="507" t="s">
        <v>667</v>
      </c>
      <c r="E419" s="107" t="s">
        <v>238</v>
      </c>
      <c r="F419" s="32" t="s">
        <v>1113</v>
      </c>
      <c r="G419" s="270">
        <f>'Phan tich don gia'!G317</f>
        <v>2</v>
      </c>
      <c r="H419" s="179">
        <f>(G417*H417+G418*H418)/100</f>
        <v>64.793867758628508</v>
      </c>
      <c r="I419" s="347">
        <f>'Du toan chi tiet'!V48</f>
        <v>1</v>
      </c>
      <c r="J419" s="179">
        <f t="shared" si="43"/>
        <v>129.58773551725702</v>
      </c>
      <c r="K419" s="676"/>
      <c r="L419" s="676"/>
      <c r="M419" s="676"/>
      <c r="N419" s="676"/>
      <c r="O419" s="676"/>
      <c r="P419" s="676"/>
      <c r="Q419" s="676"/>
      <c r="R419" s="676"/>
      <c r="S419" s="676"/>
      <c r="T419" s="676"/>
      <c r="U419" s="676"/>
      <c r="V419" s="676"/>
      <c r="W419" s="676"/>
      <c r="X419" s="676"/>
      <c r="Y419" s="676"/>
      <c r="Z419" s="676"/>
      <c r="AA419" s="676"/>
    </row>
    <row r="420" spans="1:27" x14ac:dyDescent="0.25">
      <c r="A420" s="98"/>
      <c r="B420" s="380"/>
      <c r="C420" s="251" t="s">
        <v>98</v>
      </c>
      <c r="D420" s="251" t="s">
        <v>98</v>
      </c>
      <c r="E420" s="449" t="s">
        <v>301</v>
      </c>
      <c r="F420" s="380" t="s">
        <v>1018</v>
      </c>
      <c r="G420" s="607"/>
      <c r="H420" s="511"/>
      <c r="I420" s="684"/>
      <c r="J420" s="511">
        <f>SUM(J421:J421)</f>
        <v>31483.550000000003</v>
      </c>
      <c r="K420" s="676"/>
      <c r="L420" s="676"/>
      <c r="M420" s="676"/>
      <c r="N420" s="676"/>
      <c r="O420" s="676"/>
      <c r="P420" s="676"/>
      <c r="Q420" s="676"/>
      <c r="R420" s="676"/>
      <c r="S420" s="676"/>
      <c r="T420" s="676"/>
      <c r="U420" s="676"/>
      <c r="V420" s="676"/>
      <c r="W420" s="676"/>
      <c r="X420" s="676"/>
      <c r="Y420" s="676"/>
      <c r="Z420" s="676"/>
      <c r="AA420" s="676"/>
    </row>
    <row r="421" spans="1:27" x14ac:dyDescent="0.25">
      <c r="A421" s="139"/>
      <c r="B421" s="32"/>
      <c r="C421" s="644" t="s">
        <v>98</v>
      </c>
      <c r="D421" s="507" t="s">
        <v>169</v>
      </c>
      <c r="E421" s="107" t="str">
        <f>" - " &amp; 'Giá NC'!E9</f>
        <v xml:space="preserve"> - Nhân công bậc 4,0/7 - Nhóm 2</v>
      </c>
      <c r="F421" s="32" t="str">
        <f>'Giá NC'!F9</f>
        <v>công</v>
      </c>
      <c r="G421" s="270">
        <f>'Phan tich don gia'!G319</f>
        <v>0.115</v>
      </c>
      <c r="H421" s="179">
        <f>'Giá NC'!K9</f>
        <v>273770</v>
      </c>
      <c r="I421" s="347">
        <f>'Du toan chi tiet'!W48</f>
        <v>1</v>
      </c>
      <c r="J421" s="179">
        <f>PRODUCT(G421,H421,I421)</f>
        <v>31483.550000000003</v>
      </c>
      <c r="K421" s="676"/>
      <c r="L421" s="676"/>
      <c r="M421" s="676"/>
      <c r="N421" s="676"/>
      <c r="O421" s="676"/>
      <c r="P421" s="676"/>
      <c r="Q421" s="676"/>
      <c r="R421" s="676"/>
      <c r="S421" s="676"/>
      <c r="T421" s="676"/>
      <c r="U421" s="676"/>
      <c r="V421" s="676"/>
      <c r="W421" s="676"/>
      <c r="X421" s="676"/>
      <c r="Y421" s="676"/>
      <c r="Z421" s="676"/>
      <c r="AA421" s="676"/>
    </row>
    <row r="422" spans="1:27" x14ac:dyDescent="0.25">
      <c r="A422" s="98"/>
      <c r="B422" s="380"/>
      <c r="C422" s="251" t="s">
        <v>98</v>
      </c>
      <c r="D422" s="251" t="s">
        <v>98</v>
      </c>
      <c r="E422" s="449" t="s">
        <v>1175</v>
      </c>
      <c r="F422" s="380" t="s">
        <v>138</v>
      </c>
      <c r="G422" s="607"/>
      <c r="H422" s="511"/>
      <c r="I422" s="684"/>
      <c r="J422" s="511">
        <f>SUM(J423:J425)</f>
        <v>2047.4434679999999</v>
      </c>
      <c r="K422" s="676"/>
      <c r="L422" s="676"/>
      <c r="M422" s="676"/>
      <c r="N422" s="676"/>
      <c r="O422" s="676"/>
      <c r="P422" s="676"/>
      <c r="Q422" s="676"/>
      <c r="R422" s="676"/>
      <c r="S422" s="676"/>
      <c r="T422" s="676"/>
      <c r="U422" s="676"/>
      <c r="V422" s="676"/>
      <c r="W422" s="676"/>
      <c r="X422" s="676"/>
      <c r="Y422" s="676"/>
      <c r="Z422" s="676"/>
      <c r="AA422" s="676"/>
    </row>
    <row r="423" spans="1:27" x14ac:dyDescent="0.25">
      <c r="A423" s="139"/>
      <c r="B423" s="32"/>
      <c r="C423" s="644" t="s">
        <v>98</v>
      </c>
      <c r="D423" s="507" t="s">
        <v>82</v>
      </c>
      <c r="E423" s="107" t="str">
        <f>" - " &amp; 'Giá Máy'!E15</f>
        <v xml:space="preserve"> - Máy hàn điện 23kW</v>
      </c>
      <c r="F423" s="32" t="str">
        <f>'Giá Máy'!F15</f>
        <v>ca</v>
      </c>
      <c r="G423" s="270">
        <f>'Phan tich don gia'!G321</f>
        <v>4.1999999999999997E-3</v>
      </c>
      <c r="H423" s="179">
        <f>'Giá Máy'!J15</f>
        <v>477927</v>
      </c>
      <c r="I423" s="347">
        <f>'Du toan chi tiet'!X48</f>
        <v>1</v>
      </c>
      <c r="J423" s="179">
        <f t="shared" ref="J423:J424" si="44">PRODUCT(G423,H423,I423)</f>
        <v>2007.2933999999998</v>
      </c>
      <c r="K423" s="676"/>
      <c r="L423" s="676"/>
      <c r="M423" s="676"/>
      <c r="N423" s="676"/>
      <c r="O423" s="676"/>
      <c r="P423" s="676"/>
      <c r="Q423" s="676"/>
      <c r="R423" s="676"/>
      <c r="S423" s="676"/>
      <c r="T423" s="676"/>
      <c r="U423" s="676"/>
      <c r="V423" s="676"/>
      <c r="W423" s="676"/>
      <c r="X423" s="676"/>
      <c r="Y423" s="676"/>
      <c r="Z423" s="676"/>
      <c r="AA423" s="676"/>
    </row>
    <row r="424" spans="1:27" x14ac:dyDescent="0.25">
      <c r="A424" s="139"/>
      <c r="B424" s="32"/>
      <c r="C424" s="644" t="s">
        <v>98</v>
      </c>
      <c r="D424" s="507" t="s">
        <v>1162</v>
      </c>
      <c r="E424" s="107" t="s">
        <v>1080</v>
      </c>
      <c r="F424" s="32" t="s">
        <v>1113</v>
      </c>
      <c r="G424" s="270">
        <f>'Phan tich don gia'!G322</f>
        <v>2</v>
      </c>
      <c r="H424" s="179">
        <f>(G423*H423)/100</f>
        <v>20.072933999999997</v>
      </c>
      <c r="I424" s="347">
        <f>'Du toan chi tiet'!X48</f>
        <v>1</v>
      </c>
      <c r="J424" s="179">
        <f t="shared" si="44"/>
        <v>40.145867999999993</v>
      </c>
      <c r="K424" s="676"/>
      <c r="L424" s="676"/>
      <c r="M424" s="676"/>
      <c r="N424" s="676"/>
      <c r="O424" s="676"/>
      <c r="P424" s="676"/>
      <c r="Q424" s="676"/>
      <c r="R424" s="676"/>
      <c r="S424" s="676"/>
      <c r="T424" s="676"/>
      <c r="U424" s="676"/>
      <c r="V424" s="676"/>
      <c r="W424" s="676"/>
      <c r="X424" s="676"/>
      <c r="Y424" s="676"/>
      <c r="Z424" s="676"/>
      <c r="AA424" s="676"/>
    </row>
    <row r="425" spans="1:27" x14ac:dyDescent="0.25">
      <c r="A425" s="139"/>
      <c r="B425" s="32"/>
      <c r="C425" s="644" t="s">
        <v>98</v>
      </c>
      <c r="D425" s="507" t="s">
        <v>98</v>
      </c>
      <c r="E425" s="107" t="s">
        <v>1230</v>
      </c>
      <c r="F425" s="32"/>
      <c r="G425" s="277"/>
      <c r="H425" s="179"/>
      <c r="I425" s="347"/>
      <c r="J425" s="179">
        <f>SUM(J426:J427)+PRODUCT(G424,I424,THM!X95-THM!R95)</f>
        <v>4.1999999999999997E-3</v>
      </c>
      <c r="K425" s="676"/>
      <c r="L425" s="676"/>
      <c r="M425" s="676"/>
      <c r="N425" s="676"/>
      <c r="O425" s="676"/>
      <c r="P425" s="676"/>
      <c r="Q425" s="676"/>
      <c r="R425" s="676"/>
      <c r="S425" s="676"/>
      <c r="T425" s="676"/>
      <c r="U425" s="676"/>
      <c r="V425" s="676"/>
      <c r="W425" s="676"/>
      <c r="X425" s="676"/>
      <c r="Y425" s="676"/>
      <c r="Z425" s="676"/>
      <c r="AA425" s="676"/>
    </row>
    <row r="426" spans="1:27" x14ac:dyDescent="0.25">
      <c r="A426" s="139"/>
      <c r="B426" s="32"/>
      <c r="C426" s="644" t="s">
        <v>98</v>
      </c>
      <c r="D426" s="507" t="s">
        <v>98</v>
      </c>
      <c r="E426" s="107" t="s">
        <v>52</v>
      </c>
      <c r="F426" s="32"/>
      <c r="G426" s="277"/>
      <c r="H426" s="179"/>
      <c r="I426" s="347"/>
      <c r="J426" s="179">
        <f>PRODUCT(G423,I423,'Giá Máy'!L15)</f>
        <v>0</v>
      </c>
      <c r="K426" s="676"/>
      <c r="L426" s="676"/>
      <c r="M426" s="676"/>
      <c r="N426" s="676"/>
      <c r="O426" s="676"/>
      <c r="P426" s="676"/>
      <c r="Q426" s="676"/>
      <c r="R426" s="676"/>
      <c r="S426" s="676"/>
      <c r="T426" s="676"/>
      <c r="U426" s="676"/>
      <c r="V426" s="676"/>
      <c r="W426" s="676"/>
      <c r="X426" s="676"/>
      <c r="Y426" s="676"/>
      <c r="Z426" s="676"/>
      <c r="AA426" s="676"/>
    </row>
    <row r="427" spans="1:27" x14ac:dyDescent="0.25">
      <c r="A427" s="543"/>
      <c r="B427" s="736"/>
      <c r="C427" s="596" t="s">
        <v>98</v>
      </c>
      <c r="D427" s="438" t="s">
        <v>98</v>
      </c>
      <c r="E427" s="31" t="s">
        <v>597</v>
      </c>
      <c r="F427" s="736"/>
      <c r="G427" s="231"/>
      <c r="H427" s="93"/>
      <c r="I427" s="296"/>
      <c r="J427" s="93">
        <f>PRODUCT(G423,I423,'Giá Máy'!M15)</f>
        <v>4.1999999999999997E-3</v>
      </c>
      <c r="K427" s="676"/>
      <c r="L427" s="676"/>
      <c r="M427" s="676"/>
      <c r="N427" s="676"/>
      <c r="O427" s="676"/>
      <c r="P427" s="676"/>
      <c r="Q427" s="676"/>
      <c r="R427" s="676"/>
      <c r="S427" s="676"/>
      <c r="T427" s="676"/>
      <c r="U427" s="676"/>
      <c r="V427" s="676"/>
      <c r="W427" s="676"/>
      <c r="X427" s="676"/>
      <c r="Y427" s="676"/>
      <c r="Z427" s="676"/>
      <c r="AA427" s="676"/>
    </row>
    <row r="428" spans="1:27" x14ac:dyDescent="0.25">
      <c r="A428" s="89"/>
      <c r="B428" s="318">
        <v>40</v>
      </c>
      <c r="C428" s="149" t="str">
        <f>'Du toan chi tiet'!C49</f>
        <v>AD.23263</v>
      </c>
      <c r="D428" s="149" t="str">
        <f>'Du toan chi tiet'!C49</f>
        <v>AD.23263</v>
      </c>
      <c r="E428" s="665" t="str">
        <f>'Du toan chi tiet'!D49</f>
        <v>Rải thảm mặt đường Carboncor Asphalt, bằng phương pháp thủ cơ giới, chiều dày mặt đường đã lèn ép 3cm</v>
      </c>
      <c r="F428" s="318" t="str">
        <f>'Du toan chi tiet'!E49</f>
        <v>m2</v>
      </c>
      <c r="G428" s="56"/>
      <c r="H428" s="435"/>
      <c r="I428" s="589"/>
      <c r="J428" s="367">
        <f>J429+J432+J434</f>
        <v>227666.70271500002</v>
      </c>
      <c r="K428" s="676"/>
      <c r="L428" s="676"/>
      <c r="M428" s="676"/>
      <c r="N428" s="676"/>
      <c r="O428" s="676"/>
      <c r="P428" s="676"/>
      <c r="Q428" s="676"/>
      <c r="R428" s="676"/>
      <c r="S428" s="676"/>
      <c r="T428" s="676"/>
      <c r="U428" s="676"/>
      <c r="V428" s="676"/>
      <c r="W428" s="676"/>
      <c r="X428" s="676"/>
      <c r="Y428" s="676"/>
      <c r="Z428" s="676"/>
      <c r="AA428" s="676"/>
    </row>
    <row r="429" spans="1:27" x14ac:dyDescent="0.25">
      <c r="A429" s="98"/>
      <c r="B429" s="380"/>
      <c r="C429" s="251" t="s">
        <v>98</v>
      </c>
      <c r="D429" s="251" t="s">
        <v>98</v>
      </c>
      <c r="E429" s="449" t="s">
        <v>547</v>
      </c>
      <c r="F429" s="380" t="s">
        <v>962</v>
      </c>
      <c r="G429" s="607"/>
      <c r="H429" s="511"/>
      <c r="I429" s="684"/>
      <c r="J429" s="511">
        <f>SUM(J430:J431)</f>
        <v>222467.38400000002</v>
      </c>
      <c r="K429" s="676"/>
      <c r="L429" s="676"/>
      <c r="M429" s="676"/>
      <c r="N429" s="676"/>
      <c r="O429" s="676"/>
      <c r="P429" s="676"/>
      <c r="Q429" s="676"/>
      <c r="R429" s="676"/>
      <c r="S429" s="676"/>
      <c r="T429" s="676"/>
      <c r="U429" s="676"/>
      <c r="V429" s="676"/>
      <c r="W429" s="676"/>
      <c r="X429" s="676"/>
      <c r="Y429" s="676"/>
      <c r="Z429" s="676"/>
      <c r="AA429" s="676"/>
    </row>
    <row r="430" spans="1:27" x14ac:dyDescent="0.25">
      <c r="A430" s="139"/>
      <c r="B430" s="32"/>
      <c r="C430" s="644" t="s">
        <v>98</v>
      </c>
      <c r="D430" s="507" t="s">
        <v>1256</v>
      </c>
      <c r="E430" s="107" t="str">
        <f>" - " &amp; 'Giá VL'!E6</f>
        <v xml:space="preserve"> - Carboncor Asphalt (loại CA 9,5)</v>
      </c>
      <c r="F430" s="32" t="str">
        <f>'Giá VL'!F6</f>
        <v>tấn</v>
      </c>
      <c r="G430" s="270">
        <f>'Phan tich don gia'!G325</f>
        <v>5.8200000000000002E-2</v>
      </c>
      <c r="H430" s="179">
        <f>'Giá VL'!V6</f>
        <v>3822120</v>
      </c>
      <c r="I430" s="347">
        <f>'Du toan chi tiet'!V49</f>
        <v>1</v>
      </c>
      <c r="J430" s="179">
        <f t="shared" ref="J430:J431" si="45">PRODUCT(G430,H430,I430)</f>
        <v>222447.38400000002</v>
      </c>
      <c r="K430" s="676"/>
      <c r="L430" s="676"/>
      <c r="M430" s="676"/>
      <c r="N430" s="676"/>
      <c r="O430" s="676"/>
      <c r="P430" s="676"/>
      <c r="Q430" s="676"/>
      <c r="R430" s="676"/>
      <c r="S430" s="676"/>
      <c r="T430" s="676"/>
      <c r="U430" s="676"/>
      <c r="V430" s="676"/>
      <c r="W430" s="676"/>
      <c r="X430" s="676"/>
      <c r="Y430" s="676"/>
      <c r="Z430" s="676"/>
      <c r="AA430" s="676"/>
    </row>
    <row r="431" spans="1:27" x14ac:dyDescent="0.25">
      <c r="A431" s="139"/>
      <c r="B431" s="32"/>
      <c r="C431" s="644" t="s">
        <v>98</v>
      </c>
      <c r="D431" s="507" t="s">
        <v>956</v>
      </c>
      <c r="E431" s="107" t="str">
        <f>" - " &amp; 'Giá VL'!E23</f>
        <v xml:space="preserve"> - Nước</v>
      </c>
      <c r="F431" s="32" t="str">
        <f>'Giá VL'!F23</f>
        <v>lít</v>
      </c>
      <c r="G431" s="270">
        <f>'Phan tich don gia'!G326</f>
        <v>2</v>
      </c>
      <c r="H431" s="179">
        <f>'Giá VL'!V23</f>
        <v>10</v>
      </c>
      <c r="I431" s="347">
        <f>'Du toan chi tiet'!V49</f>
        <v>1</v>
      </c>
      <c r="J431" s="179">
        <f t="shared" si="45"/>
        <v>20</v>
      </c>
      <c r="K431" s="676"/>
      <c r="L431" s="676"/>
      <c r="M431" s="676"/>
      <c r="N431" s="676"/>
      <c r="O431" s="676"/>
      <c r="P431" s="676"/>
      <c r="Q431" s="676"/>
      <c r="R431" s="676"/>
      <c r="S431" s="676"/>
      <c r="T431" s="676"/>
      <c r="U431" s="676"/>
      <c r="V431" s="676"/>
      <c r="W431" s="676"/>
      <c r="X431" s="676"/>
      <c r="Y431" s="676"/>
      <c r="Z431" s="676"/>
      <c r="AA431" s="676"/>
    </row>
    <row r="432" spans="1:27" x14ac:dyDescent="0.25">
      <c r="A432" s="98"/>
      <c r="B432" s="380"/>
      <c r="C432" s="251" t="s">
        <v>98</v>
      </c>
      <c r="D432" s="251" t="s">
        <v>98</v>
      </c>
      <c r="E432" s="449" t="s">
        <v>301</v>
      </c>
      <c r="F432" s="380" t="s">
        <v>1018</v>
      </c>
      <c r="G432" s="607"/>
      <c r="H432" s="511"/>
      <c r="I432" s="684"/>
      <c r="J432" s="511">
        <f>SUM(J433:J433)</f>
        <v>2017.6000000000001</v>
      </c>
      <c r="K432" s="676"/>
      <c r="L432" s="676"/>
      <c r="M432" s="676"/>
      <c r="N432" s="676"/>
      <c r="O432" s="676"/>
      <c r="P432" s="676"/>
      <c r="Q432" s="676"/>
      <c r="R432" s="676"/>
      <c r="S432" s="676"/>
      <c r="T432" s="676"/>
      <c r="U432" s="676"/>
      <c r="V432" s="676"/>
      <c r="W432" s="676"/>
      <c r="X432" s="676"/>
      <c r="Y432" s="676"/>
      <c r="Z432" s="676"/>
      <c r="AA432" s="676"/>
    </row>
    <row r="433" spans="1:27" x14ac:dyDescent="0.25">
      <c r="A433" s="139"/>
      <c r="B433" s="32"/>
      <c r="C433" s="644" t="s">
        <v>98</v>
      </c>
      <c r="D433" s="507" t="s">
        <v>706</v>
      </c>
      <c r="E433" s="107" t="str">
        <f>" - " &amp; 'Giá NC'!E8</f>
        <v xml:space="preserve"> - Nhân công bậc 3,5/7 - Nhóm 2</v>
      </c>
      <c r="F433" s="32" t="str">
        <f>'Giá NC'!F8</f>
        <v>công</v>
      </c>
      <c r="G433" s="270">
        <f>'Phan tich don gia'!G328</f>
        <v>8.0000000000000002E-3</v>
      </c>
      <c r="H433" s="179">
        <f>'Giá NC'!K8</f>
        <v>252200</v>
      </c>
      <c r="I433" s="347">
        <f>'Du toan chi tiet'!W49</f>
        <v>1</v>
      </c>
      <c r="J433" s="179">
        <f>PRODUCT(G433,H433,I433)</f>
        <v>2017.6000000000001</v>
      </c>
      <c r="K433" s="676"/>
      <c r="L433" s="676"/>
      <c r="M433" s="676"/>
      <c r="N433" s="676"/>
      <c r="O433" s="676"/>
      <c r="P433" s="676"/>
      <c r="Q433" s="676"/>
      <c r="R433" s="676"/>
      <c r="S433" s="676"/>
      <c r="T433" s="676"/>
      <c r="U433" s="676"/>
      <c r="V433" s="676"/>
      <c r="W433" s="676"/>
      <c r="X433" s="676"/>
      <c r="Y433" s="676"/>
      <c r="Z433" s="676"/>
      <c r="AA433" s="676"/>
    </row>
    <row r="434" spans="1:27" x14ac:dyDescent="0.25">
      <c r="A434" s="98"/>
      <c r="B434" s="380"/>
      <c r="C434" s="251" t="s">
        <v>98</v>
      </c>
      <c r="D434" s="251" t="s">
        <v>98</v>
      </c>
      <c r="E434" s="449" t="s">
        <v>1175</v>
      </c>
      <c r="F434" s="380" t="s">
        <v>138</v>
      </c>
      <c r="G434" s="607"/>
      <c r="H434" s="511"/>
      <c r="I434" s="684"/>
      <c r="J434" s="511">
        <f>SUM(J435:J439)</f>
        <v>3181.718715</v>
      </c>
      <c r="K434" s="676"/>
      <c r="L434" s="676"/>
      <c r="M434" s="676"/>
      <c r="N434" s="676"/>
      <c r="O434" s="676"/>
      <c r="P434" s="676"/>
      <c r="Q434" s="676"/>
      <c r="R434" s="676"/>
      <c r="S434" s="676"/>
      <c r="T434" s="676"/>
      <c r="U434" s="676"/>
      <c r="V434" s="676"/>
      <c r="W434" s="676"/>
      <c r="X434" s="676"/>
      <c r="Y434" s="676"/>
      <c r="Z434" s="676"/>
      <c r="AA434" s="676"/>
    </row>
    <row r="435" spans="1:27" x14ac:dyDescent="0.25">
      <c r="A435" s="139"/>
      <c r="B435" s="32"/>
      <c r="C435" s="644" t="s">
        <v>98</v>
      </c>
      <c r="D435" s="507" t="s">
        <v>1248</v>
      </c>
      <c r="E435" s="107" t="str">
        <f>" - " &amp; 'Giá Máy'!E19</f>
        <v xml:space="preserve"> - Máy rải hỗn hợp bê tông nhựa 130 - 140CV</v>
      </c>
      <c r="F435" s="32" t="str">
        <f>'Giá Máy'!F19</f>
        <v>ca</v>
      </c>
      <c r="G435" s="270">
        <f>'Phan tich don gia'!G330</f>
        <v>3.3E-4</v>
      </c>
      <c r="H435" s="179">
        <f>'Giá Máy'!J19</f>
        <v>5455372</v>
      </c>
      <c r="I435" s="347">
        <f>'Du toan chi tiet'!X49</f>
        <v>1</v>
      </c>
      <c r="J435" s="179">
        <f t="shared" ref="J435:J438" si="46">PRODUCT(G435,H435,I435)</f>
        <v>1800.2727600000001</v>
      </c>
      <c r="K435" s="676"/>
      <c r="L435" s="676"/>
      <c r="M435" s="676"/>
      <c r="N435" s="676"/>
      <c r="O435" s="676"/>
      <c r="P435" s="676"/>
      <c r="Q435" s="676"/>
      <c r="R435" s="676"/>
      <c r="S435" s="676"/>
      <c r="T435" s="676"/>
      <c r="U435" s="676"/>
      <c r="V435" s="676"/>
      <c r="W435" s="676"/>
      <c r="X435" s="676"/>
      <c r="Y435" s="676"/>
      <c r="Z435" s="676"/>
      <c r="AA435" s="676"/>
    </row>
    <row r="436" spans="1:27" x14ac:dyDescent="0.25">
      <c r="A436" s="139"/>
      <c r="B436" s="32"/>
      <c r="C436" s="644" t="s">
        <v>98</v>
      </c>
      <c r="D436" s="507" t="s">
        <v>798</v>
      </c>
      <c r="E436" s="107" t="str">
        <f>" - " &amp; 'Giá Máy'!E25</f>
        <v xml:space="preserve"> - Máy lu bánh thép 6T</v>
      </c>
      <c r="F436" s="32" t="str">
        <f>'Giá Máy'!F25</f>
        <v>ca</v>
      </c>
      <c r="G436" s="270">
        <f>'Phan tich don gia'!G331</f>
        <v>6.3000000000000003E-4</v>
      </c>
      <c r="H436" s="179">
        <f>'Giá Máy'!J25</f>
        <v>953819</v>
      </c>
      <c r="I436" s="347">
        <f>'Du toan chi tiet'!X49</f>
        <v>1</v>
      </c>
      <c r="J436" s="179">
        <f t="shared" si="46"/>
        <v>600.90597000000002</v>
      </c>
      <c r="K436" s="676"/>
      <c r="L436" s="676"/>
      <c r="M436" s="676"/>
      <c r="N436" s="676"/>
      <c r="O436" s="676"/>
      <c r="P436" s="676"/>
      <c r="Q436" s="676"/>
      <c r="R436" s="676"/>
      <c r="S436" s="676"/>
      <c r="T436" s="676"/>
      <c r="U436" s="676"/>
      <c r="V436" s="676"/>
      <c r="W436" s="676"/>
      <c r="X436" s="676"/>
      <c r="Y436" s="676"/>
      <c r="Z436" s="676"/>
      <c r="AA436" s="676"/>
    </row>
    <row r="437" spans="1:27" x14ac:dyDescent="0.25">
      <c r="A437" s="139"/>
      <c r="B437" s="32"/>
      <c r="C437" s="644" t="s">
        <v>98</v>
      </c>
      <c r="D437" s="507" t="s">
        <v>970</v>
      </c>
      <c r="E437" s="107" t="str">
        <f>" - " &amp; 'Giá Máy'!E23</f>
        <v xml:space="preserve"> - Ô tô tưới nước 5m3</v>
      </c>
      <c r="F437" s="32" t="str">
        <f>'Giá Máy'!F23</f>
        <v>ca</v>
      </c>
      <c r="G437" s="270">
        <f>'Phan tich don gia'!G332</f>
        <v>2.1000000000000001E-4</v>
      </c>
      <c r="H437" s="179">
        <f>'Giá Máy'!J23</f>
        <v>1202488</v>
      </c>
      <c r="I437" s="347">
        <f>'Du toan chi tiet'!X49</f>
        <v>1</v>
      </c>
      <c r="J437" s="179">
        <f t="shared" si="46"/>
        <v>252.52248</v>
      </c>
      <c r="K437" s="676"/>
      <c r="L437" s="676"/>
      <c r="M437" s="676"/>
      <c r="N437" s="676"/>
      <c r="O437" s="676"/>
      <c r="P437" s="676"/>
      <c r="Q437" s="676"/>
      <c r="R437" s="676"/>
      <c r="S437" s="676"/>
      <c r="T437" s="676"/>
      <c r="U437" s="676"/>
      <c r="V437" s="676"/>
      <c r="W437" s="676"/>
      <c r="X437" s="676"/>
      <c r="Y437" s="676"/>
      <c r="Z437" s="676"/>
      <c r="AA437" s="676"/>
    </row>
    <row r="438" spans="1:27" x14ac:dyDescent="0.25">
      <c r="A438" s="139"/>
      <c r="B438" s="32"/>
      <c r="C438" s="644" t="s">
        <v>98</v>
      </c>
      <c r="D438" s="507" t="s">
        <v>1089</v>
      </c>
      <c r="E438" s="107" t="str">
        <f>" - " &amp; 'Giá Máy'!E18</f>
        <v xml:space="preserve"> - Máy nén khí diezel 600m3/h</v>
      </c>
      <c r="F438" s="32" t="str">
        <f>'Giá Máy'!F18</f>
        <v>ca</v>
      </c>
      <c r="G438" s="270">
        <f>'Phan tich don gia'!G333</f>
        <v>3.1E-4</v>
      </c>
      <c r="H438" s="179">
        <f>'Giá Máy'!J18</f>
        <v>1703277.5</v>
      </c>
      <c r="I438" s="347">
        <f>'Du toan chi tiet'!X49</f>
        <v>1</v>
      </c>
      <c r="J438" s="179">
        <f t="shared" si="46"/>
        <v>528.01602500000001</v>
      </c>
      <c r="K438" s="676"/>
      <c r="L438" s="676"/>
      <c r="M438" s="676"/>
      <c r="N438" s="676"/>
      <c r="O438" s="676"/>
      <c r="P438" s="676"/>
      <c r="Q438" s="676"/>
      <c r="R438" s="676"/>
      <c r="S438" s="676"/>
      <c r="T438" s="676"/>
      <c r="U438" s="676"/>
      <c r="V438" s="676"/>
      <c r="W438" s="676"/>
      <c r="X438" s="676"/>
      <c r="Y438" s="676"/>
      <c r="Z438" s="676"/>
      <c r="AA438" s="676"/>
    </row>
    <row r="439" spans="1:27" x14ac:dyDescent="0.25">
      <c r="A439" s="139"/>
      <c r="B439" s="32"/>
      <c r="C439" s="644" t="s">
        <v>98</v>
      </c>
      <c r="D439" s="507" t="s">
        <v>98</v>
      </c>
      <c r="E439" s="107" t="s">
        <v>1230</v>
      </c>
      <c r="F439" s="32"/>
      <c r="G439" s="277"/>
      <c r="H439" s="179"/>
      <c r="I439" s="347"/>
      <c r="J439" s="179">
        <f>SUM(J440:J441)</f>
        <v>1.48E-3</v>
      </c>
      <c r="K439" s="676"/>
      <c r="L439" s="676"/>
      <c r="M439" s="676"/>
      <c r="N439" s="676"/>
      <c r="O439" s="676"/>
      <c r="P439" s="676"/>
      <c r="Q439" s="676"/>
      <c r="R439" s="676"/>
      <c r="S439" s="676"/>
      <c r="T439" s="676"/>
      <c r="U439" s="676"/>
      <c r="V439" s="676"/>
      <c r="W439" s="676"/>
      <c r="X439" s="676"/>
      <c r="Y439" s="676"/>
      <c r="Z439" s="676"/>
      <c r="AA439" s="676"/>
    </row>
    <row r="440" spans="1:27" x14ac:dyDescent="0.25">
      <c r="A440" s="139"/>
      <c r="B440" s="32"/>
      <c r="C440" s="644" t="s">
        <v>98</v>
      </c>
      <c r="D440" s="507" t="s">
        <v>98</v>
      </c>
      <c r="E440" s="107" t="s">
        <v>52</v>
      </c>
      <c r="F440" s="32"/>
      <c r="G440" s="277"/>
      <c r="H440" s="179"/>
      <c r="I440" s="347"/>
      <c r="J440" s="179">
        <f>PRODUCT(G435,I435,'Giá Máy'!L19)+PRODUCT(G436,I436,'Giá Máy'!L25)+PRODUCT(G437,I437,'Giá Máy'!L23)+PRODUCT(G438,I438,'Giá Máy'!L18)</f>
        <v>0</v>
      </c>
      <c r="K440" s="676"/>
      <c r="L440" s="676"/>
      <c r="M440" s="676"/>
      <c r="N440" s="676"/>
      <c r="O440" s="676"/>
      <c r="P440" s="676"/>
      <c r="Q440" s="676"/>
      <c r="R440" s="676"/>
      <c r="S440" s="676"/>
      <c r="T440" s="676"/>
      <c r="U440" s="676"/>
      <c r="V440" s="676"/>
      <c r="W440" s="676"/>
      <c r="X440" s="676"/>
      <c r="Y440" s="676"/>
      <c r="Z440" s="676"/>
      <c r="AA440" s="676"/>
    </row>
    <row r="441" spans="1:27" x14ac:dyDescent="0.25">
      <c r="A441" s="543"/>
      <c r="B441" s="736"/>
      <c r="C441" s="596" t="s">
        <v>98</v>
      </c>
      <c r="D441" s="438" t="s">
        <v>98</v>
      </c>
      <c r="E441" s="31" t="s">
        <v>597</v>
      </c>
      <c r="F441" s="736"/>
      <c r="G441" s="231"/>
      <c r="H441" s="93"/>
      <c r="I441" s="296"/>
      <c r="J441" s="93">
        <f>PRODUCT(G435,I435,'Giá Máy'!M19)+PRODUCT(G436,I436,'Giá Máy'!M25)+PRODUCT(G437,I437,'Giá Máy'!M23)+PRODUCT(G438,I438,'Giá Máy'!M18)</f>
        <v>1.48E-3</v>
      </c>
      <c r="K441" s="676"/>
      <c r="L441" s="676"/>
      <c r="M441" s="676"/>
      <c r="N441" s="676"/>
      <c r="O441" s="676"/>
      <c r="P441" s="676"/>
      <c r="Q441" s="676"/>
      <c r="R441" s="676"/>
      <c r="S441" s="676"/>
      <c r="T441" s="676"/>
      <c r="U441" s="676"/>
      <c r="V441" s="676"/>
      <c r="W441" s="676"/>
      <c r="X441" s="676"/>
      <c r="Y441" s="676"/>
      <c r="Z441" s="676"/>
      <c r="AA441" s="676"/>
    </row>
    <row r="442" spans="1:27" x14ac:dyDescent="0.25">
      <c r="A442" s="89"/>
      <c r="B442" s="318">
        <v>41</v>
      </c>
      <c r="C442" s="149" t="e">
        <f>'Du toan chi tiet'!#REF!</f>
        <v>#REF!</v>
      </c>
      <c r="D442" s="149" t="e">
        <f>'Du toan chi tiet'!#REF!</f>
        <v>#REF!</v>
      </c>
      <c r="E442" s="665" t="e">
        <f>'Du toan chi tiet'!#REF!</f>
        <v>#REF!</v>
      </c>
      <c r="F442" s="318" t="e">
        <f>'Du toan chi tiet'!#REF!</f>
        <v>#REF!</v>
      </c>
      <c r="G442" s="56"/>
      <c r="H442" s="435"/>
      <c r="I442" s="589"/>
      <c r="J442" s="367" t="e">
        <f>J443+J445+J447</f>
        <v>#REF!</v>
      </c>
      <c r="K442" s="676"/>
      <c r="L442" s="676"/>
      <c r="M442" s="676"/>
      <c r="N442" s="676"/>
      <c r="O442" s="676"/>
      <c r="P442" s="676"/>
      <c r="Q442" s="676"/>
      <c r="R442" s="676"/>
      <c r="S442" s="676"/>
      <c r="T442" s="676"/>
      <c r="U442" s="676"/>
      <c r="V442" s="676"/>
      <c r="W442" s="676"/>
      <c r="X442" s="676"/>
      <c r="Y442" s="676"/>
      <c r="Z442" s="676"/>
      <c r="AA442" s="676"/>
    </row>
    <row r="443" spans="1:27" x14ac:dyDescent="0.25">
      <c r="A443" s="98"/>
      <c r="B443" s="380"/>
      <c r="C443" s="251" t="s">
        <v>98</v>
      </c>
      <c r="D443" s="251" t="s">
        <v>98</v>
      </c>
      <c r="E443" s="449" t="s">
        <v>547</v>
      </c>
      <c r="F443" s="380" t="s">
        <v>962</v>
      </c>
      <c r="G443" s="607"/>
      <c r="H443" s="511"/>
      <c r="I443" s="684"/>
      <c r="J443" s="511" t="e">
        <f>SUM(J444:J444)</f>
        <v>#REF!</v>
      </c>
      <c r="K443" s="676"/>
      <c r="L443" s="676"/>
      <c r="M443" s="676"/>
      <c r="N443" s="676"/>
      <c r="O443" s="676"/>
      <c r="P443" s="676"/>
      <c r="Q443" s="676"/>
      <c r="R443" s="676"/>
      <c r="S443" s="676"/>
      <c r="T443" s="676"/>
      <c r="U443" s="676"/>
      <c r="V443" s="676"/>
      <c r="W443" s="676"/>
      <c r="X443" s="676"/>
      <c r="Y443" s="676"/>
      <c r="Z443" s="676"/>
      <c r="AA443" s="676"/>
    </row>
    <row r="444" spans="1:27" x14ac:dyDescent="0.25">
      <c r="A444" s="139"/>
      <c r="B444" s="32"/>
      <c r="C444" s="644" t="s">
        <v>98</v>
      </c>
      <c r="D444" s="507" t="s">
        <v>316</v>
      </c>
      <c r="E444" s="107" t="e">
        <f>" - " &amp; 'Giá VL'!#REF!</f>
        <v>#REF!</v>
      </c>
      <c r="F444" s="32" t="e">
        <f>'Giá VL'!#REF!</f>
        <v>#REF!</v>
      </c>
      <c r="G444" s="270" t="e">
        <f>'Phan tich don gia'!#REF!</f>
        <v>#REF!</v>
      </c>
      <c r="H444" s="179" t="e">
        <f>'Giá VL'!#REF!</f>
        <v>#REF!</v>
      </c>
      <c r="I444" s="347" t="e">
        <f>'Du toan chi tiet'!#REF!</f>
        <v>#REF!</v>
      </c>
      <c r="J444" s="179" t="e">
        <f>PRODUCT(G444,H444,I444)</f>
        <v>#REF!</v>
      </c>
      <c r="K444" s="676"/>
      <c r="L444" s="676"/>
      <c r="M444" s="676"/>
      <c r="N444" s="676"/>
      <c r="O444" s="676"/>
      <c r="P444" s="676"/>
      <c r="Q444" s="676"/>
      <c r="R444" s="676"/>
      <c r="S444" s="676"/>
      <c r="T444" s="676"/>
      <c r="U444" s="676"/>
      <c r="V444" s="676"/>
      <c r="W444" s="676"/>
      <c r="X444" s="676"/>
      <c r="Y444" s="676"/>
      <c r="Z444" s="676"/>
      <c r="AA444" s="676"/>
    </row>
    <row r="445" spans="1:27" x14ac:dyDescent="0.25">
      <c r="A445" s="98"/>
      <c r="B445" s="380"/>
      <c r="C445" s="251" t="s">
        <v>98</v>
      </c>
      <c r="D445" s="251" t="s">
        <v>98</v>
      </c>
      <c r="E445" s="449" t="s">
        <v>301</v>
      </c>
      <c r="F445" s="380" t="s">
        <v>1018</v>
      </c>
      <c r="G445" s="607"/>
      <c r="H445" s="511"/>
      <c r="I445" s="684"/>
      <c r="J445" s="511" t="e">
        <f>SUM(J446:J446)</f>
        <v>#REF!</v>
      </c>
      <c r="K445" s="676"/>
      <c r="L445" s="676"/>
      <c r="M445" s="676"/>
      <c r="N445" s="676"/>
      <c r="O445" s="676"/>
      <c r="P445" s="676"/>
      <c r="Q445" s="676"/>
      <c r="R445" s="676"/>
      <c r="S445" s="676"/>
      <c r="T445" s="676"/>
      <c r="U445" s="676"/>
      <c r="V445" s="676"/>
      <c r="W445" s="676"/>
      <c r="X445" s="676"/>
      <c r="Y445" s="676"/>
      <c r="Z445" s="676"/>
      <c r="AA445" s="676"/>
    </row>
    <row r="446" spans="1:27" x14ac:dyDescent="0.25">
      <c r="A446" s="139"/>
      <c r="B446" s="32"/>
      <c r="C446" s="644" t="s">
        <v>98</v>
      </c>
      <c r="D446" s="507" t="s">
        <v>706</v>
      </c>
      <c r="E446" s="107" t="str">
        <f>" - " &amp; 'Giá NC'!E8</f>
        <v xml:space="preserve"> - Nhân công bậc 3,5/7 - Nhóm 2</v>
      </c>
      <c r="F446" s="32" t="str">
        <f>'Giá NC'!F8</f>
        <v>công</v>
      </c>
      <c r="G446" s="270" t="e">
        <f>'Phan tich don gia'!#REF!</f>
        <v>#REF!</v>
      </c>
      <c r="H446" s="179">
        <f>'Giá NC'!K8</f>
        <v>252200</v>
      </c>
      <c r="I446" s="347" t="e">
        <f>'Du toan chi tiet'!#REF!</f>
        <v>#REF!</v>
      </c>
      <c r="J446" s="179" t="e">
        <f>PRODUCT(G446,H446,I446)</f>
        <v>#REF!</v>
      </c>
      <c r="K446" s="676"/>
      <c r="L446" s="676"/>
      <c r="M446" s="676"/>
      <c r="N446" s="676"/>
      <c r="O446" s="676"/>
      <c r="P446" s="676"/>
      <c r="Q446" s="676"/>
      <c r="R446" s="676"/>
      <c r="S446" s="676"/>
      <c r="T446" s="676"/>
      <c r="U446" s="676"/>
      <c r="V446" s="676"/>
      <c r="W446" s="676"/>
      <c r="X446" s="676"/>
      <c r="Y446" s="676"/>
      <c r="Z446" s="676"/>
      <c r="AA446" s="676"/>
    </row>
    <row r="447" spans="1:27" x14ac:dyDescent="0.25">
      <c r="A447" s="98"/>
      <c r="B447" s="380"/>
      <c r="C447" s="251" t="s">
        <v>98</v>
      </c>
      <c r="D447" s="251" t="s">
        <v>98</v>
      </c>
      <c r="E447" s="449" t="s">
        <v>1175</v>
      </c>
      <c r="F447" s="380" t="s">
        <v>138</v>
      </c>
      <c r="G447" s="607"/>
      <c r="H447" s="511"/>
      <c r="I447" s="684"/>
      <c r="J447" s="511" t="e">
        <f>SUM(J448:J451)</f>
        <v>#REF!</v>
      </c>
      <c r="K447" s="676"/>
      <c r="L447" s="676"/>
      <c r="M447" s="676"/>
      <c r="N447" s="676"/>
      <c r="O447" s="676"/>
      <c r="P447" s="676"/>
      <c r="Q447" s="676"/>
      <c r="R447" s="676"/>
      <c r="S447" s="676"/>
      <c r="T447" s="676"/>
      <c r="U447" s="676"/>
      <c r="V447" s="676"/>
      <c r="W447" s="676"/>
      <c r="X447" s="676"/>
      <c r="Y447" s="676"/>
      <c r="Z447" s="676"/>
      <c r="AA447" s="676"/>
    </row>
    <row r="448" spans="1:27" x14ac:dyDescent="0.25">
      <c r="A448" s="139"/>
      <c r="B448" s="32"/>
      <c r="C448" s="644" t="s">
        <v>98</v>
      </c>
      <c r="D448" s="507" t="s">
        <v>811</v>
      </c>
      <c r="E448" s="107" t="e">
        <f>" - " &amp; 'Giá Máy'!#REF!</f>
        <v>#REF!</v>
      </c>
      <c r="F448" s="32" t="e">
        <f>'Giá Máy'!#REF!</f>
        <v>#REF!</v>
      </c>
      <c r="G448" s="270" t="e">
        <f>'Phan tich don gia'!#REF!</f>
        <v>#REF!</v>
      </c>
      <c r="H448" s="179" t="e">
        <f>'Giá Máy'!#REF!</f>
        <v>#REF!</v>
      </c>
      <c r="I448" s="347" t="e">
        <f>'Du toan chi tiet'!#REF!</f>
        <v>#REF!</v>
      </c>
      <c r="J448" s="179" t="e">
        <f t="shared" ref="J448:J450" si="47">PRODUCT(G448,H448,I448)</f>
        <v>#REF!</v>
      </c>
      <c r="K448" s="676"/>
      <c r="L448" s="676"/>
      <c r="M448" s="676"/>
      <c r="N448" s="676"/>
      <c r="O448" s="676"/>
      <c r="P448" s="676"/>
      <c r="Q448" s="676"/>
      <c r="R448" s="676"/>
      <c r="S448" s="676"/>
      <c r="T448" s="676"/>
      <c r="U448" s="676"/>
      <c r="V448" s="676"/>
      <c r="W448" s="676"/>
      <c r="X448" s="676"/>
      <c r="Y448" s="676"/>
      <c r="Z448" s="676"/>
      <c r="AA448" s="676"/>
    </row>
    <row r="449" spans="1:27" x14ac:dyDescent="0.25">
      <c r="A449" s="139"/>
      <c r="B449" s="32"/>
      <c r="C449" s="644" t="s">
        <v>98</v>
      </c>
      <c r="D449" s="507" t="s">
        <v>1089</v>
      </c>
      <c r="E449" s="107" t="str">
        <f>" - " &amp; 'Giá Máy'!E18</f>
        <v xml:space="preserve"> - Máy nén khí diezel 600m3/h</v>
      </c>
      <c r="F449" s="32" t="str">
        <f>'Giá Máy'!F18</f>
        <v>ca</v>
      </c>
      <c r="G449" s="270" t="e">
        <f>'Phan tich don gia'!#REF!</f>
        <v>#REF!</v>
      </c>
      <c r="H449" s="179">
        <f>'Giá Máy'!J18</f>
        <v>1703277.5</v>
      </c>
      <c r="I449" s="347" t="e">
        <f>'Du toan chi tiet'!#REF!</f>
        <v>#REF!</v>
      </c>
      <c r="J449" s="179" t="e">
        <f t="shared" si="47"/>
        <v>#REF!</v>
      </c>
      <c r="K449" s="676"/>
      <c r="L449" s="676"/>
      <c r="M449" s="676"/>
      <c r="N449" s="676"/>
      <c r="O449" s="676"/>
      <c r="P449" s="676"/>
      <c r="Q449" s="676"/>
      <c r="R449" s="676"/>
      <c r="S449" s="676"/>
      <c r="T449" s="676"/>
      <c r="U449" s="676"/>
      <c r="V449" s="676"/>
      <c r="W449" s="676"/>
      <c r="X449" s="676"/>
      <c r="Y449" s="676"/>
      <c r="Z449" s="676"/>
      <c r="AA449" s="676"/>
    </row>
    <row r="450" spans="1:27" x14ac:dyDescent="0.25">
      <c r="A450" s="139"/>
      <c r="B450" s="32"/>
      <c r="C450" s="644" t="s">
        <v>98</v>
      </c>
      <c r="D450" s="507" t="s">
        <v>1162</v>
      </c>
      <c r="E450" s="107" t="s">
        <v>1080</v>
      </c>
      <c r="F450" s="32" t="s">
        <v>1113</v>
      </c>
      <c r="G450" s="270" t="e">
        <f>'Phan tich don gia'!#REF!</f>
        <v>#REF!</v>
      </c>
      <c r="H450" s="179" t="e">
        <f>(G448*H448+G449*H449)/100</f>
        <v>#REF!</v>
      </c>
      <c r="I450" s="347" t="e">
        <f>'Du toan chi tiet'!#REF!</f>
        <v>#REF!</v>
      </c>
      <c r="J450" s="179" t="e">
        <f t="shared" si="47"/>
        <v>#REF!</v>
      </c>
      <c r="K450" s="676"/>
      <c r="L450" s="676"/>
      <c r="M450" s="676"/>
      <c r="N450" s="676"/>
      <c r="O450" s="676"/>
      <c r="P450" s="676"/>
      <c r="Q450" s="676"/>
      <c r="R450" s="676"/>
      <c r="S450" s="676"/>
      <c r="T450" s="676"/>
      <c r="U450" s="676"/>
      <c r="V450" s="676"/>
      <c r="W450" s="676"/>
      <c r="X450" s="676"/>
      <c r="Y450" s="676"/>
      <c r="Z450" s="676"/>
      <c r="AA450" s="676"/>
    </row>
    <row r="451" spans="1:27" x14ac:dyDescent="0.25">
      <c r="A451" s="139"/>
      <c r="B451" s="32"/>
      <c r="C451" s="644" t="s">
        <v>98</v>
      </c>
      <c r="D451" s="507" t="s">
        <v>98</v>
      </c>
      <c r="E451" s="107" t="s">
        <v>1230</v>
      </c>
      <c r="F451" s="32"/>
      <c r="G451" s="277"/>
      <c r="H451" s="179"/>
      <c r="I451" s="347"/>
      <c r="J451" s="179" t="e">
        <f>SUM(J452:J453)+PRODUCT(G450,I450,THM!X97-THM!R97)</f>
        <v>#REF!</v>
      </c>
      <c r="K451" s="676"/>
      <c r="L451" s="676"/>
      <c r="M451" s="676"/>
      <c r="N451" s="676"/>
      <c r="O451" s="676"/>
      <c r="P451" s="676"/>
      <c r="Q451" s="676"/>
      <c r="R451" s="676"/>
      <c r="S451" s="676"/>
      <c r="T451" s="676"/>
      <c r="U451" s="676"/>
      <c r="V451" s="676"/>
      <c r="W451" s="676"/>
      <c r="X451" s="676"/>
      <c r="Y451" s="676"/>
      <c r="Z451" s="676"/>
      <c r="AA451" s="676"/>
    </row>
    <row r="452" spans="1:27" x14ac:dyDescent="0.25">
      <c r="A452" s="139"/>
      <c r="B452" s="32"/>
      <c r="C452" s="644" t="s">
        <v>98</v>
      </c>
      <c r="D452" s="507" t="s">
        <v>98</v>
      </c>
      <c r="E452" s="107" t="s">
        <v>52</v>
      </c>
      <c r="F452" s="32"/>
      <c r="G452" s="277"/>
      <c r="H452" s="179"/>
      <c r="I452" s="347"/>
      <c r="J452" s="179" t="e">
        <f>PRODUCT(G448,I448,'Giá Máy'!#REF!)+PRODUCT(G449,I449,'Giá Máy'!L18)</f>
        <v>#REF!</v>
      </c>
      <c r="K452" s="676"/>
      <c r="L452" s="676"/>
      <c r="M452" s="676"/>
      <c r="N452" s="676"/>
      <c r="O452" s="676"/>
      <c r="P452" s="676"/>
      <c r="Q452" s="676"/>
      <c r="R452" s="676"/>
      <c r="S452" s="676"/>
      <c r="T452" s="676"/>
      <c r="U452" s="676"/>
      <c r="V452" s="676"/>
      <c r="W452" s="676"/>
      <c r="X452" s="676"/>
      <c r="Y452" s="676"/>
      <c r="Z452" s="676"/>
      <c r="AA452" s="676"/>
    </row>
    <row r="453" spans="1:27" x14ac:dyDescent="0.25">
      <c r="A453" s="543"/>
      <c r="B453" s="736"/>
      <c r="C453" s="596" t="s">
        <v>98</v>
      </c>
      <c r="D453" s="438" t="s">
        <v>98</v>
      </c>
      <c r="E453" s="31" t="s">
        <v>597</v>
      </c>
      <c r="F453" s="736"/>
      <c r="G453" s="231"/>
      <c r="H453" s="93"/>
      <c r="I453" s="296"/>
      <c r="J453" s="93" t="e">
        <f>PRODUCT(G448,I448,'Giá Máy'!#REF!)+PRODUCT(G449,I449,'Giá Máy'!M18)</f>
        <v>#REF!</v>
      </c>
      <c r="K453" s="676"/>
      <c r="L453" s="676"/>
      <c r="M453" s="676"/>
      <c r="N453" s="676"/>
      <c r="O453" s="676"/>
      <c r="P453" s="676"/>
      <c r="Q453" s="676"/>
      <c r="R453" s="676"/>
      <c r="S453" s="676"/>
      <c r="T453" s="676"/>
      <c r="U453" s="676"/>
      <c r="V453" s="676"/>
      <c r="W453" s="676"/>
      <c r="X453" s="676"/>
      <c r="Y453" s="676"/>
      <c r="Z453" s="676"/>
      <c r="AA453" s="676"/>
    </row>
    <row r="454" spans="1:27" x14ac:dyDescent="0.25">
      <c r="B454" s="676"/>
      <c r="C454" s="209"/>
      <c r="D454" s="209"/>
      <c r="E454" s="676"/>
      <c r="F454" s="676"/>
      <c r="G454" s="676"/>
      <c r="H454" s="676"/>
      <c r="I454" s="676"/>
      <c r="J454" s="676"/>
      <c r="K454" s="676"/>
      <c r="L454" s="676"/>
      <c r="M454" s="676"/>
      <c r="N454" s="676"/>
      <c r="O454" s="676"/>
      <c r="P454" s="676"/>
      <c r="Q454" s="676"/>
      <c r="R454" s="676"/>
      <c r="S454" s="676"/>
      <c r="T454" s="676"/>
      <c r="U454" s="676"/>
      <c r="V454" s="676"/>
      <c r="W454" s="676"/>
      <c r="X454" s="676"/>
      <c r="Y454" s="676"/>
      <c r="Z454" s="676"/>
      <c r="AA454" s="676"/>
    </row>
    <row r="455" spans="1:27" x14ac:dyDescent="0.25">
      <c r="B455" s="676"/>
      <c r="C455" s="209"/>
      <c r="D455" s="209"/>
      <c r="E455" s="676"/>
      <c r="F455" s="676"/>
      <c r="G455" s="676"/>
      <c r="H455" s="676"/>
      <c r="I455" s="676"/>
      <c r="J455" s="676"/>
      <c r="K455" s="676"/>
      <c r="L455" s="676"/>
      <c r="M455" s="676"/>
      <c r="N455" s="676"/>
      <c r="O455" s="676"/>
      <c r="P455" s="676"/>
      <c r="Q455" s="676"/>
      <c r="R455" s="676"/>
      <c r="S455" s="676"/>
      <c r="T455" s="676"/>
      <c r="U455" s="676"/>
      <c r="V455" s="676"/>
      <c r="W455" s="676"/>
      <c r="X455" s="676"/>
      <c r="Y455" s="676"/>
      <c r="Z455" s="676"/>
      <c r="AA455" s="676"/>
    </row>
    <row r="456" spans="1:27" x14ac:dyDescent="0.25">
      <c r="B456" s="676"/>
      <c r="C456" s="209"/>
      <c r="D456" s="209"/>
      <c r="E456" s="676"/>
      <c r="F456" s="676"/>
      <c r="G456" s="676"/>
      <c r="H456" s="676"/>
      <c r="I456" s="676"/>
      <c r="J456" s="676"/>
      <c r="K456" s="676"/>
      <c r="L456" s="676"/>
      <c r="M456" s="676"/>
      <c r="N456" s="676"/>
      <c r="O456" s="676"/>
      <c r="P456" s="676"/>
      <c r="Q456" s="676"/>
      <c r="R456" s="676"/>
      <c r="S456" s="676"/>
      <c r="T456" s="676"/>
      <c r="U456" s="676"/>
      <c r="V456" s="676"/>
      <c r="W456" s="676"/>
      <c r="X456" s="676"/>
      <c r="Y456" s="676"/>
      <c r="Z456" s="676"/>
      <c r="AA456" s="676"/>
    </row>
  </sheetData>
  <mergeCells count="4">
    <mergeCell ref="A1:J1"/>
    <mergeCell ref="A2:J2"/>
    <mergeCell ref="A3:J3"/>
    <mergeCell ref="A4:J4"/>
  </mergeCells>
  <conditionalFormatting sqref="I1:I453">
    <cfRule type="cellIs" dxfId="0" priority="1" stopIfTrue="1" operator="equal">
      <formula>1</formula>
    </cfRule>
  </conditionalFormatting>
  <pageMargins left="0.60000000000000009" right="0.60000000000000009" top="0.75" bottom="0.75" header="0.3" footer="0.3"/>
  <pageSetup paperSize="9" scale="90" orientation="portrait" useFirstPageNumber="1"/>
  <headerFooter>
    <oddFooter>&amp;CTrang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showZeros="0" topLeftCell="B1" workbookViewId="0">
      <selection sqref="A1:P1"/>
    </sheetView>
  </sheetViews>
  <sheetFormatPr defaultRowHeight="15" x14ac:dyDescent="0.25"/>
  <cols>
    <col min="1" max="1" width="8.85546875" hidden="1" customWidth="1"/>
    <col min="2" max="2" width="4.7109375" bestFit="1" customWidth="1"/>
    <col min="3" max="3" width="8.85546875" bestFit="1" customWidth="1"/>
    <col min="4" max="4" width="30.140625" customWidth="1"/>
    <col min="5" max="5" width="6.5703125" bestFit="1" customWidth="1"/>
    <col min="6" max="6" width="10.5703125" bestFit="1" customWidth="1"/>
    <col min="7" max="7" width="10" bestFit="1" customWidth="1"/>
    <col min="8" max="8" width="8.85546875" hidden="1" customWidth="1"/>
    <col min="9" max="9" width="10" bestFit="1" customWidth="1"/>
    <col min="10" max="10" width="9" bestFit="1" customWidth="1"/>
    <col min="11" max="11" width="8.85546875" hidden="1" customWidth="1"/>
    <col min="12" max="12" width="11" bestFit="1" customWidth="1"/>
    <col min="13" max="13" width="8.85546875" hidden="1" customWidth="1"/>
    <col min="14" max="15" width="10" bestFit="1" customWidth="1"/>
    <col min="16" max="16" width="11" bestFit="1" customWidth="1"/>
  </cols>
  <sheetData>
    <row r="1" spans="1:27" ht="18.75" x14ac:dyDescent="0.25">
      <c r="A1" s="1144" t="s">
        <v>48</v>
      </c>
      <c r="B1" s="1144"/>
      <c r="C1" s="1144"/>
      <c r="D1" s="1145"/>
      <c r="E1" s="1144"/>
      <c r="F1" s="1146"/>
      <c r="G1" s="1147"/>
      <c r="H1" s="1147"/>
      <c r="I1" s="1147"/>
      <c r="J1" s="1147"/>
      <c r="K1" s="1147"/>
      <c r="L1" s="1147"/>
      <c r="M1" s="1147"/>
      <c r="N1" s="1147"/>
      <c r="O1" s="1147"/>
      <c r="P1" s="1147"/>
    </row>
    <row r="2" spans="1:27" x14ac:dyDescent="0.25">
      <c r="A2" s="1148" t="s">
        <v>315</v>
      </c>
      <c r="B2" s="1148"/>
      <c r="C2" s="1148"/>
      <c r="D2" s="1149"/>
      <c r="E2" s="1148"/>
      <c r="F2" s="1150"/>
      <c r="G2" s="1151"/>
      <c r="H2" s="1151"/>
      <c r="I2" s="1151"/>
      <c r="J2" s="1151"/>
      <c r="K2" s="1151"/>
      <c r="L2" s="1151"/>
      <c r="M2" s="1151"/>
      <c r="N2" s="1151"/>
      <c r="O2" s="1151"/>
      <c r="P2" s="1151"/>
    </row>
    <row r="3" spans="1:27" x14ac:dyDescent="0.25">
      <c r="A3" s="1148" t="s">
        <v>284</v>
      </c>
      <c r="B3" s="1148"/>
      <c r="C3" s="1148"/>
      <c r="D3" s="1149"/>
      <c r="E3" s="1148"/>
      <c r="F3" s="1150"/>
      <c r="G3" s="1151"/>
      <c r="H3" s="1151"/>
      <c r="I3" s="1151"/>
      <c r="J3" s="1151"/>
      <c r="K3" s="1151"/>
      <c r="L3" s="1151"/>
      <c r="M3" s="1151"/>
      <c r="N3" s="1151"/>
      <c r="O3" s="1151"/>
      <c r="P3" s="1151"/>
    </row>
    <row r="4" spans="1:27" x14ac:dyDescent="0.25">
      <c r="A4" s="1148"/>
      <c r="B4" s="1152"/>
      <c r="C4" s="1152"/>
      <c r="D4" s="1153"/>
      <c r="E4" s="1152"/>
      <c r="F4" s="1154"/>
      <c r="G4" s="1155"/>
      <c r="H4" s="1155"/>
      <c r="I4" s="1155"/>
      <c r="J4" s="1155"/>
      <c r="K4" s="1155"/>
      <c r="L4" s="1155"/>
      <c r="M4" s="1155"/>
      <c r="N4" s="1155"/>
      <c r="O4" s="1155"/>
      <c r="P4" s="1155"/>
      <c r="Q4" s="676"/>
      <c r="R4" s="676"/>
      <c r="S4" s="676"/>
      <c r="T4" s="676"/>
      <c r="U4" s="676"/>
      <c r="V4" s="676"/>
      <c r="W4" s="676"/>
      <c r="X4" s="676"/>
      <c r="Y4" s="676"/>
      <c r="Z4" s="676"/>
      <c r="AA4" s="676"/>
    </row>
    <row r="5" spans="1:27" x14ac:dyDescent="0.25">
      <c r="A5" s="246"/>
      <c r="B5" s="1058" t="s">
        <v>386</v>
      </c>
      <c r="C5" s="1058" t="s">
        <v>217</v>
      </c>
      <c r="D5" s="1002" t="s">
        <v>1172</v>
      </c>
      <c r="E5" s="1058" t="s">
        <v>1136</v>
      </c>
      <c r="F5" s="1156" t="s">
        <v>449</v>
      </c>
      <c r="G5" s="1157" t="s">
        <v>822</v>
      </c>
      <c r="H5" s="1157"/>
      <c r="I5" s="1157"/>
      <c r="J5" s="1157"/>
      <c r="K5" s="23" t="s">
        <v>822</v>
      </c>
      <c r="L5" s="1157" t="s">
        <v>120</v>
      </c>
      <c r="M5" s="1157"/>
      <c r="N5" s="1157"/>
      <c r="O5" s="1157"/>
      <c r="P5" s="1157" t="s">
        <v>1123</v>
      </c>
      <c r="Q5" s="676"/>
      <c r="R5" s="676"/>
      <c r="S5" s="676"/>
      <c r="T5" s="676"/>
      <c r="U5" s="676"/>
      <c r="V5" s="676"/>
      <c r="W5" s="676"/>
      <c r="X5" s="676"/>
      <c r="Y5" s="676"/>
      <c r="Z5" s="676"/>
      <c r="AA5" s="676"/>
    </row>
    <row r="6" spans="1:27" x14ac:dyDescent="0.25">
      <c r="A6" s="246"/>
      <c r="B6" s="1058"/>
      <c r="C6" s="1058"/>
      <c r="D6" s="1002"/>
      <c r="E6" s="1058"/>
      <c r="F6" s="1156"/>
      <c r="G6" s="23" t="s">
        <v>547</v>
      </c>
      <c r="H6" s="23" t="s">
        <v>888</v>
      </c>
      <c r="I6" s="23" t="s">
        <v>301</v>
      </c>
      <c r="J6" s="23" t="s">
        <v>723</v>
      </c>
      <c r="K6" s="23"/>
      <c r="L6" s="23" t="s">
        <v>547</v>
      </c>
      <c r="M6" s="23" t="s">
        <v>888</v>
      </c>
      <c r="N6" s="23" t="s">
        <v>301</v>
      </c>
      <c r="O6" s="23" t="s">
        <v>723</v>
      </c>
      <c r="P6" s="1157"/>
      <c r="Q6" s="676"/>
      <c r="R6" s="676"/>
      <c r="S6" s="676"/>
      <c r="T6" s="676"/>
      <c r="U6" s="676"/>
      <c r="V6" s="676"/>
      <c r="W6" s="676"/>
      <c r="X6" s="676"/>
      <c r="Y6" s="676"/>
      <c r="Z6" s="676"/>
      <c r="AA6" s="676"/>
    </row>
    <row r="7" spans="1:27" ht="60" x14ac:dyDescent="0.25">
      <c r="A7" s="139"/>
      <c r="B7" s="32">
        <v>1</v>
      </c>
      <c r="C7" s="366" t="str">
        <f>'Du toan chi tiet'!C8</f>
        <v>AD.23263</v>
      </c>
      <c r="D7" s="107" t="str">
        <f>'Du toan chi tiet'!D8</f>
        <v>Rải thảm mặt đường Carboncor Asphalt, bằng phương pháp thủ cơ giới, chiều dày mặt đường đã lèn ép 3cm</v>
      </c>
      <c r="E7" s="32" t="str">
        <f>'Du toan chi tiet'!E8</f>
        <v>m2</v>
      </c>
      <c r="F7" s="347">
        <f>'Du toan chi tiet'!M8</f>
        <v>1631.42</v>
      </c>
      <c r="G7" s="677">
        <f>'Chiết tính rút gọn'!J7</f>
        <v>222467.38400000002</v>
      </c>
      <c r="H7" s="677"/>
      <c r="I7" s="677">
        <f>'Chiết tính rút gọn'!J10</f>
        <v>2017.6000000000001</v>
      </c>
      <c r="J7" s="677">
        <f>'Chiết tính rút gọn'!J12</f>
        <v>3181.718715</v>
      </c>
      <c r="K7" s="677">
        <f t="shared" ref="K7:K8" si="0">SUM(G7:J7)</f>
        <v>227666.70271500002</v>
      </c>
      <c r="L7" s="677">
        <f t="shared" ref="L7:L8" si="1">F7*G7</f>
        <v>362937739.60528004</v>
      </c>
      <c r="M7" s="677">
        <f t="shared" ref="M7:M8" si="2">F7*H7</f>
        <v>0</v>
      </c>
      <c r="N7" s="677">
        <f t="shared" ref="N7:N8" si="3">F7*I7</f>
        <v>3291552.9920000006</v>
      </c>
      <c r="O7" s="677">
        <f t="shared" ref="O7:O8" si="4">F7*J7</f>
        <v>5190719.5460253004</v>
      </c>
      <c r="P7" s="677">
        <f t="shared" ref="P7:P8" si="5">SUM(L7:O7)</f>
        <v>371420012.1433053</v>
      </c>
      <c r="Q7" s="676"/>
      <c r="R7" s="676"/>
      <c r="S7" s="676"/>
      <c r="T7" s="676"/>
      <c r="U7" s="676"/>
      <c r="V7" s="676"/>
      <c r="W7" s="676"/>
      <c r="X7" s="676"/>
      <c r="Y7" s="676"/>
      <c r="Z7" s="676"/>
      <c r="AA7" s="676"/>
    </row>
    <row r="8" spans="1:27" ht="60" x14ac:dyDescent="0.25">
      <c r="A8" s="139"/>
      <c r="B8" s="32">
        <v>2</v>
      </c>
      <c r="C8" s="366" t="str">
        <f>'Du toan chi tiet'!C9</f>
        <v>AD.23261vd</v>
      </c>
      <c r="D8" s="107" t="str">
        <f>'Du toan chi tiet'!D9</f>
        <v>Rải thảm mặt đường Carboncor Asphalt, bằng phương pháp thủ cơ giới, chiều dày mặt đường đã lèn ép 1cm</v>
      </c>
      <c r="E8" s="32" t="str">
        <f>'Du toan chi tiet'!E9</f>
        <v>m2</v>
      </c>
      <c r="F8" s="347">
        <f>'Du toan chi tiet'!M9</f>
        <v>856.71</v>
      </c>
      <c r="G8" s="677">
        <f>'Chiết tính rút gọn'!J21</f>
        <v>75697.97600000001</v>
      </c>
      <c r="H8" s="677"/>
      <c r="I8" s="677">
        <f>'Chiết tính rút gọn'!J24</f>
        <v>1092.8666666666666</v>
      </c>
      <c r="J8" s="677">
        <f>'Chiết tính rút gọn'!J26</f>
        <v>1798.3985833333336</v>
      </c>
      <c r="K8" s="677">
        <f t="shared" si="0"/>
        <v>78589.241250000006</v>
      </c>
      <c r="L8" s="677">
        <f t="shared" si="1"/>
        <v>64851213.018960014</v>
      </c>
      <c r="M8" s="677">
        <f t="shared" si="2"/>
        <v>0</v>
      </c>
      <c r="N8" s="677">
        <f t="shared" si="3"/>
        <v>936269.80199999991</v>
      </c>
      <c r="O8" s="677">
        <f t="shared" si="4"/>
        <v>1540706.0503275003</v>
      </c>
      <c r="P8" s="677">
        <f t="shared" si="5"/>
        <v>67328188.87128751</v>
      </c>
      <c r="Q8" s="676"/>
      <c r="R8" s="676"/>
      <c r="S8" s="676"/>
      <c r="T8" s="676"/>
      <c r="U8" s="676"/>
      <c r="V8" s="676"/>
      <c r="W8" s="676"/>
      <c r="X8" s="676"/>
      <c r="Y8" s="676"/>
      <c r="Z8" s="676"/>
      <c r="AA8" s="676"/>
    </row>
    <row r="9" spans="1:27" x14ac:dyDescent="0.25">
      <c r="A9" s="139"/>
      <c r="B9" s="32">
        <v>3</v>
      </c>
      <c r="C9" s="366" t="e">
        <f>'Du toan chi tiet'!#REF!</f>
        <v>#REF!</v>
      </c>
      <c r="D9" s="107" t="e">
        <f>'Du toan chi tiet'!#REF!</f>
        <v>#REF!</v>
      </c>
      <c r="E9" s="32" t="e">
        <f>'Du toan chi tiet'!#REF!</f>
        <v>#REF!</v>
      </c>
      <c r="F9" s="347" t="e">
        <f>'Du toan chi tiet'!#REF!</f>
        <v>#REF!</v>
      </c>
      <c r="G9" s="677">
        <v>6420.1159225866704</v>
      </c>
      <c r="H9" s="677"/>
      <c r="I9" s="677">
        <v>580.05999999999995</v>
      </c>
      <c r="J9" s="677">
        <v>3660.3373399920001</v>
      </c>
      <c r="K9" s="677">
        <v>10660.513262578699</v>
      </c>
      <c r="L9" s="677">
        <v>9902964.6094307099</v>
      </c>
      <c r="M9" s="677">
        <v>0</v>
      </c>
      <c r="N9" s="677">
        <v>894736.74939999997</v>
      </c>
      <c r="O9" s="677">
        <v>5646033.7435642602</v>
      </c>
      <c r="P9" s="677">
        <v>16443735.102395</v>
      </c>
      <c r="Q9" s="676"/>
      <c r="R9" s="676"/>
      <c r="S9" s="676"/>
      <c r="T9" s="676"/>
      <c r="U9" s="676"/>
      <c r="V9" s="676"/>
      <c r="W9" s="676"/>
      <c r="X9" s="676"/>
      <c r="Y9" s="676"/>
      <c r="Z9" s="676"/>
      <c r="AA9" s="676"/>
    </row>
    <row r="10" spans="1:27" ht="45" x14ac:dyDescent="0.25">
      <c r="A10" s="139"/>
      <c r="B10" s="32">
        <v>4</v>
      </c>
      <c r="C10" s="366" t="str">
        <f>'Du toan chi tiet'!C10</f>
        <v>AF.15433</v>
      </c>
      <c r="D10" s="107" t="str">
        <f>'Du toan chi tiet'!D10</f>
        <v>Bê tông thương phẩm, bê tông mặt đường dày mặt đường ≤25cm, bê tông M300, đá 2x4</v>
      </c>
      <c r="E10" s="32" t="str">
        <f>'Du toan chi tiet'!E10</f>
        <v>m3</v>
      </c>
      <c r="F10" s="347">
        <f>'Du toan chi tiet'!M10</f>
        <v>133.84</v>
      </c>
      <c r="G10" s="677">
        <v>1014928.49683985</v>
      </c>
      <c r="H10" s="677"/>
      <c r="I10" s="677">
        <v>345514</v>
      </c>
      <c r="J10" s="677">
        <v>78161.047560183593</v>
      </c>
      <c r="K10" s="677">
        <v>1438603.54440003</v>
      </c>
      <c r="L10" s="677">
        <v>127982483.45150501</v>
      </c>
      <c r="M10" s="677">
        <v>0</v>
      </c>
      <c r="N10" s="677">
        <v>43569315.399999999</v>
      </c>
      <c r="O10" s="677">
        <v>9856108.0973391496</v>
      </c>
      <c r="P10" s="677">
        <v>181407906.94884399</v>
      </c>
      <c r="Q10" s="676"/>
      <c r="R10" s="676"/>
      <c r="S10" s="676"/>
      <c r="T10" s="676"/>
      <c r="U10" s="676"/>
      <c r="V10" s="676"/>
      <c r="W10" s="676"/>
      <c r="X10" s="676"/>
      <c r="Y10" s="676"/>
      <c r="Z10" s="676"/>
      <c r="AA10" s="676"/>
    </row>
    <row r="11" spans="1:27" x14ac:dyDescent="0.25">
      <c r="A11" s="139"/>
      <c r="B11" s="32">
        <v>5</v>
      </c>
      <c r="C11" s="366" t="str">
        <f>'Du toan chi tiet'!C11</f>
        <v>AB.66141</v>
      </c>
      <c r="D11" s="107" t="str">
        <f>'Du toan chi tiet'!D11</f>
        <v>Đắp bột đá công trình dày 5cm</v>
      </c>
      <c r="E11" s="32" t="str">
        <f>'Du toan chi tiet'!E11</f>
        <v>m3</v>
      </c>
      <c r="F11" s="347">
        <f>'Du toan chi tiet'!M11</f>
        <v>39.97</v>
      </c>
      <c r="G11" s="677">
        <v>110827.953060894</v>
      </c>
      <c r="H11" s="677"/>
      <c r="I11" s="677">
        <v>8501.9451000000008</v>
      </c>
      <c r="J11" s="677">
        <v>8511.9971005999996</v>
      </c>
      <c r="K11" s="677">
        <v>127841.89526149401</v>
      </c>
      <c r="L11" s="677">
        <v>4174888.9918038798</v>
      </c>
      <c r="M11" s="677">
        <v>0</v>
      </c>
      <c r="N11" s="677">
        <v>320268.27191700001</v>
      </c>
      <c r="O11" s="677">
        <v>320646.93077960197</v>
      </c>
      <c r="P11" s="677">
        <v>4815804.1945004798</v>
      </c>
      <c r="Q11" s="676"/>
      <c r="R11" s="676"/>
      <c r="S11" s="676"/>
      <c r="T11" s="676"/>
      <c r="U11" s="676"/>
      <c r="V11" s="676"/>
      <c r="W11" s="676"/>
      <c r="X11" s="676"/>
      <c r="Y11" s="676"/>
      <c r="Z11" s="676"/>
      <c r="AA11" s="676"/>
    </row>
    <row r="12" spans="1:27" x14ac:dyDescent="0.25">
      <c r="A12" s="139"/>
      <c r="B12" s="32">
        <v>6</v>
      </c>
      <c r="C12" s="366" t="str">
        <f>'Du toan chi tiet'!C12</f>
        <v>AL.16201</v>
      </c>
      <c r="D12" s="107" t="str">
        <f>'Du toan chi tiet'!D12</f>
        <v>Lót bạc nilong sọc xanh đỏ</v>
      </c>
      <c r="E12" s="32" t="str">
        <f>'Du toan chi tiet'!E12</f>
        <v>m2</v>
      </c>
      <c r="F12" s="347">
        <f>'Du toan chi tiet'!M12</f>
        <v>763.11</v>
      </c>
      <c r="G12" s="677">
        <f>'Chiết tính rút gọn'!J77</f>
        <v>5610</v>
      </c>
      <c r="H12" s="677"/>
      <c r="I12" s="677">
        <f>'Chiết tính rút gọn'!J80</f>
        <v>378.3</v>
      </c>
      <c r="J12" s="677"/>
      <c r="K12" s="677">
        <f>SUM(G12:J12)</f>
        <v>5988.3</v>
      </c>
      <c r="L12" s="677">
        <f>F12*G12</f>
        <v>4281047.0999999996</v>
      </c>
      <c r="M12" s="677">
        <f>F12*H12</f>
        <v>0</v>
      </c>
      <c r="N12" s="677">
        <f>F12*I12</f>
        <v>288684.51300000004</v>
      </c>
      <c r="O12" s="677">
        <f>F12*J12</f>
        <v>0</v>
      </c>
      <c r="P12" s="677">
        <f>SUM(L12:O12)</f>
        <v>4569731.6129999999</v>
      </c>
      <c r="Q12" s="676"/>
      <c r="R12" s="676"/>
      <c r="S12" s="676"/>
      <c r="T12" s="676"/>
      <c r="U12" s="676"/>
      <c r="V12" s="676"/>
      <c r="W12" s="676"/>
      <c r="X12" s="676"/>
      <c r="Y12" s="676"/>
      <c r="Z12" s="676"/>
      <c r="AA12" s="676"/>
    </row>
    <row r="13" spans="1:27" ht="30" x14ac:dyDescent="0.25">
      <c r="A13" s="139"/>
      <c r="B13" s="32">
        <v>7</v>
      </c>
      <c r="C13" s="366" t="str">
        <f>'Du toan chi tiet'!C13</f>
        <v>AF.82411</v>
      </c>
      <c r="D13" s="107" t="str">
        <f>'Du toan chi tiet'!D13</f>
        <v>Ván khuôn thép mặt đường bê tông</v>
      </c>
      <c r="E13" s="32" t="str">
        <f>'Du toan chi tiet'!E13</f>
        <v>m2</v>
      </c>
      <c r="F13" s="347">
        <f>'Du toan chi tiet'!M13</f>
        <v>105.49</v>
      </c>
      <c r="G13" s="677">
        <v>7521.0313313256602</v>
      </c>
      <c r="H13" s="677"/>
      <c r="I13" s="677">
        <v>31483.55</v>
      </c>
      <c r="J13" s="677">
        <v>2047.43845095552</v>
      </c>
      <c r="K13" s="677">
        <v>41052.019782281197</v>
      </c>
      <c r="L13" s="677">
        <v>749621.19279322901</v>
      </c>
      <c r="M13" s="677">
        <v>0</v>
      </c>
      <c r="N13" s="677">
        <v>3137965.4284999999</v>
      </c>
      <c r="O13" s="677">
        <v>204068.19040673701</v>
      </c>
      <c r="P13" s="677">
        <v>4091654.8116999599</v>
      </c>
      <c r="Q13" s="676"/>
      <c r="R13" s="676"/>
      <c r="S13" s="676"/>
      <c r="T13" s="676"/>
      <c r="U13" s="676"/>
      <c r="V13" s="676"/>
      <c r="W13" s="676"/>
      <c r="X13" s="676"/>
      <c r="Y13" s="676"/>
      <c r="Z13" s="676"/>
      <c r="AA13" s="676"/>
    </row>
    <row r="14" spans="1:27" ht="30" x14ac:dyDescent="0.25">
      <c r="A14" s="139"/>
      <c r="B14" s="32">
        <v>8</v>
      </c>
      <c r="C14" s="366" t="str">
        <f>'Du toan chi tiet'!C14</f>
        <v>SE.11211</v>
      </c>
      <c r="D14" s="107" t="str">
        <f>'Du toan chi tiet'!D14</f>
        <v>Cắt mặt đường bê tông Asphalt chiều dày lớp cắt ≤ 5cm</v>
      </c>
      <c r="E14" s="32" t="str">
        <f>'Du toan chi tiet'!E14</f>
        <v>m</v>
      </c>
      <c r="F14" s="347">
        <f>'Du toan chi tiet'!M14</f>
        <v>25</v>
      </c>
      <c r="G14" s="677">
        <v>318.75</v>
      </c>
      <c r="H14" s="677"/>
      <c r="I14" s="677">
        <v>4818.3519999999999</v>
      </c>
      <c r="J14" s="677">
        <v>1433.9849039999999</v>
      </c>
      <c r="K14" s="677">
        <v>6571.0869039999998</v>
      </c>
      <c r="L14" s="677">
        <v>7968.75</v>
      </c>
      <c r="M14" s="677">
        <v>0</v>
      </c>
      <c r="N14" s="677">
        <v>120458.8</v>
      </c>
      <c r="O14" s="677">
        <v>35849.622600000002</v>
      </c>
      <c r="P14" s="677">
        <v>164277.17259999999</v>
      </c>
      <c r="Q14" s="676"/>
      <c r="R14" s="676"/>
      <c r="S14" s="676"/>
      <c r="T14" s="676"/>
      <c r="U14" s="676"/>
      <c r="V14" s="676"/>
      <c r="W14" s="676"/>
      <c r="X14" s="676"/>
      <c r="Y14" s="676"/>
      <c r="Z14" s="676"/>
      <c r="AA14" s="676"/>
    </row>
    <row r="15" spans="1:27" x14ac:dyDescent="0.25">
      <c r="A15" s="139"/>
      <c r="B15" s="32">
        <v>9</v>
      </c>
      <c r="C15" s="366" t="str">
        <f>'Du toan chi tiet'!C15</f>
        <v>AL.22112</v>
      </c>
      <c r="D15" s="107" t="str">
        <f>'Du toan chi tiet'!D15</f>
        <v>Cắt mặt đường bê tông hiện có</v>
      </c>
      <c r="E15" s="32" t="str">
        <f>'Du toan chi tiet'!E15</f>
        <v>10m</v>
      </c>
      <c r="F15" s="347">
        <f>'Du toan chi tiet'!M15</f>
        <v>0.6</v>
      </c>
      <c r="G15" s="677">
        <f>'Chiết tính rút gọn'!J107</f>
        <v>239181.84</v>
      </c>
      <c r="H15" s="677"/>
      <c r="I15" s="677">
        <f>'Chiết tính rút gọn'!J110</f>
        <v>138710</v>
      </c>
      <c r="J15" s="677">
        <f>'Chiết tính rút gọn'!J112</f>
        <v>67683.88</v>
      </c>
      <c r="K15" s="677">
        <f t="shared" ref="K15:K24" si="6">SUM(G15:J15)</f>
        <v>445575.72</v>
      </c>
      <c r="L15" s="677">
        <f t="shared" ref="L15:L24" si="7">F15*G15</f>
        <v>143509.10399999999</v>
      </c>
      <c r="M15" s="677">
        <f t="shared" ref="M15:M24" si="8">F15*H15</f>
        <v>0</v>
      </c>
      <c r="N15" s="677">
        <f t="shared" ref="N15:N24" si="9">F15*I15</f>
        <v>83226</v>
      </c>
      <c r="O15" s="677">
        <f t="shared" ref="O15:O24" si="10">F15*J15</f>
        <v>40610.328000000001</v>
      </c>
      <c r="P15" s="677">
        <f t="shared" ref="P15:P24" si="11">SUM(L15:O15)</f>
        <v>267345.43199999997</v>
      </c>
      <c r="Q15" s="676"/>
      <c r="R15" s="676"/>
      <c r="S15" s="676"/>
      <c r="T15" s="676"/>
      <c r="U15" s="676"/>
      <c r="V15" s="676"/>
      <c r="W15" s="676"/>
      <c r="X15" s="676"/>
      <c r="Y15" s="676"/>
      <c r="Z15" s="676"/>
      <c r="AA15" s="676"/>
    </row>
    <row r="16" spans="1:27" ht="45" x14ac:dyDescent="0.25">
      <c r="A16" s="139"/>
      <c r="B16" s="32">
        <v>10</v>
      </c>
      <c r="C16" s="366" t="str">
        <f>'Du toan chi tiet'!C16</f>
        <v>SF.12112</v>
      </c>
      <c r="D16" s="107" t="str">
        <f>'Du toan chi tiet'!D16</f>
        <v>Bảo dưỡng khe co dãn mặt đường bê tông xi măng - Chiều dày mặt đường 25cm</v>
      </c>
      <c r="E16" s="32" t="str">
        <f>'Du toan chi tiet'!E16</f>
        <v>1m</v>
      </c>
      <c r="F16" s="347">
        <f>'Du toan chi tiet'!M16</f>
        <v>52.2</v>
      </c>
      <c r="G16" s="677">
        <f>'Chiết tính rút gọn'!J118</f>
        <v>71896.950000000012</v>
      </c>
      <c r="H16" s="677"/>
      <c r="I16" s="677">
        <f>'Chiết tính rút gọn'!J120</f>
        <v>38240</v>
      </c>
      <c r="J16" s="677">
        <f>'Chiết tính rút gọn'!J122</f>
        <v>22761.1908</v>
      </c>
      <c r="K16" s="677">
        <f t="shared" si="6"/>
        <v>132898.14080000002</v>
      </c>
      <c r="L16" s="677">
        <f t="shared" si="7"/>
        <v>3753020.790000001</v>
      </c>
      <c r="M16" s="677">
        <f t="shared" si="8"/>
        <v>0</v>
      </c>
      <c r="N16" s="677">
        <f t="shared" si="9"/>
        <v>1996128</v>
      </c>
      <c r="O16" s="677">
        <f t="shared" si="10"/>
        <v>1188134.1597600002</v>
      </c>
      <c r="P16" s="677">
        <f t="shared" si="11"/>
        <v>6937282.9497600012</v>
      </c>
      <c r="Q16" s="676"/>
      <c r="R16" s="676"/>
      <c r="S16" s="676"/>
      <c r="T16" s="676"/>
      <c r="U16" s="676"/>
      <c r="V16" s="676"/>
      <c r="W16" s="676"/>
      <c r="X16" s="676"/>
      <c r="Y16" s="676"/>
      <c r="Z16" s="676"/>
      <c r="AA16" s="676"/>
    </row>
    <row r="17" spans="1:27" x14ac:dyDescent="0.25">
      <c r="A17" s="139"/>
      <c r="B17" s="32">
        <v>11</v>
      </c>
      <c r="C17" s="366" t="str">
        <f>'Du toan chi tiet'!C17</f>
        <v>AB.31134</v>
      </c>
      <c r="D17" s="107" t="str">
        <f>'Du toan chi tiet'!D17</f>
        <v>Đào kết cấu mặt đường hiện có</v>
      </c>
      <c r="E17" s="32" t="str">
        <f>'Du toan chi tiet'!E17</f>
        <v>m3</v>
      </c>
      <c r="F17" s="347">
        <f>'Du toan chi tiet'!M17</f>
        <v>5.92</v>
      </c>
      <c r="G17" s="677"/>
      <c r="H17" s="677"/>
      <c r="I17" s="677">
        <f>'Chiết tính rút gọn'!J128</f>
        <v>10512.687899999999</v>
      </c>
      <c r="J17" s="677">
        <f>'Chiết tính rút gọn'!J130</f>
        <v>17065.200121999998</v>
      </c>
      <c r="K17" s="677">
        <f t="shared" si="6"/>
        <v>27577.888021999999</v>
      </c>
      <c r="L17" s="677">
        <f t="shared" si="7"/>
        <v>0</v>
      </c>
      <c r="M17" s="677">
        <f t="shared" si="8"/>
        <v>0</v>
      </c>
      <c r="N17" s="677">
        <f t="shared" si="9"/>
        <v>62235.112367999995</v>
      </c>
      <c r="O17" s="677">
        <f t="shared" si="10"/>
        <v>101025.98472223998</v>
      </c>
      <c r="P17" s="677">
        <f t="shared" si="11"/>
        <v>163261.09709023999</v>
      </c>
      <c r="Q17" s="676"/>
      <c r="R17" s="676"/>
      <c r="S17" s="676"/>
      <c r="T17" s="676"/>
      <c r="U17" s="676"/>
      <c r="V17" s="676"/>
      <c r="W17" s="676"/>
      <c r="X17" s="676"/>
      <c r="Y17" s="676"/>
      <c r="Z17" s="676"/>
      <c r="AA17" s="676"/>
    </row>
    <row r="18" spans="1:27" ht="30" x14ac:dyDescent="0.25">
      <c r="A18" s="139"/>
      <c r="B18" s="32">
        <v>12</v>
      </c>
      <c r="C18" s="366" t="str">
        <f>'Du toan chi tiet'!C18</f>
        <v>AB.21132</v>
      </c>
      <c r="D18" s="107" t="str">
        <f>'Du toan chi tiet'!D18</f>
        <v>Đào đất hữu cơ bằng máy đào 1,25m3 - Cấp đất II</v>
      </c>
      <c r="E18" s="32" t="str">
        <f>'Du toan chi tiet'!E18</f>
        <v>m3</v>
      </c>
      <c r="F18" s="347">
        <f>'Du toan chi tiet'!M18</f>
        <v>185.83</v>
      </c>
      <c r="G18" s="677"/>
      <c r="H18" s="677"/>
      <c r="I18" s="677">
        <f>'Chiết tính rút gọn'!J137</f>
        <v>1114.6509000000001</v>
      </c>
      <c r="J18" s="677">
        <f>'Chiết tính rút gọn'!J139</f>
        <v>8757.9958389999993</v>
      </c>
      <c r="K18" s="677">
        <f t="shared" si="6"/>
        <v>9872.6467389999998</v>
      </c>
      <c r="L18" s="677">
        <f t="shared" si="7"/>
        <v>0</v>
      </c>
      <c r="M18" s="677">
        <f t="shared" si="8"/>
        <v>0</v>
      </c>
      <c r="N18" s="677">
        <f t="shared" si="9"/>
        <v>207135.57674700004</v>
      </c>
      <c r="O18" s="677">
        <f t="shared" si="10"/>
        <v>1627498.3667613699</v>
      </c>
      <c r="P18" s="677">
        <f t="shared" si="11"/>
        <v>1834633.9435083698</v>
      </c>
      <c r="Q18" s="676"/>
      <c r="R18" s="676"/>
      <c r="S18" s="676"/>
      <c r="T18" s="676"/>
      <c r="U18" s="676"/>
      <c r="V18" s="676"/>
      <c r="W18" s="676"/>
      <c r="X18" s="676"/>
      <c r="Y18" s="676"/>
      <c r="Z18" s="676"/>
      <c r="AA18" s="676"/>
    </row>
    <row r="19" spans="1:27" ht="30" x14ac:dyDescent="0.25">
      <c r="A19" s="139"/>
      <c r="B19" s="32">
        <v>13</v>
      </c>
      <c r="C19" s="366" t="str">
        <f>'Du toan chi tiet'!C19</f>
        <v>AB.31132</v>
      </c>
      <c r="D19" s="107" t="str">
        <f>'Du toan chi tiet'!D19</f>
        <v>Đào đánh cấp bằng máy đào 1,25m3 - Cấp đất II</v>
      </c>
      <c r="E19" s="32" t="str">
        <f>'Du toan chi tiet'!E19</f>
        <v>m3</v>
      </c>
      <c r="F19" s="347">
        <f>'Du toan chi tiet'!M19</f>
        <v>18.11</v>
      </c>
      <c r="G19" s="677"/>
      <c r="H19" s="677"/>
      <c r="I19" s="677">
        <f>'Chiết tính rút gọn'!J146</f>
        <v>7409.1500999999998</v>
      </c>
      <c r="J19" s="677">
        <f>'Chiết tính rút gọn'!J148</f>
        <v>10603.674806999999</v>
      </c>
      <c r="K19" s="677">
        <f t="shared" si="6"/>
        <v>18012.824906999998</v>
      </c>
      <c r="L19" s="677">
        <f t="shared" si="7"/>
        <v>0</v>
      </c>
      <c r="M19" s="677">
        <f t="shared" si="8"/>
        <v>0</v>
      </c>
      <c r="N19" s="677">
        <f t="shared" si="9"/>
        <v>134179.70831099999</v>
      </c>
      <c r="O19" s="677">
        <f t="shared" si="10"/>
        <v>192032.55075477</v>
      </c>
      <c r="P19" s="677">
        <f t="shared" si="11"/>
        <v>326212.25906576996</v>
      </c>
      <c r="Q19" s="676"/>
      <c r="R19" s="676"/>
      <c r="S19" s="676"/>
      <c r="T19" s="676"/>
      <c r="U19" s="676"/>
      <c r="V19" s="676"/>
      <c r="W19" s="676"/>
      <c r="X19" s="676"/>
      <c r="Y19" s="676"/>
      <c r="Z19" s="676"/>
      <c r="AA19" s="676"/>
    </row>
    <row r="20" spans="1:27" ht="45" x14ac:dyDescent="0.25">
      <c r="A20" s="139"/>
      <c r="B20" s="32">
        <v>14</v>
      </c>
      <c r="C20" s="366" t="str">
        <f>'Du toan chi tiet'!C20</f>
        <v>AA.22112</v>
      </c>
      <c r="D20" s="107" t="str">
        <f>'Du toan chi tiet'!D20</f>
        <v>Phá dỡ kết cấu bê tông không cốt thép bằng búa căn khí nén 3m3/ph</v>
      </c>
      <c r="E20" s="32" t="str">
        <f>'Du toan chi tiet'!E20</f>
        <v>m3</v>
      </c>
      <c r="F20" s="347">
        <f>'Du toan chi tiet'!M20</f>
        <v>33.17</v>
      </c>
      <c r="G20" s="677"/>
      <c r="H20" s="677"/>
      <c r="I20" s="677">
        <f>'Chiết tính rút gọn'!J155</f>
        <v>109279.5</v>
      </c>
      <c r="J20" s="677">
        <f>'Chiết tính rút gọn'!J157</f>
        <v>163350.57500000001</v>
      </c>
      <c r="K20" s="677">
        <f t="shared" si="6"/>
        <v>272630.07500000001</v>
      </c>
      <c r="L20" s="677">
        <f t="shared" si="7"/>
        <v>0</v>
      </c>
      <c r="M20" s="677">
        <f t="shared" si="8"/>
        <v>0</v>
      </c>
      <c r="N20" s="677">
        <f t="shared" si="9"/>
        <v>3624801.0150000001</v>
      </c>
      <c r="O20" s="677">
        <f t="shared" si="10"/>
        <v>5418338.5727500003</v>
      </c>
      <c r="P20" s="677">
        <f t="shared" si="11"/>
        <v>9043139.5877500009</v>
      </c>
      <c r="Q20" s="676"/>
      <c r="R20" s="676"/>
      <c r="S20" s="676"/>
      <c r="T20" s="676"/>
      <c r="U20" s="676"/>
      <c r="V20" s="676"/>
      <c r="W20" s="676"/>
      <c r="X20" s="676"/>
      <c r="Y20" s="676"/>
      <c r="Z20" s="676"/>
      <c r="AA20" s="676"/>
    </row>
    <row r="21" spans="1:27" ht="30" x14ac:dyDescent="0.25">
      <c r="A21" s="139"/>
      <c r="B21" s="32">
        <v>15</v>
      </c>
      <c r="C21" s="366" t="str">
        <f>'Du toan chi tiet'!C21</f>
        <v>AA.13221</v>
      </c>
      <c r="D21" s="107" t="str">
        <f>'Du toan chi tiet'!D21</f>
        <v>Đào bụi tre, đường kính bụi tre ≤50cm bằng thủ công</v>
      </c>
      <c r="E21" s="32" t="str">
        <f>'Du toan chi tiet'!E21</f>
        <v>bụi</v>
      </c>
      <c r="F21" s="347">
        <f>'Du toan chi tiet'!M21</f>
        <v>7</v>
      </c>
      <c r="G21" s="677"/>
      <c r="H21" s="677"/>
      <c r="I21" s="677">
        <f>'Chiết tính rút gọn'!J164</f>
        <v>172661.61000000002</v>
      </c>
      <c r="J21" s="677"/>
      <c r="K21" s="677">
        <f t="shared" si="6"/>
        <v>172661.61000000002</v>
      </c>
      <c r="L21" s="677">
        <f t="shared" si="7"/>
        <v>0</v>
      </c>
      <c r="M21" s="677">
        <f t="shared" si="8"/>
        <v>0</v>
      </c>
      <c r="N21" s="677">
        <f t="shared" si="9"/>
        <v>1208631.27</v>
      </c>
      <c r="O21" s="677">
        <f t="shared" si="10"/>
        <v>0</v>
      </c>
      <c r="P21" s="677">
        <f t="shared" si="11"/>
        <v>1208631.27</v>
      </c>
      <c r="Q21" s="676"/>
      <c r="R21" s="676"/>
      <c r="S21" s="676"/>
      <c r="T21" s="676"/>
      <c r="U21" s="676"/>
      <c r="V21" s="676"/>
      <c r="W21" s="676"/>
      <c r="X21" s="676"/>
      <c r="Y21" s="676"/>
      <c r="Z21" s="676"/>
      <c r="AA21" s="676"/>
    </row>
    <row r="22" spans="1:27" ht="30" x14ac:dyDescent="0.25">
      <c r="A22" s="139"/>
      <c r="B22" s="32">
        <v>16</v>
      </c>
      <c r="C22" s="366" t="str">
        <f>'Du toan chi tiet'!C24</f>
        <v>AK.91141vd</v>
      </c>
      <c r="D22" s="107" t="str">
        <f>'Du toan chi tiet'!D24</f>
        <v>Sơn kẻ đường bằng sơn dẻo nhiệt phản quang, dày sơn 6mm</v>
      </c>
      <c r="E22" s="32" t="str">
        <f>'Du toan chi tiet'!E24</f>
        <v>m2</v>
      </c>
      <c r="F22" s="347">
        <f>'Du toan chi tiet'!M24</f>
        <v>6.6</v>
      </c>
      <c r="G22" s="677">
        <f>'Chiết tính rút gọn'!J167</f>
        <v>482371.54560000001</v>
      </c>
      <c r="H22" s="677"/>
      <c r="I22" s="677">
        <f>'Chiết tính rút gọn'!J172</f>
        <v>65572</v>
      </c>
      <c r="J22" s="677">
        <f>'Chiết tính rút gọn'!J174</f>
        <v>153139.65391999998</v>
      </c>
      <c r="K22" s="677">
        <f t="shared" si="6"/>
        <v>701083.19952000002</v>
      </c>
      <c r="L22" s="677">
        <f t="shared" si="7"/>
        <v>3183652.20096</v>
      </c>
      <c r="M22" s="677">
        <f t="shared" si="8"/>
        <v>0</v>
      </c>
      <c r="N22" s="677">
        <f t="shared" si="9"/>
        <v>432775.19999999995</v>
      </c>
      <c r="O22" s="677">
        <f t="shared" si="10"/>
        <v>1010721.7158719999</v>
      </c>
      <c r="P22" s="677">
        <f t="shared" si="11"/>
        <v>4627149.1168320002</v>
      </c>
      <c r="Q22" s="676"/>
      <c r="R22" s="676"/>
      <c r="S22" s="676"/>
      <c r="T22" s="676"/>
      <c r="U22" s="676"/>
      <c r="V22" s="676"/>
      <c r="W22" s="676"/>
      <c r="X22" s="676"/>
      <c r="Y22" s="676"/>
      <c r="Z22" s="676"/>
      <c r="AA22" s="676"/>
    </row>
    <row r="23" spans="1:27" ht="45" x14ac:dyDescent="0.25">
      <c r="A23" s="139"/>
      <c r="B23" s="32">
        <v>17</v>
      </c>
      <c r="C23" s="366" t="str">
        <f>'Du toan chi tiet'!C25</f>
        <v>AA.22212</v>
      </c>
      <c r="D23" s="107" t="str">
        <f>'Du toan chi tiet'!D25</f>
        <v>Phá dỡ kết cấu bê tông không cốt thép bằng máy khoan bê tông 1,5kw cột biển báo</v>
      </c>
      <c r="E23" s="32" t="str">
        <f>'Du toan chi tiet'!E25</f>
        <v>m3</v>
      </c>
      <c r="F23" s="347">
        <f>'Du toan chi tiet'!M25</f>
        <v>0.2</v>
      </c>
      <c r="G23" s="677"/>
      <c r="H23" s="677"/>
      <c r="I23" s="677">
        <f>'Chiết tính rút gọn'!J183</f>
        <v>410890.92</v>
      </c>
      <c r="J23" s="677">
        <f>'Chiết tính rút gọn'!J185</f>
        <v>24685.920000000002</v>
      </c>
      <c r="K23" s="677">
        <f t="shared" si="6"/>
        <v>435576.83999999997</v>
      </c>
      <c r="L23" s="677">
        <f t="shared" si="7"/>
        <v>0</v>
      </c>
      <c r="M23" s="677">
        <f t="shared" si="8"/>
        <v>0</v>
      </c>
      <c r="N23" s="677">
        <f t="shared" si="9"/>
        <v>82178.184000000008</v>
      </c>
      <c r="O23" s="677">
        <f t="shared" si="10"/>
        <v>4937.1840000000011</v>
      </c>
      <c r="P23" s="677">
        <f t="shared" si="11"/>
        <v>87115.368000000017</v>
      </c>
      <c r="Q23" s="676"/>
      <c r="R23" s="676"/>
      <c r="S23" s="676"/>
      <c r="T23" s="676"/>
      <c r="U23" s="676"/>
      <c r="V23" s="676"/>
      <c r="W23" s="676"/>
      <c r="X23" s="676"/>
      <c r="Y23" s="676"/>
      <c r="Z23" s="676"/>
      <c r="AA23" s="676"/>
    </row>
    <row r="24" spans="1:27" ht="30" x14ac:dyDescent="0.25">
      <c r="A24" s="139"/>
      <c r="B24" s="32">
        <v>18</v>
      </c>
      <c r="C24" s="366" t="str">
        <f>'Du toan chi tiet'!C26</f>
        <v>SE.31420</v>
      </c>
      <c r="D24" s="107" t="str">
        <f>'Du toan chi tiet'!D26</f>
        <v>Sơn biển báo, cột biển báo bằng thép - 3 nước</v>
      </c>
      <c r="E24" s="32" t="str">
        <f>'Du toan chi tiet'!E26</f>
        <v>m2</v>
      </c>
      <c r="F24" s="347">
        <f>'Du toan chi tiet'!M26</f>
        <v>1.1200000000000001</v>
      </c>
      <c r="G24" s="677">
        <f>'Chiết tính rút gọn'!J191</f>
        <v>29192.397959999998</v>
      </c>
      <c r="H24" s="677"/>
      <c r="I24" s="677">
        <f>'Chiết tính rút gọn'!J194</f>
        <v>40352</v>
      </c>
      <c r="J24" s="677"/>
      <c r="K24" s="677">
        <f t="shared" si="6"/>
        <v>69544.397960000002</v>
      </c>
      <c r="L24" s="677">
        <f t="shared" si="7"/>
        <v>32695.4857152</v>
      </c>
      <c r="M24" s="677">
        <f t="shared" si="8"/>
        <v>0</v>
      </c>
      <c r="N24" s="677">
        <f t="shared" si="9"/>
        <v>45194.240000000005</v>
      </c>
      <c r="O24" s="677">
        <f t="shared" si="10"/>
        <v>0</v>
      </c>
      <c r="P24" s="677">
        <f t="shared" si="11"/>
        <v>77889.725715200009</v>
      </c>
      <c r="Q24" s="676"/>
      <c r="R24" s="676"/>
      <c r="S24" s="676"/>
      <c r="T24" s="676"/>
      <c r="U24" s="676"/>
      <c r="V24" s="676"/>
      <c r="W24" s="676"/>
      <c r="X24" s="676"/>
      <c r="Y24" s="676"/>
      <c r="Z24" s="676"/>
      <c r="AA24" s="676"/>
    </row>
    <row r="25" spans="1:27" ht="30" x14ac:dyDescent="0.25">
      <c r="A25" s="139"/>
      <c r="B25" s="32">
        <v>19</v>
      </c>
      <c r="C25" s="366" t="str">
        <f>'Du toan chi tiet'!C27</f>
        <v>SE.31330</v>
      </c>
      <c r="D25" s="107" t="str">
        <f>'Du toan chi tiet'!D27</f>
        <v>Dán màng phản quang đầu dải phân cách</v>
      </c>
      <c r="E25" s="32" t="str">
        <f>'Du toan chi tiet'!E27</f>
        <v>m2</v>
      </c>
      <c r="F25" s="347">
        <f>'Du toan chi tiet'!M27</f>
        <v>0.38</v>
      </c>
      <c r="G25" s="677">
        <v>670000.1</v>
      </c>
      <c r="H25" s="677"/>
      <c r="I25" s="677">
        <v>109508</v>
      </c>
      <c r="J25" s="677"/>
      <c r="K25" s="677">
        <v>779508.1</v>
      </c>
      <c r="L25" s="677">
        <v>134000.01999999999</v>
      </c>
      <c r="M25" s="677">
        <v>0</v>
      </c>
      <c r="N25" s="677">
        <v>21901.599999999999</v>
      </c>
      <c r="O25" s="677">
        <v>0</v>
      </c>
      <c r="P25" s="677">
        <v>155901.62</v>
      </c>
      <c r="Q25" s="676"/>
      <c r="R25" s="676"/>
      <c r="S25" s="676"/>
      <c r="T25" s="676"/>
      <c r="U25" s="676"/>
      <c r="V25" s="676"/>
      <c r="W25" s="676"/>
      <c r="X25" s="676"/>
      <c r="Y25" s="676"/>
      <c r="Z25" s="676"/>
      <c r="AA25" s="676"/>
    </row>
    <row r="26" spans="1:27" ht="45" x14ac:dyDescent="0.25">
      <c r="A26" s="139"/>
      <c r="B26" s="32">
        <v>20</v>
      </c>
      <c r="C26" s="366" t="str">
        <f>'Du toan chi tiet'!C28</f>
        <v>AD.32531</v>
      </c>
      <c r="D26" s="107" t="str">
        <f>'Du toan chi tiet'!D28</f>
        <v>Lắp đặt cột và biển báo phản quang - Loại biển báo phản quang: Biển tam giác cạnh 70cm</v>
      </c>
      <c r="E26" s="32" t="str">
        <f>'Du toan chi tiet'!E28</f>
        <v>cái</v>
      </c>
      <c r="F26" s="347">
        <f>'Du toan chi tiet'!M28</f>
        <v>1</v>
      </c>
      <c r="G26" s="677">
        <v>72159.109259099103</v>
      </c>
      <c r="H26" s="677"/>
      <c r="I26" s="677">
        <v>156364</v>
      </c>
      <c r="J26" s="677">
        <v>36370.530700000003</v>
      </c>
      <c r="K26" s="677">
        <v>264893.639959099</v>
      </c>
      <c r="L26" s="677">
        <v>72159.109259099103</v>
      </c>
      <c r="M26" s="677">
        <v>0</v>
      </c>
      <c r="N26" s="677">
        <v>156364</v>
      </c>
      <c r="O26" s="677">
        <v>36370.530700000003</v>
      </c>
      <c r="P26" s="677">
        <v>264893.639959099</v>
      </c>
      <c r="Q26" s="676"/>
      <c r="R26" s="676"/>
      <c r="S26" s="676"/>
      <c r="T26" s="676"/>
      <c r="U26" s="676"/>
      <c r="V26" s="676"/>
      <c r="W26" s="676"/>
      <c r="X26" s="676"/>
      <c r="Y26" s="676"/>
      <c r="Z26" s="676"/>
      <c r="AA26" s="676"/>
    </row>
    <row r="27" spans="1:27" ht="45" x14ac:dyDescent="0.25">
      <c r="A27" s="139"/>
      <c r="B27" s="32">
        <v>21</v>
      </c>
      <c r="C27" s="366" t="str">
        <f>'Du toan chi tiet'!C29</f>
        <v>AB.11413</v>
      </c>
      <c r="D27" s="107" t="str">
        <f>'Du toan chi tiet'!D29</f>
        <v>Đào móng cột, trụ, hố kiểm tra bằng thủ công, rộng ≤1m, sâu ≤1m - Cấp đất III</v>
      </c>
      <c r="E27" s="32" t="str">
        <f>'Du toan chi tiet'!E29</f>
        <v>1m3</v>
      </c>
      <c r="F27" s="347">
        <f>'Du toan chi tiet'!M29</f>
        <v>0.44</v>
      </c>
      <c r="G27" s="677"/>
      <c r="H27" s="677"/>
      <c r="I27" s="677">
        <f>'Chiết tính rút gọn'!J215</f>
        <v>415262.1</v>
      </c>
      <c r="J27" s="677"/>
      <c r="K27" s="677">
        <f t="shared" ref="K27:K28" si="12">SUM(G27:J27)</f>
        <v>415262.1</v>
      </c>
      <c r="L27" s="677">
        <f t="shared" ref="L27:L28" si="13">F27*G27</f>
        <v>0</v>
      </c>
      <c r="M27" s="677">
        <f t="shared" ref="M27:M28" si="14">F27*H27</f>
        <v>0</v>
      </c>
      <c r="N27" s="677">
        <f t="shared" ref="N27:N28" si="15">F27*I27</f>
        <v>182715.32399999999</v>
      </c>
      <c r="O27" s="677">
        <f t="shared" ref="O27:O28" si="16">F27*J27</f>
        <v>0</v>
      </c>
      <c r="P27" s="677">
        <f t="shared" ref="P27:P28" si="17">SUM(L27:O27)</f>
        <v>182715.32399999999</v>
      </c>
      <c r="Q27" s="676"/>
      <c r="R27" s="676"/>
      <c r="S27" s="676"/>
      <c r="T27" s="676"/>
      <c r="U27" s="676"/>
      <c r="V27" s="676"/>
      <c r="W27" s="676"/>
      <c r="X27" s="676"/>
      <c r="Y27" s="676"/>
      <c r="Z27" s="676"/>
      <c r="AA27" s="676"/>
    </row>
    <row r="28" spans="1:27" ht="30" x14ac:dyDescent="0.25">
      <c r="A28" s="139"/>
      <c r="B28" s="32">
        <v>22</v>
      </c>
      <c r="C28" s="366" t="str">
        <f>'Du toan chi tiet'!C30</f>
        <v>AB.13111</v>
      </c>
      <c r="D28" s="107" t="str">
        <f>'Du toan chi tiet'!D30</f>
        <v>Đắp đất nền móng công trình, nền đường bằng thủ công</v>
      </c>
      <c r="E28" s="32" t="str">
        <f>'Du toan chi tiet'!E30</f>
        <v>m3</v>
      </c>
      <c r="F28" s="347">
        <f>'Du toan chi tiet'!M30</f>
        <v>0.25</v>
      </c>
      <c r="G28" s="677"/>
      <c r="H28" s="677"/>
      <c r="I28" s="677">
        <f>'Chiết tính rút gọn'!J218</f>
        <v>122393.04000000001</v>
      </c>
      <c r="J28" s="677"/>
      <c r="K28" s="677">
        <f t="shared" si="12"/>
        <v>122393.04000000001</v>
      </c>
      <c r="L28" s="677">
        <f t="shared" si="13"/>
        <v>0</v>
      </c>
      <c r="M28" s="677">
        <f t="shared" si="14"/>
        <v>0</v>
      </c>
      <c r="N28" s="677">
        <f t="shared" si="15"/>
        <v>30598.260000000002</v>
      </c>
      <c r="O28" s="677">
        <f t="shared" si="16"/>
        <v>0</v>
      </c>
      <c r="P28" s="677">
        <f t="shared" si="17"/>
        <v>30598.260000000002</v>
      </c>
      <c r="Q28" s="676"/>
      <c r="R28" s="676"/>
      <c r="S28" s="676"/>
      <c r="T28" s="676"/>
      <c r="U28" s="676"/>
      <c r="V28" s="676"/>
      <c r="W28" s="676"/>
      <c r="X28" s="676"/>
      <c r="Y28" s="676"/>
      <c r="Z28" s="676"/>
      <c r="AA28" s="676"/>
    </row>
    <row r="29" spans="1:27" ht="45" x14ac:dyDescent="0.25">
      <c r="A29" s="139"/>
      <c r="B29" s="32">
        <v>23</v>
      </c>
      <c r="C29" s="366" t="str">
        <f>'Du toan chi tiet'!C32</f>
        <v>AF.13413</v>
      </c>
      <c r="D29" s="107" t="str">
        <f>'Du toan chi tiet'!D32</f>
        <v>Bê tông ống cống hình hộp SX bằng máy trộn, đổ bằng thủ công, bê tông M250, đá 1x2, PCB40</v>
      </c>
      <c r="E29" s="32" t="str">
        <f>'Du toan chi tiet'!E32</f>
        <v>m3</v>
      </c>
      <c r="F29" s="347">
        <f>'Du toan chi tiet'!M32</f>
        <v>2.63</v>
      </c>
      <c r="G29" s="677">
        <v>907293.06652830995</v>
      </c>
      <c r="H29" s="677"/>
      <c r="I29" s="677">
        <v>557362</v>
      </c>
      <c r="J29" s="677">
        <v>53736.613622479999</v>
      </c>
      <c r="K29" s="677">
        <v>1518391.6801507899</v>
      </c>
      <c r="L29" s="677">
        <v>2386180.7649694602</v>
      </c>
      <c r="M29" s="677">
        <v>0</v>
      </c>
      <c r="N29" s="677">
        <v>1465862.06</v>
      </c>
      <c r="O29" s="677">
        <v>141327.29382712199</v>
      </c>
      <c r="P29" s="677">
        <v>3993370.11879658</v>
      </c>
      <c r="Q29" s="676"/>
      <c r="R29" s="676"/>
      <c r="S29" s="676"/>
      <c r="T29" s="676"/>
      <c r="U29" s="676"/>
      <c r="V29" s="676"/>
      <c r="W29" s="676"/>
      <c r="X29" s="676"/>
      <c r="Y29" s="676"/>
      <c r="Z29" s="676"/>
      <c r="AA29" s="676"/>
    </row>
    <row r="30" spans="1:27" ht="30" x14ac:dyDescent="0.25">
      <c r="A30" s="139"/>
      <c r="B30" s="32">
        <v>24</v>
      </c>
      <c r="C30" s="366" t="str">
        <f>'Du toan chi tiet'!C33</f>
        <v>AF.63310</v>
      </c>
      <c r="D30" s="107" t="str">
        <f>'Du toan chi tiet'!D33</f>
        <v>Lắp dựng cốt thép cống, ĐK ≤10mm</v>
      </c>
      <c r="E30" s="32" t="str">
        <f>'Du toan chi tiet'!E33</f>
        <v>tấn</v>
      </c>
      <c r="F30" s="347">
        <f>'Du toan chi tiet'!M33</f>
        <v>0.23899999999999999</v>
      </c>
      <c r="G30" s="677">
        <v>17191996.259923801</v>
      </c>
      <c r="H30" s="677"/>
      <c r="I30" s="677">
        <v>4673266</v>
      </c>
      <c r="J30" s="677">
        <v>109475.810696</v>
      </c>
      <c r="K30" s="677">
        <v>21974738.070619799</v>
      </c>
      <c r="L30" s="677">
        <v>4108887.1061217901</v>
      </c>
      <c r="M30" s="677">
        <v>0</v>
      </c>
      <c r="N30" s="677">
        <v>1116910.574</v>
      </c>
      <c r="O30" s="677">
        <v>26164.718756343998</v>
      </c>
      <c r="P30" s="677">
        <v>5251962.3988781301</v>
      </c>
      <c r="Q30" s="676"/>
      <c r="R30" s="676"/>
      <c r="S30" s="676"/>
      <c r="T30" s="676"/>
      <c r="U30" s="676"/>
      <c r="V30" s="676"/>
      <c r="W30" s="676"/>
      <c r="X30" s="676"/>
      <c r="Y30" s="676"/>
      <c r="Z30" s="676"/>
      <c r="AA30" s="676"/>
    </row>
    <row r="31" spans="1:27" ht="30" x14ac:dyDescent="0.25">
      <c r="A31" s="139"/>
      <c r="B31" s="32">
        <v>25</v>
      </c>
      <c r="C31" s="366" t="str">
        <f>'Du toan chi tiet'!C34</f>
        <v>AF.63320</v>
      </c>
      <c r="D31" s="107" t="str">
        <f>'Du toan chi tiet'!D34</f>
        <v>Lắp dựng cốt thép cống, ĐK ≤18mm</v>
      </c>
      <c r="E31" s="32" t="str">
        <f>'Du toan chi tiet'!E34</f>
        <v>tấn</v>
      </c>
      <c r="F31" s="347">
        <f>'Du toan chi tiet'!M34</f>
        <v>6.3E-2</v>
      </c>
      <c r="G31" s="677">
        <v>17512675.875743501</v>
      </c>
      <c r="H31" s="677"/>
      <c r="I31" s="677">
        <v>3666988</v>
      </c>
      <c r="J31" s="677">
        <v>1182033.0418080001</v>
      </c>
      <c r="K31" s="677">
        <v>22361696.917551499</v>
      </c>
      <c r="L31" s="677">
        <v>1103298.58017184</v>
      </c>
      <c r="M31" s="677">
        <v>0</v>
      </c>
      <c r="N31" s="677">
        <v>231020.24400000001</v>
      </c>
      <c r="O31" s="677">
        <v>74468.081633904003</v>
      </c>
      <c r="P31" s="677">
        <v>1408786.90580574</v>
      </c>
      <c r="Q31" s="676"/>
      <c r="R31" s="676"/>
      <c r="S31" s="676"/>
      <c r="T31" s="676"/>
      <c r="U31" s="676"/>
      <c r="V31" s="676"/>
      <c r="W31" s="676"/>
      <c r="X31" s="676"/>
      <c r="Y31" s="676"/>
      <c r="Z31" s="676"/>
      <c r="AA31" s="676"/>
    </row>
    <row r="32" spans="1:27" ht="45" x14ac:dyDescent="0.25">
      <c r="A32" s="139"/>
      <c r="B32" s="32">
        <v>26</v>
      </c>
      <c r="C32" s="366" t="str">
        <f>'Du toan chi tiet'!C35</f>
        <v>AF.86211</v>
      </c>
      <c r="D32" s="107" t="str">
        <f>'Du toan chi tiet'!D35</f>
        <v>Ván khuôn thép, khung xương, cột chống giáo ống, tường, chiều cao ≤28m</v>
      </c>
      <c r="E32" s="32" t="str">
        <f>'Du toan chi tiet'!E35</f>
        <v>m2</v>
      </c>
      <c r="F32" s="347">
        <f>'Du toan chi tiet'!M35</f>
        <v>21.33</v>
      </c>
      <c r="G32" s="677">
        <v>31734.510062330999</v>
      </c>
      <c r="H32" s="677"/>
      <c r="I32" s="677">
        <v>78024.45</v>
      </c>
      <c r="J32" s="677">
        <v>12339.4886253029</v>
      </c>
      <c r="K32" s="677">
        <v>122098.44868763399</v>
      </c>
      <c r="L32" s="677">
        <v>1628932.40149945</v>
      </c>
      <c r="M32" s="677">
        <v>0</v>
      </c>
      <c r="N32" s="677">
        <v>4004995.0184999998</v>
      </c>
      <c r="O32" s="677">
        <v>633385.95113679802</v>
      </c>
      <c r="P32" s="677">
        <v>6267313.37113625</v>
      </c>
      <c r="Q32" s="676"/>
      <c r="R32" s="676"/>
      <c r="S32" s="676"/>
      <c r="T32" s="676"/>
      <c r="U32" s="676"/>
      <c r="V32" s="676"/>
      <c r="W32" s="676"/>
      <c r="X32" s="676"/>
      <c r="Y32" s="676"/>
      <c r="Z32" s="676"/>
      <c r="AA32" s="676"/>
    </row>
    <row r="33" spans="1:27" ht="60" x14ac:dyDescent="0.25">
      <c r="A33" s="139"/>
      <c r="B33" s="32">
        <v>27</v>
      </c>
      <c r="C33" s="366" t="str">
        <f>'Du toan chi tiet'!C36</f>
        <v>AF.11231</v>
      </c>
      <c r="D33" s="107" t="str">
        <f>'Du toan chi tiet'!D36</f>
        <v>Bê tông móng tường cánh SX bằng máy trộn, đổ bằng thủ công, rộng ≤250cm, M150, đá 2x4, PCB40</v>
      </c>
      <c r="E33" s="32" t="str">
        <f>'Du toan chi tiet'!E36</f>
        <v>m3</v>
      </c>
      <c r="F33" s="347">
        <f>'Du toan chi tiet'!M36</f>
        <v>0.59</v>
      </c>
      <c r="G33" s="677">
        <v>768976.30404643796</v>
      </c>
      <c r="H33" s="677"/>
      <c r="I33" s="677">
        <v>283674.90000000002</v>
      </c>
      <c r="J33" s="677">
        <v>53736.613622479999</v>
      </c>
      <c r="K33" s="677">
        <v>1106387.8176689199</v>
      </c>
      <c r="L33" s="677">
        <v>453696.01938739797</v>
      </c>
      <c r="M33" s="677">
        <v>0</v>
      </c>
      <c r="N33" s="677">
        <v>167368.19099999999</v>
      </c>
      <c r="O33" s="677">
        <v>31704.602037263201</v>
      </c>
      <c r="P33" s="677">
        <v>652768.81242466206</v>
      </c>
      <c r="Q33" s="676"/>
      <c r="R33" s="676"/>
      <c r="S33" s="676"/>
      <c r="T33" s="676"/>
      <c r="U33" s="676"/>
      <c r="V33" s="676"/>
      <c r="W33" s="676"/>
      <c r="X33" s="676"/>
      <c r="Y33" s="676"/>
      <c r="Z33" s="676"/>
      <c r="AA33" s="676"/>
    </row>
    <row r="34" spans="1:27" x14ac:dyDescent="0.25">
      <c r="A34" s="139"/>
      <c r="B34" s="32">
        <v>28</v>
      </c>
      <c r="C34" s="366" t="str">
        <f>'Du toan chi tiet'!C37</f>
        <v>AF.82511</v>
      </c>
      <c r="D34" s="107" t="str">
        <f>'Du toan chi tiet'!D37</f>
        <v>Ván khuôn móng dài</v>
      </c>
      <c r="E34" s="32" t="str">
        <f>'Du toan chi tiet'!E37</f>
        <v>m2</v>
      </c>
      <c r="F34" s="347">
        <f>'Du toan chi tiet'!M37</f>
        <v>1.78</v>
      </c>
      <c r="G34" s="677">
        <v>20626.647207369198</v>
      </c>
      <c r="H34" s="677"/>
      <c r="I34" s="677">
        <v>33536.824999999997</v>
      </c>
      <c r="J34" s="677">
        <v>3997.37983281792</v>
      </c>
      <c r="K34" s="677">
        <v>58160.852040187099</v>
      </c>
      <c r="L34" s="677">
        <v>36715.432029117197</v>
      </c>
      <c r="M34" s="677">
        <v>0</v>
      </c>
      <c r="N34" s="677">
        <v>59695.548499999997</v>
      </c>
      <c r="O34" s="677">
        <v>7115.3361024159003</v>
      </c>
      <c r="P34" s="677">
        <v>103526.316631533</v>
      </c>
      <c r="Q34" s="676"/>
      <c r="R34" s="676"/>
      <c r="S34" s="676"/>
      <c r="T34" s="676"/>
      <c r="U34" s="676"/>
      <c r="V34" s="676"/>
      <c r="W34" s="676"/>
      <c r="X34" s="676"/>
      <c r="Y34" s="676"/>
      <c r="Z34" s="676"/>
      <c r="AA34" s="676"/>
    </row>
    <row r="35" spans="1:27" ht="60" x14ac:dyDescent="0.25">
      <c r="A35" s="139"/>
      <c r="B35" s="32">
        <v>29</v>
      </c>
      <c r="C35" s="366" t="str">
        <f>'Du toan chi tiet'!C38</f>
        <v>AF.12151</v>
      </c>
      <c r="D35" s="107" t="str">
        <f>'Du toan chi tiet'!D38</f>
        <v>Bê tông tường cánh SX bằng máy trộn, đổ bằng thủ công - Chiều dày ≤45cm, chiều cao ≤6m, M150, đá 2x4, PCB40</v>
      </c>
      <c r="E35" s="32" t="str">
        <f>'Du toan chi tiet'!E38</f>
        <v>m3</v>
      </c>
      <c r="F35" s="347">
        <f>'Du toan chi tiet'!M38</f>
        <v>0.15</v>
      </c>
      <c r="G35" s="677">
        <v>799430.81113738602</v>
      </c>
      <c r="H35" s="677"/>
      <c r="I35" s="677">
        <v>627978</v>
      </c>
      <c r="J35" s="677">
        <v>77865.513237299994</v>
      </c>
      <c r="K35" s="677">
        <v>1505274.32437469</v>
      </c>
      <c r="L35" s="677">
        <v>119914.621670608</v>
      </c>
      <c r="M35" s="677">
        <v>0</v>
      </c>
      <c r="N35" s="677">
        <v>94196.7</v>
      </c>
      <c r="O35" s="677">
        <v>11679.826985595</v>
      </c>
      <c r="P35" s="677">
        <v>225791.148656203</v>
      </c>
      <c r="Q35" s="676"/>
      <c r="R35" s="676"/>
      <c r="S35" s="676"/>
      <c r="T35" s="676"/>
      <c r="U35" s="676"/>
      <c r="V35" s="676"/>
      <c r="W35" s="676"/>
      <c r="X35" s="676"/>
      <c r="Y35" s="676"/>
      <c r="Z35" s="676"/>
      <c r="AA35" s="676"/>
    </row>
    <row r="36" spans="1:27" ht="45" x14ac:dyDescent="0.25">
      <c r="A36" s="139"/>
      <c r="B36" s="32">
        <v>30</v>
      </c>
      <c r="C36" s="366" t="str">
        <f>'Du toan chi tiet'!C39</f>
        <v>AF.86211</v>
      </c>
      <c r="D36" s="107" t="str">
        <f>'Du toan chi tiet'!D39</f>
        <v>Ván khuôn thép, khung xương, cột chống giáo ống, tường cánh chiều cao ≤28m</v>
      </c>
      <c r="E36" s="32" t="str">
        <f>'Du toan chi tiet'!E39</f>
        <v>m2</v>
      </c>
      <c r="F36" s="347">
        <f>'Du toan chi tiet'!M39</f>
        <v>0.81</v>
      </c>
      <c r="G36" s="677">
        <v>31734.510062330999</v>
      </c>
      <c r="H36" s="677"/>
      <c r="I36" s="677">
        <v>78024.45</v>
      </c>
      <c r="J36" s="677">
        <v>12339.4886253029</v>
      </c>
      <c r="K36" s="677">
        <v>122098.44868763399</v>
      </c>
      <c r="L36" s="677">
        <v>25704.953150488102</v>
      </c>
      <c r="M36" s="677">
        <v>0</v>
      </c>
      <c r="N36" s="677">
        <v>63199.804499999998</v>
      </c>
      <c r="O36" s="677">
        <v>9994.9857864953501</v>
      </c>
      <c r="P36" s="677">
        <v>98899.743436983495</v>
      </c>
      <c r="Q36" s="676"/>
      <c r="R36" s="676"/>
      <c r="S36" s="676"/>
      <c r="T36" s="676"/>
      <c r="U36" s="676"/>
      <c r="V36" s="676"/>
      <c r="W36" s="676"/>
      <c r="X36" s="676"/>
      <c r="Y36" s="676"/>
      <c r="Z36" s="676"/>
      <c r="AA36" s="676"/>
    </row>
    <row r="37" spans="1:27" ht="30" x14ac:dyDescent="0.25">
      <c r="A37" s="139"/>
      <c r="B37" s="32">
        <v>31</v>
      </c>
      <c r="C37" s="366" t="str">
        <f>'Du toan chi tiet'!C40</f>
        <v>AK.98110</v>
      </c>
      <c r="D37" s="107" t="str">
        <f>'Du toan chi tiet'!D40</f>
        <v>Thi công lớp đá đệm móng, đá dăm 2x4</v>
      </c>
      <c r="E37" s="32" t="str">
        <f>'Du toan chi tiet'!E40</f>
        <v>m3</v>
      </c>
      <c r="F37" s="347">
        <f>'Du toan chi tiet'!M40</f>
        <v>0.76</v>
      </c>
      <c r="G37" s="677" t="e">
        <f>'Chiết tính rút gọn'!J338</f>
        <v>#REF!</v>
      </c>
      <c r="H37" s="677"/>
      <c r="I37" s="677">
        <f>'Chiết tính rút gọn'!J341</f>
        <v>405179.6</v>
      </c>
      <c r="J37" s="677"/>
      <c r="K37" s="677" t="e">
        <f t="shared" ref="K37:K41" si="18">SUM(G37:J37)</f>
        <v>#REF!</v>
      </c>
      <c r="L37" s="677" t="e">
        <f t="shared" ref="L37:L41" si="19">F37*G37</f>
        <v>#REF!</v>
      </c>
      <c r="M37" s="677">
        <f t="shared" ref="M37:M41" si="20">F37*H37</f>
        <v>0</v>
      </c>
      <c r="N37" s="677">
        <f t="shared" ref="N37:N41" si="21">F37*I37</f>
        <v>307936.49599999998</v>
      </c>
      <c r="O37" s="677">
        <f t="shared" ref="O37:O41" si="22">F37*J37</f>
        <v>0</v>
      </c>
      <c r="P37" s="677" t="e">
        <f t="shared" ref="P37:P41" si="23">SUM(L37:O37)</f>
        <v>#REF!</v>
      </c>
      <c r="Q37" s="676"/>
      <c r="R37" s="676"/>
      <c r="S37" s="676"/>
      <c r="T37" s="676"/>
      <c r="U37" s="676"/>
      <c r="V37" s="676"/>
      <c r="W37" s="676"/>
      <c r="X37" s="676"/>
      <c r="Y37" s="676"/>
      <c r="Z37" s="676"/>
      <c r="AA37" s="676"/>
    </row>
    <row r="38" spans="1:27" x14ac:dyDescent="0.25">
      <c r="A38" s="139"/>
      <c r="B38" s="32">
        <v>32</v>
      </c>
      <c r="C38" s="366" t="str">
        <f>'Du toan chi tiet'!C41</f>
        <v>AL.22112</v>
      </c>
      <c r="D38" s="107" t="str">
        <f>'Du toan chi tiet'!D41</f>
        <v>Cắt mặt đường bê tông hiện có</v>
      </c>
      <c r="E38" s="32" t="str">
        <f>'Du toan chi tiet'!E41</f>
        <v>10m</v>
      </c>
      <c r="F38" s="347">
        <f>'Du toan chi tiet'!M41</f>
        <v>0.6</v>
      </c>
      <c r="G38" s="677">
        <f>'Chiết tính rút gọn'!J344</f>
        <v>239181.84</v>
      </c>
      <c r="H38" s="677"/>
      <c r="I38" s="677">
        <f>'Chiết tính rút gọn'!J347</f>
        <v>138710</v>
      </c>
      <c r="J38" s="677">
        <f>'Chiết tính rút gọn'!J349</f>
        <v>67683.88</v>
      </c>
      <c r="K38" s="677">
        <f t="shared" si="18"/>
        <v>445575.72</v>
      </c>
      <c r="L38" s="677">
        <f t="shared" si="19"/>
        <v>143509.10399999999</v>
      </c>
      <c r="M38" s="677">
        <f t="shared" si="20"/>
        <v>0</v>
      </c>
      <c r="N38" s="677">
        <f t="shared" si="21"/>
        <v>83226</v>
      </c>
      <c r="O38" s="677">
        <f t="shared" si="22"/>
        <v>40610.328000000001</v>
      </c>
      <c r="P38" s="677">
        <f t="shared" si="23"/>
        <v>267345.43199999997</v>
      </c>
      <c r="Q38" s="676"/>
      <c r="R38" s="676"/>
      <c r="S38" s="676"/>
      <c r="T38" s="676"/>
      <c r="U38" s="676"/>
      <c r="V38" s="676"/>
      <c r="W38" s="676"/>
      <c r="X38" s="676"/>
      <c r="Y38" s="676"/>
      <c r="Z38" s="676"/>
      <c r="AA38" s="676"/>
    </row>
    <row r="39" spans="1:27" x14ac:dyDescent="0.25">
      <c r="A39" s="139"/>
      <c r="B39" s="32">
        <v>33</v>
      </c>
      <c r="C39" s="366" t="str">
        <f>'Du toan chi tiet'!C42</f>
        <v>AB.31134</v>
      </c>
      <c r="D39" s="107" t="str">
        <f>'Du toan chi tiet'!D42</f>
        <v xml:space="preserve">Đào kết cấu mặt đường hiện có </v>
      </c>
      <c r="E39" s="32" t="str">
        <f>'Du toan chi tiet'!E42</f>
        <v>m3</v>
      </c>
      <c r="F39" s="347">
        <f>'Du toan chi tiet'!M42</f>
        <v>0.76</v>
      </c>
      <c r="G39" s="677"/>
      <c r="H39" s="677"/>
      <c r="I39" s="677">
        <f>'Chiết tính rút gọn'!J355</f>
        <v>10512.687899999999</v>
      </c>
      <c r="J39" s="677">
        <f>'Chiết tính rút gọn'!J357</f>
        <v>17065.200121999998</v>
      </c>
      <c r="K39" s="677">
        <f t="shared" si="18"/>
        <v>27577.888021999999</v>
      </c>
      <c r="L39" s="677">
        <f t="shared" si="19"/>
        <v>0</v>
      </c>
      <c r="M39" s="677">
        <f t="shared" si="20"/>
        <v>0</v>
      </c>
      <c r="N39" s="677">
        <f t="shared" si="21"/>
        <v>7989.6428039999992</v>
      </c>
      <c r="O39" s="677">
        <f t="shared" si="22"/>
        <v>12969.55209272</v>
      </c>
      <c r="P39" s="677">
        <f t="shared" si="23"/>
        <v>20959.194896720001</v>
      </c>
      <c r="Q39" s="676"/>
      <c r="R39" s="676"/>
      <c r="S39" s="676"/>
      <c r="T39" s="676"/>
      <c r="U39" s="676"/>
      <c r="V39" s="676"/>
      <c r="W39" s="676"/>
      <c r="X39" s="676"/>
      <c r="Y39" s="676"/>
      <c r="Z39" s="676"/>
      <c r="AA39" s="676"/>
    </row>
    <row r="40" spans="1:27" ht="45" x14ac:dyDescent="0.25">
      <c r="A40" s="139"/>
      <c r="B40" s="32">
        <v>34</v>
      </c>
      <c r="C40" s="366" t="str">
        <f>'Du toan chi tiet'!C43</f>
        <v>AB.25103</v>
      </c>
      <c r="D40" s="107" t="str">
        <f>'Du toan chi tiet'!D43</f>
        <v>Đào móng bằng máy đào 0,4m3, chiều rộng móng ≤6m - Cấp đất III</v>
      </c>
      <c r="E40" s="32" t="str">
        <f>'Du toan chi tiet'!E43</f>
        <v>m3</v>
      </c>
      <c r="F40" s="347">
        <f>'Du toan chi tiet'!M43</f>
        <v>11.4</v>
      </c>
      <c r="G40" s="677"/>
      <c r="H40" s="677"/>
      <c r="I40" s="677">
        <f>'Chiết tính rút gọn'!J364</f>
        <v>10075.5699</v>
      </c>
      <c r="J40" s="677">
        <f>'Chiết tính rút gọn'!J366</f>
        <v>17413.826976</v>
      </c>
      <c r="K40" s="677">
        <f t="shared" si="18"/>
        <v>27489.396875999999</v>
      </c>
      <c r="L40" s="677">
        <f t="shared" si="19"/>
        <v>0</v>
      </c>
      <c r="M40" s="677">
        <f t="shared" si="20"/>
        <v>0</v>
      </c>
      <c r="N40" s="677">
        <f t="shared" si="21"/>
        <v>114861.49686000001</v>
      </c>
      <c r="O40" s="677">
        <f t="shared" si="22"/>
        <v>198517.6275264</v>
      </c>
      <c r="P40" s="677">
        <f t="shared" si="23"/>
        <v>313379.12438639998</v>
      </c>
      <c r="Q40" s="676"/>
      <c r="R40" s="676"/>
      <c r="S40" s="676"/>
      <c r="T40" s="676"/>
      <c r="U40" s="676"/>
      <c r="V40" s="676"/>
      <c r="W40" s="676"/>
      <c r="X40" s="676"/>
      <c r="Y40" s="676"/>
      <c r="Z40" s="676"/>
      <c r="AA40" s="676"/>
    </row>
    <row r="41" spans="1:27" ht="30" x14ac:dyDescent="0.25">
      <c r="A41" s="139"/>
      <c r="B41" s="32">
        <v>35</v>
      </c>
      <c r="C41" s="366" t="str">
        <f>'Du toan chi tiet'!C44</f>
        <v>AB.65130</v>
      </c>
      <c r="D41" s="107" t="str">
        <f>'Du toan chi tiet'!D44</f>
        <v>Đắp đất bằng đầm đất cầm tay 70kg, độ chặt Y/C K = 0,95</v>
      </c>
      <c r="E41" s="32" t="str">
        <f>'Du toan chi tiet'!E44</f>
        <v>m3</v>
      </c>
      <c r="F41" s="347">
        <f>'Du toan chi tiet'!M44</f>
        <v>2.52</v>
      </c>
      <c r="G41" s="677"/>
      <c r="H41" s="677"/>
      <c r="I41" s="677">
        <f>'Chiết tính rút gọn'!J372</f>
        <v>15583.2567</v>
      </c>
      <c r="J41" s="677">
        <f>'Chiết tính rút gọn'!J374</f>
        <v>16868.554559999997</v>
      </c>
      <c r="K41" s="677">
        <f t="shared" si="18"/>
        <v>32451.811259999995</v>
      </c>
      <c r="L41" s="677">
        <f t="shared" si="19"/>
        <v>0</v>
      </c>
      <c r="M41" s="677">
        <f t="shared" si="20"/>
        <v>0</v>
      </c>
      <c r="N41" s="677">
        <f t="shared" si="21"/>
        <v>39269.806883999998</v>
      </c>
      <c r="O41" s="677">
        <f t="shared" si="22"/>
        <v>42508.757491199991</v>
      </c>
      <c r="P41" s="677">
        <f t="shared" si="23"/>
        <v>81778.564375199989</v>
      </c>
      <c r="Q41" s="676"/>
      <c r="R41" s="676"/>
      <c r="S41" s="676"/>
      <c r="T41" s="676"/>
      <c r="U41" s="676"/>
      <c r="V41" s="676"/>
      <c r="W41" s="676"/>
      <c r="X41" s="676"/>
      <c r="Y41" s="676"/>
      <c r="Z41" s="676"/>
      <c r="AA41" s="676"/>
    </row>
    <row r="42" spans="1:27" ht="60" x14ac:dyDescent="0.25">
      <c r="A42" s="139"/>
      <c r="B42" s="32">
        <v>36</v>
      </c>
      <c r="C42" s="366" t="str">
        <f>'Du toan chi tiet'!C45</f>
        <v>AF.15433</v>
      </c>
      <c r="D42" s="107" t="str">
        <f>'Du toan chi tiet'!D45</f>
        <v>Bê tông thương phẩm, bê tông hoàn trả mặt đường dày mặt đường ≤25cm, bê tông M250, đá 2x4, PCB40</v>
      </c>
      <c r="E42" s="32" t="str">
        <f>'Du toan chi tiet'!E45</f>
        <v>m3</v>
      </c>
      <c r="F42" s="347">
        <f>'Du toan chi tiet'!M45</f>
        <v>0.59</v>
      </c>
      <c r="G42" s="677">
        <v>969836.06997996103</v>
      </c>
      <c r="H42" s="677"/>
      <c r="I42" s="677">
        <v>345514</v>
      </c>
      <c r="J42" s="677">
        <v>78161.047560183593</v>
      </c>
      <c r="K42" s="677">
        <v>1393511.1175401399</v>
      </c>
      <c r="L42" s="677">
        <v>572203.28128817701</v>
      </c>
      <c r="M42" s="677">
        <v>0</v>
      </c>
      <c r="N42" s="677">
        <v>203853.26</v>
      </c>
      <c r="O42" s="677">
        <v>46115.018060508301</v>
      </c>
      <c r="P42" s="677">
        <v>822171.55934868497</v>
      </c>
      <c r="Q42" s="676"/>
      <c r="R42" s="676"/>
      <c r="S42" s="676"/>
      <c r="T42" s="676"/>
      <c r="U42" s="676"/>
      <c r="V42" s="676"/>
      <c r="W42" s="676"/>
      <c r="X42" s="676"/>
      <c r="Y42" s="676"/>
      <c r="Z42" s="676"/>
      <c r="AA42" s="676"/>
    </row>
    <row r="43" spans="1:27" x14ac:dyDescent="0.25">
      <c r="A43" s="139"/>
      <c r="B43" s="32">
        <v>37</v>
      </c>
      <c r="C43" s="366" t="str">
        <f>'Du toan chi tiet'!C46</f>
        <v>AB.66141</v>
      </c>
      <c r="D43" s="107" t="str">
        <f>'Du toan chi tiet'!D46</f>
        <v>Đắpbột đáy dày 5cm</v>
      </c>
      <c r="E43" s="32" t="str">
        <f>'Du toan chi tiet'!E46</f>
        <v>m3</v>
      </c>
      <c r="F43" s="347">
        <f>'Du toan chi tiet'!M46</f>
        <v>0.17</v>
      </c>
      <c r="G43" s="677">
        <v>110827.953060894</v>
      </c>
      <c r="H43" s="677"/>
      <c r="I43" s="677">
        <v>8501.9451000000008</v>
      </c>
      <c r="J43" s="677">
        <v>8511.9971005999996</v>
      </c>
      <c r="K43" s="677">
        <v>127841.89526149401</v>
      </c>
      <c r="L43" s="677">
        <v>18840.752020352</v>
      </c>
      <c r="M43" s="677">
        <v>0</v>
      </c>
      <c r="N43" s="677">
        <v>1445.3306669999999</v>
      </c>
      <c r="O43" s="677">
        <v>1447.039507102</v>
      </c>
      <c r="P43" s="677">
        <v>21733.122194454001</v>
      </c>
      <c r="Q43" s="676"/>
      <c r="R43" s="676"/>
      <c r="S43" s="676"/>
      <c r="T43" s="676"/>
      <c r="U43" s="676"/>
      <c r="V43" s="676"/>
      <c r="W43" s="676"/>
      <c r="X43" s="676"/>
      <c r="Y43" s="676"/>
      <c r="Z43" s="676"/>
      <c r="AA43" s="676"/>
    </row>
    <row r="44" spans="1:27" x14ac:dyDescent="0.25">
      <c r="A44" s="139"/>
      <c r="B44" s="32">
        <v>38</v>
      </c>
      <c r="C44" s="366" t="str">
        <f>'Du toan chi tiet'!C47</f>
        <v>AL.16201</v>
      </c>
      <c r="D44" s="107" t="str">
        <f>'Du toan chi tiet'!D47</f>
        <v>Lót bạc nilong sọc xanh đỏ</v>
      </c>
      <c r="E44" s="32" t="str">
        <f>'Du toan chi tiet'!E47</f>
        <v>m2</v>
      </c>
      <c r="F44" s="347">
        <f>'Du toan chi tiet'!M47</f>
        <v>3.3</v>
      </c>
      <c r="G44" s="677">
        <f>'Chiết tính rút gọn'!J410</f>
        <v>5610</v>
      </c>
      <c r="H44" s="677"/>
      <c r="I44" s="677">
        <f>'Chiết tính rút gọn'!J413</f>
        <v>378.3</v>
      </c>
      <c r="J44" s="677"/>
      <c r="K44" s="677">
        <f>SUM(G44:J44)</f>
        <v>5988.3</v>
      </c>
      <c r="L44" s="677">
        <f>F44*G44</f>
        <v>18513</v>
      </c>
      <c r="M44" s="677">
        <f>F44*H44</f>
        <v>0</v>
      </c>
      <c r="N44" s="677">
        <f>F44*I44</f>
        <v>1248.3899999999999</v>
      </c>
      <c r="O44" s="677">
        <f>F44*J44</f>
        <v>0</v>
      </c>
      <c r="P44" s="677">
        <f>SUM(L44:O44)</f>
        <v>19761.39</v>
      </c>
      <c r="Q44" s="676"/>
      <c r="R44" s="676"/>
      <c r="S44" s="676"/>
      <c r="T44" s="676"/>
      <c r="U44" s="676"/>
      <c r="V44" s="676"/>
      <c r="W44" s="676"/>
      <c r="X44" s="676"/>
      <c r="Y44" s="676"/>
      <c r="Z44" s="676"/>
      <c r="AA44" s="676"/>
    </row>
    <row r="45" spans="1:27" ht="30" x14ac:dyDescent="0.25">
      <c r="A45" s="139"/>
      <c r="B45" s="32">
        <v>39</v>
      </c>
      <c r="C45" s="366" t="str">
        <f>'Du toan chi tiet'!C48</f>
        <v>AF.82411</v>
      </c>
      <c r="D45" s="107" t="str">
        <f>'Du toan chi tiet'!D48</f>
        <v>Ván khuôn thép mặt đường bê tông</v>
      </c>
      <c r="E45" s="32" t="str">
        <f>'Du toan chi tiet'!E48</f>
        <v>m2</v>
      </c>
      <c r="F45" s="347">
        <f>'Du toan chi tiet'!M48</f>
        <v>3.22</v>
      </c>
      <c r="G45" s="677">
        <v>7521.0313313256602</v>
      </c>
      <c r="H45" s="677"/>
      <c r="I45" s="677">
        <v>31483.55</v>
      </c>
      <c r="J45" s="677">
        <v>2047.43845095552</v>
      </c>
      <c r="K45" s="677">
        <v>41052.019782281197</v>
      </c>
      <c r="L45" s="677">
        <v>24217.720886868599</v>
      </c>
      <c r="M45" s="677">
        <v>0</v>
      </c>
      <c r="N45" s="677">
        <v>101377.031</v>
      </c>
      <c r="O45" s="677">
        <v>6592.75181207677</v>
      </c>
      <c r="P45" s="677">
        <v>132187.50369894499</v>
      </c>
      <c r="Q45" s="676"/>
      <c r="R45" s="676"/>
      <c r="S45" s="676"/>
      <c r="T45" s="676"/>
      <c r="U45" s="676"/>
      <c r="V45" s="676"/>
      <c r="W45" s="676"/>
      <c r="X45" s="676"/>
      <c r="Y45" s="676"/>
      <c r="Z45" s="676"/>
      <c r="AA45" s="676"/>
    </row>
    <row r="46" spans="1:27" ht="60" x14ac:dyDescent="0.25">
      <c r="A46" s="139"/>
      <c r="B46" s="32">
        <v>40</v>
      </c>
      <c r="C46" s="366" t="str">
        <f>'Du toan chi tiet'!C49</f>
        <v>AD.23263</v>
      </c>
      <c r="D46" s="107" t="str">
        <f>'Du toan chi tiet'!D49</f>
        <v>Rải thảm mặt đường Carboncor Asphalt, bằng phương pháp thủ cơ giới, chiều dày mặt đường đã lèn ép 3cm</v>
      </c>
      <c r="E46" s="32" t="str">
        <f>'Du toan chi tiet'!E49</f>
        <v>m2</v>
      </c>
      <c r="F46" s="347">
        <f>'Du toan chi tiet'!M49</f>
        <v>1.2</v>
      </c>
      <c r="G46" s="677">
        <f>'Chiết tính rút gọn'!J429</f>
        <v>222467.38400000002</v>
      </c>
      <c r="H46" s="677"/>
      <c r="I46" s="677">
        <f>'Chiết tính rút gọn'!J432</f>
        <v>2017.6000000000001</v>
      </c>
      <c r="J46" s="677">
        <f>'Chiết tính rút gọn'!J434</f>
        <v>3181.718715</v>
      </c>
      <c r="K46" s="677">
        <f>SUM(G46:J46)</f>
        <v>227666.70271500002</v>
      </c>
      <c r="L46" s="677">
        <f>F46*G46</f>
        <v>266960.86080000002</v>
      </c>
      <c r="M46" s="677">
        <f>F46*H46</f>
        <v>0</v>
      </c>
      <c r="N46" s="677">
        <f>F46*I46</f>
        <v>2421.12</v>
      </c>
      <c r="O46" s="677">
        <f>F46*J46</f>
        <v>3818.0624579999999</v>
      </c>
      <c r="P46" s="677">
        <f>SUM(L46:O46)</f>
        <v>273200.04325799999</v>
      </c>
      <c r="Q46" s="676"/>
      <c r="R46" s="676"/>
      <c r="S46" s="676"/>
      <c r="T46" s="676"/>
      <c r="U46" s="676"/>
      <c r="V46" s="676"/>
      <c r="W46" s="676"/>
      <c r="X46" s="676"/>
      <c r="Y46" s="676"/>
      <c r="Z46" s="676"/>
      <c r="AA46" s="676"/>
    </row>
    <row r="47" spans="1:27" x14ac:dyDescent="0.25">
      <c r="A47" s="543"/>
      <c r="B47" s="736">
        <v>41</v>
      </c>
      <c r="C47" s="310" t="e">
        <f>'Du toan chi tiet'!#REF!</f>
        <v>#REF!</v>
      </c>
      <c r="D47" s="31" t="e">
        <f>'Du toan chi tiet'!#REF!</f>
        <v>#REF!</v>
      </c>
      <c r="E47" s="736" t="e">
        <f>'Du toan chi tiet'!#REF!</f>
        <v>#REF!</v>
      </c>
      <c r="F47" s="296" t="e">
        <f>'Du toan chi tiet'!#REF!</f>
        <v>#REF!</v>
      </c>
      <c r="G47" s="614">
        <v>6420.1159225866704</v>
      </c>
      <c r="H47" s="614"/>
      <c r="I47" s="614">
        <v>580.05999999999995</v>
      </c>
      <c r="J47" s="614">
        <v>3660.3373399920001</v>
      </c>
      <c r="K47" s="614">
        <v>10660.513262578699</v>
      </c>
      <c r="L47" s="614">
        <v>7704.1391071039998</v>
      </c>
      <c r="M47" s="614">
        <v>0</v>
      </c>
      <c r="N47" s="614">
        <v>696.072</v>
      </c>
      <c r="O47" s="614">
        <v>4392.4048079903996</v>
      </c>
      <c r="P47" s="614">
        <v>12792.6159150944</v>
      </c>
      <c r="Q47" s="676"/>
      <c r="R47" s="676"/>
      <c r="S47" s="676"/>
      <c r="T47" s="676"/>
      <c r="U47" s="676"/>
      <c r="V47" s="676"/>
      <c r="W47" s="676"/>
      <c r="X47" s="676"/>
      <c r="Y47" s="676"/>
      <c r="Z47" s="676"/>
      <c r="AA47" s="676"/>
    </row>
    <row r="48" spans="1:27" x14ac:dyDescent="0.25">
      <c r="A48" s="121" t="s">
        <v>233</v>
      </c>
      <c r="B48" s="268"/>
      <c r="C48" s="568"/>
      <c r="D48" s="332" t="s">
        <v>1132</v>
      </c>
      <c r="E48" s="268"/>
      <c r="F48" s="537"/>
      <c r="G48" s="114"/>
      <c r="H48" s="114"/>
      <c r="I48" s="114"/>
      <c r="J48" s="114"/>
      <c r="K48" s="114"/>
      <c r="L48" s="114" t="e">
        <f t="shared" ref="L48:P48" si="24">SUM(L7:L47)</f>
        <v>#REF!</v>
      </c>
      <c r="M48" s="114">
        <f t="shared" si="24"/>
        <v>0</v>
      </c>
      <c r="N48" s="114">
        <f t="shared" si="24"/>
        <v>68894888.233958021</v>
      </c>
      <c r="O48" s="114">
        <f t="shared" si="24"/>
        <v>33706613.912384868</v>
      </c>
      <c r="P48" s="114" t="e">
        <f t="shared" si="24"/>
        <v>#REF!</v>
      </c>
      <c r="Q48" s="676"/>
      <c r="R48" s="676"/>
      <c r="S48" s="676"/>
      <c r="T48" s="676"/>
      <c r="U48" s="676"/>
      <c r="V48" s="676"/>
      <c r="W48" s="676"/>
      <c r="X48" s="676"/>
      <c r="Y48" s="676"/>
      <c r="Z48" s="676"/>
      <c r="AA48" s="676"/>
    </row>
    <row r="49" spans="2:27" x14ac:dyDescent="0.2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row>
    <row r="50" spans="2:27" x14ac:dyDescent="0.25">
      <c r="B50" s="676"/>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row>
    <row r="51" spans="2:27" x14ac:dyDescent="0.2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row>
  </sheetData>
  <mergeCells count="12">
    <mergeCell ref="A1:P1"/>
    <mergeCell ref="A2:P2"/>
    <mergeCell ref="A3:P3"/>
    <mergeCell ref="A4:P4"/>
    <mergeCell ref="B5:B6"/>
    <mergeCell ref="C5:C6"/>
    <mergeCell ref="D5:D6"/>
    <mergeCell ref="E5:E6"/>
    <mergeCell ref="F5:F6"/>
    <mergeCell ref="G5:J5"/>
    <mergeCell ref="L5:O5"/>
    <mergeCell ref="P5:P6"/>
  </mergeCells>
  <pageMargins left="0.75" right="0.75" top="0.75" bottom="0.75" header="0.3" footer="0.3"/>
  <pageSetup paperSize="9" orientation="landscape" useFirstPageNumber="1"/>
  <headerFooter>
    <oddFooter>&amp;CTrang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showZeros="0" topLeftCell="B1" workbookViewId="0">
      <pane ySplit="4" topLeftCell="A5" activePane="bottomLeft" state="frozen"/>
      <selection activeCell="A5" sqref="A5"/>
      <selection pane="bottomLeft" activeCell="A5" sqref="A5"/>
    </sheetView>
  </sheetViews>
  <sheetFormatPr defaultRowHeight="15" x14ac:dyDescent="0.25"/>
  <cols>
    <col min="1" max="1" width="8.85546875" hidden="1" customWidth="1"/>
    <col min="2" max="2" width="3.85546875" bestFit="1" customWidth="1"/>
    <col min="3" max="3" width="7.7109375" bestFit="1" customWidth="1"/>
    <col min="4" max="4" width="44.140625" bestFit="1" customWidth="1"/>
    <col min="5" max="5" width="6.42578125" bestFit="1" customWidth="1"/>
    <col min="6" max="6" width="9" bestFit="1" customWidth="1"/>
    <col min="7" max="7" width="15.42578125" bestFit="1" customWidth="1"/>
    <col min="8" max="8" width="7.42578125" bestFit="1" customWidth="1"/>
  </cols>
  <sheetData>
    <row r="1" spans="1:27" ht="18.75" x14ac:dyDescent="0.25">
      <c r="A1" s="1158" t="s">
        <v>473</v>
      </c>
      <c r="B1" s="1158"/>
      <c r="C1" s="1158"/>
      <c r="D1" s="1158"/>
      <c r="E1" s="1158"/>
      <c r="F1" s="1158"/>
      <c r="G1" s="1158"/>
      <c r="H1" s="1158"/>
      <c r="I1" s="1158"/>
    </row>
    <row r="2" spans="1:27" x14ac:dyDescent="0.25">
      <c r="A2" s="1159"/>
      <c r="B2" s="1159"/>
      <c r="C2" s="1159"/>
      <c r="D2" s="1159"/>
      <c r="E2" s="1159"/>
      <c r="F2" s="1159"/>
      <c r="G2" s="1159"/>
      <c r="H2" s="1159"/>
      <c r="I2" s="1159"/>
    </row>
    <row r="3" spans="1:27" x14ac:dyDescent="0.25">
      <c r="A3" s="1160" t="s">
        <v>608</v>
      </c>
      <c r="B3" s="1160"/>
      <c r="C3" s="1160"/>
      <c r="D3" s="1160"/>
      <c r="E3" s="1160"/>
      <c r="F3" s="1160"/>
      <c r="G3" s="1160"/>
      <c r="H3" s="1160"/>
      <c r="I3" s="1160"/>
    </row>
    <row r="4" spans="1:27" x14ac:dyDescent="0.25">
      <c r="A4" s="162" t="s">
        <v>1114</v>
      </c>
      <c r="B4" s="415" t="s">
        <v>386</v>
      </c>
      <c r="C4" s="415" t="s">
        <v>752</v>
      </c>
      <c r="D4" s="415" t="s">
        <v>186</v>
      </c>
      <c r="E4" s="415" t="s">
        <v>1136</v>
      </c>
      <c r="F4" s="415" t="s">
        <v>1243</v>
      </c>
      <c r="G4" s="415" t="s">
        <v>171</v>
      </c>
      <c r="H4" s="415" t="s">
        <v>848</v>
      </c>
      <c r="I4" s="415" t="s">
        <v>120</v>
      </c>
      <c r="J4" s="676"/>
      <c r="K4" s="676"/>
      <c r="L4" s="676"/>
      <c r="M4" s="676"/>
      <c r="N4" s="676"/>
      <c r="O4" s="676"/>
      <c r="P4" s="676"/>
      <c r="Q4" s="676"/>
      <c r="R4" s="676"/>
      <c r="S4" s="676"/>
      <c r="T4" s="676"/>
      <c r="U4" s="676"/>
      <c r="V4" s="676"/>
      <c r="W4" s="676"/>
      <c r="X4" s="676"/>
      <c r="Y4" s="676"/>
      <c r="Z4" s="676"/>
      <c r="AA4" s="676"/>
    </row>
    <row r="5" spans="1:27" x14ac:dyDescent="0.25">
      <c r="A5" s="92"/>
      <c r="B5" s="741"/>
      <c r="C5" s="625"/>
      <c r="D5" s="625"/>
      <c r="E5" s="741"/>
      <c r="F5" s="46"/>
      <c r="G5" s="46"/>
      <c r="H5" s="187"/>
      <c r="I5" s="187"/>
      <c r="J5" s="676"/>
      <c r="K5" s="676"/>
      <c r="L5" s="676"/>
      <c r="M5" s="676"/>
      <c r="N5" s="676"/>
      <c r="O5" s="676"/>
      <c r="P5" s="676"/>
      <c r="Q5" s="676"/>
      <c r="R5" s="676"/>
      <c r="S5" s="676"/>
      <c r="T5" s="676"/>
      <c r="U5" s="676"/>
      <c r="V5" s="676"/>
      <c r="W5" s="676"/>
      <c r="X5" s="676"/>
      <c r="Y5" s="676"/>
      <c r="Z5" s="676"/>
      <c r="AA5" s="676"/>
    </row>
    <row r="6" spans="1:27" x14ac:dyDescent="0.25">
      <c r="A6" s="20"/>
      <c r="B6" s="433">
        <v>1</v>
      </c>
      <c r="C6" s="558" t="s">
        <v>1014</v>
      </c>
      <c r="D6" s="320" t="s">
        <v>488</v>
      </c>
      <c r="E6" s="433" t="s">
        <v>950</v>
      </c>
      <c r="F6" s="508">
        <v>1.0249999999999999</v>
      </c>
      <c r="G6" s="508"/>
      <c r="H6" s="645"/>
      <c r="I6" s="645">
        <f>SUM(I7:I10)</f>
        <v>984176.34526315425</v>
      </c>
      <c r="J6" s="676"/>
      <c r="K6" s="676"/>
      <c r="L6" s="676"/>
      <c r="M6" s="676"/>
      <c r="N6" s="676"/>
      <c r="O6" s="676"/>
      <c r="P6" s="676"/>
      <c r="Q6" s="676"/>
      <c r="R6" s="676"/>
      <c r="S6" s="676"/>
      <c r="T6" s="676"/>
      <c r="U6" s="676"/>
      <c r="V6" s="676"/>
      <c r="W6" s="676"/>
      <c r="X6" s="676"/>
      <c r="Y6" s="676"/>
      <c r="Z6" s="676"/>
      <c r="AA6" s="676"/>
    </row>
    <row r="7" spans="1:27" x14ac:dyDescent="0.25">
      <c r="A7" s="609"/>
      <c r="B7" s="497"/>
      <c r="C7" s="48" t="s">
        <v>235</v>
      </c>
      <c r="D7" s="373" t="s">
        <v>662</v>
      </c>
      <c r="E7" s="497" t="s">
        <v>838</v>
      </c>
      <c r="F7" s="570">
        <v>322</v>
      </c>
      <c r="G7" s="570">
        <f>F6*F7</f>
        <v>330.04999999999995</v>
      </c>
      <c r="H7" s="687">
        <f>'Giá VL'!V37</f>
        <v>1587.7239999999999</v>
      </c>
      <c r="I7" s="687">
        <f t="shared" ref="I7:I10" si="0">G7*H7</f>
        <v>524028.30619999993</v>
      </c>
      <c r="J7" s="676"/>
      <c r="K7" s="676"/>
      <c r="L7" s="676"/>
      <c r="M7" s="676"/>
      <c r="N7" s="676"/>
      <c r="O7" s="676"/>
      <c r="P7" s="676"/>
      <c r="Q7" s="676"/>
      <c r="R7" s="676"/>
      <c r="S7" s="676"/>
      <c r="T7" s="676"/>
      <c r="U7" s="676"/>
      <c r="V7" s="676"/>
      <c r="W7" s="676"/>
      <c r="X7" s="676"/>
      <c r="Y7" s="676"/>
      <c r="Z7" s="676"/>
      <c r="AA7" s="676"/>
    </row>
    <row r="8" spans="1:27" x14ac:dyDescent="0.25">
      <c r="A8" s="609"/>
      <c r="B8" s="497"/>
      <c r="C8" s="48" t="s">
        <v>523</v>
      </c>
      <c r="D8" s="373" t="s">
        <v>721</v>
      </c>
      <c r="E8" s="497" t="s">
        <v>950</v>
      </c>
      <c r="F8" s="570">
        <v>0.52100000000000002</v>
      </c>
      <c r="G8" s="570">
        <f>F6*F8</f>
        <v>0.53402499999999997</v>
      </c>
      <c r="H8" s="687">
        <f>'Giá VL'!V9</f>
        <v>345317.29174999997</v>
      </c>
      <c r="I8" s="687">
        <f t="shared" si="0"/>
        <v>184408.06672679374</v>
      </c>
      <c r="J8" s="676"/>
      <c r="K8" s="676"/>
      <c r="L8" s="676"/>
      <c r="M8" s="676"/>
      <c r="N8" s="676"/>
      <c r="O8" s="676"/>
      <c r="P8" s="676"/>
      <c r="Q8" s="676"/>
      <c r="R8" s="676"/>
      <c r="S8" s="676"/>
      <c r="T8" s="676"/>
      <c r="U8" s="676"/>
      <c r="V8" s="676"/>
      <c r="W8" s="676"/>
      <c r="X8" s="676"/>
      <c r="Y8" s="676"/>
      <c r="Z8" s="676"/>
      <c r="AA8" s="676"/>
    </row>
    <row r="9" spans="1:27" x14ac:dyDescent="0.25">
      <c r="A9" s="609"/>
      <c r="B9" s="497"/>
      <c r="C9" s="48" t="s">
        <v>485</v>
      </c>
      <c r="D9" s="373" t="s">
        <v>1011</v>
      </c>
      <c r="E9" s="497" t="s">
        <v>950</v>
      </c>
      <c r="F9" s="570">
        <v>0.84499999999999997</v>
      </c>
      <c r="G9" s="570">
        <f>F6*F9</f>
        <v>0.86612499999999992</v>
      </c>
      <c r="H9" s="687">
        <f>'Giá VL'!V12</f>
        <v>316313.14456500002</v>
      </c>
      <c r="I9" s="687">
        <f t="shared" si="0"/>
        <v>273966.7223363606</v>
      </c>
      <c r="J9" s="676"/>
      <c r="K9" s="676"/>
      <c r="L9" s="676"/>
      <c r="M9" s="676"/>
      <c r="N9" s="676"/>
      <c r="O9" s="676"/>
      <c r="P9" s="676"/>
      <c r="Q9" s="676"/>
      <c r="R9" s="676"/>
      <c r="S9" s="676"/>
      <c r="T9" s="676"/>
      <c r="U9" s="676"/>
      <c r="V9" s="676"/>
      <c r="W9" s="676"/>
      <c r="X9" s="676"/>
      <c r="Y9" s="676"/>
      <c r="Z9" s="676"/>
      <c r="AA9" s="676"/>
    </row>
    <row r="10" spans="1:27" x14ac:dyDescent="0.25">
      <c r="A10" s="609"/>
      <c r="B10" s="497"/>
      <c r="C10" s="48" t="s">
        <v>956</v>
      </c>
      <c r="D10" s="373" t="s">
        <v>304</v>
      </c>
      <c r="E10" s="497" t="s">
        <v>447</v>
      </c>
      <c r="F10" s="570">
        <v>173</v>
      </c>
      <c r="G10" s="570">
        <f>F6*F10</f>
        <v>177.32499999999999</v>
      </c>
      <c r="H10" s="687">
        <f>'Giá VL'!V23</f>
        <v>10</v>
      </c>
      <c r="I10" s="687">
        <f t="shared" si="0"/>
        <v>1773.25</v>
      </c>
      <c r="J10" s="676"/>
      <c r="K10" s="676"/>
      <c r="L10" s="676"/>
      <c r="M10" s="676"/>
      <c r="N10" s="676"/>
      <c r="O10" s="676"/>
      <c r="P10" s="676"/>
      <c r="Q10" s="676"/>
      <c r="R10" s="676"/>
      <c r="S10" s="676"/>
      <c r="T10" s="676"/>
      <c r="U10" s="676"/>
      <c r="V10" s="676"/>
      <c r="W10" s="676"/>
      <c r="X10" s="676"/>
      <c r="Y10" s="676"/>
      <c r="Z10" s="676"/>
      <c r="AA10" s="676"/>
    </row>
    <row r="11" spans="1:27" x14ac:dyDescent="0.25">
      <c r="A11" s="20"/>
      <c r="B11" s="433">
        <v>2</v>
      </c>
      <c r="C11" s="558" t="s">
        <v>756</v>
      </c>
      <c r="D11" s="320" t="s">
        <v>719</v>
      </c>
      <c r="E11" s="433" t="s">
        <v>950</v>
      </c>
      <c r="F11" s="508">
        <v>8.8999999999999996E-2</v>
      </c>
      <c r="G11" s="508"/>
      <c r="H11" s="645"/>
      <c r="I11" s="645">
        <f>SUM(I12:I15)</f>
        <v>78213.649980450224</v>
      </c>
      <c r="J11" s="676"/>
      <c r="K11" s="676"/>
      <c r="L11" s="676"/>
      <c r="M11" s="676"/>
      <c r="N11" s="676"/>
      <c r="O11" s="676"/>
      <c r="P11" s="676"/>
      <c r="Q11" s="676"/>
      <c r="R11" s="676"/>
      <c r="S11" s="676"/>
      <c r="T11" s="676"/>
      <c r="U11" s="676"/>
      <c r="V11" s="676"/>
      <c r="W11" s="676"/>
      <c r="X11" s="676"/>
      <c r="Y11" s="676"/>
      <c r="Z11" s="676"/>
      <c r="AA11" s="676"/>
    </row>
    <row r="12" spans="1:27" x14ac:dyDescent="0.25">
      <c r="A12" s="609"/>
      <c r="B12" s="497"/>
      <c r="C12" s="48" t="s">
        <v>235</v>
      </c>
      <c r="D12" s="373" t="s">
        <v>662</v>
      </c>
      <c r="E12" s="497" t="s">
        <v>838</v>
      </c>
      <c r="F12" s="570">
        <v>259</v>
      </c>
      <c r="G12" s="570">
        <f>F11*F12</f>
        <v>23.050999999999998</v>
      </c>
      <c r="H12" s="687">
        <f>'Giá VL'!V37</f>
        <v>1587.7239999999999</v>
      </c>
      <c r="I12" s="687">
        <f t="shared" ref="I12:I15" si="1">G12*H12</f>
        <v>36598.625923999993</v>
      </c>
      <c r="J12" s="676"/>
      <c r="K12" s="676"/>
      <c r="L12" s="676"/>
      <c r="M12" s="676"/>
      <c r="N12" s="676"/>
      <c r="O12" s="676"/>
      <c r="P12" s="676"/>
      <c r="Q12" s="676"/>
      <c r="R12" s="676"/>
      <c r="S12" s="676"/>
      <c r="T12" s="676"/>
      <c r="U12" s="676"/>
      <c r="V12" s="676"/>
      <c r="W12" s="676"/>
      <c r="X12" s="676"/>
      <c r="Y12" s="676"/>
      <c r="Z12" s="676"/>
      <c r="AA12" s="676"/>
    </row>
    <row r="13" spans="1:27" x14ac:dyDescent="0.25">
      <c r="A13" s="609"/>
      <c r="B13" s="497"/>
      <c r="C13" s="48" t="s">
        <v>523</v>
      </c>
      <c r="D13" s="373" t="s">
        <v>721</v>
      </c>
      <c r="E13" s="497" t="s">
        <v>950</v>
      </c>
      <c r="F13" s="570">
        <v>0.52800000000000002</v>
      </c>
      <c r="G13" s="570">
        <f>F11*F13</f>
        <v>4.6991999999999999E-2</v>
      </c>
      <c r="H13" s="687">
        <f>'Giá VL'!V9</f>
        <v>345317.29174999997</v>
      </c>
      <c r="I13" s="687">
        <f t="shared" si="1"/>
        <v>16227.150173915998</v>
      </c>
      <c r="J13" s="676"/>
      <c r="K13" s="676"/>
      <c r="L13" s="676"/>
      <c r="M13" s="676"/>
      <c r="N13" s="676"/>
      <c r="O13" s="676"/>
      <c r="P13" s="676"/>
      <c r="Q13" s="676"/>
      <c r="R13" s="676"/>
      <c r="S13" s="676"/>
      <c r="T13" s="676"/>
      <c r="U13" s="676"/>
      <c r="V13" s="676"/>
      <c r="W13" s="676"/>
      <c r="X13" s="676"/>
      <c r="Y13" s="676"/>
      <c r="Z13" s="676"/>
      <c r="AA13" s="676"/>
    </row>
    <row r="14" spans="1:27" x14ac:dyDescent="0.25">
      <c r="A14" s="609"/>
      <c r="B14" s="497"/>
      <c r="C14" s="48" t="s">
        <v>123</v>
      </c>
      <c r="D14" s="373" t="s">
        <v>495</v>
      </c>
      <c r="E14" s="497" t="s">
        <v>950</v>
      </c>
      <c r="F14" s="570">
        <v>0.871</v>
      </c>
      <c r="G14" s="570">
        <f>F11*F14</f>
        <v>7.7518999999999991E-2</v>
      </c>
      <c r="H14" s="687">
        <f>'Giá VL'!V11</f>
        <v>325404.14456500002</v>
      </c>
      <c r="I14" s="687">
        <f t="shared" si="1"/>
        <v>25225.003882534234</v>
      </c>
      <c r="J14" s="676"/>
      <c r="K14" s="676"/>
      <c r="L14" s="676"/>
      <c r="M14" s="676"/>
      <c r="N14" s="676"/>
      <c r="O14" s="676"/>
      <c r="P14" s="676"/>
      <c r="Q14" s="676"/>
      <c r="R14" s="676"/>
      <c r="S14" s="676"/>
      <c r="T14" s="676"/>
      <c r="U14" s="676"/>
      <c r="V14" s="676"/>
      <c r="W14" s="676"/>
      <c r="X14" s="676"/>
      <c r="Y14" s="676"/>
      <c r="Z14" s="676"/>
      <c r="AA14" s="676"/>
    </row>
    <row r="15" spans="1:27" x14ac:dyDescent="0.25">
      <c r="A15" s="609"/>
      <c r="B15" s="497"/>
      <c r="C15" s="48" t="s">
        <v>956</v>
      </c>
      <c r="D15" s="373" t="s">
        <v>304</v>
      </c>
      <c r="E15" s="497" t="s">
        <v>447</v>
      </c>
      <c r="F15" s="570">
        <v>183</v>
      </c>
      <c r="G15" s="570">
        <f>F11*F15</f>
        <v>16.286999999999999</v>
      </c>
      <c r="H15" s="687">
        <f>'Giá VL'!V23</f>
        <v>10</v>
      </c>
      <c r="I15" s="687">
        <f t="shared" si="1"/>
        <v>162.87</v>
      </c>
      <c r="J15" s="676"/>
      <c r="K15" s="676"/>
      <c r="L15" s="676"/>
      <c r="M15" s="676"/>
      <c r="N15" s="676"/>
      <c r="O15" s="676"/>
      <c r="P15" s="676"/>
      <c r="Q15" s="676"/>
      <c r="R15" s="676"/>
      <c r="S15" s="676"/>
      <c r="T15" s="676"/>
      <c r="U15" s="676"/>
      <c r="V15" s="676"/>
      <c r="W15" s="676"/>
      <c r="X15" s="676"/>
      <c r="Y15" s="676"/>
      <c r="Z15" s="676"/>
      <c r="AA15" s="676"/>
    </row>
    <row r="16" spans="1:27" x14ac:dyDescent="0.25">
      <c r="A16" s="20"/>
      <c r="B16" s="433">
        <v>3</v>
      </c>
      <c r="C16" s="558" t="s">
        <v>590</v>
      </c>
      <c r="D16" s="320" t="s">
        <v>720</v>
      </c>
      <c r="E16" s="433" t="s">
        <v>950</v>
      </c>
      <c r="F16" s="508">
        <v>1.0249999999999999</v>
      </c>
      <c r="G16" s="508"/>
      <c r="H16" s="645"/>
      <c r="I16" s="645">
        <f>SUM(I17:I20)</f>
        <v>960604.52057185816</v>
      </c>
      <c r="J16" s="676"/>
      <c r="K16" s="676"/>
      <c r="L16" s="676"/>
      <c r="M16" s="676"/>
      <c r="N16" s="676"/>
      <c r="O16" s="676"/>
      <c r="P16" s="676"/>
      <c r="Q16" s="676"/>
      <c r="R16" s="676"/>
      <c r="S16" s="676"/>
      <c r="T16" s="676"/>
      <c r="U16" s="676"/>
      <c r="V16" s="676"/>
      <c r="W16" s="676"/>
      <c r="X16" s="676"/>
      <c r="Y16" s="676"/>
      <c r="Z16" s="676"/>
      <c r="AA16" s="676"/>
    </row>
    <row r="17" spans="1:27" x14ac:dyDescent="0.25">
      <c r="A17" s="609"/>
      <c r="B17" s="497"/>
      <c r="C17" s="48" t="s">
        <v>235</v>
      </c>
      <c r="D17" s="373" t="s">
        <v>662</v>
      </c>
      <c r="E17" s="497" t="s">
        <v>838</v>
      </c>
      <c r="F17" s="570">
        <v>301</v>
      </c>
      <c r="G17" s="570">
        <f>F16*F17</f>
        <v>308.52499999999998</v>
      </c>
      <c r="H17" s="687">
        <f>'Giá VL'!V37</f>
        <v>1587.7239999999999</v>
      </c>
      <c r="I17" s="687">
        <f t="shared" ref="I17:I20" si="2">G17*H17</f>
        <v>489852.54709999997</v>
      </c>
      <c r="J17" s="676"/>
      <c r="K17" s="676"/>
      <c r="L17" s="676"/>
      <c r="M17" s="676"/>
      <c r="N17" s="676"/>
      <c r="O17" s="676"/>
      <c r="P17" s="676"/>
      <c r="Q17" s="676"/>
      <c r="R17" s="676"/>
      <c r="S17" s="676"/>
      <c r="T17" s="676"/>
      <c r="U17" s="676"/>
      <c r="V17" s="676"/>
      <c r="W17" s="676"/>
      <c r="X17" s="676"/>
      <c r="Y17" s="676"/>
      <c r="Z17" s="676"/>
      <c r="AA17" s="676"/>
    </row>
    <row r="18" spans="1:27" x14ac:dyDescent="0.25">
      <c r="A18" s="609"/>
      <c r="B18" s="497"/>
      <c r="C18" s="48" t="s">
        <v>523</v>
      </c>
      <c r="D18" s="373" t="s">
        <v>721</v>
      </c>
      <c r="E18" s="497" t="s">
        <v>950</v>
      </c>
      <c r="F18" s="570">
        <v>0.51900000000000002</v>
      </c>
      <c r="G18" s="570">
        <f>F16*F18</f>
        <v>0.53197499999999998</v>
      </c>
      <c r="H18" s="687">
        <f>'Giá VL'!V9</f>
        <v>345317.29174999997</v>
      </c>
      <c r="I18" s="687">
        <f t="shared" si="2"/>
        <v>183700.16627870622</v>
      </c>
      <c r="J18" s="676"/>
      <c r="K18" s="676"/>
      <c r="L18" s="676"/>
      <c r="M18" s="676"/>
      <c r="N18" s="676"/>
      <c r="O18" s="676"/>
      <c r="P18" s="676"/>
      <c r="Q18" s="676"/>
      <c r="R18" s="676"/>
      <c r="S18" s="676"/>
      <c r="T18" s="676"/>
      <c r="U18" s="676"/>
      <c r="V18" s="676"/>
      <c r="W18" s="676"/>
      <c r="X18" s="676"/>
      <c r="Y18" s="676"/>
      <c r="Z18" s="676"/>
      <c r="AA18" s="676"/>
    </row>
    <row r="19" spans="1:27" x14ac:dyDescent="0.25">
      <c r="A19" s="609"/>
      <c r="B19" s="497"/>
      <c r="C19" s="48" t="s">
        <v>123</v>
      </c>
      <c r="D19" s="373" t="s">
        <v>495</v>
      </c>
      <c r="E19" s="497" t="s">
        <v>950</v>
      </c>
      <c r="F19" s="570">
        <v>0.85499999999999998</v>
      </c>
      <c r="G19" s="570">
        <f>F16*F19</f>
        <v>0.8763749999999999</v>
      </c>
      <c r="H19" s="687">
        <f>'Giá VL'!V11</f>
        <v>325404.14456500002</v>
      </c>
      <c r="I19" s="687">
        <f t="shared" si="2"/>
        <v>285176.05719315185</v>
      </c>
      <c r="J19" s="676"/>
      <c r="K19" s="676"/>
      <c r="L19" s="676"/>
      <c r="M19" s="676"/>
      <c r="N19" s="676"/>
      <c r="O19" s="676"/>
      <c r="P19" s="676"/>
      <c r="Q19" s="676"/>
      <c r="R19" s="676"/>
      <c r="S19" s="676"/>
      <c r="T19" s="676"/>
      <c r="U19" s="676"/>
      <c r="V19" s="676"/>
      <c r="W19" s="676"/>
      <c r="X19" s="676"/>
      <c r="Y19" s="676"/>
      <c r="Z19" s="676"/>
      <c r="AA19" s="676"/>
    </row>
    <row r="20" spans="1:27" x14ac:dyDescent="0.25">
      <c r="A20" s="609"/>
      <c r="B20" s="497"/>
      <c r="C20" s="48" t="s">
        <v>956</v>
      </c>
      <c r="D20" s="373" t="s">
        <v>304</v>
      </c>
      <c r="E20" s="497" t="s">
        <v>447</v>
      </c>
      <c r="F20" s="570">
        <v>183</v>
      </c>
      <c r="G20" s="570">
        <f>F16*F20</f>
        <v>187.57499999999999</v>
      </c>
      <c r="H20" s="687">
        <f>'Giá VL'!V23</f>
        <v>10</v>
      </c>
      <c r="I20" s="687">
        <f t="shared" si="2"/>
        <v>1875.75</v>
      </c>
      <c r="J20" s="676"/>
      <c r="K20" s="676"/>
      <c r="L20" s="676"/>
      <c r="M20" s="676"/>
      <c r="N20" s="676"/>
      <c r="O20" s="676"/>
      <c r="P20" s="676"/>
      <c r="Q20" s="676"/>
      <c r="R20" s="676"/>
      <c r="S20" s="676"/>
      <c r="T20" s="676"/>
      <c r="U20" s="676"/>
      <c r="V20" s="676"/>
      <c r="W20" s="676"/>
      <c r="X20" s="676"/>
      <c r="Y20" s="676"/>
      <c r="Z20" s="676"/>
      <c r="AA20" s="676"/>
    </row>
    <row r="21" spans="1:27" x14ac:dyDescent="0.25">
      <c r="A21" s="20"/>
      <c r="B21" s="433">
        <v>4</v>
      </c>
      <c r="C21" s="558" t="s">
        <v>446</v>
      </c>
      <c r="D21" s="320" t="s">
        <v>318</v>
      </c>
      <c r="E21" s="433" t="s">
        <v>950</v>
      </c>
      <c r="F21" s="508">
        <v>1.0249999999999999</v>
      </c>
      <c r="G21" s="508"/>
      <c r="H21" s="645"/>
      <c r="I21" s="645">
        <f>SUM(I22:I25)</f>
        <v>818258.84462943987</v>
      </c>
      <c r="J21" s="676"/>
      <c r="K21" s="676"/>
      <c r="L21" s="676"/>
      <c r="M21" s="676"/>
      <c r="N21" s="676"/>
      <c r="O21" s="676"/>
      <c r="P21" s="676"/>
      <c r="Q21" s="676"/>
      <c r="R21" s="676"/>
      <c r="S21" s="676"/>
      <c r="T21" s="676"/>
      <c r="U21" s="676"/>
      <c r="V21" s="676"/>
      <c r="W21" s="676"/>
      <c r="X21" s="676"/>
      <c r="Y21" s="676"/>
      <c r="Z21" s="676"/>
      <c r="AA21" s="676"/>
    </row>
    <row r="22" spans="1:27" x14ac:dyDescent="0.25">
      <c r="A22" s="609"/>
      <c r="B22" s="497"/>
      <c r="C22" s="48" t="s">
        <v>235</v>
      </c>
      <c r="D22" s="373" t="s">
        <v>662</v>
      </c>
      <c r="E22" s="497" t="s">
        <v>838</v>
      </c>
      <c r="F22" s="570">
        <v>205</v>
      </c>
      <c r="G22" s="570">
        <f>F21*F22</f>
        <v>210.12499999999997</v>
      </c>
      <c r="H22" s="687">
        <f>'Giá VL'!V37</f>
        <v>1587.7239999999999</v>
      </c>
      <c r="I22" s="687">
        <f t="shared" ref="I22:I25" si="3">G22*H22</f>
        <v>333620.50549999991</v>
      </c>
      <c r="J22" s="676"/>
      <c r="K22" s="676"/>
      <c r="L22" s="676"/>
      <c r="M22" s="676"/>
      <c r="N22" s="676"/>
      <c r="O22" s="676"/>
      <c r="P22" s="676"/>
      <c r="Q22" s="676"/>
      <c r="R22" s="676"/>
      <c r="S22" s="676"/>
      <c r="T22" s="676"/>
      <c r="U22" s="676"/>
      <c r="V22" s="676"/>
      <c r="W22" s="676"/>
      <c r="X22" s="676"/>
      <c r="Y22" s="676"/>
      <c r="Z22" s="676"/>
      <c r="AA22" s="676"/>
    </row>
    <row r="23" spans="1:27" x14ac:dyDescent="0.25">
      <c r="A23" s="609"/>
      <c r="B23" s="497"/>
      <c r="C23" s="48" t="s">
        <v>523</v>
      </c>
      <c r="D23" s="373" t="s">
        <v>721</v>
      </c>
      <c r="E23" s="497" t="s">
        <v>950</v>
      </c>
      <c r="F23" s="570">
        <v>0.54900000000000004</v>
      </c>
      <c r="G23" s="570">
        <f>F21*F23</f>
        <v>0.56272500000000003</v>
      </c>
      <c r="H23" s="687">
        <f>'Giá VL'!V9</f>
        <v>345317.29174999997</v>
      </c>
      <c r="I23" s="687">
        <f t="shared" si="3"/>
        <v>194318.67300001875</v>
      </c>
      <c r="J23" s="676"/>
      <c r="K23" s="676"/>
      <c r="L23" s="676"/>
      <c r="M23" s="676"/>
      <c r="N23" s="676"/>
      <c r="O23" s="676"/>
      <c r="P23" s="676"/>
      <c r="Q23" s="676"/>
      <c r="R23" s="676"/>
      <c r="S23" s="676"/>
      <c r="T23" s="676"/>
      <c r="U23" s="676"/>
      <c r="V23" s="676"/>
      <c r="W23" s="676"/>
      <c r="X23" s="676"/>
      <c r="Y23" s="676"/>
      <c r="Z23" s="676"/>
      <c r="AA23" s="676"/>
    </row>
    <row r="24" spans="1:27" x14ac:dyDescent="0.25">
      <c r="A24" s="609"/>
      <c r="B24" s="497"/>
      <c r="C24" s="48" t="s">
        <v>485</v>
      </c>
      <c r="D24" s="373" t="s">
        <v>1011</v>
      </c>
      <c r="E24" s="497" t="s">
        <v>950</v>
      </c>
      <c r="F24" s="570">
        <v>0.89</v>
      </c>
      <c r="G24" s="570">
        <f>F21*F24</f>
        <v>0.91224999999999989</v>
      </c>
      <c r="H24" s="687">
        <f>'Giá VL'!V12</f>
        <v>316313.14456500002</v>
      </c>
      <c r="I24" s="687">
        <f t="shared" si="3"/>
        <v>288556.66612942121</v>
      </c>
      <c r="J24" s="676"/>
      <c r="K24" s="676"/>
      <c r="L24" s="676"/>
      <c r="M24" s="676"/>
      <c r="N24" s="676"/>
      <c r="O24" s="676"/>
      <c r="P24" s="676"/>
      <c r="Q24" s="676"/>
      <c r="R24" s="676"/>
      <c r="S24" s="676"/>
      <c r="T24" s="676"/>
      <c r="U24" s="676"/>
      <c r="V24" s="676"/>
      <c r="W24" s="676"/>
      <c r="X24" s="676"/>
      <c r="Y24" s="676"/>
      <c r="Z24" s="676"/>
      <c r="AA24" s="676"/>
    </row>
    <row r="25" spans="1:27" x14ac:dyDescent="0.25">
      <c r="A25" s="609"/>
      <c r="B25" s="497"/>
      <c r="C25" s="48" t="s">
        <v>956</v>
      </c>
      <c r="D25" s="373" t="s">
        <v>304</v>
      </c>
      <c r="E25" s="497" t="s">
        <v>447</v>
      </c>
      <c r="F25" s="570">
        <v>172</v>
      </c>
      <c r="G25" s="570">
        <f>F21*F25</f>
        <v>176.29999999999998</v>
      </c>
      <c r="H25" s="687">
        <f>'Giá VL'!V23</f>
        <v>10</v>
      </c>
      <c r="I25" s="687">
        <f t="shared" si="3"/>
        <v>1762.9999999999998</v>
      </c>
      <c r="J25" s="676"/>
      <c r="K25" s="676"/>
      <c r="L25" s="676"/>
      <c r="M25" s="676"/>
      <c r="N25" s="676"/>
      <c r="O25" s="676"/>
      <c r="P25" s="676"/>
      <c r="Q25" s="676"/>
      <c r="R25" s="676"/>
      <c r="S25" s="676"/>
      <c r="T25" s="676"/>
      <c r="U25" s="676"/>
      <c r="V25" s="676"/>
      <c r="W25" s="676"/>
      <c r="X25" s="676"/>
      <c r="Y25" s="676"/>
      <c r="Z25" s="676"/>
      <c r="AA25" s="676"/>
    </row>
    <row r="26" spans="1:27" x14ac:dyDescent="0.25">
      <c r="A26" s="20"/>
      <c r="B26" s="433">
        <v>5</v>
      </c>
      <c r="C26" s="558" t="s">
        <v>1192</v>
      </c>
      <c r="D26" s="320" t="s">
        <v>141</v>
      </c>
      <c r="E26" s="433" t="s">
        <v>950</v>
      </c>
      <c r="F26" s="508">
        <v>1.0249999999999999</v>
      </c>
      <c r="G26" s="508"/>
      <c r="H26" s="645"/>
      <c r="I26" s="645">
        <f>SUM(I27:I30)</f>
        <v>930707.58305041399</v>
      </c>
      <c r="J26" s="676"/>
      <c r="K26" s="676"/>
      <c r="L26" s="676"/>
      <c r="M26" s="676"/>
      <c r="N26" s="676"/>
      <c r="O26" s="676"/>
      <c r="P26" s="676"/>
      <c r="Q26" s="676"/>
      <c r="R26" s="676"/>
      <c r="S26" s="676"/>
      <c r="T26" s="676"/>
      <c r="U26" s="676"/>
      <c r="V26" s="676"/>
      <c r="W26" s="676"/>
      <c r="X26" s="676"/>
      <c r="Y26" s="676"/>
      <c r="Z26" s="676"/>
      <c r="AA26" s="676"/>
    </row>
    <row r="27" spans="1:27" x14ac:dyDescent="0.25">
      <c r="A27" s="609"/>
      <c r="B27" s="497"/>
      <c r="C27" s="48" t="s">
        <v>235</v>
      </c>
      <c r="D27" s="373" t="s">
        <v>662</v>
      </c>
      <c r="E27" s="497" t="s">
        <v>838</v>
      </c>
      <c r="F27" s="570">
        <v>284</v>
      </c>
      <c r="G27" s="570">
        <f>F26*F27</f>
        <v>291.09999999999997</v>
      </c>
      <c r="H27" s="687">
        <f>'Giá VL'!V37</f>
        <v>1587.7239999999999</v>
      </c>
      <c r="I27" s="687">
        <f t="shared" ref="I27:I30" si="4">G27*H27</f>
        <v>462186.45639999991</v>
      </c>
      <c r="J27" s="676"/>
      <c r="K27" s="676"/>
      <c r="L27" s="676"/>
      <c r="M27" s="676"/>
      <c r="N27" s="676"/>
      <c r="O27" s="676"/>
      <c r="P27" s="676"/>
      <c r="Q27" s="676"/>
      <c r="R27" s="676"/>
      <c r="S27" s="676"/>
      <c r="T27" s="676"/>
      <c r="U27" s="676"/>
      <c r="V27" s="676"/>
      <c r="W27" s="676"/>
      <c r="X27" s="676"/>
      <c r="Y27" s="676"/>
      <c r="Z27" s="676"/>
      <c r="AA27" s="676"/>
    </row>
    <row r="28" spans="1:27" x14ac:dyDescent="0.25">
      <c r="A28" s="609"/>
      <c r="B28" s="497"/>
      <c r="C28" s="48" t="s">
        <v>523</v>
      </c>
      <c r="D28" s="373" t="s">
        <v>721</v>
      </c>
      <c r="E28" s="497" t="s">
        <v>950</v>
      </c>
      <c r="F28" s="570">
        <v>0.53</v>
      </c>
      <c r="G28" s="570">
        <f>F26*F28</f>
        <v>0.54325000000000001</v>
      </c>
      <c r="H28" s="687">
        <f>'Giá VL'!V9</f>
        <v>345317.29174999997</v>
      </c>
      <c r="I28" s="687">
        <f t="shared" si="4"/>
        <v>187593.61874318749</v>
      </c>
      <c r="J28" s="676"/>
      <c r="K28" s="676"/>
      <c r="L28" s="676"/>
      <c r="M28" s="676"/>
      <c r="N28" s="676"/>
      <c r="O28" s="676"/>
      <c r="P28" s="676"/>
      <c r="Q28" s="676"/>
      <c r="R28" s="676"/>
      <c r="S28" s="676"/>
      <c r="T28" s="676"/>
      <c r="U28" s="676"/>
      <c r="V28" s="676"/>
      <c r="W28" s="676"/>
      <c r="X28" s="676"/>
      <c r="Y28" s="676"/>
      <c r="Z28" s="676"/>
      <c r="AA28" s="676"/>
    </row>
    <row r="29" spans="1:27" x14ac:dyDescent="0.25">
      <c r="A29" s="609"/>
      <c r="B29" s="497"/>
      <c r="C29" s="48" t="s">
        <v>485</v>
      </c>
      <c r="D29" s="373" t="s">
        <v>1011</v>
      </c>
      <c r="E29" s="497" t="s">
        <v>950</v>
      </c>
      <c r="F29" s="570">
        <v>0.86099999999999999</v>
      </c>
      <c r="G29" s="570">
        <f>F26*F29</f>
        <v>0.88252499999999989</v>
      </c>
      <c r="H29" s="687">
        <f>'Giá VL'!V12</f>
        <v>316313.14456500002</v>
      </c>
      <c r="I29" s="687">
        <f t="shared" si="4"/>
        <v>279154.25790722662</v>
      </c>
      <c r="J29" s="676"/>
      <c r="K29" s="676"/>
      <c r="L29" s="676"/>
      <c r="M29" s="676"/>
      <c r="N29" s="676"/>
      <c r="O29" s="676"/>
      <c r="P29" s="676"/>
      <c r="Q29" s="676"/>
      <c r="R29" s="676"/>
      <c r="S29" s="676"/>
      <c r="T29" s="676"/>
      <c r="U29" s="676"/>
      <c r="V29" s="676"/>
      <c r="W29" s="676"/>
      <c r="X29" s="676"/>
      <c r="Y29" s="676"/>
      <c r="Z29" s="676"/>
      <c r="AA29" s="676"/>
    </row>
    <row r="30" spans="1:27" x14ac:dyDescent="0.25">
      <c r="A30" s="544"/>
      <c r="B30" s="428"/>
      <c r="C30" s="746" t="s">
        <v>956</v>
      </c>
      <c r="D30" s="315" t="s">
        <v>304</v>
      </c>
      <c r="E30" s="428" t="s">
        <v>447</v>
      </c>
      <c r="F30" s="504">
        <v>173</v>
      </c>
      <c r="G30" s="504">
        <f>F26*F30</f>
        <v>177.32499999999999</v>
      </c>
      <c r="H30" s="640">
        <f>'Giá VL'!V23</f>
        <v>10</v>
      </c>
      <c r="I30" s="640">
        <f t="shared" si="4"/>
        <v>1773.25</v>
      </c>
      <c r="J30" s="676"/>
      <c r="K30" s="676"/>
      <c r="L30" s="676"/>
      <c r="M30" s="676"/>
      <c r="N30" s="676"/>
      <c r="O30" s="676"/>
      <c r="P30" s="676"/>
      <c r="Q30" s="676"/>
      <c r="R30" s="676"/>
      <c r="S30" s="676"/>
      <c r="T30" s="676"/>
      <c r="U30" s="676"/>
      <c r="V30" s="676"/>
      <c r="W30" s="676"/>
      <c r="X30" s="676"/>
      <c r="Y30" s="676"/>
      <c r="Z30" s="676"/>
      <c r="AA30" s="676"/>
    </row>
    <row r="31" spans="1:27" x14ac:dyDescent="0.25">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row>
    <row r="32" spans="1:27" x14ac:dyDescent="0.2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row>
  </sheetData>
  <mergeCells count="3">
    <mergeCell ref="A1:I1"/>
    <mergeCell ref="A2:I2"/>
    <mergeCell ref="A3:I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Zeros="0" workbookViewId="0">
      <selection activeCell="B1" sqref="B1"/>
    </sheetView>
  </sheetViews>
  <sheetFormatPr defaultRowHeight="15" x14ac:dyDescent="0.25"/>
  <cols>
    <col min="1" max="1" width="5.85546875" customWidth="1"/>
    <col min="2" max="2" width="11.85546875" customWidth="1"/>
    <col min="3" max="3" width="60.85546875" customWidth="1"/>
    <col min="4" max="4" width="7.85546875" customWidth="1"/>
    <col min="5" max="9" width="9.85546875" customWidth="1"/>
    <col min="10" max="11" width="11.85546875" customWidth="1"/>
    <col min="12" max="16" width="13.85546875" customWidth="1"/>
    <col min="17" max="17" width="11.85546875" customWidth="1"/>
    <col min="18" max="18" width="9.42578125" customWidth="1"/>
  </cols>
  <sheetData>
    <row r="1" spans="1:18" ht="55.15" customHeight="1" x14ac:dyDescent="0.3">
      <c r="A1" s="460"/>
      <c r="B1" s="460"/>
      <c r="C1" s="460"/>
      <c r="D1" s="460"/>
      <c r="E1" s="460"/>
      <c r="F1" s="460"/>
      <c r="G1" s="460"/>
      <c r="H1" s="460"/>
      <c r="I1" s="460"/>
      <c r="J1" s="460"/>
      <c r="K1" s="460"/>
      <c r="L1" s="460"/>
      <c r="M1" s="460"/>
      <c r="N1" s="460"/>
      <c r="O1" s="460"/>
      <c r="P1" s="1168" t="s">
        <v>1203</v>
      </c>
      <c r="Q1" s="1168"/>
      <c r="R1" s="660"/>
    </row>
    <row r="2" spans="1:18" ht="17.649999999999999" customHeight="1" x14ac:dyDescent="0.3">
      <c r="A2" s="1167" t="s">
        <v>272</v>
      </c>
      <c r="B2" s="1162"/>
      <c r="C2" s="1162"/>
      <c r="D2" s="1162"/>
      <c r="E2" s="1162"/>
      <c r="F2" s="1162"/>
      <c r="G2" s="1162"/>
      <c r="H2" s="1162"/>
      <c r="I2" s="1162"/>
      <c r="J2" s="1162"/>
      <c r="K2" s="1162"/>
      <c r="L2" s="1162"/>
      <c r="M2" s="1162"/>
      <c r="N2" s="1162"/>
      <c r="O2" s="1162"/>
      <c r="P2" s="1162"/>
      <c r="Q2" s="1162"/>
      <c r="R2" s="194"/>
    </row>
    <row r="3" spans="1:18" ht="15.4" customHeight="1" x14ac:dyDescent="0.25">
      <c r="A3" s="1161" t="s">
        <v>146</v>
      </c>
      <c r="B3" s="1162"/>
      <c r="C3" s="1162"/>
      <c r="D3" s="1162"/>
      <c r="E3" s="1162"/>
      <c r="F3" s="1162"/>
      <c r="G3" s="1162"/>
      <c r="H3" s="1162"/>
      <c r="I3" s="1162"/>
      <c r="J3" s="1162"/>
      <c r="K3" s="1162"/>
      <c r="L3" s="1162"/>
      <c r="M3" s="1162"/>
      <c r="N3" s="1162"/>
      <c r="O3" s="1162"/>
      <c r="P3" s="1162"/>
      <c r="Q3" s="1162"/>
      <c r="R3" s="194"/>
    </row>
    <row r="4" spans="1:18" ht="15.4" customHeight="1" x14ac:dyDescent="0.25">
      <c r="A4" s="1161" t="s">
        <v>39</v>
      </c>
      <c r="B4" s="1161"/>
      <c r="C4" s="1161"/>
      <c r="D4" s="1161"/>
      <c r="E4" s="1161"/>
      <c r="F4" s="1161"/>
      <c r="G4" s="1161"/>
      <c r="H4" s="1161"/>
      <c r="I4" s="1161"/>
      <c r="J4" s="1161"/>
      <c r="K4" s="1161"/>
      <c r="L4" s="1161"/>
      <c r="M4" s="1161"/>
      <c r="N4" s="1161"/>
      <c r="O4" s="1161"/>
      <c r="P4" s="1161"/>
      <c r="Q4" s="1161"/>
      <c r="R4" s="194"/>
    </row>
    <row r="5" spans="1:18" ht="14.45" customHeight="1" x14ac:dyDescent="0.25">
      <c r="A5" s="38" t="s">
        <v>185</v>
      </c>
      <c r="B5" s="245"/>
      <c r="C5" s="245"/>
      <c r="D5" s="245"/>
      <c r="E5" s="245"/>
      <c r="F5" s="245"/>
      <c r="G5" s="245"/>
      <c r="H5" s="245"/>
      <c r="I5" s="245"/>
      <c r="J5" s="245"/>
      <c r="K5" s="245"/>
      <c r="L5" s="245"/>
      <c r="M5" s="245"/>
      <c r="N5" s="245"/>
      <c r="O5" s="245"/>
      <c r="P5" s="245"/>
      <c r="Q5" s="245"/>
      <c r="R5" s="194"/>
    </row>
    <row r="6" spans="1:18" ht="14.45" customHeight="1" x14ac:dyDescent="0.25">
      <c r="A6" s="38" t="s">
        <v>896</v>
      </c>
      <c r="B6" s="245"/>
      <c r="C6" s="245"/>
      <c r="D6" s="245"/>
      <c r="E6" s="245"/>
      <c r="F6" s="245"/>
      <c r="G6" s="245"/>
      <c r="H6" s="245"/>
      <c r="I6" s="245"/>
      <c r="J6" s="245"/>
      <c r="K6" s="245"/>
      <c r="L6" s="245"/>
      <c r="M6" s="245"/>
      <c r="N6" s="245"/>
      <c r="O6" s="245"/>
      <c r="P6" s="245"/>
      <c r="Q6" s="245"/>
      <c r="R6" s="194"/>
    </row>
    <row r="7" spans="1:18" ht="14.45" customHeight="1" x14ac:dyDescent="0.25">
      <c r="A7" s="38" t="s">
        <v>63</v>
      </c>
      <c r="B7" s="245"/>
      <c r="C7" s="245"/>
      <c r="D7" s="38" t="s">
        <v>1109</v>
      </c>
      <c r="E7" s="245"/>
      <c r="F7" s="245"/>
      <c r="G7" s="245"/>
      <c r="H7" s="245"/>
      <c r="I7" s="245"/>
      <c r="J7" s="245"/>
      <c r="K7" s="245"/>
      <c r="L7" s="245"/>
      <c r="M7" s="245"/>
      <c r="N7" s="245"/>
      <c r="O7" s="245"/>
      <c r="P7" s="245"/>
      <c r="Q7" s="245"/>
      <c r="R7" s="194"/>
    </row>
    <row r="8" spans="1:18" ht="14.45" customHeight="1" x14ac:dyDescent="0.25">
      <c r="A8" s="38" t="s">
        <v>402</v>
      </c>
      <c r="B8" s="245"/>
      <c r="C8" s="245"/>
      <c r="D8" s="245"/>
      <c r="E8" s="245"/>
      <c r="F8" s="245"/>
      <c r="G8" s="245"/>
      <c r="H8" s="245"/>
      <c r="I8" s="245"/>
      <c r="J8" s="245"/>
      <c r="K8" s="245"/>
      <c r="L8" s="245"/>
      <c r="M8" s="245"/>
      <c r="N8" s="245"/>
      <c r="O8" s="245"/>
      <c r="P8" s="245"/>
      <c r="Q8" s="245"/>
      <c r="R8" s="194"/>
    </row>
    <row r="9" spans="1:18" ht="14.45" customHeight="1" x14ac:dyDescent="0.25">
      <c r="A9" s="38" t="s">
        <v>582</v>
      </c>
      <c r="B9" s="245"/>
      <c r="C9" s="245"/>
      <c r="D9" s="245"/>
      <c r="E9" s="245"/>
      <c r="F9" s="245"/>
      <c r="G9" s="245"/>
      <c r="H9" s="245"/>
      <c r="I9" s="245"/>
      <c r="J9" s="245"/>
      <c r="K9" s="245"/>
      <c r="L9" s="245"/>
      <c r="M9" s="245"/>
      <c r="N9" s="245"/>
      <c r="O9" s="245"/>
      <c r="P9" s="245"/>
      <c r="Q9" s="245"/>
      <c r="R9" s="194"/>
    </row>
    <row r="10" spans="1:18" ht="14.45" customHeight="1" x14ac:dyDescent="0.25">
      <c r="A10" s="38" t="s">
        <v>900</v>
      </c>
      <c r="B10" s="245"/>
      <c r="C10" s="245"/>
      <c r="D10" s="245"/>
      <c r="E10" s="245"/>
      <c r="F10" s="245"/>
      <c r="G10" s="245"/>
      <c r="H10" s="245"/>
      <c r="I10" s="245"/>
      <c r="J10" s="245"/>
      <c r="K10" s="245"/>
      <c r="L10" s="245"/>
      <c r="M10" s="245"/>
      <c r="N10" s="245"/>
      <c r="O10" s="245"/>
      <c r="P10" s="245"/>
      <c r="Q10" s="245"/>
      <c r="R10" s="194"/>
    </row>
    <row r="11" spans="1:18" ht="14.45" customHeight="1" x14ac:dyDescent="0.25">
      <c r="A11" s="38" t="s">
        <v>224</v>
      </c>
      <c r="B11" s="245"/>
      <c r="C11" s="245"/>
      <c r="D11" s="245"/>
      <c r="E11" s="245"/>
      <c r="F11" s="245"/>
      <c r="G11" s="245"/>
      <c r="H11" s="245"/>
      <c r="I11" s="245"/>
      <c r="J11" s="245"/>
      <c r="K11" s="245"/>
      <c r="L11" s="245"/>
      <c r="M11" s="245"/>
      <c r="N11" s="245"/>
      <c r="O11" s="245"/>
      <c r="P11" s="245"/>
      <c r="Q11" s="245"/>
      <c r="R11" s="194"/>
    </row>
    <row r="12" spans="1:18" ht="14.45" customHeight="1" x14ac:dyDescent="0.25">
      <c r="A12" s="38" t="s">
        <v>976</v>
      </c>
      <c r="B12" s="245"/>
      <c r="C12" s="245"/>
      <c r="D12" s="245"/>
      <c r="E12" s="245"/>
      <c r="F12" s="245"/>
      <c r="G12" s="245"/>
      <c r="H12" s="245"/>
      <c r="I12" s="245"/>
      <c r="J12" s="245"/>
      <c r="K12" s="245"/>
      <c r="L12" s="245"/>
      <c r="M12" s="245"/>
      <c r="N12" s="245"/>
      <c r="O12" s="245"/>
      <c r="P12" s="245"/>
      <c r="Q12" s="245"/>
      <c r="R12" s="194"/>
    </row>
    <row r="13" spans="1:18" ht="14.45" customHeight="1" x14ac:dyDescent="0.25">
      <c r="A13" s="245"/>
      <c r="B13" s="245"/>
      <c r="C13" s="245"/>
      <c r="D13" s="245"/>
      <c r="E13" s="245"/>
      <c r="F13" s="245"/>
      <c r="G13" s="245"/>
      <c r="H13" s="245"/>
      <c r="I13" s="245"/>
      <c r="J13" s="245"/>
      <c r="K13" s="245"/>
      <c r="L13" s="245"/>
      <c r="M13" s="245"/>
      <c r="N13" s="245"/>
      <c r="O13" s="245"/>
      <c r="P13" s="245"/>
      <c r="Q13" s="245"/>
      <c r="R13" s="194"/>
    </row>
    <row r="14" spans="1:18" ht="14.25" customHeight="1" x14ac:dyDescent="0.25">
      <c r="A14" s="1164" t="s">
        <v>386</v>
      </c>
      <c r="B14" s="1166" t="s">
        <v>1120</v>
      </c>
      <c r="C14" s="1164" t="s">
        <v>1172</v>
      </c>
      <c r="D14" s="1164" t="s">
        <v>324</v>
      </c>
      <c r="E14" s="1164" t="s">
        <v>449</v>
      </c>
      <c r="F14" s="1164"/>
      <c r="G14" s="1165"/>
      <c r="H14" s="1165"/>
      <c r="I14" s="1165"/>
      <c r="J14" s="1164" t="s">
        <v>534</v>
      </c>
      <c r="K14" s="1165"/>
      <c r="L14" s="1164" t="s">
        <v>388</v>
      </c>
      <c r="M14" s="1164"/>
      <c r="N14" s="1165"/>
      <c r="O14" s="1165"/>
      <c r="P14" s="1165"/>
      <c r="Q14" s="1164" t="s">
        <v>1118</v>
      </c>
      <c r="R14" s="194"/>
    </row>
    <row r="15" spans="1:18" ht="16.5" customHeight="1" x14ac:dyDescent="0.25">
      <c r="A15" s="1165"/>
      <c r="B15" s="1165"/>
      <c r="C15" s="1165"/>
      <c r="D15" s="1165"/>
      <c r="E15" s="1164" t="s">
        <v>1123</v>
      </c>
      <c r="F15" s="1164"/>
      <c r="G15" s="1164" t="s">
        <v>1097</v>
      </c>
      <c r="H15" s="1165"/>
      <c r="I15" s="66"/>
      <c r="J15" s="1164" t="s">
        <v>534</v>
      </c>
      <c r="K15" s="1164" t="s">
        <v>917</v>
      </c>
      <c r="L15" s="1169" t="s">
        <v>1123</v>
      </c>
      <c r="M15" s="1169"/>
      <c r="N15" s="1164" t="s">
        <v>1097</v>
      </c>
      <c r="O15" s="1165"/>
      <c r="P15" s="1165"/>
      <c r="Q15" s="1165"/>
      <c r="R15" s="194"/>
    </row>
    <row r="16" spans="1:18" ht="78" customHeight="1" x14ac:dyDescent="0.25">
      <c r="A16" s="1165"/>
      <c r="B16" s="1165"/>
      <c r="C16" s="1165"/>
      <c r="D16" s="1165"/>
      <c r="E16" s="84" t="s">
        <v>746</v>
      </c>
      <c r="F16" s="84" t="s">
        <v>494</v>
      </c>
      <c r="G16" s="115" t="s">
        <v>883</v>
      </c>
      <c r="H16" s="115" t="s">
        <v>231</v>
      </c>
      <c r="I16" s="115" t="s">
        <v>864</v>
      </c>
      <c r="J16" s="1165"/>
      <c r="K16" s="1165"/>
      <c r="L16" s="115" t="s">
        <v>746</v>
      </c>
      <c r="M16" s="84" t="s">
        <v>843</v>
      </c>
      <c r="N16" s="115" t="s">
        <v>883</v>
      </c>
      <c r="O16" s="115" t="s">
        <v>231</v>
      </c>
      <c r="P16" s="115" t="s">
        <v>864</v>
      </c>
      <c r="Q16" s="1165"/>
      <c r="R16" s="194"/>
    </row>
    <row r="17" spans="1:18" ht="14.45" customHeight="1" x14ac:dyDescent="0.25">
      <c r="A17" s="475"/>
      <c r="B17" s="250"/>
      <c r="C17" s="3"/>
      <c r="D17" s="475"/>
      <c r="E17" s="18"/>
      <c r="F17" s="18"/>
      <c r="G17" s="18"/>
      <c r="H17" s="18"/>
      <c r="I17" s="18"/>
      <c r="J17" s="171"/>
      <c r="K17" s="171"/>
      <c r="L17" s="171"/>
      <c r="M17" s="171"/>
      <c r="N17" s="171"/>
      <c r="O17" s="171"/>
      <c r="P17" s="171"/>
      <c r="Q17" s="18"/>
      <c r="R17" s="194"/>
    </row>
    <row r="18" spans="1:18" ht="14.1" customHeight="1" x14ac:dyDescent="0.25">
      <c r="A18" s="94">
        <v>0</v>
      </c>
      <c r="B18" s="121" t="s">
        <v>875</v>
      </c>
      <c r="C18" s="121" t="s">
        <v>873</v>
      </c>
      <c r="D18" s="94"/>
      <c r="E18" s="500"/>
      <c r="F18" s="500"/>
      <c r="G18" s="500"/>
      <c r="H18" s="500"/>
      <c r="I18" s="479"/>
      <c r="J18" s="479"/>
      <c r="K18" s="479"/>
      <c r="L18" s="479"/>
      <c r="M18" s="479"/>
      <c r="N18" s="479"/>
      <c r="O18" s="479"/>
      <c r="P18" s="121"/>
      <c r="Q18" s="121"/>
    </row>
    <row r="19" spans="1:18" ht="14.1" customHeight="1" x14ac:dyDescent="0.25">
      <c r="A19" s="302">
        <v>1</v>
      </c>
      <c r="B19" s="139" t="str">
        <f>'Du toan chi tiet'!C8</f>
        <v>AD.23263</v>
      </c>
      <c r="C19" s="139" t="str">
        <f>'Du toan chi tiet'!D8</f>
        <v>Rải thảm mặt đường Carboncor Asphalt, bằng phương pháp thủ cơ giới, chiều dày mặt đường đã lèn ép 3cm</v>
      </c>
      <c r="D19" s="302" t="str">
        <f>'Du toan chi tiet'!E8</f>
        <v>m2</v>
      </c>
      <c r="E19" s="230">
        <f>'Du toan chi tiet'!M8</f>
        <v>1631.42</v>
      </c>
      <c r="F19" s="230"/>
      <c r="G19" s="230"/>
      <c r="H19" s="230"/>
      <c r="I19" s="166"/>
      <c r="J19" s="166">
        <f>'Chiết tính'!J28</f>
        <v>287678.41615047934</v>
      </c>
      <c r="K19" s="166"/>
      <c r="L19" s="166">
        <f t="shared" ref="L19:L59" si="0">E19*J19</f>
        <v>469324321.67621505</v>
      </c>
      <c r="M19" s="166"/>
      <c r="N19" s="166">
        <f t="shared" ref="N19:N59" si="1">F19*J19</f>
        <v>0</v>
      </c>
      <c r="O19" s="166">
        <f t="shared" ref="O19:O59" si="2">G19*J19</f>
        <v>0</v>
      </c>
      <c r="P19" s="139">
        <f t="shared" ref="P19:P59" si="3">H19*J19</f>
        <v>0</v>
      </c>
      <c r="Q19" s="139"/>
    </row>
    <row r="20" spans="1:18" ht="14.1" customHeight="1" x14ac:dyDescent="0.25">
      <c r="A20" s="302">
        <v>2</v>
      </c>
      <c r="B20" s="139" t="str">
        <f>'Du toan chi tiet'!C9</f>
        <v>AD.23261vd</v>
      </c>
      <c r="C20" s="139" t="str">
        <f>'Du toan chi tiet'!D9</f>
        <v>Rải thảm mặt đường Carboncor Asphalt, bằng phương pháp thủ cơ giới, chiều dày mặt đường đã lèn ép 1cm</v>
      </c>
      <c r="D20" s="302" t="str">
        <f>'Du toan chi tiet'!E9</f>
        <v>m2</v>
      </c>
      <c r="E20" s="230">
        <f>'Du toan chi tiet'!M9</f>
        <v>856.71</v>
      </c>
      <c r="F20" s="230"/>
      <c r="G20" s="230"/>
      <c r="H20" s="230"/>
      <c r="I20" s="166"/>
      <c r="J20" s="166">
        <f>'Chiết tính'!J51</f>
        <v>99304.94086159725</v>
      </c>
      <c r="K20" s="166"/>
      <c r="L20" s="166">
        <f t="shared" si="0"/>
        <v>85075535.88553898</v>
      </c>
      <c r="M20" s="166"/>
      <c r="N20" s="166">
        <f t="shared" si="1"/>
        <v>0</v>
      </c>
      <c r="O20" s="166">
        <f t="shared" si="2"/>
        <v>0</v>
      </c>
      <c r="P20" s="139">
        <f t="shared" si="3"/>
        <v>0</v>
      </c>
      <c r="Q20" s="139"/>
    </row>
    <row r="21" spans="1:18" ht="14.1" customHeight="1" x14ac:dyDescent="0.25">
      <c r="A21" s="302">
        <v>3</v>
      </c>
      <c r="B21" s="139" t="e">
        <f>'Du toan chi tiet'!#REF!</f>
        <v>#REF!</v>
      </c>
      <c r="C21" s="139" t="e">
        <f>'Du toan chi tiet'!#REF!</f>
        <v>#REF!</v>
      </c>
      <c r="D21" s="302" t="e">
        <f>'Du toan chi tiet'!#REF!</f>
        <v>#REF!</v>
      </c>
      <c r="E21" s="230" t="e">
        <f>'Du toan chi tiet'!#REF!</f>
        <v>#REF!</v>
      </c>
      <c r="F21" s="230"/>
      <c r="G21" s="230"/>
      <c r="H21" s="230"/>
      <c r="I21" s="166"/>
      <c r="J21" s="166" t="e">
        <f>'Chiết tính'!J72</f>
        <v>#REF!</v>
      </c>
      <c r="K21" s="166"/>
      <c r="L21" s="166" t="e">
        <f t="shared" si="0"/>
        <v>#REF!</v>
      </c>
      <c r="M21" s="166"/>
      <c r="N21" s="166" t="e">
        <f t="shared" si="1"/>
        <v>#REF!</v>
      </c>
      <c r="O21" s="166" t="e">
        <f t="shared" si="2"/>
        <v>#REF!</v>
      </c>
      <c r="P21" s="139" t="e">
        <f t="shared" si="3"/>
        <v>#REF!</v>
      </c>
      <c r="Q21" s="139"/>
    </row>
    <row r="22" spans="1:18" ht="14.1" customHeight="1" x14ac:dyDescent="0.25">
      <c r="A22" s="302">
        <v>4</v>
      </c>
      <c r="B22" s="139" t="str">
        <f>'Du toan chi tiet'!C10</f>
        <v>AF.15433</v>
      </c>
      <c r="C22" s="139" t="str">
        <f>'Du toan chi tiet'!D10</f>
        <v>Bê tông thương phẩm, bê tông mặt đường dày mặt đường ≤25cm, bê tông M300, đá 2x4</v>
      </c>
      <c r="D22" s="302" t="str">
        <f>'Du toan chi tiet'!E10</f>
        <v>m3</v>
      </c>
      <c r="E22" s="230">
        <f>'Du toan chi tiet'!M10</f>
        <v>133.84</v>
      </c>
      <c r="F22" s="230"/>
      <c r="G22" s="230"/>
      <c r="H22" s="230"/>
      <c r="I22" s="166"/>
      <c r="J22" s="166" t="e">
        <f>'Chiết tính'!J100</f>
        <v>#REF!</v>
      </c>
      <c r="K22" s="166"/>
      <c r="L22" s="166" t="e">
        <f t="shared" si="0"/>
        <v>#REF!</v>
      </c>
      <c r="M22" s="166"/>
      <c r="N22" s="166" t="e">
        <f t="shared" si="1"/>
        <v>#REF!</v>
      </c>
      <c r="O22" s="166" t="e">
        <f t="shared" si="2"/>
        <v>#REF!</v>
      </c>
      <c r="P22" s="139" t="e">
        <f t="shared" si="3"/>
        <v>#REF!</v>
      </c>
      <c r="Q22" s="139"/>
    </row>
    <row r="23" spans="1:18" ht="14.1" customHeight="1" x14ac:dyDescent="0.25">
      <c r="A23" s="302">
        <v>5</v>
      </c>
      <c r="B23" s="139" t="str">
        <f>'Du toan chi tiet'!C11</f>
        <v>AB.66141</v>
      </c>
      <c r="C23" s="139" t="str">
        <f>'Du toan chi tiet'!D11</f>
        <v>Đắp bột đá công trình dày 5cm</v>
      </c>
      <c r="D23" s="302" t="str">
        <f>'Du toan chi tiet'!E11</f>
        <v>m3</v>
      </c>
      <c r="E23" s="230">
        <f>'Du toan chi tiet'!M11</f>
        <v>39.97</v>
      </c>
      <c r="F23" s="230"/>
      <c r="G23" s="230"/>
      <c r="H23" s="230"/>
      <c r="I23" s="166"/>
      <c r="J23" s="166">
        <f>'Chiết tính'!J120</f>
        <v>239857.60634231343</v>
      </c>
      <c r="K23" s="166"/>
      <c r="L23" s="166">
        <f t="shared" si="0"/>
        <v>9587108.5255022682</v>
      </c>
      <c r="M23" s="166"/>
      <c r="N23" s="166">
        <f t="shared" si="1"/>
        <v>0</v>
      </c>
      <c r="O23" s="166">
        <f t="shared" si="2"/>
        <v>0</v>
      </c>
      <c r="P23" s="139">
        <f t="shared" si="3"/>
        <v>0</v>
      </c>
      <c r="Q23" s="139"/>
    </row>
    <row r="24" spans="1:18" ht="14.1" customHeight="1" x14ac:dyDescent="0.25">
      <c r="A24" s="302">
        <v>6</v>
      </c>
      <c r="B24" s="139" t="str">
        <f>'Du toan chi tiet'!C12</f>
        <v>AL.16201</v>
      </c>
      <c r="C24" s="139" t="str">
        <f>'Du toan chi tiet'!D12</f>
        <v>Lót bạc nilong sọc xanh đỏ</v>
      </c>
      <c r="D24" s="302" t="str">
        <f>'Du toan chi tiet'!E12</f>
        <v>m2</v>
      </c>
      <c r="E24" s="230">
        <f>'Du toan chi tiet'!M12</f>
        <v>763.11</v>
      </c>
      <c r="F24" s="230"/>
      <c r="G24" s="230"/>
      <c r="H24" s="230"/>
      <c r="I24" s="166"/>
      <c r="J24" s="166">
        <f>'Chiết tính'!J136</f>
        <v>7566.7835431799995</v>
      </c>
      <c r="K24" s="166"/>
      <c r="L24" s="166">
        <f t="shared" si="0"/>
        <v>5774288.1896360898</v>
      </c>
      <c r="M24" s="166"/>
      <c r="N24" s="166">
        <f t="shared" si="1"/>
        <v>0</v>
      </c>
      <c r="O24" s="166">
        <f t="shared" si="2"/>
        <v>0</v>
      </c>
      <c r="P24" s="139">
        <f t="shared" si="3"/>
        <v>0</v>
      </c>
      <c r="Q24" s="139"/>
    </row>
    <row r="25" spans="1:18" ht="14.1" customHeight="1" x14ac:dyDescent="0.25">
      <c r="A25" s="302">
        <v>7</v>
      </c>
      <c r="B25" s="139" t="str">
        <f>'Du toan chi tiet'!C13</f>
        <v>AF.82411</v>
      </c>
      <c r="C25" s="139" t="str">
        <f>'Du toan chi tiet'!D13</f>
        <v>Ván khuôn thép mặt đường bê tông</v>
      </c>
      <c r="D25" s="302" t="str">
        <f>'Du toan chi tiet'!E13</f>
        <v>m2</v>
      </c>
      <c r="E25" s="230">
        <f>'Du toan chi tiet'!M13</f>
        <v>105.49</v>
      </c>
      <c r="F25" s="230"/>
      <c r="G25" s="230"/>
      <c r="H25" s="230"/>
      <c r="I25" s="166"/>
      <c r="J25" s="166">
        <f>'Chiết tính'!J158</f>
        <v>50720.646782917618</v>
      </c>
      <c r="K25" s="166"/>
      <c r="L25" s="166">
        <f t="shared" si="0"/>
        <v>5350521.0291299792</v>
      </c>
      <c r="M25" s="166"/>
      <c r="N25" s="166">
        <f t="shared" si="1"/>
        <v>0</v>
      </c>
      <c r="O25" s="166">
        <f t="shared" si="2"/>
        <v>0</v>
      </c>
      <c r="P25" s="139">
        <f t="shared" si="3"/>
        <v>0</v>
      </c>
      <c r="Q25" s="139"/>
    </row>
    <row r="26" spans="1:18" ht="14.1" customHeight="1" x14ac:dyDescent="0.25">
      <c r="A26" s="302">
        <v>8</v>
      </c>
      <c r="B26" s="139" t="str">
        <f>'Du toan chi tiet'!C14</f>
        <v>SE.11211</v>
      </c>
      <c r="C26" s="139" t="str">
        <f>'Du toan chi tiet'!D14</f>
        <v>Cắt mặt đường bê tông Asphalt chiều dày lớp cắt ≤ 5cm</v>
      </c>
      <c r="D26" s="302" t="str">
        <f>'Du toan chi tiet'!E14</f>
        <v>m</v>
      </c>
      <c r="E26" s="230">
        <f>'Du toan chi tiet'!M14</f>
        <v>25</v>
      </c>
      <c r="F26" s="230"/>
      <c r="G26" s="230"/>
      <c r="H26" s="230"/>
      <c r="I26" s="166"/>
      <c r="J26" s="166">
        <f>'Chiết tính'!J178</f>
        <v>11757.926854898604</v>
      </c>
      <c r="K26" s="166"/>
      <c r="L26" s="166">
        <f t="shared" si="0"/>
        <v>293948.17137246509</v>
      </c>
      <c r="M26" s="166"/>
      <c r="N26" s="166">
        <f t="shared" si="1"/>
        <v>0</v>
      </c>
      <c r="O26" s="166">
        <f t="shared" si="2"/>
        <v>0</v>
      </c>
      <c r="P26" s="139">
        <f t="shared" si="3"/>
        <v>0</v>
      </c>
      <c r="Q26" s="139"/>
    </row>
    <row r="27" spans="1:18" ht="14.1" customHeight="1" x14ac:dyDescent="0.25">
      <c r="A27" s="302">
        <v>9</v>
      </c>
      <c r="B27" s="139" t="str">
        <f>'Du toan chi tiet'!C15</f>
        <v>AL.22112</v>
      </c>
      <c r="C27" s="139" t="str">
        <f>'Du toan chi tiet'!D15</f>
        <v>Cắt mặt đường bê tông hiện có</v>
      </c>
      <c r="D27" s="302" t="str">
        <f>'Du toan chi tiet'!E15</f>
        <v>10m</v>
      </c>
      <c r="E27" s="230">
        <f>'Du toan chi tiet'!M15</f>
        <v>0.6</v>
      </c>
      <c r="F27" s="230"/>
      <c r="G27" s="230"/>
      <c r="H27" s="230"/>
      <c r="I27" s="166"/>
      <c r="J27" s="166">
        <f>'Chiết tính'!J198</f>
        <v>563027.07368311193</v>
      </c>
      <c r="K27" s="166"/>
      <c r="L27" s="166">
        <f t="shared" si="0"/>
        <v>337816.24420986715</v>
      </c>
      <c r="M27" s="166"/>
      <c r="N27" s="166">
        <f t="shared" si="1"/>
        <v>0</v>
      </c>
      <c r="O27" s="166">
        <f t="shared" si="2"/>
        <v>0</v>
      </c>
      <c r="P27" s="139">
        <f t="shared" si="3"/>
        <v>0</v>
      </c>
      <c r="Q27" s="139"/>
    </row>
    <row r="28" spans="1:18" ht="14.1" customHeight="1" x14ac:dyDescent="0.25">
      <c r="A28" s="302">
        <v>10</v>
      </c>
      <c r="B28" s="139" t="str">
        <f>'Du toan chi tiet'!C16</f>
        <v>SF.12112</v>
      </c>
      <c r="C28" s="139" t="str">
        <f>'Du toan chi tiet'!D16</f>
        <v>Bảo dưỡng khe co dãn mặt đường bê tông xi măng - Chiều dày mặt đường 25cm</v>
      </c>
      <c r="D28" s="302" t="str">
        <f>'Du toan chi tiet'!E16</f>
        <v>1m</v>
      </c>
      <c r="E28" s="230">
        <f>'Du toan chi tiet'!M16</f>
        <v>52.2</v>
      </c>
      <c r="F28" s="230"/>
      <c r="G28" s="230"/>
      <c r="H28" s="230"/>
      <c r="I28" s="166"/>
      <c r="J28" s="166">
        <f>'Chiết tính'!J217</f>
        <v>167929.3730649197</v>
      </c>
      <c r="K28" s="166"/>
      <c r="L28" s="166">
        <f t="shared" si="0"/>
        <v>8765913.2739888094</v>
      </c>
      <c r="M28" s="166"/>
      <c r="N28" s="166">
        <f t="shared" si="1"/>
        <v>0</v>
      </c>
      <c r="O28" s="166">
        <f t="shared" si="2"/>
        <v>0</v>
      </c>
      <c r="P28" s="139">
        <f t="shared" si="3"/>
        <v>0</v>
      </c>
      <c r="Q28" s="139"/>
    </row>
    <row r="29" spans="1:18" ht="14.1" customHeight="1" x14ac:dyDescent="0.25">
      <c r="A29" s="302">
        <v>11</v>
      </c>
      <c r="B29" s="139" t="str">
        <f>'Du toan chi tiet'!C17</f>
        <v>AB.31134</v>
      </c>
      <c r="C29" s="139" t="str">
        <f>'Du toan chi tiet'!D17</f>
        <v>Đào kết cấu mặt đường hiện có</v>
      </c>
      <c r="D29" s="302" t="str">
        <f>'Du toan chi tiet'!E17</f>
        <v>m3</v>
      </c>
      <c r="E29" s="230">
        <f>'Du toan chi tiet'!M17</f>
        <v>5.92</v>
      </c>
      <c r="F29" s="230"/>
      <c r="G29" s="230"/>
      <c r="H29" s="230"/>
      <c r="I29" s="166"/>
      <c r="J29" s="166">
        <f>'Chiết tính'!J236</f>
        <v>34847.270384003881</v>
      </c>
      <c r="K29" s="166"/>
      <c r="L29" s="166">
        <f t="shared" si="0"/>
        <v>206295.84067330297</v>
      </c>
      <c r="M29" s="166"/>
      <c r="N29" s="166">
        <f t="shared" si="1"/>
        <v>0</v>
      </c>
      <c r="O29" s="166">
        <f t="shared" si="2"/>
        <v>0</v>
      </c>
      <c r="P29" s="139">
        <f t="shared" si="3"/>
        <v>0</v>
      </c>
      <c r="Q29" s="139"/>
    </row>
    <row r="30" spans="1:18" ht="14.1" customHeight="1" x14ac:dyDescent="0.25">
      <c r="A30" s="302">
        <v>12</v>
      </c>
      <c r="B30" s="139" t="str">
        <f>'Du toan chi tiet'!C18</f>
        <v>AB.21132</v>
      </c>
      <c r="C30" s="139" t="str">
        <f>'Du toan chi tiet'!D18</f>
        <v>Đào đất hữu cơ bằng máy đào 1,25m3 - Cấp đất II</v>
      </c>
      <c r="D30" s="302" t="str">
        <f>'Du toan chi tiet'!E18</f>
        <v>m3</v>
      </c>
      <c r="E30" s="230">
        <f>'Du toan chi tiet'!M18</f>
        <v>185.83</v>
      </c>
      <c r="F30" s="230"/>
      <c r="G30" s="230"/>
      <c r="H30" s="230"/>
      <c r="I30" s="166"/>
      <c r="J30" s="166">
        <f>'Chiết tính'!J255</f>
        <v>12475.023107108009</v>
      </c>
      <c r="K30" s="166"/>
      <c r="L30" s="166">
        <f t="shared" si="0"/>
        <v>2318233.5439938814</v>
      </c>
      <c r="M30" s="166"/>
      <c r="N30" s="166">
        <f t="shared" si="1"/>
        <v>0</v>
      </c>
      <c r="O30" s="166">
        <f t="shared" si="2"/>
        <v>0</v>
      </c>
      <c r="P30" s="139">
        <f t="shared" si="3"/>
        <v>0</v>
      </c>
      <c r="Q30" s="139"/>
    </row>
    <row r="31" spans="1:18" ht="14.1" customHeight="1" x14ac:dyDescent="0.25">
      <c r="A31" s="302">
        <v>13</v>
      </c>
      <c r="B31" s="139" t="str">
        <f>'Du toan chi tiet'!C19</f>
        <v>AB.31132</v>
      </c>
      <c r="C31" s="139" t="str">
        <f>'Du toan chi tiet'!D19</f>
        <v>Đào đánh cấp bằng máy đào 1,25m3 - Cấp đất II</v>
      </c>
      <c r="D31" s="302" t="str">
        <f>'Du toan chi tiet'!E19</f>
        <v>m3</v>
      </c>
      <c r="E31" s="230">
        <f>'Du toan chi tiet'!M19</f>
        <v>18.11</v>
      </c>
      <c r="F31" s="230"/>
      <c r="G31" s="230"/>
      <c r="H31" s="230"/>
      <c r="I31" s="166"/>
      <c r="J31" s="166">
        <f>'Chiết tính'!J274</f>
        <v>22760.908283230699</v>
      </c>
      <c r="K31" s="166"/>
      <c r="L31" s="166">
        <f t="shared" si="0"/>
        <v>412200.04900930793</v>
      </c>
      <c r="M31" s="166"/>
      <c r="N31" s="166">
        <f t="shared" si="1"/>
        <v>0</v>
      </c>
      <c r="O31" s="166">
        <f t="shared" si="2"/>
        <v>0</v>
      </c>
      <c r="P31" s="139">
        <f t="shared" si="3"/>
        <v>0</v>
      </c>
      <c r="Q31" s="139"/>
    </row>
    <row r="32" spans="1:18" ht="14.1" customHeight="1" x14ac:dyDescent="0.25">
      <c r="A32" s="302">
        <v>14</v>
      </c>
      <c r="B32" s="139" t="str">
        <f>'Du toan chi tiet'!C20</f>
        <v>AA.22112</v>
      </c>
      <c r="C32" s="139" t="str">
        <f>'Du toan chi tiet'!D20</f>
        <v>Phá dỡ kết cấu bê tông không cốt thép bằng búa căn khí nén 3m3/ph</v>
      </c>
      <c r="D32" s="302" t="str">
        <f>'Du toan chi tiet'!E20</f>
        <v>m3</v>
      </c>
      <c r="E32" s="230">
        <f>'Du toan chi tiet'!M20</f>
        <v>33.17</v>
      </c>
      <c r="F32" s="230"/>
      <c r="G32" s="230"/>
      <c r="H32" s="230"/>
      <c r="I32" s="166"/>
      <c r="J32" s="166">
        <f>'Chiết tính'!J293</f>
        <v>344493.89056759502</v>
      </c>
      <c r="K32" s="166"/>
      <c r="L32" s="166">
        <f t="shared" si="0"/>
        <v>11426862.350127127</v>
      </c>
      <c r="M32" s="166"/>
      <c r="N32" s="166">
        <f t="shared" si="1"/>
        <v>0</v>
      </c>
      <c r="O32" s="166">
        <f t="shared" si="2"/>
        <v>0</v>
      </c>
      <c r="P32" s="139">
        <f t="shared" si="3"/>
        <v>0</v>
      </c>
      <c r="Q32" s="139"/>
    </row>
    <row r="33" spans="1:17" ht="14.1" customHeight="1" x14ac:dyDescent="0.25">
      <c r="A33" s="302">
        <v>15</v>
      </c>
      <c r="B33" s="139" t="str">
        <f>'Du toan chi tiet'!C21</f>
        <v>AA.13221</v>
      </c>
      <c r="C33" s="139" t="str">
        <f>'Du toan chi tiet'!D21</f>
        <v>Đào bụi tre, đường kính bụi tre ≤50cm bằng thủ công</v>
      </c>
      <c r="D33" s="302" t="str">
        <f>'Du toan chi tiet'!E21</f>
        <v>bụi</v>
      </c>
      <c r="E33" s="230">
        <f>'Du toan chi tiet'!M21</f>
        <v>7</v>
      </c>
      <c r="F33" s="230"/>
      <c r="G33" s="230"/>
      <c r="H33" s="230"/>
      <c r="I33" s="166"/>
      <c r="J33" s="166">
        <f>'Chiết tính'!J307</f>
        <v>218174.27802330602</v>
      </c>
      <c r="K33" s="166"/>
      <c r="L33" s="166">
        <f t="shared" si="0"/>
        <v>1527219.9461631421</v>
      </c>
      <c r="M33" s="166"/>
      <c r="N33" s="166">
        <f t="shared" si="1"/>
        <v>0</v>
      </c>
      <c r="O33" s="166">
        <f t="shared" si="2"/>
        <v>0</v>
      </c>
      <c r="P33" s="139">
        <f t="shared" si="3"/>
        <v>0</v>
      </c>
      <c r="Q33" s="139"/>
    </row>
    <row r="34" spans="1:17" ht="14.1" customHeight="1" x14ac:dyDescent="0.25">
      <c r="A34" s="302">
        <v>16</v>
      </c>
      <c r="B34" s="139" t="str">
        <f>'Du toan chi tiet'!C24</f>
        <v>AK.91141vd</v>
      </c>
      <c r="C34" s="139" t="str">
        <f>'Du toan chi tiet'!D24</f>
        <v>Sơn kẻ đường bằng sơn dẻo nhiệt phản quang, dày sơn 6mm</v>
      </c>
      <c r="D34" s="302" t="str">
        <f>'Du toan chi tiet'!E24</f>
        <v>m2</v>
      </c>
      <c r="E34" s="230">
        <f>'Du toan chi tiet'!M24</f>
        <v>6.6</v>
      </c>
      <c r="F34" s="230"/>
      <c r="G34" s="230"/>
      <c r="H34" s="230"/>
      <c r="I34" s="166"/>
      <c r="J34" s="166">
        <f>'Chiết tính'!J332</f>
        <v>885884.9450641945</v>
      </c>
      <c r="K34" s="166"/>
      <c r="L34" s="166">
        <f t="shared" si="0"/>
        <v>5846840.637423683</v>
      </c>
      <c r="M34" s="166"/>
      <c r="N34" s="166">
        <f t="shared" si="1"/>
        <v>0</v>
      </c>
      <c r="O34" s="166">
        <f t="shared" si="2"/>
        <v>0</v>
      </c>
      <c r="P34" s="139">
        <f t="shared" si="3"/>
        <v>0</v>
      </c>
      <c r="Q34" s="139"/>
    </row>
    <row r="35" spans="1:17" ht="14.1" customHeight="1" x14ac:dyDescent="0.25">
      <c r="A35" s="302">
        <v>17</v>
      </c>
      <c r="B35" s="139" t="str">
        <f>'Du toan chi tiet'!C25</f>
        <v>AA.22212</v>
      </c>
      <c r="C35" s="139" t="str">
        <f>'Du toan chi tiet'!D25</f>
        <v>Phá dỡ kết cấu bê tông không cốt thép bằng máy khoan bê tông 1,5kw cột biển báo</v>
      </c>
      <c r="D35" s="302" t="str">
        <f>'Du toan chi tiet'!E25</f>
        <v>m3</v>
      </c>
      <c r="E35" s="230">
        <f>'Du toan chi tiet'!M25</f>
        <v>0.2</v>
      </c>
      <c r="F35" s="230"/>
      <c r="G35" s="230"/>
      <c r="H35" s="230"/>
      <c r="I35" s="166"/>
      <c r="J35" s="166">
        <f>'Chiết tính'!J350</f>
        <v>550392.54290906398</v>
      </c>
      <c r="K35" s="166"/>
      <c r="L35" s="166">
        <f t="shared" si="0"/>
        <v>110078.5085818128</v>
      </c>
      <c r="M35" s="166"/>
      <c r="N35" s="166">
        <f t="shared" si="1"/>
        <v>0</v>
      </c>
      <c r="O35" s="166">
        <f t="shared" si="2"/>
        <v>0</v>
      </c>
      <c r="P35" s="139">
        <f t="shared" si="3"/>
        <v>0</v>
      </c>
      <c r="Q35" s="139"/>
    </row>
    <row r="36" spans="1:17" ht="14.1" customHeight="1" x14ac:dyDescent="0.25">
      <c r="A36" s="302">
        <v>18</v>
      </c>
      <c r="B36" s="139" t="str">
        <f>'Du toan chi tiet'!C26</f>
        <v>SE.31420</v>
      </c>
      <c r="C36" s="139" t="str">
        <f>'Du toan chi tiet'!D26</f>
        <v>Sơn biển báo, cột biển báo bằng thép - 3 nước</v>
      </c>
      <c r="D36" s="302" t="str">
        <f>'Du toan chi tiet'!E26</f>
        <v>m2</v>
      </c>
      <c r="E36" s="230">
        <f>'Du toan chi tiet'!M26</f>
        <v>1.1200000000000001</v>
      </c>
      <c r="F36" s="230"/>
      <c r="G36" s="230"/>
      <c r="H36" s="230"/>
      <c r="I36" s="166"/>
      <c r="J36" s="166">
        <f>'Chiết tính'!J366</f>
        <v>87875.925722507018</v>
      </c>
      <c r="K36" s="166"/>
      <c r="L36" s="166">
        <f t="shared" si="0"/>
        <v>98421.036809207872</v>
      </c>
      <c r="M36" s="166"/>
      <c r="N36" s="166">
        <f t="shared" si="1"/>
        <v>0</v>
      </c>
      <c r="O36" s="166">
        <f t="shared" si="2"/>
        <v>0</v>
      </c>
      <c r="P36" s="139">
        <f t="shared" si="3"/>
        <v>0</v>
      </c>
      <c r="Q36" s="139"/>
    </row>
    <row r="37" spans="1:17" ht="14.1" customHeight="1" x14ac:dyDescent="0.25">
      <c r="A37" s="302">
        <v>19</v>
      </c>
      <c r="B37" s="139" t="str">
        <f>'Du toan chi tiet'!C27</f>
        <v>SE.31330</v>
      </c>
      <c r="C37" s="139" t="str">
        <f>'Du toan chi tiet'!D27</f>
        <v>Dán màng phản quang đầu dải phân cách</v>
      </c>
      <c r="D37" s="302" t="str">
        <f>'Du toan chi tiet'!E27</f>
        <v>m2</v>
      </c>
      <c r="E37" s="230">
        <f>'Du toan chi tiet'!M27</f>
        <v>0.38</v>
      </c>
      <c r="F37" s="230"/>
      <c r="G37" s="230"/>
      <c r="H37" s="230"/>
      <c r="I37" s="166"/>
      <c r="J37" s="166">
        <f>'Chiết tính'!J381</f>
        <v>708254.88205679995</v>
      </c>
      <c r="K37" s="166"/>
      <c r="L37" s="166">
        <f t="shared" si="0"/>
        <v>269136.85518158396</v>
      </c>
      <c r="M37" s="166"/>
      <c r="N37" s="166">
        <f t="shared" si="1"/>
        <v>0</v>
      </c>
      <c r="O37" s="166">
        <f t="shared" si="2"/>
        <v>0</v>
      </c>
      <c r="P37" s="139">
        <f t="shared" si="3"/>
        <v>0</v>
      </c>
      <c r="Q37" s="139"/>
    </row>
    <row r="38" spans="1:17" ht="14.1" customHeight="1" x14ac:dyDescent="0.25">
      <c r="A38" s="302">
        <v>20</v>
      </c>
      <c r="B38" s="139" t="str">
        <f>'Du toan chi tiet'!C28</f>
        <v>AD.32531</v>
      </c>
      <c r="C38" s="139" t="str">
        <f>'Du toan chi tiet'!D28</f>
        <v>Lắp đặt cột và biển báo phản quang - Loại biển báo phản quang: Biển tam giác cạnh 70cm</v>
      </c>
      <c r="D38" s="302" t="str">
        <f>'Du toan chi tiet'!E28</f>
        <v>cái</v>
      </c>
      <c r="E38" s="230">
        <f>'Du toan chi tiet'!M28</f>
        <v>1</v>
      </c>
      <c r="F38" s="230"/>
      <c r="G38" s="230"/>
      <c r="H38" s="230"/>
      <c r="I38" s="166"/>
      <c r="J38" s="166">
        <f>'Chiết tính'!J403</f>
        <v>329685.88860522199</v>
      </c>
      <c r="K38" s="166"/>
      <c r="L38" s="166">
        <f t="shared" si="0"/>
        <v>329685.88860522199</v>
      </c>
      <c r="M38" s="166"/>
      <c r="N38" s="166">
        <f t="shared" si="1"/>
        <v>0</v>
      </c>
      <c r="O38" s="166">
        <f t="shared" si="2"/>
        <v>0</v>
      </c>
      <c r="P38" s="139">
        <f t="shared" si="3"/>
        <v>0</v>
      </c>
      <c r="Q38" s="139"/>
    </row>
    <row r="39" spans="1:17" ht="14.1" customHeight="1" x14ac:dyDescent="0.25">
      <c r="A39" s="302">
        <v>21</v>
      </c>
      <c r="B39" s="139" t="str">
        <f>'Du toan chi tiet'!C29</f>
        <v>AB.11413</v>
      </c>
      <c r="C39" s="139" t="str">
        <f>'Du toan chi tiet'!D29</f>
        <v>Đào móng cột, trụ, hố kiểm tra bằng thủ công, rộng ≤1m, sâu ≤1m - Cấp đất III</v>
      </c>
      <c r="D39" s="302" t="str">
        <f>'Du toan chi tiet'!E29</f>
        <v>1m3</v>
      </c>
      <c r="E39" s="230">
        <f>'Du toan chi tiet'!M29</f>
        <v>0.44</v>
      </c>
      <c r="F39" s="230"/>
      <c r="G39" s="230"/>
      <c r="H39" s="230"/>
      <c r="I39" s="166"/>
      <c r="J39" s="166">
        <f>'Chiết tính'!J417</f>
        <v>524722.94714465993</v>
      </c>
      <c r="K39" s="166"/>
      <c r="L39" s="166">
        <f t="shared" si="0"/>
        <v>230878.09674365039</v>
      </c>
      <c r="M39" s="166"/>
      <c r="N39" s="166">
        <f t="shared" si="1"/>
        <v>0</v>
      </c>
      <c r="O39" s="166">
        <f t="shared" si="2"/>
        <v>0</v>
      </c>
      <c r="P39" s="139">
        <f t="shared" si="3"/>
        <v>0</v>
      </c>
      <c r="Q39" s="139"/>
    </row>
    <row r="40" spans="1:17" ht="14.1" customHeight="1" x14ac:dyDescent="0.25">
      <c r="A40" s="302">
        <v>22</v>
      </c>
      <c r="B40" s="139" t="str">
        <f>'Du toan chi tiet'!C30</f>
        <v>AB.13111</v>
      </c>
      <c r="C40" s="139" t="str">
        <f>'Du toan chi tiet'!D30</f>
        <v>Đắp đất nền móng công trình, nền đường bằng thủ công</v>
      </c>
      <c r="D40" s="302" t="str">
        <f>'Du toan chi tiet'!E30</f>
        <v>m3</v>
      </c>
      <c r="E40" s="230">
        <f>'Du toan chi tiet'!M30</f>
        <v>0.25</v>
      </c>
      <c r="F40" s="230"/>
      <c r="G40" s="230"/>
      <c r="H40" s="230"/>
      <c r="I40" s="166"/>
      <c r="J40" s="166">
        <f>'Chiết tính'!J431</f>
        <v>154655.18442158398</v>
      </c>
      <c r="K40" s="166"/>
      <c r="L40" s="166">
        <f t="shared" si="0"/>
        <v>38663.796105395995</v>
      </c>
      <c r="M40" s="166"/>
      <c r="N40" s="166">
        <f t="shared" si="1"/>
        <v>0</v>
      </c>
      <c r="O40" s="166">
        <f t="shared" si="2"/>
        <v>0</v>
      </c>
      <c r="P40" s="139">
        <f t="shared" si="3"/>
        <v>0</v>
      </c>
      <c r="Q40" s="139"/>
    </row>
    <row r="41" spans="1:17" ht="14.1" customHeight="1" x14ac:dyDescent="0.25">
      <c r="A41" s="302">
        <v>23</v>
      </c>
      <c r="B41" s="139" t="str">
        <f>'Du toan chi tiet'!C32</f>
        <v>AF.13413</v>
      </c>
      <c r="C41" s="139" t="str">
        <f>'Du toan chi tiet'!D32</f>
        <v>Bê tông ống cống hình hộp SX bằng máy trộn, đổ bằng thủ công, bê tông M250, đá 1x2, PCB40</v>
      </c>
      <c r="D41" s="302" t="str">
        <f>'Du toan chi tiet'!E32</f>
        <v>m3</v>
      </c>
      <c r="E41" s="230">
        <f>'Du toan chi tiet'!M32</f>
        <v>2.63</v>
      </c>
      <c r="F41" s="230"/>
      <c r="G41" s="230"/>
      <c r="H41" s="230"/>
      <c r="I41" s="166"/>
      <c r="J41" s="166">
        <f>'Chiết tính'!J455</f>
        <v>2010272.1110029214</v>
      </c>
      <c r="K41" s="166"/>
      <c r="L41" s="166">
        <f t="shared" si="0"/>
        <v>5287015.6519376831</v>
      </c>
      <c r="M41" s="166"/>
      <c r="N41" s="166">
        <f t="shared" si="1"/>
        <v>0</v>
      </c>
      <c r="O41" s="166">
        <f t="shared" si="2"/>
        <v>0</v>
      </c>
      <c r="P41" s="139">
        <f t="shared" si="3"/>
        <v>0</v>
      </c>
      <c r="Q41" s="139"/>
    </row>
    <row r="42" spans="1:17" ht="14.1" customHeight="1" x14ac:dyDescent="0.25">
      <c r="A42" s="302">
        <v>24</v>
      </c>
      <c r="B42" s="139" t="str">
        <f>'Du toan chi tiet'!C33</f>
        <v>AF.63310</v>
      </c>
      <c r="C42" s="139" t="str">
        <f>'Du toan chi tiet'!D33</f>
        <v>Lắp dựng cốt thép cống, ĐK ≤10mm</v>
      </c>
      <c r="D42" s="302" t="str">
        <f>'Du toan chi tiet'!E33</f>
        <v>tấn</v>
      </c>
      <c r="E42" s="230">
        <f>'Du toan chi tiet'!M33</f>
        <v>0.23899999999999999</v>
      </c>
      <c r="F42" s="230"/>
      <c r="G42" s="230"/>
      <c r="H42" s="230"/>
      <c r="I42" s="166"/>
      <c r="J42" s="166">
        <f>'Chiết tính'!J475</f>
        <v>24745637.797799189</v>
      </c>
      <c r="K42" s="166"/>
      <c r="L42" s="166">
        <f t="shared" si="0"/>
        <v>5914207.4336740058</v>
      </c>
      <c r="M42" s="166"/>
      <c r="N42" s="166">
        <f t="shared" si="1"/>
        <v>0</v>
      </c>
      <c r="O42" s="166">
        <f t="shared" si="2"/>
        <v>0</v>
      </c>
      <c r="P42" s="139">
        <f t="shared" si="3"/>
        <v>0</v>
      </c>
      <c r="Q42" s="139"/>
    </row>
    <row r="43" spans="1:17" ht="14.1" customHeight="1" x14ac:dyDescent="0.25">
      <c r="A43" s="302">
        <v>25</v>
      </c>
      <c r="B43" s="139" t="str">
        <f>'Du toan chi tiet'!C34</f>
        <v>AF.63320</v>
      </c>
      <c r="C43" s="139" t="str">
        <f>'Du toan chi tiet'!D34</f>
        <v>Lắp dựng cốt thép cống, ĐK ≤18mm</v>
      </c>
      <c r="D43" s="302" t="str">
        <f>'Du toan chi tiet'!E34</f>
        <v>tấn</v>
      </c>
      <c r="E43" s="230">
        <f>'Du toan chi tiet'!M34</f>
        <v>6.3E-2</v>
      </c>
      <c r="F43" s="230"/>
      <c r="G43" s="230"/>
      <c r="H43" s="230"/>
      <c r="I43" s="166"/>
      <c r="J43" s="166">
        <f>'Chiết tính'!J497</f>
        <v>25181992.895406622</v>
      </c>
      <c r="K43" s="166"/>
      <c r="L43" s="166">
        <f t="shared" si="0"/>
        <v>1586465.5524106172</v>
      </c>
      <c r="M43" s="166"/>
      <c r="N43" s="166">
        <f t="shared" si="1"/>
        <v>0</v>
      </c>
      <c r="O43" s="166">
        <f t="shared" si="2"/>
        <v>0</v>
      </c>
      <c r="P43" s="139">
        <f t="shared" si="3"/>
        <v>0</v>
      </c>
      <c r="Q43" s="139"/>
    </row>
    <row r="44" spans="1:17" ht="14.1" customHeight="1" x14ac:dyDescent="0.25">
      <c r="A44" s="302">
        <v>26</v>
      </c>
      <c r="B44" s="139" t="str">
        <f>'Du toan chi tiet'!C35</f>
        <v>AF.86211</v>
      </c>
      <c r="C44" s="139" t="str">
        <f>'Du toan chi tiet'!D35</f>
        <v>Ván khuôn thép, khung xương, cột chống giáo ống, tường, chiều cao ≤28m</v>
      </c>
      <c r="D44" s="302" t="str">
        <f>'Du toan chi tiet'!E35</f>
        <v>m2</v>
      </c>
      <c r="E44" s="230">
        <f>'Du toan chi tiet'!M35</f>
        <v>21.33</v>
      </c>
      <c r="F44" s="230"/>
      <c r="G44" s="230"/>
      <c r="H44" s="230"/>
      <c r="I44" s="166"/>
      <c r="J44" s="166" t="e">
        <f>'Chiết tính'!J523</f>
        <v>#REF!</v>
      </c>
      <c r="K44" s="166"/>
      <c r="L44" s="166" t="e">
        <f t="shared" si="0"/>
        <v>#REF!</v>
      </c>
      <c r="M44" s="166"/>
      <c r="N44" s="166" t="e">
        <f t="shared" si="1"/>
        <v>#REF!</v>
      </c>
      <c r="O44" s="166" t="e">
        <f t="shared" si="2"/>
        <v>#REF!</v>
      </c>
      <c r="P44" s="139" t="e">
        <f t="shared" si="3"/>
        <v>#REF!</v>
      </c>
      <c r="Q44" s="139"/>
    </row>
    <row r="45" spans="1:17" ht="14.1" customHeight="1" x14ac:dyDescent="0.25">
      <c r="A45" s="302">
        <v>27</v>
      </c>
      <c r="B45" s="139" t="str">
        <f>'Du toan chi tiet'!C36</f>
        <v>AF.11231</v>
      </c>
      <c r="C45" s="139" t="str">
        <f>'Du toan chi tiet'!D36</f>
        <v>Bê tông móng tường cánh SX bằng máy trộn, đổ bằng thủ công, rộng ≤250cm, M150, đá 2x4, PCB40</v>
      </c>
      <c r="D45" s="302" t="str">
        <f>'Du toan chi tiet'!E36</f>
        <v>m3</v>
      </c>
      <c r="E45" s="230">
        <f>'Du toan chi tiet'!M36</f>
        <v>0.59</v>
      </c>
      <c r="F45" s="230"/>
      <c r="G45" s="230"/>
      <c r="H45" s="230"/>
      <c r="I45" s="166"/>
      <c r="J45" s="166">
        <f>'Chiết tính'!J547</f>
        <v>1480977.997349988</v>
      </c>
      <c r="K45" s="166"/>
      <c r="L45" s="166">
        <f t="shared" si="0"/>
        <v>873777.01843649289</v>
      </c>
      <c r="M45" s="166"/>
      <c r="N45" s="166">
        <f t="shared" si="1"/>
        <v>0</v>
      </c>
      <c r="O45" s="166">
        <f t="shared" si="2"/>
        <v>0</v>
      </c>
      <c r="P45" s="139">
        <f t="shared" si="3"/>
        <v>0</v>
      </c>
      <c r="Q45" s="139"/>
    </row>
    <row r="46" spans="1:17" ht="14.1" customHeight="1" x14ac:dyDescent="0.25">
      <c r="A46" s="302">
        <v>28</v>
      </c>
      <c r="B46" s="139" t="str">
        <f>'Du toan chi tiet'!C37</f>
        <v>AF.82511</v>
      </c>
      <c r="C46" s="139" t="str">
        <f>'Du toan chi tiet'!D37</f>
        <v>Ván khuôn móng dài</v>
      </c>
      <c r="D46" s="302" t="str">
        <f>'Du toan chi tiet'!E37</f>
        <v>m2</v>
      </c>
      <c r="E46" s="230">
        <f>'Du toan chi tiet'!M37</f>
        <v>1.78</v>
      </c>
      <c r="F46" s="230"/>
      <c r="G46" s="230"/>
      <c r="H46" s="230"/>
      <c r="I46" s="166"/>
      <c r="J46" s="166">
        <f>'Chiết tính'!J570</f>
        <v>69431.059495177382</v>
      </c>
      <c r="K46" s="166"/>
      <c r="L46" s="166">
        <f t="shared" si="0"/>
        <v>123587.28590141574</v>
      </c>
      <c r="M46" s="166"/>
      <c r="N46" s="166">
        <f t="shared" si="1"/>
        <v>0</v>
      </c>
      <c r="O46" s="166">
        <f t="shared" si="2"/>
        <v>0</v>
      </c>
      <c r="P46" s="139">
        <f t="shared" si="3"/>
        <v>0</v>
      </c>
      <c r="Q46" s="139"/>
    </row>
    <row r="47" spans="1:17" ht="14.1" customHeight="1" x14ac:dyDescent="0.25">
      <c r="A47" s="302">
        <v>29</v>
      </c>
      <c r="B47" s="139" t="str">
        <f>'Du toan chi tiet'!C38</f>
        <v>AF.12151</v>
      </c>
      <c r="C47" s="139" t="str">
        <f>'Du toan chi tiet'!D38</f>
        <v>Bê tông tường cánh SX bằng máy trộn, đổ bằng thủ công - Chiều dày ≤45cm, chiều cao ≤6m, M150, đá 2x4, PCB40</v>
      </c>
      <c r="D47" s="302" t="str">
        <f>'Du toan chi tiet'!E38</f>
        <v>m3</v>
      </c>
      <c r="E47" s="230">
        <f>'Du toan chi tiet'!M38</f>
        <v>0.15</v>
      </c>
      <c r="F47" s="230"/>
      <c r="G47" s="230"/>
      <c r="H47" s="230"/>
      <c r="I47" s="166"/>
      <c r="J47" s="166">
        <f>'Chiết tính'!J594</f>
        <v>1946526.8270669724</v>
      </c>
      <c r="K47" s="166"/>
      <c r="L47" s="166">
        <f t="shared" si="0"/>
        <v>291979.02406004583</v>
      </c>
      <c r="M47" s="166"/>
      <c r="N47" s="166">
        <f t="shared" si="1"/>
        <v>0</v>
      </c>
      <c r="O47" s="166">
        <f t="shared" si="2"/>
        <v>0</v>
      </c>
      <c r="P47" s="139">
        <f t="shared" si="3"/>
        <v>0</v>
      </c>
      <c r="Q47" s="139"/>
    </row>
    <row r="48" spans="1:17" ht="14.1" customHeight="1" x14ac:dyDescent="0.25">
      <c r="A48" s="302">
        <v>30</v>
      </c>
      <c r="B48" s="139" t="str">
        <f>'Du toan chi tiet'!C39</f>
        <v>AF.86211</v>
      </c>
      <c r="C48" s="139" t="str">
        <f>'Du toan chi tiet'!D39</f>
        <v>Ván khuôn thép, khung xương, cột chống giáo ống, tường cánh chiều cao ≤28m</v>
      </c>
      <c r="D48" s="302" t="str">
        <f>'Du toan chi tiet'!E39</f>
        <v>m2</v>
      </c>
      <c r="E48" s="230">
        <f>'Du toan chi tiet'!M39</f>
        <v>0.81</v>
      </c>
      <c r="F48" s="230"/>
      <c r="G48" s="230"/>
      <c r="H48" s="230"/>
      <c r="I48" s="166"/>
      <c r="J48" s="166" t="e">
        <f>'Chiết tính'!J620</f>
        <v>#REF!</v>
      </c>
      <c r="K48" s="166"/>
      <c r="L48" s="166" t="e">
        <f t="shared" si="0"/>
        <v>#REF!</v>
      </c>
      <c r="M48" s="166"/>
      <c r="N48" s="166" t="e">
        <f t="shared" si="1"/>
        <v>#REF!</v>
      </c>
      <c r="O48" s="166" t="e">
        <f t="shared" si="2"/>
        <v>#REF!</v>
      </c>
      <c r="P48" s="139" t="e">
        <f t="shared" si="3"/>
        <v>#REF!</v>
      </c>
      <c r="Q48" s="139"/>
    </row>
    <row r="49" spans="1:18" ht="14.1" customHeight="1" x14ac:dyDescent="0.25">
      <c r="A49" s="302">
        <v>31</v>
      </c>
      <c r="B49" s="139" t="str">
        <f>'Du toan chi tiet'!C40</f>
        <v>AK.98110</v>
      </c>
      <c r="C49" s="139" t="str">
        <f>'Du toan chi tiet'!D40</f>
        <v>Thi công lớp đá đệm móng, đá dăm 2x4</v>
      </c>
      <c r="D49" s="302" t="str">
        <f>'Du toan chi tiet'!E40</f>
        <v>m3</v>
      </c>
      <c r="E49" s="230">
        <f>'Du toan chi tiet'!M40</f>
        <v>0.76</v>
      </c>
      <c r="F49" s="230"/>
      <c r="G49" s="230"/>
      <c r="H49" s="230"/>
      <c r="I49" s="166"/>
      <c r="J49" s="166" t="e">
        <f>'Chiết tính'!J636</f>
        <v>#REF!</v>
      </c>
      <c r="K49" s="166"/>
      <c r="L49" s="166" t="e">
        <f t="shared" si="0"/>
        <v>#REF!</v>
      </c>
      <c r="M49" s="166"/>
      <c r="N49" s="166" t="e">
        <f t="shared" si="1"/>
        <v>#REF!</v>
      </c>
      <c r="O49" s="166" t="e">
        <f t="shared" si="2"/>
        <v>#REF!</v>
      </c>
      <c r="P49" s="139" t="e">
        <f t="shared" si="3"/>
        <v>#REF!</v>
      </c>
      <c r="Q49" s="139"/>
    </row>
    <row r="50" spans="1:18" ht="14.1" customHeight="1" x14ac:dyDescent="0.25">
      <c r="A50" s="302">
        <v>32</v>
      </c>
      <c r="B50" s="139" t="str">
        <f>'Du toan chi tiet'!C41</f>
        <v>AL.22112</v>
      </c>
      <c r="C50" s="139" t="str">
        <f>'Du toan chi tiet'!D41</f>
        <v>Cắt mặt đường bê tông hiện có</v>
      </c>
      <c r="D50" s="302" t="str">
        <f>'Du toan chi tiet'!E41</f>
        <v>10m</v>
      </c>
      <c r="E50" s="230">
        <f>'Du toan chi tiet'!M41</f>
        <v>0.6</v>
      </c>
      <c r="F50" s="230"/>
      <c r="G50" s="230"/>
      <c r="H50" s="230"/>
      <c r="I50" s="166"/>
      <c r="J50" s="166">
        <f>'Chiết tính'!J656</f>
        <v>563027.07368311193</v>
      </c>
      <c r="K50" s="166"/>
      <c r="L50" s="166">
        <f t="shared" si="0"/>
        <v>337816.24420986715</v>
      </c>
      <c r="M50" s="166"/>
      <c r="N50" s="166">
        <f t="shared" si="1"/>
        <v>0</v>
      </c>
      <c r="O50" s="166">
        <f t="shared" si="2"/>
        <v>0</v>
      </c>
      <c r="P50" s="139">
        <f t="shared" si="3"/>
        <v>0</v>
      </c>
      <c r="Q50" s="139"/>
    </row>
    <row r="51" spans="1:18" ht="14.1" customHeight="1" x14ac:dyDescent="0.25">
      <c r="A51" s="302">
        <v>33</v>
      </c>
      <c r="B51" s="139" t="str">
        <f>'Du toan chi tiet'!C42</f>
        <v>AB.31134</v>
      </c>
      <c r="C51" s="139" t="str">
        <f>'Du toan chi tiet'!D42</f>
        <v xml:space="preserve">Đào kết cấu mặt đường hiện có </v>
      </c>
      <c r="D51" s="302" t="str">
        <f>'Du toan chi tiet'!E42</f>
        <v>m3</v>
      </c>
      <c r="E51" s="230">
        <f>'Du toan chi tiet'!M42</f>
        <v>0.76</v>
      </c>
      <c r="F51" s="230"/>
      <c r="G51" s="230"/>
      <c r="H51" s="230"/>
      <c r="I51" s="166"/>
      <c r="J51" s="166">
        <f>'Chiết tính'!J675</f>
        <v>34847.270384003881</v>
      </c>
      <c r="K51" s="166"/>
      <c r="L51" s="166">
        <f t="shared" si="0"/>
        <v>26483.925491842951</v>
      </c>
      <c r="M51" s="166"/>
      <c r="N51" s="166">
        <f t="shared" si="1"/>
        <v>0</v>
      </c>
      <c r="O51" s="166">
        <f t="shared" si="2"/>
        <v>0</v>
      </c>
      <c r="P51" s="139">
        <f t="shared" si="3"/>
        <v>0</v>
      </c>
      <c r="Q51" s="139"/>
    </row>
    <row r="52" spans="1:18" ht="14.1" customHeight="1" x14ac:dyDescent="0.25">
      <c r="A52" s="302">
        <v>34</v>
      </c>
      <c r="B52" s="139" t="str">
        <f>'Du toan chi tiet'!C43</f>
        <v>AB.25103</v>
      </c>
      <c r="C52" s="139" t="str">
        <f>'Du toan chi tiet'!D43</f>
        <v>Đào móng bằng máy đào 0,4m3, chiều rộng móng ≤6m - Cấp đất III</v>
      </c>
      <c r="D52" s="302" t="str">
        <f>'Du toan chi tiet'!E43</f>
        <v>m3</v>
      </c>
      <c r="E52" s="230">
        <f>'Du toan chi tiet'!M43</f>
        <v>11.4</v>
      </c>
      <c r="F52" s="230"/>
      <c r="G52" s="230"/>
      <c r="H52" s="230"/>
      <c r="I52" s="166"/>
      <c r="J52" s="166">
        <f>'Chiết tính'!J693</f>
        <v>34735.453449770466</v>
      </c>
      <c r="K52" s="166"/>
      <c r="L52" s="166">
        <f t="shared" si="0"/>
        <v>395984.16932738334</v>
      </c>
      <c r="M52" s="166"/>
      <c r="N52" s="166">
        <f t="shared" si="1"/>
        <v>0</v>
      </c>
      <c r="O52" s="166">
        <f t="shared" si="2"/>
        <v>0</v>
      </c>
      <c r="P52" s="139">
        <f t="shared" si="3"/>
        <v>0</v>
      </c>
      <c r="Q52" s="139"/>
    </row>
    <row r="53" spans="1:18" ht="14.1" customHeight="1" x14ac:dyDescent="0.25">
      <c r="A53" s="302">
        <v>35</v>
      </c>
      <c r="B53" s="139" t="str">
        <f>'Du toan chi tiet'!C44</f>
        <v>AB.65130</v>
      </c>
      <c r="C53" s="139" t="str">
        <f>'Du toan chi tiet'!D44</f>
        <v>Đắp đất bằng đầm đất cầm tay 70kg, độ chặt Y/C K = 0,95</v>
      </c>
      <c r="D53" s="302" t="str">
        <f>'Du toan chi tiet'!E44</f>
        <v>m3</v>
      </c>
      <c r="E53" s="230">
        <f>'Du toan chi tiet'!M44</f>
        <v>2.52</v>
      </c>
      <c r="F53" s="230"/>
      <c r="G53" s="230"/>
      <c r="H53" s="230"/>
      <c r="I53" s="166"/>
      <c r="J53" s="166">
        <f>'Chiết tính'!J711</f>
        <v>41005.933468355193</v>
      </c>
      <c r="K53" s="166"/>
      <c r="L53" s="166">
        <f t="shared" si="0"/>
        <v>103334.95234025508</v>
      </c>
      <c r="M53" s="166"/>
      <c r="N53" s="166">
        <f t="shared" si="1"/>
        <v>0</v>
      </c>
      <c r="O53" s="166">
        <f t="shared" si="2"/>
        <v>0</v>
      </c>
      <c r="P53" s="139">
        <f t="shared" si="3"/>
        <v>0</v>
      </c>
      <c r="Q53" s="139"/>
    </row>
    <row r="54" spans="1:18" ht="14.1" customHeight="1" x14ac:dyDescent="0.25">
      <c r="A54" s="302">
        <v>36</v>
      </c>
      <c r="B54" s="139" t="str">
        <f>'Du toan chi tiet'!C45</f>
        <v>AF.15433</v>
      </c>
      <c r="C54" s="139" t="str">
        <f>'Du toan chi tiet'!D45</f>
        <v>Bê tông thương phẩm, bê tông hoàn trả mặt đường dày mặt đường ≤25cm, bê tông M250, đá 2x4, PCB40</v>
      </c>
      <c r="D54" s="302" t="str">
        <f>'Du toan chi tiet'!E45</f>
        <v>m3</v>
      </c>
      <c r="E54" s="230">
        <f>'Du toan chi tiet'!M45</f>
        <v>0.59</v>
      </c>
      <c r="F54" s="230"/>
      <c r="G54" s="230"/>
      <c r="H54" s="230"/>
      <c r="I54" s="166"/>
      <c r="J54" s="166" t="e">
        <f>'Chiết tính'!J739</f>
        <v>#REF!</v>
      </c>
      <c r="K54" s="166"/>
      <c r="L54" s="166" t="e">
        <f t="shared" si="0"/>
        <v>#REF!</v>
      </c>
      <c r="M54" s="166"/>
      <c r="N54" s="166" t="e">
        <f t="shared" si="1"/>
        <v>#REF!</v>
      </c>
      <c r="O54" s="166" t="e">
        <f t="shared" si="2"/>
        <v>#REF!</v>
      </c>
      <c r="P54" s="139" t="e">
        <f t="shared" si="3"/>
        <v>#REF!</v>
      </c>
      <c r="Q54" s="139"/>
    </row>
    <row r="55" spans="1:18" ht="14.1" customHeight="1" x14ac:dyDescent="0.25">
      <c r="A55" s="302">
        <v>37</v>
      </c>
      <c r="B55" s="139" t="str">
        <f>'Du toan chi tiet'!C46</f>
        <v>AB.66141</v>
      </c>
      <c r="C55" s="139" t="str">
        <f>'Du toan chi tiet'!D46</f>
        <v>Đắpbột đáy dày 5cm</v>
      </c>
      <c r="D55" s="302" t="str">
        <f>'Du toan chi tiet'!E46</f>
        <v>m3</v>
      </c>
      <c r="E55" s="230">
        <f>'Du toan chi tiet'!M46</f>
        <v>0.17</v>
      </c>
      <c r="F55" s="230"/>
      <c r="G55" s="230"/>
      <c r="H55" s="230"/>
      <c r="I55" s="166"/>
      <c r="J55" s="166">
        <f>'Chiết tính'!J759</f>
        <v>239857.60634231343</v>
      </c>
      <c r="K55" s="166"/>
      <c r="L55" s="166">
        <f t="shared" si="0"/>
        <v>40775.793078193288</v>
      </c>
      <c r="M55" s="166"/>
      <c r="N55" s="166">
        <f t="shared" si="1"/>
        <v>0</v>
      </c>
      <c r="O55" s="166">
        <f t="shared" si="2"/>
        <v>0</v>
      </c>
      <c r="P55" s="139">
        <f t="shared" si="3"/>
        <v>0</v>
      </c>
      <c r="Q55" s="139"/>
    </row>
    <row r="56" spans="1:18" ht="14.1" customHeight="1" x14ac:dyDescent="0.25">
      <c r="A56" s="302">
        <v>38</v>
      </c>
      <c r="B56" s="139" t="str">
        <f>'Du toan chi tiet'!C47</f>
        <v>AL.16201</v>
      </c>
      <c r="C56" s="139" t="str">
        <f>'Du toan chi tiet'!D47</f>
        <v>Lót bạc nilong sọc xanh đỏ</v>
      </c>
      <c r="D56" s="302" t="str">
        <f>'Du toan chi tiet'!E47</f>
        <v>m2</v>
      </c>
      <c r="E56" s="230">
        <f>'Du toan chi tiet'!M47</f>
        <v>3.3</v>
      </c>
      <c r="F56" s="230"/>
      <c r="G56" s="230"/>
      <c r="H56" s="230"/>
      <c r="I56" s="166"/>
      <c r="J56" s="166">
        <f>'Chiết tính'!J775</f>
        <v>7566.7835431799995</v>
      </c>
      <c r="K56" s="166"/>
      <c r="L56" s="166">
        <f t="shared" si="0"/>
        <v>24970.385692493997</v>
      </c>
      <c r="M56" s="166"/>
      <c r="N56" s="166">
        <f t="shared" si="1"/>
        <v>0</v>
      </c>
      <c r="O56" s="166">
        <f t="shared" si="2"/>
        <v>0</v>
      </c>
      <c r="P56" s="139">
        <f t="shared" si="3"/>
        <v>0</v>
      </c>
      <c r="Q56" s="139"/>
    </row>
    <row r="57" spans="1:18" ht="14.1" customHeight="1" x14ac:dyDescent="0.25">
      <c r="A57" s="302">
        <v>39</v>
      </c>
      <c r="B57" s="139" t="str">
        <f>'Du toan chi tiet'!C48</f>
        <v>AF.82411</v>
      </c>
      <c r="C57" s="139" t="str">
        <f>'Du toan chi tiet'!D48</f>
        <v>Ván khuôn thép mặt đường bê tông</v>
      </c>
      <c r="D57" s="302" t="str">
        <f>'Du toan chi tiet'!E48</f>
        <v>m2</v>
      </c>
      <c r="E57" s="230">
        <f>'Du toan chi tiet'!M48</f>
        <v>3.22</v>
      </c>
      <c r="F57" s="230"/>
      <c r="G57" s="230"/>
      <c r="H57" s="230"/>
      <c r="I57" s="166"/>
      <c r="J57" s="166">
        <f>'Chiết tính'!J797</f>
        <v>50720.646782917618</v>
      </c>
      <c r="K57" s="166"/>
      <c r="L57" s="166">
        <f t="shared" si="0"/>
        <v>163320.48264099474</v>
      </c>
      <c r="M57" s="166"/>
      <c r="N57" s="166">
        <f t="shared" si="1"/>
        <v>0</v>
      </c>
      <c r="O57" s="166">
        <f t="shared" si="2"/>
        <v>0</v>
      </c>
      <c r="P57" s="139">
        <f t="shared" si="3"/>
        <v>0</v>
      </c>
      <c r="Q57" s="139"/>
    </row>
    <row r="58" spans="1:18" ht="14.1" customHeight="1" x14ac:dyDescent="0.25">
      <c r="A58" s="302">
        <v>40</v>
      </c>
      <c r="B58" s="139" t="str">
        <f>'Du toan chi tiet'!C49</f>
        <v>AD.23263</v>
      </c>
      <c r="C58" s="139" t="str">
        <f>'Du toan chi tiet'!D49</f>
        <v>Rải thảm mặt đường Carboncor Asphalt, bằng phương pháp thủ cơ giới, chiều dày mặt đường đã lèn ép 3cm</v>
      </c>
      <c r="D58" s="302" t="str">
        <f>'Du toan chi tiet'!E49</f>
        <v>m2</v>
      </c>
      <c r="E58" s="230">
        <f>'Du toan chi tiet'!M49</f>
        <v>1.2</v>
      </c>
      <c r="F58" s="230"/>
      <c r="G58" s="230"/>
      <c r="H58" s="230"/>
      <c r="I58" s="166"/>
      <c r="J58" s="166">
        <f>'Chiết tính'!J820</f>
        <v>287678.41615047934</v>
      </c>
      <c r="K58" s="166"/>
      <c r="L58" s="166">
        <f t="shared" si="0"/>
        <v>345214.09938057518</v>
      </c>
      <c r="M58" s="166"/>
      <c r="N58" s="166">
        <f t="shared" si="1"/>
        <v>0</v>
      </c>
      <c r="O58" s="166">
        <f t="shared" si="2"/>
        <v>0</v>
      </c>
      <c r="P58" s="139">
        <f t="shared" si="3"/>
        <v>0</v>
      </c>
      <c r="Q58" s="139"/>
    </row>
    <row r="59" spans="1:18" ht="14.45" customHeight="1" x14ac:dyDescent="0.25">
      <c r="A59" s="302">
        <v>41</v>
      </c>
      <c r="B59" s="139" t="e">
        <f>'Du toan chi tiet'!#REF!</f>
        <v>#REF!</v>
      </c>
      <c r="C59" s="139" t="e">
        <f>'Du toan chi tiet'!#REF!</f>
        <v>#REF!</v>
      </c>
      <c r="D59" s="302" t="e">
        <f>'Du toan chi tiet'!#REF!</f>
        <v>#REF!</v>
      </c>
      <c r="E59" s="230" t="e">
        <f>'Du toan chi tiet'!#REF!</f>
        <v>#REF!</v>
      </c>
      <c r="F59" s="230"/>
      <c r="G59" s="230"/>
      <c r="H59" s="230"/>
      <c r="I59" s="166"/>
      <c r="J59" s="166" t="e">
        <f>'Chiết tính'!J841</f>
        <v>#REF!</v>
      </c>
      <c r="K59" s="166"/>
      <c r="L59" s="166" t="e">
        <f t="shared" si="0"/>
        <v>#REF!</v>
      </c>
      <c r="M59" s="166"/>
      <c r="N59" s="166" t="e">
        <f t="shared" si="1"/>
        <v>#REF!</v>
      </c>
      <c r="O59" s="166" t="e">
        <f t="shared" si="2"/>
        <v>#REF!</v>
      </c>
      <c r="P59" s="139" t="e">
        <f t="shared" si="3"/>
        <v>#REF!</v>
      </c>
      <c r="Q59" s="139"/>
    </row>
    <row r="60" spans="1:18" ht="14.45" customHeight="1" x14ac:dyDescent="0.25">
      <c r="A60" s="94"/>
      <c r="B60" s="121" t="s">
        <v>167</v>
      </c>
      <c r="C60" s="121" t="s">
        <v>1132</v>
      </c>
      <c r="D60" s="94"/>
      <c r="E60" s="500"/>
      <c r="F60" s="500"/>
      <c r="G60" s="500"/>
      <c r="H60" s="500"/>
      <c r="I60" s="479"/>
      <c r="J60" s="479"/>
      <c r="K60" s="479"/>
      <c r="L60" s="479" t="e">
        <f t="shared" ref="L60:P60" si="4">SUM(L19:L59)</f>
        <v>#REF!</v>
      </c>
      <c r="M60" s="479">
        <f t="shared" si="4"/>
        <v>0</v>
      </c>
      <c r="N60" s="479" t="e">
        <f t="shared" si="4"/>
        <v>#REF!</v>
      </c>
      <c r="O60" s="479" t="e">
        <f t="shared" si="4"/>
        <v>#REF!</v>
      </c>
      <c r="P60" s="121" t="e">
        <f t="shared" si="4"/>
        <v>#REF!</v>
      </c>
      <c r="Q60" s="121"/>
    </row>
    <row r="61" spans="1:18" ht="14.45" customHeight="1" x14ac:dyDescent="0.25">
      <c r="A61" s="38" t="s">
        <v>1063</v>
      </c>
      <c r="B61" s="245"/>
      <c r="C61" s="245"/>
      <c r="D61" s="245"/>
      <c r="E61" s="245"/>
      <c r="F61" s="245"/>
      <c r="G61" s="245"/>
      <c r="H61" s="245"/>
      <c r="I61" s="245"/>
      <c r="J61" s="245"/>
      <c r="K61" s="245"/>
      <c r="L61" s="245"/>
      <c r="M61" s="245"/>
      <c r="N61" s="245"/>
      <c r="O61" s="245"/>
      <c r="P61" s="245"/>
      <c r="Q61" s="245"/>
      <c r="R61" s="194"/>
    </row>
    <row r="62" spans="1:18" ht="14.45" customHeight="1" x14ac:dyDescent="0.25">
      <c r="A62" s="38" t="s">
        <v>768</v>
      </c>
      <c r="B62" s="245"/>
      <c r="C62" s="245"/>
      <c r="D62" s="245"/>
      <c r="E62" s="245"/>
      <c r="F62" s="245"/>
      <c r="G62" s="245"/>
      <c r="H62" s="245"/>
      <c r="I62" s="245"/>
      <c r="J62" s="245"/>
      <c r="K62" s="245"/>
      <c r="L62" s="245"/>
      <c r="M62" s="245"/>
      <c r="N62" s="245"/>
      <c r="O62" s="245"/>
      <c r="P62" s="245"/>
      <c r="Q62" s="245"/>
      <c r="R62" s="194"/>
    </row>
    <row r="63" spans="1:18" ht="14.45" customHeight="1" x14ac:dyDescent="0.25">
      <c r="A63" s="38" t="s">
        <v>729</v>
      </c>
      <c r="B63" s="245"/>
      <c r="C63" s="245"/>
      <c r="D63" s="245"/>
      <c r="E63" s="245"/>
      <c r="F63" s="245"/>
      <c r="G63" s="245"/>
      <c r="H63" s="245"/>
      <c r="I63" s="245"/>
      <c r="J63" s="245"/>
      <c r="K63" s="245"/>
      <c r="L63" s="245"/>
      <c r="M63" s="245"/>
      <c r="N63" s="245"/>
      <c r="O63" s="245"/>
      <c r="P63" s="245"/>
      <c r="Q63" s="245"/>
      <c r="R63" s="194"/>
    </row>
    <row r="64" spans="1:18" ht="14.45" customHeight="1" x14ac:dyDescent="0.25">
      <c r="A64" s="38" t="s">
        <v>871</v>
      </c>
      <c r="B64" s="245"/>
      <c r="C64" s="245"/>
      <c r="D64" s="245"/>
      <c r="E64" s="245"/>
      <c r="F64" s="245"/>
      <c r="G64" s="245"/>
      <c r="H64" s="245"/>
      <c r="I64" s="245"/>
      <c r="J64" s="245"/>
      <c r="K64" s="245"/>
      <c r="L64" s="245"/>
      <c r="M64" s="245"/>
      <c r="N64" s="245"/>
      <c r="O64" s="245"/>
      <c r="P64" s="245"/>
      <c r="Q64" s="245"/>
      <c r="R64" s="194"/>
    </row>
    <row r="65" spans="1:18" ht="14.45" customHeight="1" x14ac:dyDescent="0.25">
      <c r="A65" s="38" t="s">
        <v>937</v>
      </c>
      <c r="B65" s="245"/>
      <c r="C65" s="245"/>
      <c r="D65" s="245"/>
      <c r="E65" s="245"/>
      <c r="F65" s="245"/>
      <c r="G65" s="245"/>
      <c r="H65" s="245"/>
      <c r="I65" s="245"/>
      <c r="J65" s="245"/>
      <c r="K65" s="245"/>
      <c r="L65" s="245"/>
      <c r="M65" s="245"/>
      <c r="N65" s="245"/>
      <c r="O65" s="245"/>
      <c r="P65" s="245"/>
      <c r="Q65" s="245"/>
      <c r="R65" s="194"/>
    </row>
    <row r="66" spans="1:18" ht="14.45" customHeight="1" x14ac:dyDescent="0.25">
      <c r="A66" s="38" t="s">
        <v>629</v>
      </c>
      <c r="B66" s="245"/>
      <c r="C66" s="245"/>
      <c r="D66" s="245"/>
      <c r="E66" s="245"/>
      <c r="F66" s="245"/>
      <c r="G66" s="245"/>
      <c r="H66" s="245"/>
      <c r="I66" s="245"/>
      <c r="J66" s="245"/>
      <c r="K66" s="245"/>
      <c r="L66" s="245"/>
      <c r="M66" s="245"/>
      <c r="N66" s="245"/>
      <c r="O66" s="245"/>
      <c r="P66" s="245"/>
      <c r="Q66" s="245"/>
      <c r="R66" s="194"/>
    </row>
    <row r="67" spans="1:18" ht="14.45" customHeight="1" x14ac:dyDescent="0.25">
      <c r="A67" s="38" t="s">
        <v>439</v>
      </c>
      <c r="B67" s="245"/>
      <c r="C67" s="245"/>
      <c r="D67" s="245"/>
      <c r="E67" s="245"/>
      <c r="F67" s="245"/>
      <c r="G67" s="245"/>
      <c r="H67" s="245"/>
      <c r="I67" s="245"/>
      <c r="J67" s="245"/>
      <c r="K67" s="245"/>
      <c r="L67" s="245"/>
      <c r="M67" s="245"/>
      <c r="N67" s="245"/>
      <c r="O67" s="245"/>
      <c r="P67" s="245"/>
      <c r="Q67" s="245"/>
      <c r="R67" s="194"/>
    </row>
    <row r="68" spans="1:18" ht="14.45" customHeight="1" x14ac:dyDescent="0.25">
      <c r="A68" s="38" t="s">
        <v>665</v>
      </c>
      <c r="B68" s="245"/>
      <c r="C68" s="245"/>
      <c r="D68" s="245"/>
      <c r="E68" s="245"/>
      <c r="F68" s="245"/>
      <c r="G68" s="245"/>
      <c r="H68" s="245"/>
      <c r="I68" s="245"/>
      <c r="J68" s="245"/>
      <c r="K68" s="245"/>
      <c r="L68" s="245"/>
      <c r="M68" s="245"/>
      <c r="N68" s="245"/>
      <c r="O68" s="245"/>
      <c r="P68" s="245"/>
      <c r="Q68" s="245"/>
      <c r="R68" s="194"/>
    </row>
    <row r="69" spans="1:18" ht="14.45" customHeight="1" x14ac:dyDescent="0.25">
      <c r="A69" s="245"/>
      <c r="B69" s="245"/>
      <c r="C69" s="245"/>
      <c r="D69" s="245"/>
      <c r="E69" s="245"/>
      <c r="F69" s="245"/>
      <c r="G69" s="245"/>
      <c r="H69" s="245"/>
      <c r="I69" s="245"/>
      <c r="J69" s="245"/>
      <c r="K69" s="245"/>
      <c r="L69" s="245"/>
      <c r="M69" s="245"/>
      <c r="N69" s="245"/>
      <c r="O69" s="245"/>
      <c r="P69" s="245"/>
      <c r="Q69" s="245"/>
      <c r="R69" s="194"/>
    </row>
    <row r="70" spans="1:18" ht="14.45" customHeight="1" x14ac:dyDescent="0.25">
      <c r="A70" s="245"/>
      <c r="B70" s="245"/>
      <c r="C70" s="245"/>
      <c r="D70" s="245"/>
      <c r="E70" s="245"/>
      <c r="F70" s="245"/>
      <c r="G70" s="245"/>
      <c r="H70" s="245"/>
      <c r="I70" s="245"/>
      <c r="J70" s="245"/>
      <c r="K70" s="245"/>
      <c r="L70" s="1170"/>
      <c r="M70" s="1170"/>
      <c r="N70" s="1162"/>
      <c r="O70" s="1162"/>
      <c r="P70" s="1162"/>
      <c r="Q70" s="1162"/>
      <c r="R70" s="194"/>
    </row>
    <row r="71" spans="1:18" ht="17.649999999999999" customHeight="1" x14ac:dyDescent="0.3">
      <c r="A71" s="1167" t="s">
        <v>1150</v>
      </c>
      <c r="B71" s="1162"/>
      <c r="C71" s="1162"/>
      <c r="D71" s="986"/>
      <c r="E71" s="1162"/>
      <c r="F71" s="1162"/>
      <c r="G71" s="1162"/>
      <c r="H71" s="1162"/>
      <c r="I71" s="1162"/>
      <c r="J71" s="1162"/>
      <c r="K71" s="91"/>
      <c r="L71" s="1167" t="s">
        <v>859</v>
      </c>
      <c r="M71" s="1167"/>
      <c r="N71" s="1162"/>
      <c r="O71" s="1162"/>
      <c r="P71" s="1162"/>
      <c r="Q71" s="1162"/>
      <c r="R71" s="194"/>
    </row>
    <row r="72" spans="1:18" ht="15.4" customHeight="1" x14ac:dyDescent="0.25">
      <c r="A72" s="1161" t="s">
        <v>1255</v>
      </c>
      <c r="B72" s="1162"/>
      <c r="C72" s="1162"/>
      <c r="D72" s="1163"/>
      <c r="E72" s="1162"/>
      <c r="F72" s="1162"/>
      <c r="G72" s="1162"/>
      <c r="H72" s="1162"/>
      <c r="I72" s="1162"/>
      <c r="J72" s="1162"/>
      <c r="K72" s="548"/>
      <c r="L72" s="1161" t="s">
        <v>1255</v>
      </c>
      <c r="M72" s="1161"/>
      <c r="N72" s="1162"/>
      <c r="O72" s="1162"/>
      <c r="P72" s="1162"/>
      <c r="Q72" s="1162"/>
      <c r="R72" s="194"/>
    </row>
  </sheetData>
  <mergeCells count="25">
    <mergeCell ref="P1:Q1"/>
    <mergeCell ref="A4:Q4"/>
    <mergeCell ref="E15:F15"/>
    <mergeCell ref="L15:M15"/>
    <mergeCell ref="L70:Q70"/>
    <mergeCell ref="A2:Q2"/>
    <mergeCell ref="A3:Q3"/>
    <mergeCell ref="L14:P14"/>
    <mergeCell ref="Q14:Q16"/>
    <mergeCell ref="A72:C72"/>
    <mergeCell ref="D72:J72"/>
    <mergeCell ref="L72:Q72"/>
    <mergeCell ref="G15:H15"/>
    <mergeCell ref="J15:J16"/>
    <mergeCell ref="K15:K16"/>
    <mergeCell ref="N15:P15"/>
    <mergeCell ref="A14:A16"/>
    <mergeCell ref="B14:B16"/>
    <mergeCell ref="C14:C16"/>
    <mergeCell ref="A71:C71"/>
    <mergeCell ref="D71:J71"/>
    <mergeCell ref="L71:Q71"/>
    <mergeCell ref="D14:D16"/>
    <mergeCell ref="E14:I14"/>
    <mergeCell ref="J14:K1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showZeros="0" workbookViewId="0"/>
  </sheetViews>
  <sheetFormatPr defaultRowHeight="15" x14ac:dyDescent="0.25"/>
  <cols>
    <col min="1" max="1" width="5.85546875" customWidth="1"/>
    <col min="2" max="2" width="11.85546875" customWidth="1"/>
    <col min="3" max="3" width="60.85546875" customWidth="1"/>
    <col min="4" max="4" width="7.85546875" customWidth="1"/>
    <col min="5" max="8" width="9.85546875" customWidth="1"/>
    <col min="9" max="10" width="11.85546875" customWidth="1"/>
    <col min="11" max="14" width="13.85546875" customWidth="1"/>
    <col min="15" max="15" width="11.85546875" customWidth="1"/>
  </cols>
  <sheetData>
    <row r="1" spans="1:15" ht="17.649999999999999" customHeight="1" x14ac:dyDescent="0.3">
      <c r="A1" s="460"/>
      <c r="B1" s="460"/>
      <c r="C1" s="460"/>
      <c r="D1" s="460"/>
      <c r="E1" s="460"/>
      <c r="F1" s="460"/>
      <c r="G1" s="460"/>
      <c r="H1" s="460"/>
      <c r="I1" s="460"/>
      <c r="J1" s="460"/>
      <c r="K1" s="460"/>
      <c r="L1" s="460"/>
      <c r="M1" s="460"/>
      <c r="N1" s="460"/>
      <c r="O1" s="290" t="s">
        <v>918</v>
      </c>
    </row>
    <row r="2" spans="1:15" ht="17.649999999999999" customHeight="1" x14ac:dyDescent="0.3">
      <c r="A2" s="1167" t="s">
        <v>272</v>
      </c>
      <c r="B2" s="1171"/>
      <c r="C2" s="1171"/>
      <c r="D2" s="1171"/>
      <c r="E2" s="1171"/>
      <c r="F2" s="1171"/>
      <c r="G2" s="1171"/>
      <c r="H2" s="1171"/>
      <c r="I2" s="1171"/>
      <c r="J2" s="1171"/>
      <c r="K2" s="1171"/>
      <c r="L2" s="1171"/>
      <c r="M2" s="1171"/>
      <c r="N2" s="1171"/>
      <c r="O2" s="1171"/>
    </row>
    <row r="3" spans="1:15" ht="15.4" customHeight="1" x14ac:dyDescent="0.25">
      <c r="A3" s="1161" t="s">
        <v>821</v>
      </c>
      <c r="B3" s="1171"/>
      <c r="C3" s="1171"/>
      <c r="D3" s="1171"/>
      <c r="E3" s="1171"/>
      <c r="F3" s="1171"/>
      <c r="G3" s="1171"/>
      <c r="H3" s="1171"/>
      <c r="I3" s="1171"/>
      <c r="J3" s="1171"/>
      <c r="K3" s="1171"/>
      <c r="L3" s="1171"/>
      <c r="M3" s="1171"/>
      <c r="N3" s="1171"/>
      <c r="O3" s="1171"/>
    </row>
    <row r="4" spans="1:15" ht="15" customHeight="1" x14ac:dyDescent="0.25">
      <c r="A4" s="38" t="s">
        <v>185</v>
      </c>
      <c r="B4" s="245"/>
      <c r="C4" s="245"/>
      <c r="D4" s="245"/>
      <c r="E4" s="245"/>
      <c r="F4" s="245"/>
      <c r="G4" s="245"/>
      <c r="H4" s="245"/>
      <c r="I4" s="245"/>
      <c r="J4" s="245"/>
      <c r="K4" s="245"/>
      <c r="L4" s="245"/>
      <c r="M4" s="245"/>
      <c r="N4" s="245"/>
      <c r="O4" s="245"/>
    </row>
    <row r="5" spans="1:15" ht="15" customHeight="1" x14ac:dyDescent="0.25">
      <c r="A5" s="38" t="s">
        <v>896</v>
      </c>
      <c r="B5" s="245"/>
      <c r="C5" s="245"/>
      <c r="D5" s="245"/>
      <c r="E5" s="245"/>
      <c r="F5" s="245"/>
      <c r="G5" s="245"/>
      <c r="H5" s="245"/>
      <c r="I5" s="245"/>
      <c r="J5" s="245"/>
      <c r="K5" s="245"/>
      <c r="L5" s="245"/>
      <c r="M5" s="245"/>
      <c r="N5" s="245"/>
      <c r="O5" s="245"/>
    </row>
    <row r="6" spans="1:15" ht="15" customHeight="1" x14ac:dyDescent="0.25">
      <c r="A6" s="38" t="s">
        <v>63</v>
      </c>
      <c r="B6" s="245"/>
      <c r="C6" s="245"/>
      <c r="D6" s="38" t="s">
        <v>1109</v>
      </c>
      <c r="E6" s="245"/>
      <c r="F6" s="245"/>
      <c r="G6" s="245"/>
      <c r="H6" s="245"/>
      <c r="I6" s="245"/>
      <c r="J6" s="245"/>
      <c r="K6" s="245"/>
      <c r="L6" s="245"/>
      <c r="M6" s="245"/>
      <c r="N6" s="245"/>
      <c r="O6" s="245"/>
    </row>
    <row r="7" spans="1:15" ht="15" customHeight="1" x14ac:dyDescent="0.25">
      <c r="A7" s="38" t="s">
        <v>402</v>
      </c>
      <c r="B7" s="245"/>
      <c r="C7" s="245"/>
      <c r="D7" s="245"/>
      <c r="E7" s="245"/>
      <c r="F7" s="245"/>
      <c r="G7" s="245"/>
      <c r="H7" s="245"/>
      <c r="I7" s="245"/>
      <c r="J7" s="245"/>
      <c r="K7" s="245"/>
      <c r="L7" s="245"/>
      <c r="M7" s="245"/>
      <c r="N7" s="245"/>
      <c r="O7" s="245"/>
    </row>
    <row r="8" spans="1:15" ht="15" customHeight="1" x14ac:dyDescent="0.25">
      <c r="A8" s="38" t="s">
        <v>582</v>
      </c>
      <c r="B8" s="245"/>
      <c r="C8" s="245"/>
      <c r="D8" s="245"/>
      <c r="E8" s="245"/>
      <c r="F8" s="245"/>
      <c r="G8" s="245"/>
      <c r="H8" s="245"/>
      <c r="I8" s="245"/>
      <c r="J8" s="245"/>
      <c r="K8" s="245"/>
      <c r="L8" s="245"/>
      <c r="M8" s="245"/>
      <c r="N8" s="245"/>
      <c r="O8" s="245"/>
    </row>
    <row r="9" spans="1:15" ht="15" customHeight="1" x14ac:dyDescent="0.25">
      <c r="A9" s="38" t="s">
        <v>900</v>
      </c>
      <c r="B9" s="245"/>
      <c r="C9" s="245"/>
      <c r="D9" s="245"/>
      <c r="E9" s="245"/>
      <c r="F9" s="245"/>
      <c r="G9" s="245"/>
      <c r="H9" s="245"/>
      <c r="I9" s="245"/>
      <c r="J9" s="245"/>
      <c r="K9" s="245"/>
      <c r="L9" s="245"/>
      <c r="M9" s="245"/>
      <c r="N9" s="245"/>
      <c r="O9" s="245"/>
    </row>
    <row r="10" spans="1:15" ht="15" customHeight="1" x14ac:dyDescent="0.25">
      <c r="A10" s="38" t="s">
        <v>224</v>
      </c>
      <c r="B10" s="245"/>
      <c r="C10" s="245"/>
      <c r="D10" s="245"/>
      <c r="E10" s="245"/>
      <c r="F10" s="245"/>
      <c r="G10" s="245"/>
      <c r="H10" s="245"/>
      <c r="I10" s="245"/>
      <c r="J10" s="245"/>
      <c r="K10" s="245"/>
      <c r="L10" s="245"/>
      <c r="M10" s="245"/>
      <c r="N10" s="245"/>
      <c r="O10" s="245"/>
    </row>
    <row r="11" spans="1:15" ht="15" customHeight="1" x14ac:dyDescent="0.25">
      <c r="A11" s="38" t="s">
        <v>976</v>
      </c>
      <c r="B11" s="245"/>
      <c r="C11" s="245"/>
      <c r="D11" s="245"/>
      <c r="E11" s="245"/>
      <c r="F11" s="245"/>
      <c r="G11" s="245"/>
      <c r="H11" s="245"/>
      <c r="I11" s="245"/>
      <c r="J11" s="245"/>
      <c r="K11" s="245"/>
      <c r="L11" s="245"/>
      <c r="M11" s="245"/>
      <c r="N11" s="245"/>
      <c r="O11" s="245"/>
    </row>
    <row r="12" spans="1:15" ht="15" customHeight="1" x14ac:dyDescent="0.25">
      <c r="A12" s="245"/>
      <c r="B12" s="245"/>
      <c r="C12" s="245"/>
      <c r="D12" s="245"/>
      <c r="E12" s="245"/>
      <c r="F12" s="245"/>
      <c r="G12" s="245"/>
      <c r="H12" s="245"/>
      <c r="I12" s="245"/>
      <c r="J12" s="245"/>
      <c r="K12" s="245"/>
      <c r="L12" s="245"/>
      <c r="M12" s="245"/>
      <c r="N12" s="245"/>
      <c r="O12" s="245"/>
    </row>
    <row r="13" spans="1:15" ht="14.25" customHeight="1" x14ac:dyDescent="0.25">
      <c r="A13" s="1172" t="s">
        <v>386</v>
      </c>
      <c r="B13" s="1175" t="s">
        <v>1120</v>
      </c>
      <c r="C13" s="1172" t="s">
        <v>1172</v>
      </c>
      <c r="D13" s="1172" t="s">
        <v>324</v>
      </c>
      <c r="E13" s="1176" t="s">
        <v>449</v>
      </c>
      <c r="F13" s="1177"/>
      <c r="G13" s="1177"/>
      <c r="H13" s="1178"/>
      <c r="I13" s="1176" t="s">
        <v>534</v>
      </c>
      <c r="J13" s="1178"/>
      <c r="K13" s="1176" t="s">
        <v>388</v>
      </c>
      <c r="L13" s="1177"/>
      <c r="M13" s="1177"/>
      <c r="N13" s="1178"/>
      <c r="O13" s="1172" t="s">
        <v>1118</v>
      </c>
    </row>
    <row r="14" spans="1:15" ht="16.5" customHeight="1" x14ac:dyDescent="0.25">
      <c r="A14" s="1173"/>
      <c r="B14" s="1173"/>
      <c r="C14" s="1173"/>
      <c r="D14" s="1173"/>
      <c r="E14" s="1172" t="s">
        <v>746</v>
      </c>
      <c r="F14" s="1176" t="s">
        <v>1097</v>
      </c>
      <c r="G14" s="1178"/>
      <c r="H14" s="325"/>
      <c r="I14" s="1172" t="s">
        <v>534</v>
      </c>
      <c r="J14" s="1172" t="s">
        <v>917</v>
      </c>
      <c r="K14" s="1172" t="s">
        <v>746</v>
      </c>
      <c r="L14" s="1176" t="s">
        <v>1097</v>
      </c>
      <c r="M14" s="1177"/>
      <c r="N14" s="1178"/>
      <c r="O14" s="1173"/>
    </row>
    <row r="15" spans="1:15" ht="41.65" customHeight="1" x14ac:dyDescent="0.25">
      <c r="A15" s="1174"/>
      <c r="B15" s="1174"/>
      <c r="C15" s="1174"/>
      <c r="D15" s="1174"/>
      <c r="E15" s="1174"/>
      <c r="F15" s="608" t="s">
        <v>883</v>
      </c>
      <c r="G15" s="608" t="s">
        <v>231</v>
      </c>
      <c r="H15" s="608" t="s">
        <v>864</v>
      </c>
      <c r="I15" s="1174"/>
      <c r="J15" s="1174"/>
      <c r="K15" s="1174"/>
      <c r="L15" s="608" t="s">
        <v>883</v>
      </c>
      <c r="M15" s="608" t="s">
        <v>231</v>
      </c>
      <c r="N15" s="608" t="s">
        <v>864</v>
      </c>
      <c r="O15" s="1174"/>
    </row>
    <row r="16" spans="1:15" ht="15" customHeight="1" x14ac:dyDescent="0.25">
      <c r="A16" s="323"/>
      <c r="B16" s="82"/>
      <c r="C16" s="605"/>
      <c r="D16" s="323"/>
      <c r="E16" s="621"/>
      <c r="F16" s="621"/>
      <c r="G16" s="621"/>
      <c r="H16" s="621"/>
      <c r="I16" s="755"/>
      <c r="J16" s="755"/>
      <c r="K16" s="755"/>
      <c r="L16" s="755"/>
      <c r="M16" s="755"/>
      <c r="N16" s="755"/>
      <c r="O16" s="621"/>
    </row>
    <row r="17" spans="1:15" ht="15" customHeight="1" x14ac:dyDescent="0.25">
      <c r="A17" s="94">
        <v>0</v>
      </c>
      <c r="B17" s="121" t="s">
        <v>875</v>
      </c>
      <c r="C17" s="121" t="s">
        <v>873</v>
      </c>
      <c r="D17" s="94"/>
      <c r="E17" s="500"/>
      <c r="F17" s="500"/>
      <c r="G17" s="500"/>
      <c r="H17" s="500"/>
      <c r="I17" s="479"/>
      <c r="J17" s="479"/>
      <c r="K17" s="479"/>
      <c r="L17" s="479"/>
      <c r="M17" s="479"/>
      <c r="N17" s="479"/>
      <c r="O17" s="121"/>
    </row>
    <row r="18" spans="1:15" ht="15" customHeight="1" x14ac:dyDescent="0.25">
      <c r="A18" s="302">
        <v>1</v>
      </c>
      <c r="B18" s="139" t="str">
        <f>'Du toan chi tiet'!C8</f>
        <v>AD.23263</v>
      </c>
      <c r="C18" s="139" t="str">
        <f>'Du toan chi tiet'!D8</f>
        <v>Rải thảm mặt đường Carboncor Asphalt, bằng phương pháp thủ cơ giới, chiều dày mặt đường đã lèn ép 3cm</v>
      </c>
      <c r="D18" s="302" t="str">
        <f>'Du toan chi tiet'!E8</f>
        <v>m2</v>
      </c>
      <c r="E18" s="230">
        <f>'Du toan chi tiet'!M8</f>
        <v>1631.42</v>
      </c>
      <c r="F18" s="230"/>
      <c r="G18" s="230"/>
      <c r="H18" s="230"/>
      <c r="I18" s="166">
        <f>'Chiết tính'!J28</f>
        <v>287678.41615047934</v>
      </c>
      <c r="J18" s="166"/>
      <c r="K18" s="166">
        <f t="shared" ref="K18:K58" si="0">E18*I18</f>
        <v>469324321.67621505</v>
      </c>
      <c r="L18" s="166">
        <f t="shared" ref="L18:L58" si="1">F18*I18</f>
        <v>0</v>
      </c>
      <c r="M18" s="166">
        <f t="shared" ref="M18:M58" si="2">G18*I18</f>
        <v>0</v>
      </c>
      <c r="N18" s="166">
        <f t="shared" ref="N18:N58" si="3">H18*I18</f>
        <v>0</v>
      </c>
      <c r="O18" s="139"/>
    </row>
    <row r="19" spans="1:15" ht="15" customHeight="1" x14ac:dyDescent="0.25">
      <c r="A19" s="302">
        <v>2</v>
      </c>
      <c r="B19" s="139" t="str">
        <f>'Du toan chi tiet'!C9</f>
        <v>AD.23261vd</v>
      </c>
      <c r="C19" s="139" t="str">
        <f>'Du toan chi tiet'!D9</f>
        <v>Rải thảm mặt đường Carboncor Asphalt, bằng phương pháp thủ cơ giới, chiều dày mặt đường đã lèn ép 1cm</v>
      </c>
      <c r="D19" s="302" t="str">
        <f>'Du toan chi tiet'!E9</f>
        <v>m2</v>
      </c>
      <c r="E19" s="230">
        <f>'Du toan chi tiet'!M9</f>
        <v>856.71</v>
      </c>
      <c r="F19" s="230"/>
      <c r="G19" s="230"/>
      <c r="H19" s="230"/>
      <c r="I19" s="166">
        <f>'Chiết tính'!J51</f>
        <v>99304.94086159725</v>
      </c>
      <c r="J19" s="166"/>
      <c r="K19" s="166">
        <f t="shared" si="0"/>
        <v>85075535.88553898</v>
      </c>
      <c r="L19" s="166">
        <f t="shared" si="1"/>
        <v>0</v>
      </c>
      <c r="M19" s="166">
        <f t="shared" si="2"/>
        <v>0</v>
      </c>
      <c r="N19" s="166">
        <f t="shared" si="3"/>
        <v>0</v>
      </c>
      <c r="O19" s="139"/>
    </row>
    <row r="20" spans="1:15" ht="15" customHeight="1" x14ac:dyDescent="0.25">
      <c r="A20" s="302">
        <v>3</v>
      </c>
      <c r="B20" s="139" t="e">
        <f>'Du toan chi tiet'!#REF!</f>
        <v>#REF!</v>
      </c>
      <c r="C20" s="139" t="e">
        <f>'Du toan chi tiet'!#REF!</f>
        <v>#REF!</v>
      </c>
      <c r="D20" s="302" t="e">
        <f>'Du toan chi tiet'!#REF!</f>
        <v>#REF!</v>
      </c>
      <c r="E20" s="230" t="e">
        <f>'Du toan chi tiet'!#REF!</f>
        <v>#REF!</v>
      </c>
      <c r="F20" s="230"/>
      <c r="G20" s="230"/>
      <c r="H20" s="230"/>
      <c r="I20" s="166" t="e">
        <f>'Chiết tính'!J72</f>
        <v>#REF!</v>
      </c>
      <c r="J20" s="166"/>
      <c r="K20" s="166" t="e">
        <f t="shared" si="0"/>
        <v>#REF!</v>
      </c>
      <c r="L20" s="166" t="e">
        <f t="shared" si="1"/>
        <v>#REF!</v>
      </c>
      <c r="M20" s="166" t="e">
        <f t="shared" si="2"/>
        <v>#REF!</v>
      </c>
      <c r="N20" s="166" t="e">
        <f t="shared" si="3"/>
        <v>#REF!</v>
      </c>
      <c r="O20" s="139"/>
    </row>
    <row r="21" spans="1:15" ht="15" customHeight="1" x14ac:dyDescent="0.25">
      <c r="A21" s="302">
        <v>4</v>
      </c>
      <c r="B21" s="139" t="str">
        <f>'Du toan chi tiet'!C10</f>
        <v>AF.15433</v>
      </c>
      <c r="C21" s="139" t="str">
        <f>'Du toan chi tiet'!D10</f>
        <v>Bê tông thương phẩm, bê tông mặt đường dày mặt đường ≤25cm, bê tông M300, đá 2x4</v>
      </c>
      <c r="D21" s="302" t="str">
        <f>'Du toan chi tiet'!E10</f>
        <v>m3</v>
      </c>
      <c r="E21" s="230">
        <f>'Du toan chi tiet'!M10</f>
        <v>133.84</v>
      </c>
      <c r="F21" s="230"/>
      <c r="G21" s="230"/>
      <c r="H21" s="230"/>
      <c r="I21" s="166" t="e">
        <f>'Chiết tính'!J100</f>
        <v>#REF!</v>
      </c>
      <c r="J21" s="166"/>
      <c r="K21" s="166" t="e">
        <f t="shared" si="0"/>
        <v>#REF!</v>
      </c>
      <c r="L21" s="166" t="e">
        <f t="shared" si="1"/>
        <v>#REF!</v>
      </c>
      <c r="M21" s="166" t="e">
        <f t="shared" si="2"/>
        <v>#REF!</v>
      </c>
      <c r="N21" s="166" t="e">
        <f t="shared" si="3"/>
        <v>#REF!</v>
      </c>
      <c r="O21" s="139"/>
    </row>
    <row r="22" spans="1:15" ht="15" customHeight="1" x14ac:dyDescent="0.25">
      <c r="A22" s="302">
        <v>5</v>
      </c>
      <c r="B22" s="139" t="str">
        <f>'Du toan chi tiet'!C11</f>
        <v>AB.66141</v>
      </c>
      <c r="C22" s="139" t="str">
        <f>'Du toan chi tiet'!D11</f>
        <v>Đắp bột đá công trình dày 5cm</v>
      </c>
      <c r="D22" s="302" t="str">
        <f>'Du toan chi tiet'!E11</f>
        <v>m3</v>
      </c>
      <c r="E22" s="230">
        <f>'Du toan chi tiet'!M11</f>
        <v>39.97</v>
      </c>
      <c r="F22" s="230"/>
      <c r="G22" s="230"/>
      <c r="H22" s="230"/>
      <c r="I22" s="166">
        <f>'Chiết tính'!J120</f>
        <v>239857.60634231343</v>
      </c>
      <c r="J22" s="166"/>
      <c r="K22" s="166">
        <f t="shared" si="0"/>
        <v>9587108.5255022682</v>
      </c>
      <c r="L22" s="166">
        <f t="shared" si="1"/>
        <v>0</v>
      </c>
      <c r="M22" s="166">
        <f t="shared" si="2"/>
        <v>0</v>
      </c>
      <c r="N22" s="166">
        <f t="shared" si="3"/>
        <v>0</v>
      </c>
      <c r="O22" s="139"/>
    </row>
    <row r="23" spans="1:15" ht="15" customHeight="1" x14ac:dyDescent="0.25">
      <c r="A23" s="302">
        <v>6</v>
      </c>
      <c r="B23" s="139" t="str">
        <f>'Du toan chi tiet'!C12</f>
        <v>AL.16201</v>
      </c>
      <c r="C23" s="139" t="str">
        <f>'Du toan chi tiet'!D12</f>
        <v>Lót bạc nilong sọc xanh đỏ</v>
      </c>
      <c r="D23" s="302" t="str">
        <f>'Du toan chi tiet'!E12</f>
        <v>m2</v>
      </c>
      <c r="E23" s="230">
        <f>'Du toan chi tiet'!M12</f>
        <v>763.11</v>
      </c>
      <c r="F23" s="230"/>
      <c r="G23" s="230"/>
      <c r="H23" s="230"/>
      <c r="I23" s="166">
        <f>'Chiết tính'!J136</f>
        <v>7566.7835431799995</v>
      </c>
      <c r="J23" s="166"/>
      <c r="K23" s="166">
        <f t="shared" si="0"/>
        <v>5774288.1896360898</v>
      </c>
      <c r="L23" s="166">
        <f t="shared" si="1"/>
        <v>0</v>
      </c>
      <c r="M23" s="166">
        <f t="shared" si="2"/>
        <v>0</v>
      </c>
      <c r="N23" s="166">
        <f t="shared" si="3"/>
        <v>0</v>
      </c>
      <c r="O23" s="139"/>
    </row>
    <row r="24" spans="1:15" ht="15" customHeight="1" x14ac:dyDescent="0.25">
      <c r="A24" s="302">
        <v>7</v>
      </c>
      <c r="B24" s="139" t="str">
        <f>'Du toan chi tiet'!C13</f>
        <v>AF.82411</v>
      </c>
      <c r="C24" s="139" t="str">
        <f>'Du toan chi tiet'!D13</f>
        <v>Ván khuôn thép mặt đường bê tông</v>
      </c>
      <c r="D24" s="302" t="str">
        <f>'Du toan chi tiet'!E13</f>
        <v>m2</v>
      </c>
      <c r="E24" s="230">
        <f>'Du toan chi tiet'!M13</f>
        <v>105.49</v>
      </c>
      <c r="F24" s="230"/>
      <c r="G24" s="230"/>
      <c r="H24" s="230"/>
      <c r="I24" s="166">
        <f>'Chiết tính'!J158</f>
        <v>50720.646782917618</v>
      </c>
      <c r="J24" s="166"/>
      <c r="K24" s="166">
        <f t="shared" si="0"/>
        <v>5350521.0291299792</v>
      </c>
      <c r="L24" s="166">
        <f t="shared" si="1"/>
        <v>0</v>
      </c>
      <c r="M24" s="166">
        <f t="shared" si="2"/>
        <v>0</v>
      </c>
      <c r="N24" s="166">
        <f t="shared" si="3"/>
        <v>0</v>
      </c>
      <c r="O24" s="139"/>
    </row>
    <row r="25" spans="1:15" ht="15" customHeight="1" x14ac:dyDescent="0.25">
      <c r="A25" s="302">
        <v>8</v>
      </c>
      <c r="B25" s="139" t="str">
        <f>'Du toan chi tiet'!C14</f>
        <v>SE.11211</v>
      </c>
      <c r="C25" s="139" t="str">
        <f>'Du toan chi tiet'!D14</f>
        <v>Cắt mặt đường bê tông Asphalt chiều dày lớp cắt ≤ 5cm</v>
      </c>
      <c r="D25" s="302" t="str">
        <f>'Du toan chi tiet'!E14</f>
        <v>m</v>
      </c>
      <c r="E25" s="230">
        <f>'Du toan chi tiet'!M14</f>
        <v>25</v>
      </c>
      <c r="F25" s="230"/>
      <c r="G25" s="230"/>
      <c r="H25" s="230"/>
      <c r="I25" s="166">
        <f>'Chiết tính'!J178</f>
        <v>11757.926854898604</v>
      </c>
      <c r="J25" s="166"/>
      <c r="K25" s="166">
        <f t="shared" si="0"/>
        <v>293948.17137246509</v>
      </c>
      <c r="L25" s="166">
        <f t="shared" si="1"/>
        <v>0</v>
      </c>
      <c r="M25" s="166">
        <f t="shared" si="2"/>
        <v>0</v>
      </c>
      <c r="N25" s="166">
        <f t="shared" si="3"/>
        <v>0</v>
      </c>
      <c r="O25" s="139"/>
    </row>
    <row r="26" spans="1:15" ht="15" customHeight="1" x14ac:dyDescent="0.25">
      <c r="A26" s="302">
        <v>9</v>
      </c>
      <c r="B26" s="139" t="str">
        <f>'Du toan chi tiet'!C15</f>
        <v>AL.22112</v>
      </c>
      <c r="C26" s="139" t="str">
        <f>'Du toan chi tiet'!D15</f>
        <v>Cắt mặt đường bê tông hiện có</v>
      </c>
      <c r="D26" s="302" t="str">
        <f>'Du toan chi tiet'!E15</f>
        <v>10m</v>
      </c>
      <c r="E26" s="230">
        <f>'Du toan chi tiet'!M15</f>
        <v>0.6</v>
      </c>
      <c r="F26" s="230"/>
      <c r="G26" s="230"/>
      <c r="H26" s="230"/>
      <c r="I26" s="166">
        <f>'Chiết tính'!J198</f>
        <v>563027.07368311193</v>
      </c>
      <c r="J26" s="166"/>
      <c r="K26" s="166">
        <f t="shared" si="0"/>
        <v>337816.24420986715</v>
      </c>
      <c r="L26" s="166">
        <f t="shared" si="1"/>
        <v>0</v>
      </c>
      <c r="M26" s="166">
        <f t="shared" si="2"/>
        <v>0</v>
      </c>
      <c r="N26" s="166">
        <f t="shared" si="3"/>
        <v>0</v>
      </c>
      <c r="O26" s="139"/>
    </row>
    <row r="27" spans="1:15" ht="15" customHeight="1" x14ac:dyDescent="0.25">
      <c r="A27" s="302">
        <v>10</v>
      </c>
      <c r="B27" s="139" t="str">
        <f>'Du toan chi tiet'!C16</f>
        <v>SF.12112</v>
      </c>
      <c r="C27" s="139" t="str">
        <f>'Du toan chi tiet'!D16</f>
        <v>Bảo dưỡng khe co dãn mặt đường bê tông xi măng - Chiều dày mặt đường 25cm</v>
      </c>
      <c r="D27" s="302" t="str">
        <f>'Du toan chi tiet'!E16</f>
        <v>1m</v>
      </c>
      <c r="E27" s="230">
        <f>'Du toan chi tiet'!M16</f>
        <v>52.2</v>
      </c>
      <c r="F27" s="230"/>
      <c r="G27" s="230"/>
      <c r="H27" s="230"/>
      <c r="I27" s="166">
        <f>'Chiết tính'!J217</f>
        <v>167929.3730649197</v>
      </c>
      <c r="J27" s="166"/>
      <c r="K27" s="166">
        <f t="shared" si="0"/>
        <v>8765913.2739888094</v>
      </c>
      <c r="L27" s="166">
        <f t="shared" si="1"/>
        <v>0</v>
      </c>
      <c r="M27" s="166">
        <f t="shared" si="2"/>
        <v>0</v>
      </c>
      <c r="N27" s="166">
        <f t="shared" si="3"/>
        <v>0</v>
      </c>
      <c r="O27" s="139"/>
    </row>
    <row r="28" spans="1:15" ht="15" customHeight="1" x14ac:dyDescent="0.25">
      <c r="A28" s="302">
        <v>11</v>
      </c>
      <c r="B28" s="139" t="str">
        <f>'Du toan chi tiet'!C17</f>
        <v>AB.31134</v>
      </c>
      <c r="C28" s="139" t="str">
        <f>'Du toan chi tiet'!D17</f>
        <v>Đào kết cấu mặt đường hiện có</v>
      </c>
      <c r="D28" s="302" t="str">
        <f>'Du toan chi tiet'!E17</f>
        <v>m3</v>
      </c>
      <c r="E28" s="230">
        <f>'Du toan chi tiet'!M17</f>
        <v>5.92</v>
      </c>
      <c r="F28" s="230"/>
      <c r="G28" s="230"/>
      <c r="H28" s="230"/>
      <c r="I28" s="166">
        <f>'Chiết tính'!J236</f>
        <v>34847.270384003881</v>
      </c>
      <c r="J28" s="166"/>
      <c r="K28" s="166">
        <f t="shared" si="0"/>
        <v>206295.84067330297</v>
      </c>
      <c r="L28" s="166">
        <f t="shared" si="1"/>
        <v>0</v>
      </c>
      <c r="M28" s="166">
        <f t="shared" si="2"/>
        <v>0</v>
      </c>
      <c r="N28" s="166">
        <f t="shared" si="3"/>
        <v>0</v>
      </c>
      <c r="O28" s="139"/>
    </row>
    <row r="29" spans="1:15" ht="15" customHeight="1" x14ac:dyDescent="0.25">
      <c r="A29" s="302">
        <v>12</v>
      </c>
      <c r="B29" s="139" t="str">
        <f>'Du toan chi tiet'!C18</f>
        <v>AB.21132</v>
      </c>
      <c r="C29" s="139" t="str">
        <f>'Du toan chi tiet'!D18</f>
        <v>Đào đất hữu cơ bằng máy đào 1,25m3 - Cấp đất II</v>
      </c>
      <c r="D29" s="302" t="str">
        <f>'Du toan chi tiet'!E18</f>
        <v>m3</v>
      </c>
      <c r="E29" s="230">
        <f>'Du toan chi tiet'!M18</f>
        <v>185.83</v>
      </c>
      <c r="F29" s="230"/>
      <c r="G29" s="230"/>
      <c r="H29" s="230"/>
      <c r="I29" s="166">
        <f>'Chiết tính'!J255</f>
        <v>12475.023107108009</v>
      </c>
      <c r="J29" s="166"/>
      <c r="K29" s="166">
        <f t="shared" si="0"/>
        <v>2318233.5439938814</v>
      </c>
      <c r="L29" s="166">
        <f t="shared" si="1"/>
        <v>0</v>
      </c>
      <c r="M29" s="166">
        <f t="shared" si="2"/>
        <v>0</v>
      </c>
      <c r="N29" s="166">
        <f t="shared" si="3"/>
        <v>0</v>
      </c>
      <c r="O29" s="139"/>
    </row>
    <row r="30" spans="1:15" ht="15" customHeight="1" x14ac:dyDescent="0.25">
      <c r="A30" s="302">
        <v>13</v>
      </c>
      <c r="B30" s="139" t="str">
        <f>'Du toan chi tiet'!C19</f>
        <v>AB.31132</v>
      </c>
      <c r="C30" s="139" t="str">
        <f>'Du toan chi tiet'!D19</f>
        <v>Đào đánh cấp bằng máy đào 1,25m3 - Cấp đất II</v>
      </c>
      <c r="D30" s="302" t="str">
        <f>'Du toan chi tiet'!E19</f>
        <v>m3</v>
      </c>
      <c r="E30" s="230">
        <f>'Du toan chi tiet'!M19</f>
        <v>18.11</v>
      </c>
      <c r="F30" s="230"/>
      <c r="G30" s="230"/>
      <c r="H30" s="230"/>
      <c r="I30" s="166">
        <f>'Chiết tính'!J274</f>
        <v>22760.908283230699</v>
      </c>
      <c r="J30" s="166"/>
      <c r="K30" s="166">
        <f t="shared" si="0"/>
        <v>412200.04900930793</v>
      </c>
      <c r="L30" s="166">
        <f t="shared" si="1"/>
        <v>0</v>
      </c>
      <c r="M30" s="166">
        <f t="shared" si="2"/>
        <v>0</v>
      </c>
      <c r="N30" s="166">
        <f t="shared" si="3"/>
        <v>0</v>
      </c>
      <c r="O30" s="139"/>
    </row>
    <row r="31" spans="1:15" ht="15" customHeight="1" x14ac:dyDescent="0.25">
      <c r="A31" s="302">
        <v>14</v>
      </c>
      <c r="B31" s="139" t="str">
        <f>'Du toan chi tiet'!C20</f>
        <v>AA.22112</v>
      </c>
      <c r="C31" s="139" t="str">
        <f>'Du toan chi tiet'!D20</f>
        <v>Phá dỡ kết cấu bê tông không cốt thép bằng búa căn khí nén 3m3/ph</v>
      </c>
      <c r="D31" s="302" t="str">
        <f>'Du toan chi tiet'!E20</f>
        <v>m3</v>
      </c>
      <c r="E31" s="230">
        <f>'Du toan chi tiet'!M20</f>
        <v>33.17</v>
      </c>
      <c r="F31" s="230"/>
      <c r="G31" s="230"/>
      <c r="H31" s="230"/>
      <c r="I31" s="166">
        <f>'Chiết tính'!J293</f>
        <v>344493.89056759502</v>
      </c>
      <c r="J31" s="166"/>
      <c r="K31" s="166">
        <f t="shared" si="0"/>
        <v>11426862.350127127</v>
      </c>
      <c r="L31" s="166">
        <f t="shared" si="1"/>
        <v>0</v>
      </c>
      <c r="M31" s="166">
        <f t="shared" si="2"/>
        <v>0</v>
      </c>
      <c r="N31" s="166">
        <f t="shared" si="3"/>
        <v>0</v>
      </c>
      <c r="O31" s="139"/>
    </row>
    <row r="32" spans="1:15" ht="15" customHeight="1" x14ac:dyDescent="0.25">
      <c r="A32" s="302">
        <v>15</v>
      </c>
      <c r="B32" s="139" t="str">
        <f>'Du toan chi tiet'!C21</f>
        <v>AA.13221</v>
      </c>
      <c r="C32" s="139" t="str">
        <f>'Du toan chi tiet'!D21</f>
        <v>Đào bụi tre, đường kính bụi tre ≤50cm bằng thủ công</v>
      </c>
      <c r="D32" s="302" t="str">
        <f>'Du toan chi tiet'!E21</f>
        <v>bụi</v>
      </c>
      <c r="E32" s="230">
        <f>'Du toan chi tiet'!M21</f>
        <v>7</v>
      </c>
      <c r="F32" s="230"/>
      <c r="G32" s="230"/>
      <c r="H32" s="230"/>
      <c r="I32" s="166">
        <f>'Chiết tính'!J307</f>
        <v>218174.27802330602</v>
      </c>
      <c r="J32" s="166"/>
      <c r="K32" s="166">
        <f t="shared" si="0"/>
        <v>1527219.9461631421</v>
      </c>
      <c r="L32" s="166">
        <f t="shared" si="1"/>
        <v>0</v>
      </c>
      <c r="M32" s="166">
        <f t="shared" si="2"/>
        <v>0</v>
      </c>
      <c r="N32" s="166">
        <f t="shared" si="3"/>
        <v>0</v>
      </c>
      <c r="O32" s="139"/>
    </row>
    <row r="33" spans="1:15" ht="15" customHeight="1" x14ac:dyDescent="0.25">
      <c r="A33" s="302">
        <v>16</v>
      </c>
      <c r="B33" s="139" t="str">
        <f>'Du toan chi tiet'!C24</f>
        <v>AK.91141vd</v>
      </c>
      <c r="C33" s="139" t="str">
        <f>'Du toan chi tiet'!D24</f>
        <v>Sơn kẻ đường bằng sơn dẻo nhiệt phản quang, dày sơn 6mm</v>
      </c>
      <c r="D33" s="302" t="str">
        <f>'Du toan chi tiet'!E24</f>
        <v>m2</v>
      </c>
      <c r="E33" s="230">
        <f>'Du toan chi tiet'!M24</f>
        <v>6.6</v>
      </c>
      <c r="F33" s="230"/>
      <c r="G33" s="230"/>
      <c r="H33" s="230"/>
      <c r="I33" s="166">
        <f>'Chiết tính'!J332</f>
        <v>885884.9450641945</v>
      </c>
      <c r="J33" s="166"/>
      <c r="K33" s="166">
        <f t="shared" si="0"/>
        <v>5846840.637423683</v>
      </c>
      <c r="L33" s="166">
        <f t="shared" si="1"/>
        <v>0</v>
      </c>
      <c r="M33" s="166">
        <f t="shared" si="2"/>
        <v>0</v>
      </c>
      <c r="N33" s="166">
        <f t="shared" si="3"/>
        <v>0</v>
      </c>
      <c r="O33" s="139"/>
    </row>
    <row r="34" spans="1:15" ht="15" customHeight="1" x14ac:dyDescent="0.25">
      <c r="A34" s="302">
        <v>17</v>
      </c>
      <c r="B34" s="139" t="str">
        <f>'Du toan chi tiet'!C25</f>
        <v>AA.22212</v>
      </c>
      <c r="C34" s="139" t="str">
        <f>'Du toan chi tiet'!D25</f>
        <v>Phá dỡ kết cấu bê tông không cốt thép bằng máy khoan bê tông 1,5kw cột biển báo</v>
      </c>
      <c r="D34" s="302" t="str">
        <f>'Du toan chi tiet'!E25</f>
        <v>m3</v>
      </c>
      <c r="E34" s="230">
        <f>'Du toan chi tiet'!M25</f>
        <v>0.2</v>
      </c>
      <c r="F34" s="230"/>
      <c r="G34" s="230"/>
      <c r="H34" s="230"/>
      <c r="I34" s="166">
        <f>'Chiết tính'!J350</f>
        <v>550392.54290906398</v>
      </c>
      <c r="J34" s="166"/>
      <c r="K34" s="166">
        <f t="shared" si="0"/>
        <v>110078.5085818128</v>
      </c>
      <c r="L34" s="166">
        <f t="shared" si="1"/>
        <v>0</v>
      </c>
      <c r="M34" s="166">
        <f t="shared" si="2"/>
        <v>0</v>
      </c>
      <c r="N34" s="166">
        <f t="shared" si="3"/>
        <v>0</v>
      </c>
      <c r="O34" s="139"/>
    </row>
    <row r="35" spans="1:15" ht="15" customHeight="1" x14ac:dyDescent="0.25">
      <c r="A35" s="302">
        <v>18</v>
      </c>
      <c r="B35" s="139" t="str">
        <f>'Du toan chi tiet'!C26</f>
        <v>SE.31420</v>
      </c>
      <c r="C35" s="139" t="str">
        <f>'Du toan chi tiet'!D26</f>
        <v>Sơn biển báo, cột biển báo bằng thép - 3 nước</v>
      </c>
      <c r="D35" s="302" t="str">
        <f>'Du toan chi tiet'!E26</f>
        <v>m2</v>
      </c>
      <c r="E35" s="230">
        <f>'Du toan chi tiet'!M26</f>
        <v>1.1200000000000001</v>
      </c>
      <c r="F35" s="230"/>
      <c r="G35" s="230"/>
      <c r="H35" s="230"/>
      <c r="I35" s="166">
        <f>'Chiết tính'!J366</f>
        <v>87875.925722507018</v>
      </c>
      <c r="J35" s="166"/>
      <c r="K35" s="166">
        <f t="shared" si="0"/>
        <v>98421.036809207872</v>
      </c>
      <c r="L35" s="166">
        <f t="shared" si="1"/>
        <v>0</v>
      </c>
      <c r="M35" s="166">
        <f t="shared" si="2"/>
        <v>0</v>
      </c>
      <c r="N35" s="166">
        <f t="shared" si="3"/>
        <v>0</v>
      </c>
      <c r="O35" s="139"/>
    </row>
    <row r="36" spans="1:15" ht="15" customHeight="1" x14ac:dyDescent="0.25">
      <c r="A36" s="302">
        <v>19</v>
      </c>
      <c r="B36" s="139" t="str">
        <f>'Du toan chi tiet'!C27</f>
        <v>SE.31330</v>
      </c>
      <c r="C36" s="139" t="str">
        <f>'Du toan chi tiet'!D27</f>
        <v>Dán màng phản quang đầu dải phân cách</v>
      </c>
      <c r="D36" s="302" t="str">
        <f>'Du toan chi tiet'!E27</f>
        <v>m2</v>
      </c>
      <c r="E36" s="230">
        <f>'Du toan chi tiet'!M27</f>
        <v>0.38</v>
      </c>
      <c r="F36" s="230"/>
      <c r="G36" s="230"/>
      <c r="H36" s="230"/>
      <c r="I36" s="166">
        <f>'Chiết tính'!J381</f>
        <v>708254.88205679995</v>
      </c>
      <c r="J36" s="166"/>
      <c r="K36" s="166">
        <f t="shared" si="0"/>
        <v>269136.85518158396</v>
      </c>
      <c r="L36" s="166">
        <f t="shared" si="1"/>
        <v>0</v>
      </c>
      <c r="M36" s="166">
        <f t="shared" si="2"/>
        <v>0</v>
      </c>
      <c r="N36" s="166">
        <f t="shared" si="3"/>
        <v>0</v>
      </c>
      <c r="O36" s="139"/>
    </row>
    <row r="37" spans="1:15" ht="15" customHeight="1" x14ac:dyDescent="0.25">
      <c r="A37" s="302">
        <v>20</v>
      </c>
      <c r="B37" s="139" t="str">
        <f>'Du toan chi tiet'!C28</f>
        <v>AD.32531</v>
      </c>
      <c r="C37" s="139" t="str">
        <f>'Du toan chi tiet'!D28</f>
        <v>Lắp đặt cột và biển báo phản quang - Loại biển báo phản quang: Biển tam giác cạnh 70cm</v>
      </c>
      <c r="D37" s="302" t="str">
        <f>'Du toan chi tiet'!E28</f>
        <v>cái</v>
      </c>
      <c r="E37" s="230">
        <f>'Du toan chi tiet'!M28</f>
        <v>1</v>
      </c>
      <c r="F37" s="230"/>
      <c r="G37" s="230"/>
      <c r="H37" s="230"/>
      <c r="I37" s="166">
        <f>'Chiết tính'!J403</f>
        <v>329685.88860522199</v>
      </c>
      <c r="J37" s="166"/>
      <c r="K37" s="166">
        <f t="shared" si="0"/>
        <v>329685.88860522199</v>
      </c>
      <c r="L37" s="166">
        <f t="shared" si="1"/>
        <v>0</v>
      </c>
      <c r="M37" s="166">
        <f t="shared" si="2"/>
        <v>0</v>
      </c>
      <c r="N37" s="166">
        <f t="shared" si="3"/>
        <v>0</v>
      </c>
      <c r="O37" s="139"/>
    </row>
    <row r="38" spans="1:15" ht="15" customHeight="1" x14ac:dyDescent="0.25">
      <c r="A38" s="302">
        <v>21</v>
      </c>
      <c r="B38" s="139" t="str">
        <f>'Du toan chi tiet'!C29</f>
        <v>AB.11413</v>
      </c>
      <c r="C38" s="139" t="str">
        <f>'Du toan chi tiet'!D29</f>
        <v>Đào móng cột, trụ, hố kiểm tra bằng thủ công, rộng ≤1m, sâu ≤1m - Cấp đất III</v>
      </c>
      <c r="D38" s="302" t="str">
        <f>'Du toan chi tiet'!E29</f>
        <v>1m3</v>
      </c>
      <c r="E38" s="230">
        <f>'Du toan chi tiet'!M29</f>
        <v>0.44</v>
      </c>
      <c r="F38" s="230"/>
      <c r="G38" s="230"/>
      <c r="H38" s="230"/>
      <c r="I38" s="166">
        <f>'Chiết tính'!J417</f>
        <v>524722.94714465993</v>
      </c>
      <c r="J38" s="166"/>
      <c r="K38" s="166">
        <f t="shared" si="0"/>
        <v>230878.09674365039</v>
      </c>
      <c r="L38" s="166">
        <f t="shared" si="1"/>
        <v>0</v>
      </c>
      <c r="M38" s="166">
        <f t="shared" si="2"/>
        <v>0</v>
      </c>
      <c r="N38" s="166">
        <f t="shared" si="3"/>
        <v>0</v>
      </c>
      <c r="O38" s="139"/>
    </row>
    <row r="39" spans="1:15" ht="15" customHeight="1" x14ac:dyDescent="0.25">
      <c r="A39" s="302">
        <v>22</v>
      </c>
      <c r="B39" s="139" t="str">
        <f>'Du toan chi tiet'!C30</f>
        <v>AB.13111</v>
      </c>
      <c r="C39" s="139" t="str">
        <f>'Du toan chi tiet'!D30</f>
        <v>Đắp đất nền móng công trình, nền đường bằng thủ công</v>
      </c>
      <c r="D39" s="302" t="str">
        <f>'Du toan chi tiet'!E30</f>
        <v>m3</v>
      </c>
      <c r="E39" s="230">
        <f>'Du toan chi tiet'!M30</f>
        <v>0.25</v>
      </c>
      <c r="F39" s="230"/>
      <c r="G39" s="230"/>
      <c r="H39" s="230"/>
      <c r="I39" s="166">
        <f>'Chiết tính'!J431</f>
        <v>154655.18442158398</v>
      </c>
      <c r="J39" s="166"/>
      <c r="K39" s="166">
        <f t="shared" si="0"/>
        <v>38663.796105395995</v>
      </c>
      <c r="L39" s="166">
        <f t="shared" si="1"/>
        <v>0</v>
      </c>
      <c r="M39" s="166">
        <f t="shared" si="2"/>
        <v>0</v>
      </c>
      <c r="N39" s="166">
        <f t="shared" si="3"/>
        <v>0</v>
      </c>
      <c r="O39" s="139"/>
    </row>
    <row r="40" spans="1:15" ht="15" customHeight="1" x14ac:dyDescent="0.25">
      <c r="A40" s="302">
        <v>23</v>
      </c>
      <c r="B40" s="139" t="str">
        <f>'Du toan chi tiet'!C32</f>
        <v>AF.13413</v>
      </c>
      <c r="C40" s="139" t="str">
        <f>'Du toan chi tiet'!D32</f>
        <v>Bê tông ống cống hình hộp SX bằng máy trộn, đổ bằng thủ công, bê tông M250, đá 1x2, PCB40</v>
      </c>
      <c r="D40" s="302" t="str">
        <f>'Du toan chi tiet'!E32</f>
        <v>m3</v>
      </c>
      <c r="E40" s="230">
        <f>'Du toan chi tiet'!M32</f>
        <v>2.63</v>
      </c>
      <c r="F40" s="230"/>
      <c r="G40" s="230"/>
      <c r="H40" s="230"/>
      <c r="I40" s="166">
        <f>'Chiết tính'!J455</f>
        <v>2010272.1110029214</v>
      </c>
      <c r="J40" s="166"/>
      <c r="K40" s="166">
        <f t="shared" si="0"/>
        <v>5287015.6519376831</v>
      </c>
      <c r="L40" s="166">
        <f t="shared" si="1"/>
        <v>0</v>
      </c>
      <c r="M40" s="166">
        <f t="shared" si="2"/>
        <v>0</v>
      </c>
      <c r="N40" s="166">
        <f t="shared" si="3"/>
        <v>0</v>
      </c>
      <c r="O40" s="139"/>
    </row>
    <row r="41" spans="1:15" ht="15" customHeight="1" x14ac:dyDescent="0.25">
      <c r="A41" s="302">
        <v>24</v>
      </c>
      <c r="B41" s="139" t="str">
        <f>'Du toan chi tiet'!C33</f>
        <v>AF.63310</v>
      </c>
      <c r="C41" s="139" t="str">
        <f>'Du toan chi tiet'!D33</f>
        <v>Lắp dựng cốt thép cống, ĐK ≤10mm</v>
      </c>
      <c r="D41" s="302" t="str">
        <f>'Du toan chi tiet'!E33</f>
        <v>tấn</v>
      </c>
      <c r="E41" s="230">
        <f>'Du toan chi tiet'!M33</f>
        <v>0.23899999999999999</v>
      </c>
      <c r="F41" s="230"/>
      <c r="G41" s="230"/>
      <c r="H41" s="230"/>
      <c r="I41" s="166">
        <f>'Chiết tính'!J475</f>
        <v>24745637.797799189</v>
      </c>
      <c r="J41" s="166"/>
      <c r="K41" s="166">
        <f t="shared" si="0"/>
        <v>5914207.4336740058</v>
      </c>
      <c r="L41" s="166">
        <f t="shared" si="1"/>
        <v>0</v>
      </c>
      <c r="M41" s="166">
        <f t="shared" si="2"/>
        <v>0</v>
      </c>
      <c r="N41" s="166">
        <f t="shared" si="3"/>
        <v>0</v>
      </c>
      <c r="O41" s="139"/>
    </row>
    <row r="42" spans="1:15" ht="15" customHeight="1" x14ac:dyDescent="0.25">
      <c r="A42" s="302">
        <v>25</v>
      </c>
      <c r="B42" s="139" t="str">
        <f>'Du toan chi tiet'!C34</f>
        <v>AF.63320</v>
      </c>
      <c r="C42" s="139" t="str">
        <f>'Du toan chi tiet'!D34</f>
        <v>Lắp dựng cốt thép cống, ĐK ≤18mm</v>
      </c>
      <c r="D42" s="302" t="str">
        <f>'Du toan chi tiet'!E34</f>
        <v>tấn</v>
      </c>
      <c r="E42" s="230">
        <f>'Du toan chi tiet'!M34</f>
        <v>6.3E-2</v>
      </c>
      <c r="F42" s="230"/>
      <c r="G42" s="230"/>
      <c r="H42" s="230"/>
      <c r="I42" s="166">
        <f>'Chiết tính'!J497</f>
        <v>25181992.895406622</v>
      </c>
      <c r="J42" s="166"/>
      <c r="K42" s="166">
        <f t="shared" si="0"/>
        <v>1586465.5524106172</v>
      </c>
      <c r="L42" s="166">
        <f t="shared" si="1"/>
        <v>0</v>
      </c>
      <c r="M42" s="166">
        <f t="shared" si="2"/>
        <v>0</v>
      </c>
      <c r="N42" s="166">
        <f t="shared" si="3"/>
        <v>0</v>
      </c>
      <c r="O42" s="139"/>
    </row>
    <row r="43" spans="1:15" ht="15" customHeight="1" x14ac:dyDescent="0.25">
      <c r="A43" s="302">
        <v>26</v>
      </c>
      <c r="B43" s="139" t="str">
        <f>'Du toan chi tiet'!C35</f>
        <v>AF.86211</v>
      </c>
      <c r="C43" s="139" t="str">
        <f>'Du toan chi tiet'!D35</f>
        <v>Ván khuôn thép, khung xương, cột chống giáo ống, tường, chiều cao ≤28m</v>
      </c>
      <c r="D43" s="302" t="str">
        <f>'Du toan chi tiet'!E35</f>
        <v>m2</v>
      </c>
      <c r="E43" s="230">
        <f>'Du toan chi tiet'!M35</f>
        <v>21.33</v>
      </c>
      <c r="F43" s="230"/>
      <c r="G43" s="230"/>
      <c r="H43" s="230"/>
      <c r="I43" s="166" t="e">
        <f>'Chiết tính'!J523</f>
        <v>#REF!</v>
      </c>
      <c r="J43" s="166"/>
      <c r="K43" s="166" t="e">
        <f t="shared" si="0"/>
        <v>#REF!</v>
      </c>
      <c r="L43" s="166" t="e">
        <f t="shared" si="1"/>
        <v>#REF!</v>
      </c>
      <c r="M43" s="166" t="e">
        <f t="shared" si="2"/>
        <v>#REF!</v>
      </c>
      <c r="N43" s="166" t="e">
        <f t="shared" si="3"/>
        <v>#REF!</v>
      </c>
      <c r="O43" s="139"/>
    </row>
    <row r="44" spans="1:15" ht="15" customHeight="1" x14ac:dyDescent="0.25">
      <c r="A44" s="302">
        <v>27</v>
      </c>
      <c r="B44" s="139" t="str">
        <f>'Du toan chi tiet'!C36</f>
        <v>AF.11231</v>
      </c>
      <c r="C44" s="139" t="str">
        <f>'Du toan chi tiet'!D36</f>
        <v>Bê tông móng tường cánh SX bằng máy trộn, đổ bằng thủ công, rộng ≤250cm, M150, đá 2x4, PCB40</v>
      </c>
      <c r="D44" s="302" t="str">
        <f>'Du toan chi tiet'!E36</f>
        <v>m3</v>
      </c>
      <c r="E44" s="230">
        <f>'Du toan chi tiet'!M36</f>
        <v>0.59</v>
      </c>
      <c r="F44" s="230"/>
      <c r="G44" s="230"/>
      <c r="H44" s="230"/>
      <c r="I44" s="166">
        <f>'Chiết tính'!J547</f>
        <v>1480977.997349988</v>
      </c>
      <c r="J44" s="166"/>
      <c r="K44" s="166">
        <f t="shared" si="0"/>
        <v>873777.01843649289</v>
      </c>
      <c r="L44" s="166">
        <f t="shared" si="1"/>
        <v>0</v>
      </c>
      <c r="M44" s="166">
        <f t="shared" si="2"/>
        <v>0</v>
      </c>
      <c r="N44" s="166">
        <f t="shared" si="3"/>
        <v>0</v>
      </c>
      <c r="O44" s="139"/>
    </row>
    <row r="45" spans="1:15" ht="15" customHeight="1" x14ac:dyDescent="0.25">
      <c r="A45" s="302">
        <v>28</v>
      </c>
      <c r="B45" s="139" t="str">
        <f>'Du toan chi tiet'!C37</f>
        <v>AF.82511</v>
      </c>
      <c r="C45" s="139" t="str">
        <f>'Du toan chi tiet'!D37</f>
        <v>Ván khuôn móng dài</v>
      </c>
      <c r="D45" s="302" t="str">
        <f>'Du toan chi tiet'!E37</f>
        <v>m2</v>
      </c>
      <c r="E45" s="230">
        <f>'Du toan chi tiet'!M37</f>
        <v>1.78</v>
      </c>
      <c r="F45" s="230"/>
      <c r="G45" s="230"/>
      <c r="H45" s="230"/>
      <c r="I45" s="166">
        <f>'Chiết tính'!J570</f>
        <v>69431.059495177382</v>
      </c>
      <c r="J45" s="166"/>
      <c r="K45" s="166">
        <f t="shared" si="0"/>
        <v>123587.28590141574</v>
      </c>
      <c r="L45" s="166">
        <f t="shared" si="1"/>
        <v>0</v>
      </c>
      <c r="M45" s="166">
        <f t="shared" si="2"/>
        <v>0</v>
      </c>
      <c r="N45" s="166">
        <f t="shared" si="3"/>
        <v>0</v>
      </c>
      <c r="O45" s="139"/>
    </row>
    <row r="46" spans="1:15" ht="15" customHeight="1" x14ac:dyDescent="0.25">
      <c r="A46" s="302">
        <v>29</v>
      </c>
      <c r="B46" s="139" t="str">
        <f>'Du toan chi tiet'!C38</f>
        <v>AF.12151</v>
      </c>
      <c r="C46" s="139" t="str">
        <f>'Du toan chi tiet'!D38</f>
        <v>Bê tông tường cánh SX bằng máy trộn, đổ bằng thủ công - Chiều dày ≤45cm, chiều cao ≤6m, M150, đá 2x4, PCB40</v>
      </c>
      <c r="D46" s="302" t="str">
        <f>'Du toan chi tiet'!E38</f>
        <v>m3</v>
      </c>
      <c r="E46" s="230">
        <f>'Du toan chi tiet'!M38</f>
        <v>0.15</v>
      </c>
      <c r="F46" s="230"/>
      <c r="G46" s="230"/>
      <c r="H46" s="230"/>
      <c r="I46" s="166">
        <f>'Chiết tính'!J594</f>
        <v>1946526.8270669724</v>
      </c>
      <c r="J46" s="166"/>
      <c r="K46" s="166">
        <f t="shared" si="0"/>
        <v>291979.02406004583</v>
      </c>
      <c r="L46" s="166">
        <f t="shared" si="1"/>
        <v>0</v>
      </c>
      <c r="M46" s="166">
        <f t="shared" si="2"/>
        <v>0</v>
      </c>
      <c r="N46" s="166">
        <f t="shared" si="3"/>
        <v>0</v>
      </c>
      <c r="O46" s="139"/>
    </row>
    <row r="47" spans="1:15" ht="15" customHeight="1" x14ac:dyDescent="0.25">
      <c r="A47" s="302">
        <v>30</v>
      </c>
      <c r="B47" s="139" t="str">
        <f>'Du toan chi tiet'!C39</f>
        <v>AF.86211</v>
      </c>
      <c r="C47" s="139" t="str">
        <f>'Du toan chi tiet'!D39</f>
        <v>Ván khuôn thép, khung xương, cột chống giáo ống, tường cánh chiều cao ≤28m</v>
      </c>
      <c r="D47" s="302" t="str">
        <f>'Du toan chi tiet'!E39</f>
        <v>m2</v>
      </c>
      <c r="E47" s="230">
        <f>'Du toan chi tiet'!M39</f>
        <v>0.81</v>
      </c>
      <c r="F47" s="230"/>
      <c r="G47" s="230"/>
      <c r="H47" s="230"/>
      <c r="I47" s="166" t="e">
        <f>'Chiết tính'!J620</f>
        <v>#REF!</v>
      </c>
      <c r="J47" s="166"/>
      <c r="K47" s="166" t="e">
        <f t="shared" si="0"/>
        <v>#REF!</v>
      </c>
      <c r="L47" s="166" t="e">
        <f t="shared" si="1"/>
        <v>#REF!</v>
      </c>
      <c r="M47" s="166" t="e">
        <f t="shared" si="2"/>
        <v>#REF!</v>
      </c>
      <c r="N47" s="166" t="e">
        <f t="shared" si="3"/>
        <v>#REF!</v>
      </c>
      <c r="O47" s="139"/>
    </row>
    <row r="48" spans="1:15" ht="15" customHeight="1" x14ac:dyDescent="0.25">
      <c r="A48" s="302">
        <v>31</v>
      </c>
      <c r="B48" s="139" t="str">
        <f>'Du toan chi tiet'!C40</f>
        <v>AK.98110</v>
      </c>
      <c r="C48" s="139" t="str">
        <f>'Du toan chi tiet'!D40</f>
        <v>Thi công lớp đá đệm móng, đá dăm 2x4</v>
      </c>
      <c r="D48" s="302" t="str">
        <f>'Du toan chi tiet'!E40</f>
        <v>m3</v>
      </c>
      <c r="E48" s="230">
        <f>'Du toan chi tiet'!M40</f>
        <v>0.76</v>
      </c>
      <c r="F48" s="230"/>
      <c r="G48" s="230"/>
      <c r="H48" s="230"/>
      <c r="I48" s="166" t="e">
        <f>'Chiết tính'!J636</f>
        <v>#REF!</v>
      </c>
      <c r="J48" s="166"/>
      <c r="K48" s="166" t="e">
        <f t="shared" si="0"/>
        <v>#REF!</v>
      </c>
      <c r="L48" s="166" t="e">
        <f t="shared" si="1"/>
        <v>#REF!</v>
      </c>
      <c r="M48" s="166" t="e">
        <f t="shared" si="2"/>
        <v>#REF!</v>
      </c>
      <c r="N48" s="166" t="e">
        <f t="shared" si="3"/>
        <v>#REF!</v>
      </c>
      <c r="O48" s="139"/>
    </row>
    <row r="49" spans="1:15" ht="15" customHeight="1" x14ac:dyDescent="0.25">
      <c r="A49" s="302">
        <v>32</v>
      </c>
      <c r="B49" s="139" t="str">
        <f>'Du toan chi tiet'!C41</f>
        <v>AL.22112</v>
      </c>
      <c r="C49" s="139" t="str">
        <f>'Du toan chi tiet'!D41</f>
        <v>Cắt mặt đường bê tông hiện có</v>
      </c>
      <c r="D49" s="302" t="str">
        <f>'Du toan chi tiet'!E41</f>
        <v>10m</v>
      </c>
      <c r="E49" s="230">
        <f>'Du toan chi tiet'!M41</f>
        <v>0.6</v>
      </c>
      <c r="F49" s="230"/>
      <c r="G49" s="230"/>
      <c r="H49" s="230"/>
      <c r="I49" s="166">
        <f>'Chiết tính'!J656</f>
        <v>563027.07368311193</v>
      </c>
      <c r="J49" s="166"/>
      <c r="K49" s="166">
        <f t="shared" si="0"/>
        <v>337816.24420986715</v>
      </c>
      <c r="L49" s="166">
        <f t="shared" si="1"/>
        <v>0</v>
      </c>
      <c r="M49" s="166">
        <f t="shared" si="2"/>
        <v>0</v>
      </c>
      <c r="N49" s="166">
        <f t="shared" si="3"/>
        <v>0</v>
      </c>
      <c r="O49" s="139"/>
    </row>
    <row r="50" spans="1:15" ht="15" customHeight="1" x14ac:dyDescent="0.25">
      <c r="A50" s="302">
        <v>33</v>
      </c>
      <c r="B50" s="139" t="str">
        <f>'Du toan chi tiet'!C42</f>
        <v>AB.31134</v>
      </c>
      <c r="C50" s="139" t="str">
        <f>'Du toan chi tiet'!D42</f>
        <v xml:space="preserve">Đào kết cấu mặt đường hiện có </v>
      </c>
      <c r="D50" s="302" t="str">
        <f>'Du toan chi tiet'!E42</f>
        <v>m3</v>
      </c>
      <c r="E50" s="230">
        <f>'Du toan chi tiet'!M42</f>
        <v>0.76</v>
      </c>
      <c r="F50" s="230"/>
      <c r="G50" s="230"/>
      <c r="H50" s="230"/>
      <c r="I50" s="166">
        <f>'Chiết tính'!J675</f>
        <v>34847.270384003881</v>
      </c>
      <c r="J50" s="166"/>
      <c r="K50" s="166">
        <f t="shared" si="0"/>
        <v>26483.925491842951</v>
      </c>
      <c r="L50" s="166">
        <f t="shared" si="1"/>
        <v>0</v>
      </c>
      <c r="M50" s="166">
        <f t="shared" si="2"/>
        <v>0</v>
      </c>
      <c r="N50" s="166">
        <f t="shared" si="3"/>
        <v>0</v>
      </c>
      <c r="O50" s="139"/>
    </row>
    <row r="51" spans="1:15" ht="15" customHeight="1" x14ac:dyDescent="0.25">
      <c r="A51" s="302">
        <v>34</v>
      </c>
      <c r="B51" s="139" t="str">
        <f>'Du toan chi tiet'!C43</f>
        <v>AB.25103</v>
      </c>
      <c r="C51" s="139" t="str">
        <f>'Du toan chi tiet'!D43</f>
        <v>Đào móng bằng máy đào 0,4m3, chiều rộng móng ≤6m - Cấp đất III</v>
      </c>
      <c r="D51" s="302" t="str">
        <f>'Du toan chi tiet'!E43</f>
        <v>m3</v>
      </c>
      <c r="E51" s="230">
        <f>'Du toan chi tiet'!M43</f>
        <v>11.4</v>
      </c>
      <c r="F51" s="230"/>
      <c r="G51" s="230"/>
      <c r="H51" s="230"/>
      <c r="I51" s="166">
        <f>'Chiết tính'!J693</f>
        <v>34735.453449770466</v>
      </c>
      <c r="J51" s="166"/>
      <c r="K51" s="166">
        <f t="shared" si="0"/>
        <v>395984.16932738334</v>
      </c>
      <c r="L51" s="166">
        <f t="shared" si="1"/>
        <v>0</v>
      </c>
      <c r="M51" s="166">
        <f t="shared" si="2"/>
        <v>0</v>
      </c>
      <c r="N51" s="166">
        <f t="shared" si="3"/>
        <v>0</v>
      </c>
      <c r="O51" s="139"/>
    </row>
    <row r="52" spans="1:15" ht="15" customHeight="1" x14ac:dyDescent="0.25">
      <c r="A52" s="302">
        <v>35</v>
      </c>
      <c r="B52" s="139" t="str">
        <f>'Du toan chi tiet'!C44</f>
        <v>AB.65130</v>
      </c>
      <c r="C52" s="139" t="str">
        <f>'Du toan chi tiet'!D44</f>
        <v>Đắp đất bằng đầm đất cầm tay 70kg, độ chặt Y/C K = 0,95</v>
      </c>
      <c r="D52" s="302" t="str">
        <f>'Du toan chi tiet'!E44</f>
        <v>m3</v>
      </c>
      <c r="E52" s="230">
        <f>'Du toan chi tiet'!M44</f>
        <v>2.52</v>
      </c>
      <c r="F52" s="230"/>
      <c r="G52" s="230"/>
      <c r="H52" s="230"/>
      <c r="I52" s="166">
        <f>'Chiết tính'!J711</f>
        <v>41005.933468355193</v>
      </c>
      <c r="J52" s="166"/>
      <c r="K52" s="166">
        <f t="shared" si="0"/>
        <v>103334.95234025508</v>
      </c>
      <c r="L52" s="166">
        <f t="shared" si="1"/>
        <v>0</v>
      </c>
      <c r="M52" s="166">
        <f t="shared" si="2"/>
        <v>0</v>
      </c>
      <c r="N52" s="166">
        <f t="shared" si="3"/>
        <v>0</v>
      </c>
      <c r="O52" s="139"/>
    </row>
    <row r="53" spans="1:15" ht="15" customHeight="1" x14ac:dyDescent="0.25">
      <c r="A53" s="302">
        <v>36</v>
      </c>
      <c r="B53" s="139" t="str">
        <f>'Du toan chi tiet'!C45</f>
        <v>AF.15433</v>
      </c>
      <c r="C53" s="139" t="str">
        <f>'Du toan chi tiet'!D45</f>
        <v>Bê tông thương phẩm, bê tông hoàn trả mặt đường dày mặt đường ≤25cm, bê tông M250, đá 2x4, PCB40</v>
      </c>
      <c r="D53" s="302" t="str">
        <f>'Du toan chi tiet'!E45</f>
        <v>m3</v>
      </c>
      <c r="E53" s="230">
        <f>'Du toan chi tiet'!M45</f>
        <v>0.59</v>
      </c>
      <c r="F53" s="230"/>
      <c r="G53" s="230"/>
      <c r="H53" s="230"/>
      <c r="I53" s="166" t="e">
        <f>'Chiết tính'!J739</f>
        <v>#REF!</v>
      </c>
      <c r="J53" s="166"/>
      <c r="K53" s="166" t="e">
        <f t="shared" si="0"/>
        <v>#REF!</v>
      </c>
      <c r="L53" s="166" t="e">
        <f t="shared" si="1"/>
        <v>#REF!</v>
      </c>
      <c r="M53" s="166" t="e">
        <f t="shared" si="2"/>
        <v>#REF!</v>
      </c>
      <c r="N53" s="166" t="e">
        <f t="shared" si="3"/>
        <v>#REF!</v>
      </c>
      <c r="O53" s="139"/>
    </row>
    <row r="54" spans="1:15" ht="15" customHeight="1" x14ac:dyDescent="0.25">
      <c r="A54" s="302">
        <v>37</v>
      </c>
      <c r="B54" s="139" t="str">
        <f>'Du toan chi tiet'!C46</f>
        <v>AB.66141</v>
      </c>
      <c r="C54" s="139" t="str">
        <f>'Du toan chi tiet'!D46</f>
        <v>Đắpbột đáy dày 5cm</v>
      </c>
      <c r="D54" s="302" t="str">
        <f>'Du toan chi tiet'!E46</f>
        <v>m3</v>
      </c>
      <c r="E54" s="230">
        <f>'Du toan chi tiet'!M46</f>
        <v>0.17</v>
      </c>
      <c r="F54" s="230"/>
      <c r="G54" s="230"/>
      <c r="H54" s="230"/>
      <c r="I54" s="166">
        <f>'Chiết tính'!J759</f>
        <v>239857.60634231343</v>
      </c>
      <c r="J54" s="166"/>
      <c r="K54" s="166">
        <f t="shared" si="0"/>
        <v>40775.793078193288</v>
      </c>
      <c r="L54" s="166">
        <f t="shared" si="1"/>
        <v>0</v>
      </c>
      <c r="M54" s="166">
        <f t="shared" si="2"/>
        <v>0</v>
      </c>
      <c r="N54" s="166">
        <f t="shared" si="3"/>
        <v>0</v>
      </c>
      <c r="O54" s="139"/>
    </row>
    <row r="55" spans="1:15" ht="15" customHeight="1" x14ac:dyDescent="0.25">
      <c r="A55" s="302">
        <v>38</v>
      </c>
      <c r="B55" s="139" t="str">
        <f>'Du toan chi tiet'!C47</f>
        <v>AL.16201</v>
      </c>
      <c r="C55" s="139" t="str">
        <f>'Du toan chi tiet'!D47</f>
        <v>Lót bạc nilong sọc xanh đỏ</v>
      </c>
      <c r="D55" s="302" t="str">
        <f>'Du toan chi tiet'!E47</f>
        <v>m2</v>
      </c>
      <c r="E55" s="230">
        <f>'Du toan chi tiet'!M47</f>
        <v>3.3</v>
      </c>
      <c r="F55" s="230"/>
      <c r="G55" s="230"/>
      <c r="H55" s="230"/>
      <c r="I55" s="166">
        <f>'Chiết tính'!J775</f>
        <v>7566.7835431799995</v>
      </c>
      <c r="J55" s="166"/>
      <c r="K55" s="166">
        <f t="shared" si="0"/>
        <v>24970.385692493997</v>
      </c>
      <c r="L55" s="166">
        <f t="shared" si="1"/>
        <v>0</v>
      </c>
      <c r="M55" s="166">
        <f t="shared" si="2"/>
        <v>0</v>
      </c>
      <c r="N55" s="166">
        <f t="shared" si="3"/>
        <v>0</v>
      </c>
      <c r="O55" s="139"/>
    </row>
    <row r="56" spans="1:15" ht="15" customHeight="1" x14ac:dyDescent="0.25">
      <c r="A56" s="302">
        <v>39</v>
      </c>
      <c r="B56" s="139" t="str">
        <f>'Du toan chi tiet'!C48</f>
        <v>AF.82411</v>
      </c>
      <c r="C56" s="139" t="str">
        <f>'Du toan chi tiet'!D48</f>
        <v>Ván khuôn thép mặt đường bê tông</v>
      </c>
      <c r="D56" s="302" t="str">
        <f>'Du toan chi tiet'!E48</f>
        <v>m2</v>
      </c>
      <c r="E56" s="230">
        <f>'Du toan chi tiet'!M48</f>
        <v>3.22</v>
      </c>
      <c r="F56" s="230"/>
      <c r="G56" s="230"/>
      <c r="H56" s="230"/>
      <c r="I56" s="166">
        <f>'Chiết tính'!J797</f>
        <v>50720.646782917618</v>
      </c>
      <c r="J56" s="166"/>
      <c r="K56" s="166">
        <f t="shared" si="0"/>
        <v>163320.48264099474</v>
      </c>
      <c r="L56" s="166">
        <f t="shared" si="1"/>
        <v>0</v>
      </c>
      <c r="M56" s="166">
        <f t="shared" si="2"/>
        <v>0</v>
      </c>
      <c r="N56" s="166">
        <f t="shared" si="3"/>
        <v>0</v>
      </c>
      <c r="O56" s="139"/>
    </row>
    <row r="57" spans="1:15" ht="15" customHeight="1" x14ac:dyDescent="0.25">
      <c r="A57" s="302">
        <v>40</v>
      </c>
      <c r="B57" s="139" t="str">
        <f>'Du toan chi tiet'!C49</f>
        <v>AD.23263</v>
      </c>
      <c r="C57" s="139" t="str">
        <f>'Du toan chi tiet'!D49</f>
        <v>Rải thảm mặt đường Carboncor Asphalt, bằng phương pháp thủ cơ giới, chiều dày mặt đường đã lèn ép 3cm</v>
      </c>
      <c r="D57" s="302" t="str">
        <f>'Du toan chi tiet'!E49</f>
        <v>m2</v>
      </c>
      <c r="E57" s="230">
        <f>'Du toan chi tiet'!M49</f>
        <v>1.2</v>
      </c>
      <c r="F57" s="230"/>
      <c r="G57" s="230"/>
      <c r="H57" s="230"/>
      <c r="I57" s="166">
        <f>'Chiết tính'!J820</f>
        <v>287678.41615047934</v>
      </c>
      <c r="J57" s="166"/>
      <c r="K57" s="166">
        <f t="shared" si="0"/>
        <v>345214.09938057518</v>
      </c>
      <c r="L57" s="166">
        <f t="shared" si="1"/>
        <v>0</v>
      </c>
      <c r="M57" s="166">
        <f t="shared" si="2"/>
        <v>0</v>
      </c>
      <c r="N57" s="166">
        <f t="shared" si="3"/>
        <v>0</v>
      </c>
      <c r="O57" s="139"/>
    </row>
    <row r="58" spans="1:15" ht="15" customHeight="1" x14ac:dyDescent="0.25">
      <c r="A58" s="302">
        <v>41</v>
      </c>
      <c r="B58" s="139" t="e">
        <f>'Du toan chi tiet'!#REF!</f>
        <v>#REF!</v>
      </c>
      <c r="C58" s="139" t="e">
        <f>'Du toan chi tiet'!#REF!</f>
        <v>#REF!</v>
      </c>
      <c r="D58" s="302" t="e">
        <f>'Du toan chi tiet'!#REF!</f>
        <v>#REF!</v>
      </c>
      <c r="E58" s="230" t="e">
        <f>'Du toan chi tiet'!#REF!</f>
        <v>#REF!</v>
      </c>
      <c r="F58" s="230"/>
      <c r="G58" s="230"/>
      <c r="H58" s="230"/>
      <c r="I58" s="166" t="e">
        <f>'Chiết tính'!J841</f>
        <v>#REF!</v>
      </c>
      <c r="J58" s="166"/>
      <c r="K58" s="166" t="e">
        <f t="shared" si="0"/>
        <v>#REF!</v>
      </c>
      <c r="L58" s="166" t="e">
        <f t="shared" si="1"/>
        <v>#REF!</v>
      </c>
      <c r="M58" s="166" t="e">
        <f t="shared" si="2"/>
        <v>#REF!</v>
      </c>
      <c r="N58" s="166" t="e">
        <f t="shared" si="3"/>
        <v>#REF!</v>
      </c>
      <c r="O58" s="139"/>
    </row>
    <row r="59" spans="1:15" ht="15" customHeight="1" x14ac:dyDescent="0.25">
      <c r="A59" s="94"/>
      <c r="B59" s="121" t="s">
        <v>167</v>
      </c>
      <c r="C59" s="121" t="s">
        <v>1132</v>
      </c>
      <c r="D59" s="94"/>
      <c r="E59" s="500"/>
      <c r="F59" s="500"/>
      <c r="G59" s="500"/>
      <c r="H59" s="500"/>
      <c r="I59" s="479"/>
      <c r="J59" s="479"/>
      <c r="K59" s="479" t="e">
        <f t="shared" ref="K59:N59" si="4">SUM(K18:K58)</f>
        <v>#REF!</v>
      </c>
      <c r="L59" s="479" t="e">
        <f t="shared" si="4"/>
        <v>#REF!</v>
      </c>
      <c r="M59" s="479" t="e">
        <f t="shared" si="4"/>
        <v>#REF!</v>
      </c>
      <c r="N59" s="479" t="e">
        <f t="shared" si="4"/>
        <v>#REF!</v>
      </c>
      <c r="O59" s="121"/>
    </row>
    <row r="60" spans="1:15" ht="15" customHeight="1" x14ac:dyDescent="0.25">
      <c r="A60" s="38" t="s">
        <v>1063</v>
      </c>
      <c r="B60" s="245"/>
      <c r="C60" s="245"/>
      <c r="D60" s="245"/>
      <c r="E60" s="245"/>
      <c r="F60" s="245"/>
      <c r="G60" s="245"/>
      <c r="H60" s="245"/>
      <c r="I60" s="245"/>
      <c r="J60" s="245"/>
      <c r="K60" s="245"/>
      <c r="L60" s="245"/>
      <c r="M60" s="245"/>
      <c r="N60" s="245"/>
      <c r="O60" s="245"/>
    </row>
    <row r="61" spans="1:15" ht="15" customHeight="1" x14ac:dyDescent="0.25">
      <c r="A61" s="38" t="s">
        <v>768</v>
      </c>
      <c r="B61" s="245"/>
      <c r="C61" s="245"/>
      <c r="D61" s="245"/>
      <c r="E61" s="245"/>
      <c r="F61" s="245"/>
      <c r="G61" s="245"/>
      <c r="H61" s="245"/>
      <c r="I61" s="245"/>
      <c r="J61" s="245"/>
      <c r="K61" s="245"/>
      <c r="L61" s="245"/>
      <c r="M61" s="245"/>
      <c r="N61" s="245"/>
      <c r="O61" s="245"/>
    </row>
    <row r="62" spans="1:15" ht="15" customHeight="1" x14ac:dyDescent="0.25">
      <c r="A62" s="38" t="s">
        <v>729</v>
      </c>
      <c r="B62" s="245"/>
      <c r="C62" s="245"/>
      <c r="D62" s="245"/>
      <c r="E62" s="245"/>
      <c r="F62" s="245"/>
      <c r="G62" s="245"/>
      <c r="H62" s="245"/>
      <c r="I62" s="245"/>
      <c r="J62" s="245"/>
      <c r="K62" s="245"/>
      <c r="L62" s="245"/>
      <c r="M62" s="245"/>
      <c r="N62" s="245"/>
      <c r="O62" s="245"/>
    </row>
    <row r="63" spans="1:15" ht="15" customHeight="1" x14ac:dyDescent="0.25">
      <c r="A63" s="38" t="s">
        <v>871</v>
      </c>
      <c r="B63" s="245"/>
      <c r="C63" s="245"/>
      <c r="D63" s="245"/>
      <c r="E63" s="245"/>
      <c r="F63" s="245"/>
      <c r="G63" s="245"/>
      <c r="H63" s="245"/>
      <c r="I63" s="245"/>
      <c r="J63" s="245"/>
      <c r="K63" s="245"/>
      <c r="L63" s="245"/>
      <c r="M63" s="245"/>
      <c r="N63" s="245"/>
      <c r="O63" s="245"/>
    </row>
    <row r="64" spans="1:15" ht="15" customHeight="1" x14ac:dyDescent="0.25">
      <c r="A64" s="38" t="s">
        <v>937</v>
      </c>
      <c r="B64" s="245"/>
      <c r="C64" s="245"/>
      <c r="D64" s="245"/>
      <c r="E64" s="245"/>
      <c r="F64" s="245"/>
      <c r="G64" s="245"/>
      <c r="H64" s="245"/>
      <c r="I64" s="245"/>
      <c r="J64" s="245"/>
      <c r="K64" s="245"/>
      <c r="L64" s="245"/>
      <c r="M64" s="245"/>
      <c r="N64" s="245"/>
      <c r="O64" s="245"/>
    </row>
    <row r="65" spans="1:15" ht="15" customHeight="1" x14ac:dyDescent="0.25">
      <c r="A65" s="38" t="s">
        <v>629</v>
      </c>
      <c r="B65" s="245"/>
      <c r="C65" s="245"/>
      <c r="D65" s="245"/>
      <c r="E65" s="245"/>
      <c r="F65" s="245"/>
      <c r="G65" s="245"/>
      <c r="H65" s="245"/>
      <c r="I65" s="245"/>
      <c r="J65" s="245"/>
      <c r="K65" s="245"/>
      <c r="L65" s="245"/>
      <c r="M65" s="245"/>
      <c r="N65" s="245"/>
      <c r="O65" s="245"/>
    </row>
    <row r="66" spans="1:15" ht="15" customHeight="1" x14ac:dyDescent="0.25">
      <c r="A66" s="38" t="s">
        <v>439</v>
      </c>
      <c r="B66" s="245"/>
      <c r="C66" s="245"/>
      <c r="D66" s="245"/>
      <c r="E66" s="245"/>
      <c r="F66" s="245"/>
      <c r="G66" s="245"/>
      <c r="H66" s="245"/>
      <c r="I66" s="245"/>
      <c r="J66" s="245"/>
      <c r="K66" s="245"/>
      <c r="L66" s="245"/>
      <c r="M66" s="245"/>
      <c r="N66" s="245"/>
      <c r="O66" s="245"/>
    </row>
    <row r="67" spans="1:15" ht="15" customHeight="1" x14ac:dyDescent="0.25">
      <c r="A67" s="38" t="s">
        <v>665</v>
      </c>
      <c r="B67" s="245"/>
      <c r="C67" s="245"/>
      <c r="D67" s="245"/>
      <c r="E67" s="245"/>
      <c r="F67" s="245"/>
      <c r="G67" s="245"/>
      <c r="H67" s="245"/>
      <c r="I67" s="245"/>
      <c r="J67" s="245"/>
      <c r="K67" s="245"/>
      <c r="L67" s="245"/>
      <c r="M67" s="245"/>
      <c r="N67" s="245"/>
      <c r="O67" s="245"/>
    </row>
    <row r="68" spans="1:15" ht="15" customHeight="1" x14ac:dyDescent="0.25">
      <c r="A68" s="245"/>
      <c r="B68" s="245"/>
      <c r="C68" s="245"/>
      <c r="D68" s="245"/>
      <c r="E68" s="245"/>
      <c r="F68" s="245"/>
      <c r="G68" s="245"/>
      <c r="H68" s="245"/>
      <c r="I68" s="245"/>
      <c r="J68" s="245"/>
      <c r="K68" s="245"/>
      <c r="L68" s="245"/>
      <c r="M68" s="245"/>
      <c r="N68" s="245"/>
      <c r="O68" s="245"/>
    </row>
    <row r="69" spans="1:15" ht="15" customHeight="1" x14ac:dyDescent="0.25">
      <c r="A69" s="245"/>
      <c r="B69" s="245"/>
      <c r="C69" s="245"/>
      <c r="D69" s="245"/>
      <c r="E69" s="245"/>
      <c r="F69" s="245"/>
      <c r="G69" s="245"/>
      <c r="H69" s="245"/>
      <c r="I69" s="245"/>
      <c r="J69" s="245"/>
      <c r="K69" s="1170"/>
      <c r="L69" s="1171"/>
      <c r="M69" s="1171"/>
      <c r="N69" s="1171"/>
      <c r="O69" s="1171"/>
    </row>
    <row r="70" spans="1:15" ht="17.649999999999999" customHeight="1" x14ac:dyDescent="0.3">
      <c r="A70" s="1167" t="s">
        <v>1150</v>
      </c>
      <c r="B70" s="1171"/>
      <c r="C70" s="1171"/>
      <c r="D70" s="986"/>
      <c r="E70" s="1171"/>
      <c r="F70" s="1171"/>
      <c r="G70" s="1171"/>
      <c r="H70" s="1171"/>
      <c r="I70" s="1171"/>
      <c r="J70" s="91"/>
      <c r="K70" s="1167" t="s">
        <v>859</v>
      </c>
      <c r="L70" s="1171"/>
      <c r="M70" s="1171"/>
      <c r="N70" s="1171"/>
      <c r="O70" s="1171"/>
    </row>
    <row r="71" spans="1:15" ht="15.4" customHeight="1" x14ac:dyDescent="0.25">
      <c r="A71" s="1161" t="s">
        <v>1255</v>
      </c>
      <c r="B71" s="1171"/>
      <c r="C71" s="1171"/>
      <c r="D71" s="1163"/>
      <c r="E71" s="1171"/>
      <c r="F71" s="1171"/>
      <c r="G71" s="1171"/>
      <c r="H71" s="1171"/>
      <c r="I71" s="1171"/>
      <c r="J71" s="548"/>
      <c r="K71" s="1161" t="s">
        <v>1255</v>
      </c>
      <c r="L71" s="1171"/>
      <c r="M71" s="1171"/>
      <c r="N71" s="1171"/>
      <c r="O71" s="1171"/>
    </row>
  </sheetData>
  <mergeCells count="23">
    <mergeCell ref="K69:O69"/>
    <mergeCell ref="A70:C70"/>
    <mergeCell ref="D70:I70"/>
    <mergeCell ref="K70:O70"/>
    <mergeCell ref="A71:C71"/>
    <mergeCell ref="D71:I71"/>
    <mergeCell ref="K71:O71"/>
    <mergeCell ref="A2:O2"/>
    <mergeCell ref="A3:O3"/>
    <mergeCell ref="A13:A15"/>
    <mergeCell ref="B13:B15"/>
    <mergeCell ref="C13:C15"/>
    <mergeCell ref="D13:D15"/>
    <mergeCell ref="E13:H13"/>
    <mergeCell ref="I13:J13"/>
    <mergeCell ref="K13:N13"/>
    <mergeCell ref="O13:O15"/>
    <mergeCell ref="E14:E15"/>
    <mergeCell ref="F14:G14"/>
    <mergeCell ref="I14:I15"/>
    <mergeCell ref="J14:J15"/>
    <mergeCell ref="K14:K15"/>
    <mergeCell ref="L14:N1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8.85546875" customWidth="1"/>
    <col min="2" max="2" width="35.85546875" customWidth="1"/>
    <col min="3" max="3" width="18.85546875" customWidth="1"/>
    <col min="4" max="5" width="22.85546875" customWidth="1"/>
    <col min="6" max="6" width="15.85546875" customWidth="1"/>
    <col min="7" max="15" width="9.42578125" customWidth="1"/>
  </cols>
  <sheetData>
    <row r="1" spans="1:15" ht="17.649999999999999" customHeight="1" x14ac:dyDescent="0.3">
      <c r="A1" s="425"/>
      <c r="B1" s="425"/>
      <c r="C1" s="425"/>
      <c r="D1" s="425"/>
      <c r="E1" s="425"/>
      <c r="F1" s="290" t="s">
        <v>259</v>
      </c>
      <c r="G1" s="219"/>
      <c r="H1" s="219"/>
      <c r="I1" s="219"/>
      <c r="J1" s="219"/>
      <c r="K1" s="219"/>
      <c r="L1" s="219"/>
      <c r="M1" s="219"/>
      <c r="N1" s="219"/>
      <c r="O1" s="219"/>
    </row>
    <row r="2" spans="1:15" ht="17.649999999999999" customHeight="1" x14ac:dyDescent="0.3">
      <c r="A2" s="1167" t="s">
        <v>1009</v>
      </c>
      <c r="B2" s="1171"/>
      <c r="C2" s="1171"/>
      <c r="D2" s="1171"/>
      <c r="E2" s="1171"/>
      <c r="F2" s="1171"/>
      <c r="G2" s="219"/>
      <c r="H2" s="219"/>
      <c r="I2" s="219"/>
      <c r="J2" s="219"/>
      <c r="K2" s="219"/>
      <c r="L2" s="219"/>
      <c r="M2" s="219"/>
      <c r="N2" s="219"/>
      <c r="O2" s="219"/>
    </row>
    <row r="3" spans="1:15" ht="17.649999999999999" customHeight="1" x14ac:dyDescent="0.3">
      <c r="A3" s="1179" t="s">
        <v>821</v>
      </c>
      <c r="B3" s="1171"/>
      <c r="C3" s="1171"/>
      <c r="D3" s="1171"/>
      <c r="E3" s="1171"/>
      <c r="F3" s="1171"/>
      <c r="G3" s="986"/>
      <c r="H3" s="1171"/>
      <c r="I3" s="1171"/>
      <c r="J3" s="1171"/>
      <c r="K3" s="1171"/>
      <c r="L3" s="1171"/>
      <c r="M3" s="986"/>
      <c r="N3" s="1171"/>
      <c r="O3" s="1171"/>
    </row>
    <row r="4" spans="1:15" ht="17.649999999999999" customHeight="1" x14ac:dyDescent="0.3">
      <c r="A4" s="73"/>
      <c r="B4" s="73"/>
      <c r="C4" s="73"/>
      <c r="D4" s="73"/>
      <c r="E4" s="73"/>
      <c r="F4" s="73"/>
      <c r="G4" s="91"/>
      <c r="H4" s="91"/>
      <c r="I4" s="91"/>
      <c r="J4" s="91"/>
      <c r="K4" s="91"/>
      <c r="L4" s="91"/>
      <c r="M4" s="91"/>
      <c r="N4" s="91"/>
      <c r="O4" s="91"/>
    </row>
    <row r="5" spans="1:15" ht="17.649999999999999" customHeight="1" x14ac:dyDescent="0.3">
      <c r="A5" s="425"/>
      <c r="B5" s="425"/>
      <c r="C5" s="425"/>
      <c r="D5" s="425"/>
      <c r="E5" s="425"/>
      <c r="F5" s="425"/>
      <c r="G5" s="219"/>
      <c r="H5" s="219"/>
      <c r="I5" s="219"/>
      <c r="J5" s="219"/>
      <c r="K5" s="219"/>
      <c r="L5" s="219"/>
      <c r="M5" s="219"/>
      <c r="N5" s="219"/>
      <c r="O5" s="219"/>
    </row>
    <row r="6" spans="1:15" ht="35.25" customHeight="1" x14ac:dyDescent="0.25">
      <c r="A6" s="1172" t="s">
        <v>386</v>
      </c>
      <c r="B6" s="1172" t="s">
        <v>1229</v>
      </c>
      <c r="C6" s="1176" t="s">
        <v>338</v>
      </c>
      <c r="D6" s="1178"/>
      <c r="E6" s="1172" t="s">
        <v>651</v>
      </c>
      <c r="F6" s="1172" t="s">
        <v>1118</v>
      </c>
      <c r="G6" s="219"/>
      <c r="H6" s="219"/>
      <c r="I6" s="219"/>
      <c r="J6" s="219"/>
      <c r="K6" s="219"/>
      <c r="L6" s="219"/>
      <c r="M6" s="219"/>
      <c r="N6" s="219"/>
      <c r="O6" s="219"/>
    </row>
    <row r="7" spans="1:15" ht="72" customHeight="1" x14ac:dyDescent="0.25">
      <c r="A7" s="1174"/>
      <c r="B7" s="1174"/>
      <c r="C7" s="608" t="s">
        <v>958</v>
      </c>
      <c r="D7" s="608" t="s">
        <v>912</v>
      </c>
      <c r="E7" s="1174"/>
      <c r="F7" s="1174"/>
      <c r="G7" s="219"/>
      <c r="H7" s="219"/>
      <c r="I7" s="219"/>
      <c r="J7" s="219"/>
      <c r="K7" s="219"/>
      <c r="L7" s="219"/>
      <c r="M7" s="219"/>
      <c r="N7" s="219"/>
      <c r="O7" s="219"/>
    </row>
    <row r="8" spans="1:15" ht="15" customHeight="1" x14ac:dyDescent="0.25">
      <c r="A8" s="300" t="s">
        <v>47</v>
      </c>
      <c r="B8" s="300" t="s">
        <v>407</v>
      </c>
      <c r="C8" s="300" t="s">
        <v>778</v>
      </c>
      <c r="D8" s="300" t="s">
        <v>1155</v>
      </c>
      <c r="E8" s="300" t="s">
        <v>965</v>
      </c>
      <c r="F8" s="300" t="s">
        <v>61</v>
      </c>
      <c r="G8" s="219"/>
      <c r="H8" s="219"/>
      <c r="I8" s="219"/>
      <c r="J8" s="219"/>
      <c r="K8" s="219"/>
      <c r="L8" s="219"/>
      <c r="M8" s="219"/>
      <c r="N8" s="219"/>
      <c r="O8" s="219"/>
    </row>
    <row r="9" spans="1:15" ht="15" customHeight="1" x14ac:dyDescent="0.25">
      <c r="A9" s="378" t="s">
        <v>489</v>
      </c>
      <c r="B9" s="271" t="s">
        <v>1242</v>
      </c>
      <c r="C9" s="714"/>
      <c r="D9" s="714"/>
      <c r="E9" s="714"/>
      <c r="F9" s="714"/>
      <c r="G9" s="219"/>
      <c r="H9" s="219"/>
      <c r="I9" s="219"/>
      <c r="J9" s="219"/>
      <c r="K9" s="219"/>
      <c r="L9" s="219"/>
      <c r="M9" s="219"/>
      <c r="N9" s="219"/>
      <c r="O9" s="219"/>
    </row>
    <row r="10" spans="1:15" ht="15" customHeight="1" x14ac:dyDescent="0.25">
      <c r="A10" s="6">
        <v>1</v>
      </c>
      <c r="B10" s="193" t="s">
        <v>840</v>
      </c>
      <c r="C10" s="646"/>
      <c r="D10" s="646"/>
      <c r="E10" s="646"/>
      <c r="F10" s="646"/>
      <c r="G10" s="219"/>
      <c r="H10" s="219"/>
      <c r="I10" s="219"/>
      <c r="J10" s="219"/>
      <c r="K10" s="219"/>
      <c r="L10" s="219"/>
      <c r="M10" s="219"/>
      <c r="N10" s="219"/>
      <c r="O10" s="219"/>
    </row>
    <row r="11" spans="1:15" ht="15" customHeight="1" x14ac:dyDescent="0.25">
      <c r="A11" s="6">
        <v>2</v>
      </c>
      <c r="B11" s="193" t="s">
        <v>840</v>
      </c>
      <c r="C11" s="646"/>
      <c r="D11" s="646"/>
      <c r="E11" s="646"/>
      <c r="F11" s="646"/>
      <c r="G11" s="219"/>
      <c r="H11" s="219"/>
      <c r="I11" s="219"/>
      <c r="J11" s="219"/>
      <c r="K11" s="219"/>
      <c r="L11" s="219"/>
      <c r="M11" s="219"/>
      <c r="N11" s="219"/>
      <c r="O11" s="219"/>
    </row>
    <row r="12" spans="1:15" ht="15" customHeight="1" x14ac:dyDescent="0.25">
      <c r="A12" s="6"/>
      <c r="B12" s="646"/>
      <c r="C12" s="646"/>
      <c r="D12" s="646"/>
      <c r="E12" s="646"/>
      <c r="F12" s="646"/>
      <c r="G12" s="219"/>
      <c r="H12" s="219"/>
      <c r="I12" s="219"/>
      <c r="J12" s="219"/>
      <c r="K12" s="219"/>
      <c r="L12" s="219"/>
      <c r="M12" s="219"/>
      <c r="N12" s="219"/>
      <c r="O12" s="219"/>
    </row>
    <row r="13" spans="1:15" ht="15" customHeight="1" x14ac:dyDescent="0.25">
      <c r="A13" s="344" t="s">
        <v>548</v>
      </c>
      <c r="B13" s="216" t="s">
        <v>827</v>
      </c>
      <c r="C13" s="688"/>
      <c r="D13" s="688"/>
      <c r="E13" s="688"/>
      <c r="F13" s="688"/>
      <c r="G13" s="219"/>
      <c r="H13" s="219"/>
      <c r="I13" s="219"/>
      <c r="J13" s="219"/>
      <c r="K13" s="219"/>
      <c r="L13" s="219"/>
      <c r="M13" s="219"/>
      <c r="N13" s="219"/>
      <c r="O13" s="219"/>
    </row>
    <row r="14" spans="1:15" ht="15" customHeight="1" x14ac:dyDescent="0.25">
      <c r="A14" s="357"/>
      <c r="B14" s="528" t="s">
        <v>840</v>
      </c>
      <c r="C14" s="243"/>
      <c r="D14" s="243"/>
      <c r="E14" s="243"/>
      <c r="F14" s="243"/>
      <c r="G14" s="219"/>
      <c r="H14" s="219"/>
      <c r="I14" s="219"/>
      <c r="J14" s="219"/>
      <c r="K14" s="219"/>
      <c r="L14" s="219"/>
      <c r="M14" s="219"/>
      <c r="N14" s="219"/>
      <c r="O14" s="219"/>
    </row>
    <row r="15" spans="1:15" ht="15" customHeight="1" x14ac:dyDescent="0.25">
      <c r="A15" s="245"/>
      <c r="B15" s="245"/>
      <c r="C15" s="245"/>
      <c r="D15" s="245"/>
      <c r="E15" s="245"/>
      <c r="F15" s="245"/>
      <c r="G15" s="219"/>
      <c r="H15" s="219"/>
      <c r="I15" s="219"/>
      <c r="J15" s="219"/>
      <c r="K15" s="219"/>
      <c r="L15" s="219"/>
      <c r="M15" s="219"/>
      <c r="N15" s="219"/>
      <c r="O15" s="219"/>
    </row>
    <row r="16" spans="1:15" ht="15" customHeight="1" x14ac:dyDescent="0.25">
      <c r="A16" s="245"/>
      <c r="B16" s="245"/>
      <c r="C16" s="245"/>
      <c r="D16" s="245"/>
      <c r="E16" s="1180" t="s">
        <v>310</v>
      </c>
      <c r="F16" s="1171"/>
      <c r="G16" s="219"/>
      <c r="H16" s="219"/>
      <c r="I16" s="219"/>
      <c r="J16" s="219"/>
      <c r="K16" s="219"/>
      <c r="L16" s="219"/>
      <c r="M16" s="219"/>
      <c r="N16" s="219"/>
      <c r="O16" s="219"/>
    </row>
    <row r="17" spans="1:15" ht="15" customHeight="1" x14ac:dyDescent="0.25">
      <c r="A17" s="1181" t="s">
        <v>86</v>
      </c>
      <c r="B17" s="1171"/>
      <c r="C17" s="1182"/>
      <c r="D17" s="1171"/>
      <c r="E17" s="1181" t="s">
        <v>531</v>
      </c>
      <c r="F17" s="1171"/>
      <c r="G17" s="219"/>
      <c r="H17" s="219"/>
      <c r="I17" s="219"/>
      <c r="J17" s="219"/>
      <c r="K17" s="219"/>
      <c r="L17" s="219"/>
      <c r="M17" s="219"/>
      <c r="N17" s="219"/>
      <c r="O17" s="219"/>
    </row>
    <row r="18" spans="1:15" ht="15" customHeight="1" x14ac:dyDescent="0.25">
      <c r="A18" s="1180" t="s">
        <v>1255</v>
      </c>
      <c r="B18" s="1171"/>
      <c r="C18" s="1183"/>
      <c r="D18" s="1171"/>
      <c r="E18" s="1180" t="s">
        <v>1255</v>
      </c>
      <c r="F18" s="1171"/>
      <c r="G18" s="219"/>
      <c r="H18" s="219"/>
      <c r="I18" s="219"/>
      <c r="J18" s="219"/>
      <c r="K18" s="219"/>
      <c r="L18" s="219"/>
      <c r="M18" s="219"/>
      <c r="N18" s="219"/>
      <c r="O18" s="219"/>
    </row>
    <row r="19" spans="1:15" ht="15" customHeight="1" x14ac:dyDescent="0.25">
      <c r="A19" s="245"/>
      <c r="B19" s="245"/>
      <c r="C19" s="245"/>
      <c r="D19" s="245"/>
      <c r="E19" s="245"/>
      <c r="F19" s="245"/>
      <c r="G19" s="219"/>
      <c r="H19" s="219"/>
      <c r="I19" s="219"/>
      <c r="J19" s="219"/>
      <c r="K19" s="219"/>
      <c r="L19" s="219"/>
      <c r="M19" s="219"/>
      <c r="N19" s="219"/>
      <c r="O19" s="219"/>
    </row>
    <row r="20" spans="1:15" ht="15" customHeight="1" x14ac:dyDescent="0.25">
      <c r="A20" s="245"/>
      <c r="B20" s="245"/>
      <c r="C20" s="245"/>
      <c r="D20" s="245"/>
      <c r="E20" s="245"/>
      <c r="F20" s="245"/>
      <c r="G20" s="219"/>
      <c r="H20" s="219"/>
      <c r="I20" s="219"/>
      <c r="J20" s="219"/>
      <c r="K20" s="219"/>
      <c r="L20" s="219"/>
      <c r="M20" s="219"/>
      <c r="N20" s="219"/>
      <c r="O20" s="219"/>
    </row>
    <row r="21" spans="1:15" ht="15" customHeight="1" x14ac:dyDescent="0.25">
      <c r="A21" s="245"/>
      <c r="B21" s="245"/>
      <c r="C21" s="245"/>
      <c r="D21" s="245"/>
      <c r="E21" s="245"/>
      <c r="F21" s="245"/>
      <c r="G21" s="219"/>
      <c r="H21" s="219"/>
      <c r="I21" s="219"/>
      <c r="J21" s="219"/>
      <c r="K21" s="219"/>
      <c r="L21" s="219"/>
      <c r="M21" s="219"/>
      <c r="N21" s="219"/>
      <c r="O21" s="219"/>
    </row>
  </sheetData>
  <mergeCells count="16">
    <mergeCell ref="E16:F16"/>
    <mergeCell ref="A17:B17"/>
    <mergeCell ref="C17:D17"/>
    <mergeCell ref="E17:F17"/>
    <mergeCell ref="A18:B18"/>
    <mergeCell ref="C18:D18"/>
    <mergeCell ref="E18:F18"/>
    <mergeCell ref="A2:F2"/>
    <mergeCell ref="A3:F3"/>
    <mergeCell ref="G3:L3"/>
    <mergeCell ref="M3:O3"/>
    <mergeCell ref="A6:A7"/>
    <mergeCell ref="B6:B7"/>
    <mergeCell ref="C6:D6"/>
    <mergeCell ref="E6:E7"/>
    <mergeCell ref="F6:F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5.85546875" customWidth="1"/>
    <col min="2" max="2" width="11.85546875" customWidth="1"/>
    <col min="3" max="3" width="50.85546875" customWidth="1"/>
    <col min="4" max="4" width="7.85546875" customWidth="1"/>
    <col min="5" max="8" width="12.85546875" customWidth="1"/>
    <col min="9" max="10" width="11.85546875" customWidth="1"/>
    <col min="11" max="13" width="13.85546875" customWidth="1"/>
    <col min="14" max="14" width="11.85546875" customWidth="1"/>
    <col min="15" max="18" width="9.42578125" customWidth="1"/>
  </cols>
  <sheetData>
    <row r="1" spans="1:18" ht="17.649999999999999" customHeight="1" x14ac:dyDescent="0.3">
      <c r="A1" s="460"/>
      <c r="B1" s="460"/>
      <c r="C1" s="460"/>
      <c r="D1" s="460"/>
      <c r="E1" s="460"/>
      <c r="F1" s="460"/>
      <c r="G1" s="460"/>
      <c r="H1" s="460"/>
      <c r="I1" s="460"/>
      <c r="J1" s="460"/>
      <c r="K1" s="460"/>
      <c r="L1" s="460"/>
      <c r="M1" s="460"/>
      <c r="N1" s="290" t="s">
        <v>198</v>
      </c>
      <c r="O1" s="219"/>
      <c r="P1" s="219"/>
      <c r="Q1" s="219"/>
      <c r="R1" s="219"/>
    </row>
    <row r="2" spans="1:18" ht="17.649999999999999" customHeight="1" x14ac:dyDescent="0.3">
      <c r="A2" s="1167" t="s">
        <v>882</v>
      </c>
      <c r="B2" s="1171"/>
      <c r="C2" s="1171"/>
      <c r="D2" s="1171"/>
      <c r="E2" s="1171"/>
      <c r="F2" s="1171"/>
      <c r="G2" s="1171"/>
      <c r="H2" s="1171"/>
      <c r="I2" s="1171"/>
      <c r="J2" s="1171"/>
      <c r="K2" s="1171"/>
      <c r="L2" s="1171"/>
      <c r="M2" s="1171"/>
      <c r="N2" s="1171"/>
      <c r="O2" s="219"/>
      <c r="P2" s="219"/>
      <c r="Q2" s="219"/>
      <c r="R2" s="219"/>
    </row>
    <row r="3" spans="1:18" ht="17.649999999999999" customHeight="1" x14ac:dyDescent="0.3">
      <c r="A3" s="1179" t="s">
        <v>821</v>
      </c>
      <c r="B3" s="1171"/>
      <c r="C3" s="1171"/>
      <c r="D3" s="1171"/>
      <c r="E3" s="1171"/>
      <c r="F3" s="1171"/>
      <c r="G3" s="1171"/>
      <c r="H3" s="1171"/>
      <c r="I3" s="1171"/>
      <c r="J3" s="1171"/>
      <c r="K3" s="1171"/>
      <c r="L3" s="1171"/>
      <c r="M3" s="1171"/>
      <c r="N3" s="1171"/>
      <c r="O3" s="427"/>
      <c r="P3" s="427"/>
      <c r="Q3" s="427"/>
      <c r="R3" s="427"/>
    </row>
    <row r="4" spans="1:18" ht="15" customHeight="1" x14ac:dyDescent="0.25">
      <c r="A4" s="38" t="s">
        <v>185</v>
      </c>
      <c r="B4" s="245"/>
      <c r="C4" s="245"/>
      <c r="D4" s="245"/>
      <c r="E4" s="245"/>
      <c r="F4" s="245"/>
      <c r="G4" s="245"/>
      <c r="H4" s="245"/>
      <c r="I4" s="245"/>
      <c r="J4" s="245"/>
      <c r="K4" s="245"/>
      <c r="L4" s="245"/>
      <c r="M4" s="245"/>
      <c r="N4" s="245"/>
      <c r="O4" s="219"/>
      <c r="P4" s="219"/>
      <c r="Q4" s="219"/>
      <c r="R4" s="219"/>
    </row>
    <row r="5" spans="1:18" ht="15" customHeight="1" x14ac:dyDescent="0.25">
      <c r="A5" s="38" t="s">
        <v>896</v>
      </c>
      <c r="B5" s="245"/>
      <c r="C5" s="245"/>
      <c r="D5" s="245"/>
      <c r="E5" s="245"/>
      <c r="F5" s="245"/>
      <c r="G5" s="245"/>
      <c r="H5" s="245"/>
      <c r="I5" s="245"/>
      <c r="J5" s="245"/>
      <c r="K5" s="245"/>
      <c r="L5" s="245"/>
      <c r="M5" s="245"/>
      <c r="N5" s="245"/>
      <c r="O5" s="219"/>
      <c r="P5" s="219"/>
      <c r="Q5" s="219"/>
      <c r="R5" s="219"/>
    </row>
    <row r="6" spans="1:18" ht="15" customHeight="1" x14ac:dyDescent="0.25">
      <c r="A6" s="38" t="s">
        <v>63</v>
      </c>
      <c r="B6" s="245"/>
      <c r="C6" s="245"/>
      <c r="D6" s="38" t="s">
        <v>1109</v>
      </c>
      <c r="E6" s="245"/>
      <c r="F6" s="245"/>
      <c r="G6" s="245"/>
      <c r="H6" s="245"/>
      <c r="I6" s="245"/>
      <c r="J6" s="245"/>
      <c r="K6" s="245"/>
      <c r="L6" s="245"/>
      <c r="M6" s="245"/>
      <c r="N6" s="245"/>
      <c r="O6" s="219"/>
      <c r="P6" s="219"/>
      <c r="Q6" s="219"/>
      <c r="R6" s="219"/>
    </row>
    <row r="7" spans="1:18" ht="15" customHeight="1" x14ac:dyDescent="0.25">
      <c r="A7" s="38" t="s">
        <v>402</v>
      </c>
      <c r="B7" s="245"/>
      <c r="C7" s="245"/>
      <c r="D7" s="245"/>
      <c r="E7" s="245"/>
      <c r="F7" s="245"/>
      <c r="G7" s="245"/>
      <c r="H7" s="245"/>
      <c r="I7" s="245"/>
      <c r="J7" s="245"/>
      <c r="K7" s="245"/>
      <c r="L7" s="245"/>
      <c r="M7" s="245"/>
      <c r="N7" s="245"/>
      <c r="O7" s="219"/>
      <c r="P7" s="219"/>
      <c r="Q7" s="219"/>
      <c r="R7" s="219"/>
    </row>
    <row r="8" spans="1:18" ht="15" customHeight="1" x14ac:dyDescent="0.25">
      <c r="A8" s="38" t="s">
        <v>582</v>
      </c>
      <c r="B8" s="245"/>
      <c r="C8" s="245"/>
      <c r="D8" s="245"/>
      <c r="E8" s="245"/>
      <c r="F8" s="245"/>
      <c r="G8" s="245"/>
      <c r="H8" s="245"/>
      <c r="I8" s="245"/>
      <c r="J8" s="245"/>
      <c r="K8" s="245"/>
      <c r="L8" s="245"/>
      <c r="M8" s="245"/>
      <c r="N8" s="245"/>
      <c r="O8" s="219"/>
      <c r="P8" s="219"/>
      <c r="Q8" s="219"/>
      <c r="R8" s="219"/>
    </row>
    <row r="9" spans="1:18" ht="15" customHeight="1" x14ac:dyDescent="0.25">
      <c r="A9" s="38" t="s">
        <v>900</v>
      </c>
      <c r="B9" s="245"/>
      <c r="C9" s="245"/>
      <c r="D9" s="245"/>
      <c r="E9" s="245"/>
      <c r="F9" s="245"/>
      <c r="G9" s="245"/>
      <c r="H9" s="245"/>
      <c r="I9" s="245"/>
      <c r="J9" s="245"/>
      <c r="K9" s="245"/>
      <c r="L9" s="245"/>
      <c r="M9" s="245"/>
      <c r="N9" s="245"/>
      <c r="O9" s="219"/>
      <c r="P9" s="219"/>
      <c r="Q9" s="219"/>
      <c r="R9" s="219"/>
    </row>
    <row r="10" spans="1:18" ht="15" customHeight="1" x14ac:dyDescent="0.25">
      <c r="A10" s="38" t="s">
        <v>224</v>
      </c>
      <c r="B10" s="245"/>
      <c r="C10" s="245"/>
      <c r="D10" s="245"/>
      <c r="E10" s="245"/>
      <c r="F10" s="245"/>
      <c r="G10" s="245"/>
      <c r="H10" s="245"/>
      <c r="I10" s="245"/>
      <c r="J10" s="245"/>
      <c r="K10" s="245"/>
      <c r="L10" s="245"/>
      <c r="M10" s="245"/>
      <c r="N10" s="245"/>
      <c r="O10" s="219"/>
      <c r="P10" s="219"/>
      <c r="Q10" s="219"/>
      <c r="R10" s="219"/>
    </row>
    <row r="11" spans="1:18" ht="15" customHeight="1" x14ac:dyDescent="0.25">
      <c r="A11" s="38" t="s">
        <v>976</v>
      </c>
      <c r="B11" s="245"/>
      <c r="C11" s="245"/>
      <c r="D11" s="245"/>
      <c r="E11" s="245"/>
      <c r="F11" s="245"/>
      <c r="G11" s="245"/>
      <c r="H11" s="245"/>
      <c r="I11" s="245"/>
      <c r="J11" s="245"/>
      <c r="K11" s="245"/>
      <c r="L11" s="245"/>
      <c r="M11" s="245"/>
      <c r="N11" s="245"/>
      <c r="O11" s="219"/>
      <c r="P11" s="219"/>
      <c r="Q11" s="219"/>
      <c r="R11" s="219"/>
    </row>
    <row r="12" spans="1:18" ht="15" customHeight="1" x14ac:dyDescent="0.25">
      <c r="A12" s="245"/>
      <c r="B12" s="245"/>
      <c r="C12" s="245"/>
      <c r="D12" s="245"/>
      <c r="E12" s="245"/>
      <c r="F12" s="245"/>
      <c r="G12" s="245"/>
      <c r="H12" s="245"/>
      <c r="I12" s="245"/>
      <c r="J12" s="245"/>
      <c r="K12" s="245"/>
      <c r="L12" s="245"/>
      <c r="M12" s="245"/>
      <c r="N12" s="245"/>
      <c r="O12" s="219"/>
      <c r="P12" s="219"/>
      <c r="Q12" s="219"/>
      <c r="R12" s="219"/>
    </row>
    <row r="13" spans="1:18" ht="16.5" customHeight="1" x14ac:dyDescent="0.25">
      <c r="A13" s="1172" t="s">
        <v>386</v>
      </c>
      <c r="B13" s="1172" t="s">
        <v>1120</v>
      </c>
      <c r="C13" s="1172" t="s">
        <v>1172</v>
      </c>
      <c r="D13" s="1172" t="s">
        <v>324</v>
      </c>
      <c r="E13" s="1176" t="s">
        <v>933</v>
      </c>
      <c r="F13" s="1177"/>
      <c r="G13" s="1177"/>
      <c r="H13" s="1178"/>
      <c r="I13" s="1176" t="s">
        <v>534</v>
      </c>
      <c r="J13" s="1178"/>
      <c r="K13" s="1184" t="s">
        <v>120</v>
      </c>
      <c r="L13" s="1185"/>
      <c r="M13" s="1186"/>
      <c r="N13" s="1172" t="s">
        <v>1118</v>
      </c>
      <c r="O13" s="219"/>
      <c r="P13" s="219"/>
      <c r="Q13" s="219"/>
      <c r="R13" s="219"/>
    </row>
    <row r="14" spans="1:18" ht="16.5" customHeight="1" x14ac:dyDescent="0.25">
      <c r="A14" s="1173"/>
      <c r="B14" s="1173"/>
      <c r="C14" s="1173"/>
      <c r="D14" s="1173"/>
      <c r="E14" s="1172" t="s">
        <v>940</v>
      </c>
      <c r="F14" s="1176" t="s">
        <v>1097</v>
      </c>
      <c r="G14" s="1177"/>
      <c r="H14" s="1178"/>
      <c r="I14" s="1172" t="s">
        <v>534</v>
      </c>
      <c r="J14" s="1172" t="s">
        <v>917</v>
      </c>
      <c r="K14" s="1187"/>
      <c r="L14" s="1188"/>
      <c r="M14" s="1189"/>
      <c r="N14" s="1173"/>
      <c r="O14" s="219"/>
      <c r="P14" s="219"/>
      <c r="Q14" s="219"/>
      <c r="R14" s="219"/>
    </row>
    <row r="15" spans="1:18" ht="28.9" customHeight="1" x14ac:dyDescent="0.25">
      <c r="A15" s="1174"/>
      <c r="B15" s="1174"/>
      <c r="C15" s="1174"/>
      <c r="D15" s="1174"/>
      <c r="E15" s="1174"/>
      <c r="F15" s="608" t="s">
        <v>883</v>
      </c>
      <c r="G15" s="608" t="s">
        <v>231</v>
      </c>
      <c r="H15" s="608" t="s">
        <v>864</v>
      </c>
      <c r="I15" s="1174"/>
      <c r="J15" s="1174"/>
      <c r="K15" s="608" t="s">
        <v>883</v>
      </c>
      <c r="L15" s="608" t="s">
        <v>231</v>
      </c>
      <c r="M15" s="608" t="s">
        <v>864</v>
      </c>
      <c r="N15" s="1174"/>
      <c r="O15" s="219"/>
      <c r="P15" s="219"/>
      <c r="Q15" s="219"/>
      <c r="R15" s="219"/>
    </row>
    <row r="16" spans="1:18" ht="15" customHeight="1" x14ac:dyDescent="0.25">
      <c r="A16" s="300" t="s">
        <v>47</v>
      </c>
      <c r="B16" s="300" t="s">
        <v>407</v>
      </c>
      <c r="C16" s="300" t="s">
        <v>778</v>
      </c>
      <c r="D16" s="300" t="s">
        <v>1155</v>
      </c>
      <c r="E16" s="300" t="s">
        <v>965</v>
      </c>
      <c r="F16" s="300" t="s">
        <v>61</v>
      </c>
      <c r="G16" s="300" t="s">
        <v>415</v>
      </c>
      <c r="H16" s="300" t="s">
        <v>788</v>
      </c>
      <c r="I16" s="300" t="s">
        <v>623</v>
      </c>
      <c r="J16" s="300" t="s">
        <v>147</v>
      </c>
      <c r="K16" s="300" t="s">
        <v>508</v>
      </c>
      <c r="L16" s="300" t="s">
        <v>865</v>
      </c>
      <c r="M16" s="300" t="s">
        <v>716</v>
      </c>
      <c r="N16" s="300" t="s">
        <v>1087</v>
      </c>
      <c r="O16" s="219"/>
      <c r="P16" s="219"/>
      <c r="Q16" s="219"/>
      <c r="R16" s="219"/>
    </row>
    <row r="17" spans="1:18" ht="15" customHeight="1" x14ac:dyDescent="0.25">
      <c r="A17" s="255"/>
      <c r="B17" s="255"/>
      <c r="C17" s="255"/>
      <c r="D17" s="255"/>
      <c r="E17" s="255"/>
      <c r="F17" s="255"/>
      <c r="G17" s="255"/>
      <c r="H17" s="255"/>
      <c r="I17" s="255"/>
      <c r="J17" s="255"/>
      <c r="K17" s="255"/>
      <c r="L17" s="255"/>
      <c r="M17" s="255"/>
      <c r="N17" s="255"/>
      <c r="O17" s="219"/>
      <c r="P17" s="219"/>
      <c r="Q17" s="219"/>
      <c r="R17" s="219"/>
    </row>
    <row r="18" spans="1:18" ht="15" customHeight="1" x14ac:dyDescent="0.25">
      <c r="A18" s="199"/>
      <c r="B18" s="199"/>
      <c r="C18" s="199"/>
      <c r="D18" s="199"/>
      <c r="E18" s="199"/>
      <c r="F18" s="199"/>
      <c r="G18" s="199"/>
      <c r="H18" s="199"/>
      <c r="I18" s="199"/>
      <c r="J18" s="199"/>
      <c r="K18" s="199"/>
      <c r="L18" s="199"/>
      <c r="M18" s="199"/>
      <c r="N18" s="199"/>
      <c r="O18" s="219"/>
      <c r="P18" s="219"/>
      <c r="Q18" s="219"/>
      <c r="R18" s="219"/>
    </row>
    <row r="19" spans="1:18" ht="15" customHeight="1" x14ac:dyDescent="0.25">
      <c r="A19" s="199"/>
      <c r="B19" s="199"/>
      <c r="C19" s="199"/>
      <c r="D19" s="199"/>
      <c r="E19" s="199"/>
      <c r="F19" s="199"/>
      <c r="G19" s="199"/>
      <c r="H19" s="199"/>
      <c r="I19" s="199"/>
      <c r="J19" s="199"/>
      <c r="K19" s="199"/>
      <c r="L19" s="199"/>
      <c r="M19" s="199"/>
      <c r="N19" s="199"/>
      <c r="O19" s="219"/>
      <c r="P19" s="219"/>
      <c r="Q19" s="219"/>
      <c r="R19" s="219"/>
    </row>
    <row r="20" spans="1:18" ht="15" customHeight="1" x14ac:dyDescent="0.25">
      <c r="A20" s="199"/>
      <c r="B20" s="199"/>
      <c r="C20" s="199"/>
      <c r="D20" s="199"/>
      <c r="E20" s="199"/>
      <c r="F20" s="199"/>
      <c r="G20" s="199"/>
      <c r="H20" s="199"/>
      <c r="I20" s="199"/>
      <c r="J20" s="199"/>
      <c r="K20" s="199"/>
      <c r="L20" s="199"/>
      <c r="M20" s="199"/>
      <c r="N20" s="199"/>
      <c r="O20" s="219"/>
      <c r="P20" s="219"/>
      <c r="Q20" s="219"/>
      <c r="R20" s="219"/>
    </row>
    <row r="21" spans="1:18" ht="15" customHeight="1" x14ac:dyDescent="0.25">
      <c r="A21" s="199"/>
      <c r="B21" s="199"/>
      <c r="C21" s="199"/>
      <c r="D21" s="199"/>
      <c r="E21" s="199"/>
      <c r="F21" s="199"/>
      <c r="G21" s="199"/>
      <c r="H21" s="199"/>
      <c r="I21" s="199"/>
      <c r="J21" s="199"/>
      <c r="K21" s="199"/>
      <c r="L21" s="199"/>
      <c r="M21" s="199"/>
      <c r="N21" s="199"/>
      <c r="O21" s="219"/>
      <c r="P21" s="219"/>
      <c r="Q21" s="219"/>
      <c r="R21" s="219"/>
    </row>
    <row r="22" spans="1:18" ht="15" customHeight="1" x14ac:dyDescent="0.25">
      <c r="A22" s="199"/>
      <c r="B22" s="199"/>
      <c r="C22" s="199"/>
      <c r="D22" s="199"/>
      <c r="E22" s="199"/>
      <c r="F22" s="199"/>
      <c r="G22" s="199"/>
      <c r="H22" s="199"/>
      <c r="I22" s="199"/>
      <c r="J22" s="199"/>
      <c r="K22" s="199"/>
      <c r="L22" s="199"/>
      <c r="M22" s="199"/>
      <c r="N22" s="199"/>
      <c r="O22" s="219"/>
      <c r="P22" s="219"/>
      <c r="Q22" s="219"/>
      <c r="R22" s="219"/>
    </row>
    <row r="23" spans="1:18" ht="15" customHeight="1" x14ac:dyDescent="0.25">
      <c r="A23" s="199"/>
      <c r="B23" s="199"/>
      <c r="C23" s="199"/>
      <c r="D23" s="199"/>
      <c r="E23" s="199"/>
      <c r="F23" s="199"/>
      <c r="G23" s="199"/>
      <c r="H23" s="199"/>
      <c r="I23" s="199"/>
      <c r="J23" s="199"/>
      <c r="K23" s="199"/>
      <c r="L23" s="199"/>
      <c r="M23" s="199"/>
      <c r="N23" s="199"/>
      <c r="O23" s="219"/>
      <c r="P23" s="219"/>
      <c r="Q23" s="219"/>
      <c r="R23" s="219"/>
    </row>
    <row r="24" spans="1:18" ht="15" customHeight="1" x14ac:dyDescent="0.25">
      <c r="A24" s="199"/>
      <c r="B24" s="199"/>
      <c r="C24" s="199"/>
      <c r="D24" s="199"/>
      <c r="E24" s="199"/>
      <c r="F24" s="199"/>
      <c r="G24" s="199"/>
      <c r="H24" s="199"/>
      <c r="I24" s="199"/>
      <c r="J24" s="199"/>
      <c r="K24" s="199"/>
      <c r="L24" s="199"/>
      <c r="M24" s="199"/>
      <c r="N24" s="199"/>
      <c r="O24" s="219"/>
      <c r="P24" s="219"/>
      <c r="Q24" s="219"/>
      <c r="R24" s="219"/>
    </row>
    <row r="25" spans="1:18" ht="15" customHeight="1" x14ac:dyDescent="0.25">
      <c r="A25" s="535"/>
      <c r="B25" s="535"/>
      <c r="C25" s="535"/>
      <c r="D25" s="535"/>
      <c r="E25" s="535"/>
      <c r="F25" s="535"/>
      <c r="G25" s="535"/>
      <c r="H25" s="535"/>
      <c r="I25" s="535"/>
      <c r="J25" s="535"/>
      <c r="K25" s="535"/>
      <c r="L25" s="535"/>
      <c r="M25" s="535"/>
      <c r="N25" s="535"/>
      <c r="O25" s="219"/>
      <c r="P25" s="219"/>
      <c r="Q25" s="219"/>
      <c r="R25" s="219"/>
    </row>
    <row r="26" spans="1:18" ht="15" customHeight="1" x14ac:dyDescent="0.25">
      <c r="A26" s="397"/>
      <c r="B26" s="397"/>
      <c r="C26" s="700" t="s">
        <v>381</v>
      </c>
      <c r="D26" s="397"/>
      <c r="E26" s="397"/>
      <c r="F26" s="397"/>
      <c r="G26" s="397"/>
      <c r="H26" s="397"/>
      <c r="I26" s="397"/>
      <c r="J26" s="397"/>
      <c r="K26" s="235">
        <f t="shared" ref="K26:L26" si="0">SUM(K17:K25)</f>
        <v>0</v>
      </c>
      <c r="L26" s="235">
        <f t="shared" si="0"/>
        <v>0</v>
      </c>
      <c r="M26" s="235"/>
      <c r="N26" s="235">
        <f>SUM(N17:N25)</f>
        <v>0</v>
      </c>
      <c r="O26" s="219"/>
      <c r="P26" s="219"/>
      <c r="Q26" s="219"/>
      <c r="R26" s="219"/>
    </row>
    <row r="27" spans="1:18" ht="15" customHeight="1" x14ac:dyDescent="0.25">
      <c r="A27" s="245"/>
      <c r="B27" s="245"/>
      <c r="C27" s="245"/>
      <c r="D27" s="245"/>
      <c r="E27" s="245"/>
      <c r="F27" s="245"/>
      <c r="G27" s="245"/>
      <c r="H27" s="245"/>
      <c r="I27" s="245"/>
      <c r="J27" s="245"/>
      <c r="K27" s="245"/>
      <c r="L27" s="245"/>
      <c r="M27" s="245"/>
      <c r="N27" s="245"/>
      <c r="O27" s="219"/>
      <c r="P27" s="219"/>
      <c r="Q27" s="219"/>
      <c r="R27" s="219"/>
    </row>
    <row r="28" spans="1:18" ht="15" customHeight="1" x14ac:dyDescent="0.25">
      <c r="A28" s="38" t="s">
        <v>714</v>
      </c>
      <c r="B28" s="245"/>
      <c r="C28" s="245"/>
      <c r="D28" s="245"/>
      <c r="E28" s="245"/>
      <c r="F28" s="245"/>
      <c r="G28" s="245"/>
      <c r="H28" s="245"/>
      <c r="I28" s="245"/>
      <c r="J28" s="245"/>
      <c r="K28" s="245"/>
      <c r="L28" s="245"/>
      <c r="M28" s="245"/>
      <c r="N28" s="245"/>
      <c r="O28" s="219"/>
      <c r="P28" s="219"/>
      <c r="Q28" s="219"/>
      <c r="R28" s="219"/>
    </row>
    <row r="29" spans="1:18" ht="15" customHeight="1" x14ac:dyDescent="0.25">
      <c r="A29" s="38" t="s">
        <v>768</v>
      </c>
      <c r="B29" s="245"/>
      <c r="C29" s="245"/>
      <c r="D29" s="245"/>
      <c r="E29" s="245"/>
      <c r="F29" s="245"/>
      <c r="G29" s="245"/>
      <c r="H29" s="245"/>
      <c r="I29" s="245"/>
      <c r="J29" s="245"/>
      <c r="K29" s="245"/>
      <c r="L29" s="245"/>
      <c r="M29" s="245"/>
      <c r="N29" s="245"/>
      <c r="O29" s="219"/>
      <c r="P29" s="219"/>
      <c r="Q29" s="219"/>
      <c r="R29" s="219"/>
    </row>
    <row r="30" spans="1:18" ht="15" customHeight="1" x14ac:dyDescent="0.25">
      <c r="A30" s="38" t="s">
        <v>729</v>
      </c>
      <c r="B30" s="245"/>
      <c r="C30" s="245"/>
      <c r="D30" s="245"/>
      <c r="E30" s="245"/>
      <c r="F30" s="245"/>
      <c r="G30" s="245"/>
      <c r="H30" s="245"/>
      <c r="I30" s="245"/>
      <c r="J30" s="245"/>
      <c r="K30" s="245"/>
      <c r="L30" s="245"/>
      <c r="M30" s="245"/>
      <c r="N30" s="245"/>
      <c r="O30" s="219"/>
      <c r="P30" s="219"/>
      <c r="Q30" s="219"/>
      <c r="R30" s="219"/>
    </row>
    <row r="31" spans="1:18" ht="15" customHeight="1" x14ac:dyDescent="0.25">
      <c r="A31" s="38" t="s">
        <v>871</v>
      </c>
      <c r="B31" s="245"/>
      <c r="C31" s="245"/>
      <c r="D31" s="245"/>
      <c r="E31" s="245"/>
      <c r="F31" s="245"/>
      <c r="G31" s="245"/>
      <c r="H31" s="245"/>
      <c r="I31" s="245"/>
      <c r="J31" s="245"/>
      <c r="K31" s="245"/>
      <c r="L31" s="245"/>
      <c r="M31" s="245"/>
      <c r="N31" s="245"/>
      <c r="O31" s="219"/>
      <c r="P31" s="219"/>
      <c r="Q31" s="219"/>
      <c r="R31" s="219"/>
    </row>
    <row r="32" spans="1:18" ht="15" customHeight="1" x14ac:dyDescent="0.25">
      <c r="A32" s="38" t="s">
        <v>437</v>
      </c>
      <c r="B32" s="245"/>
      <c r="C32" s="245"/>
      <c r="D32" s="245"/>
      <c r="E32" s="245"/>
      <c r="F32" s="245"/>
      <c r="G32" s="245"/>
      <c r="H32" s="245"/>
      <c r="I32" s="245"/>
      <c r="J32" s="245"/>
      <c r="K32" s="245"/>
      <c r="L32" s="245"/>
      <c r="M32" s="245"/>
      <c r="N32" s="245"/>
      <c r="O32" s="219"/>
      <c r="P32" s="219"/>
      <c r="Q32" s="219"/>
      <c r="R32" s="219"/>
    </row>
    <row r="33" spans="1:18" ht="15" customHeight="1" x14ac:dyDescent="0.25">
      <c r="A33" s="38" t="s">
        <v>629</v>
      </c>
      <c r="B33" s="245"/>
      <c r="C33" s="245"/>
      <c r="D33" s="245"/>
      <c r="E33" s="245"/>
      <c r="F33" s="245"/>
      <c r="G33" s="245"/>
      <c r="H33" s="245"/>
      <c r="I33" s="245"/>
      <c r="J33" s="245"/>
      <c r="K33" s="245"/>
      <c r="L33" s="245"/>
      <c r="M33" s="245"/>
      <c r="N33" s="245"/>
      <c r="O33" s="219"/>
      <c r="P33" s="219"/>
      <c r="Q33" s="219"/>
      <c r="R33" s="219"/>
    </row>
    <row r="34" spans="1:18" ht="15" customHeight="1" x14ac:dyDescent="0.25">
      <c r="A34" s="38" t="s">
        <v>439</v>
      </c>
      <c r="B34" s="245"/>
      <c r="C34" s="245"/>
      <c r="D34" s="245"/>
      <c r="E34" s="245"/>
      <c r="F34" s="245"/>
      <c r="G34" s="245"/>
      <c r="H34" s="245"/>
      <c r="I34" s="245"/>
      <c r="J34" s="245"/>
      <c r="K34" s="245"/>
      <c r="L34" s="245"/>
      <c r="M34" s="245"/>
      <c r="N34" s="245"/>
      <c r="O34" s="219"/>
      <c r="P34" s="219"/>
      <c r="Q34" s="219"/>
      <c r="R34" s="219"/>
    </row>
    <row r="35" spans="1:18" ht="15" customHeight="1" x14ac:dyDescent="0.25">
      <c r="A35" s="38" t="s">
        <v>665</v>
      </c>
      <c r="B35" s="245"/>
      <c r="C35" s="245"/>
      <c r="D35" s="245"/>
      <c r="E35" s="245"/>
      <c r="F35" s="245"/>
      <c r="G35" s="245"/>
      <c r="H35" s="245"/>
      <c r="I35" s="245"/>
      <c r="J35" s="245"/>
      <c r="K35" s="245"/>
      <c r="L35" s="245"/>
      <c r="M35" s="245"/>
      <c r="N35" s="245"/>
      <c r="O35" s="219"/>
      <c r="P35" s="219"/>
      <c r="Q35" s="219"/>
      <c r="R35" s="219"/>
    </row>
    <row r="36" spans="1:18" ht="15" customHeight="1" x14ac:dyDescent="0.25">
      <c r="A36" s="245"/>
      <c r="B36" s="245"/>
      <c r="C36" s="245"/>
      <c r="D36" s="245"/>
      <c r="E36" s="245"/>
      <c r="F36" s="245"/>
      <c r="G36" s="245"/>
      <c r="H36" s="245"/>
      <c r="I36" s="245"/>
      <c r="J36" s="245"/>
      <c r="K36" s="245"/>
      <c r="L36" s="245"/>
      <c r="M36" s="245"/>
      <c r="N36" s="245"/>
      <c r="O36" s="219"/>
      <c r="P36" s="219"/>
      <c r="Q36" s="219"/>
      <c r="R36" s="219"/>
    </row>
    <row r="37" spans="1:18" ht="15" customHeight="1" x14ac:dyDescent="0.25">
      <c r="A37" s="245"/>
      <c r="B37" s="245"/>
      <c r="C37" s="245"/>
      <c r="D37" s="245"/>
      <c r="E37" s="245"/>
      <c r="F37" s="245"/>
      <c r="G37" s="245"/>
      <c r="H37" s="245"/>
      <c r="I37" s="245"/>
      <c r="J37" s="245"/>
      <c r="K37" s="1190" t="s">
        <v>310</v>
      </c>
      <c r="L37" s="1171"/>
      <c r="M37" s="1171"/>
      <c r="N37" s="1171"/>
      <c r="O37" s="219"/>
      <c r="P37" s="219"/>
      <c r="Q37" s="219"/>
      <c r="R37" s="219"/>
    </row>
    <row r="38" spans="1:18" ht="17.649999999999999" customHeight="1" x14ac:dyDescent="0.3">
      <c r="A38" s="1167" t="s">
        <v>1150</v>
      </c>
      <c r="B38" s="1171"/>
      <c r="C38" s="1171"/>
      <c r="D38" s="986"/>
      <c r="E38" s="1171"/>
      <c r="F38" s="1171"/>
      <c r="G38" s="1171"/>
      <c r="H38" s="91"/>
      <c r="I38" s="1167" t="s">
        <v>859</v>
      </c>
      <c r="J38" s="1171"/>
      <c r="K38" s="1171"/>
      <c r="L38" s="1171"/>
      <c r="M38" s="1171"/>
      <c r="N38" s="1171"/>
      <c r="O38" s="219"/>
      <c r="P38" s="219"/>
      <c r="Q38" s="219"/>
      <c r="R38" s="219"/>
    </row>
    <row r="39" spans="1:18" ht="15.4" customHeight="1" x14ac:dyDescent="0.25">
      <c r="A39" s="1161" t="s">
        <v>1255</v>
      </c>
      <c r="B39" s="1171"/>
      <c r="C39" s="1171"/>
      <c r="D39" s="1163"/>
      <c r="E39" s="1171"/>
      <c r="F39" s="1171"/>
      <c r="G39" s="1171"/>
      <c r="H39" s="548"/>
      <c r="I39" s="1161" t="s">
        <v>1255</v>
      </c>
      <c r="J39" s="1171"/>
      <c r="K39" s="1171"/>
      <c r="L39" s="1171"/>
      <c r="M39" s="1171"/>
      <c r="N39" s="1171"/>
      <c r="O39" s="219"/>
      <c r="P39" s="219"/>
      <c r="Q39" s="219"/>
      <c r="R39" s="219"/>
    </row>
  </sheetData>
  <mergeCells count="21">
    <mergeCell ref="A39:C39"/>
    <mergeCell ref="D39:G39"/>
    <mergeCell ref="I39:N39"/>
    <mergeCell ref="E14:E15"/>
    <mergeCell ref="F14:H14"/>
    <mergeCell ref="I14:I15"/>
    <mergeCell ref="J14:J15"/>
    <mergeCell ref="K37:N37"/>
    <mergeCell ref="A38:C38"/>
    <mergeCell ref="D38:G38"/>
    <mergeCell ref="N13:N15"/>
    <mergeCell ref="I38:N38"/>
    <mergeCell ref="A2:N2"/>
    <mergeCell ref="A3:N3"/>
    <mergeCell ref="A13:A15"/>
    <mergeCell ref="B13:B15"/>
    <mergeCell ref="C13:C15"/>
    <mergeCell ref="D13:D15"/>
    <mergeCell ref="E13:H13"/>
    <mergeCell ref="I13:J13"/>
    <mergeCell ref="K13:M1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50.85546875" customWidth="1"/>
    <col min="2" max="2" width="22.85546875" customWidth="1"/>
    <col min="3" max="6" width="15.85546875" customWidth="1"/>
  </cols>
  <sheetData>
    <row r="1" spans="1:6" ht="16.5" customHeight="1" x14ac:dyDescent="0.25">
      <c r="A1" s="531"/>
      <c r="B1" s="616"/>
      <c r="C1" s="616"/>
      <c r="D1" s="616"/>
      <c r="E1" s="616"/>
      <c r="F1" s="153" t="s">
        <v>565</v>
      </c>
    </row>
    <row r="2" spans="1:6" ht="16.5" customHeight="1" x14ac:dyDescent="0.25">
      <c r="A2" s="58" t="s">
        <v>777</v>
      </c>
      <c r="B2" s="1192" t="s">
        <v>116</v>
      </c>
      <c r="C2" s="1171"/>
      <c r="D2" s="1171"/>
      <c r="E2" s="1171"/>
      <c r="F2" s="1171"/>
    </row>
    <row r="3" spans="1:6" ht="16.5" customHeight="1" x14ac:dyDescent="0.25">
      <c r="A3" s="58" t="s">
        <v>1122</v>
      </c>
      <c r="B3" s="1192" t="s">
        <v>564</v>
      </c>
      <c r="C3" s="1171"/>
      <c r="D3" s="1171"/>
      <c r="E3" s="1171"/>
      <c r="F3" s="1171"/>
    </row>
    <row r="4" spans="1:6" ht="16.5" customHeight="1" x14ac:dyDescent="0.25">
      <c r="A4" s="531"/>
      <c r="B4" s="616"/>
      <c r="C4" s="616"/>
      <c r="D4" s="616"/>
      <c r="E4" s="616"/>
      <c r="F4" s="616"/>
    </row>
    <row r="5" spans="1:6" ht="17.649999999999999" customHeight="1" x14ac:dyDescent="0.25">
      <c r="A5" s="1193" t="s">
        <v>390</v>
      </c>
      <c r="B5" s="1171"/>
      <c r="C5" s="1171"/>
      <c r="D5" s="1171"/>
      <c r="E5" s="1171"/>
      <c r="F5" s="1171"/>
    </row>
    <row r="6" spans="1:6" ht="15" customHeight="1" x14ac:dyDescent="0.25">
      <c r="A6" s="531"/>
      <c r="B6" s="531"/>
      <c r="C6" s="531"/>
      <c r="D6" s="531"/>
      <c r="E6" s="531"/>
      <c r="F6" s="531"/>
    </row>
    <row r="7" spans="1:6" ht="15" customHeight="1" x14ac:dyDescent="0.25">
      <c r="A7" s="1181" t="s">
        <v>527</v>
      </c>
      <c r="B7" s="1171"/>
      <c r="C7" s="1171"/>
      <c r="D7" s="1171"/>
      <c r="E7" s="1171"/>
      <c r="F7" s="1171"/>
    </row>
    <row r="8" spans="1:6" ht="15" customHeight="1" x14ac:dyDescent="0.25">
      <c r="A8" s="245"/>
      <c r="B8" s="245"/>
      <c r="C8" s="245"/>
      <c r="D8" s="245"/>
      <c r="E8" s="245"/>
      <c r="F8" s="245"/>
    </row>
    <row r="9" spans="1:6" ht="15" customHeight="1" x14ac:dyDescent="0.25">
      <c r="A9" s="38" t="s">
        <v>1081</v>
      </c>
      <c r="B9" s="245"/>
      <c r="C9" s="245"/>
      <c r="D9" s="245"/>
      <c r="E9" s="38" t="s">
        <v>938</v>
      </c>
      <c r="F9" s="245"/>
    </row>
    <row r="10" spans="1:6" ht="15" customHeight="1" x14ac:dyDescent="0.25">
      <c r="A10" s="38" t="s">
        <v>1144</v>
      </c>
      <c r="B10" s="245"/>
      <c r="C10" s="245"/>
      <c r="D10" s="245"/>
      <c r="E10" s="245"/>
      <c r="F10" s="245"/>
    </row>
    <row r="11" spans="1:6" ht="15" customHeight="1" x14ac:dyDescent="0.25">
      <c r="A11" s="38" t="s">
        <v>979</v>
      </c>
      <c r="B11" s="38" t="s">
        <v>54</v>
      </c>
      <c r="C11" s="245"/>
      <c r="D11" s="245"/>
      <c r="E11" s="245"/>
      <c r="F11" s="245"/>
    </row>
    <row r="12" spans="1:6" ht="15" customHeight="1" x14ac:dyDescent="0.25">
      <c r="A12" s="245"/>
      <c r="B12" s="38" t="s">
        <v>143</v>
      </c>
      <c r="C12" s="245"/>
      <c r="D12" s="245"/>
      <c r="E12" s="245"/>
      <c r="F12" s="245"/>
    </row>
    <row r="13" spans="1:6" ht="15" customHeight="1" x14ac:dyDescent="0.25">
      <c r="A13" s="38" t="s">
        <v>906</v>
      </c>
      <c r="B13" s="245"/>
      <c r="C13" s="245"/>
      <c r="D13" s="245"/>
      <c r="E13" s="245"/>
      <c r="F13" s="245"/>
    </row>
    <row r="14" spans="1:6" ht="15" customHeight="1" x14ac:dyDescent="0.25">
      <c r="A14" s="38" t="s">
        <v>1194</v>
      </c>
      <c r="B14" s="245"/>
      <c r="C14" s="245"/>
      <c r="D14" s="245"/>
      <c r="E14" s="245"/>
      <c r="F14" s="245"/>
    </row>
    <row r="15" spans="1:6" ht="15" customHeight="1" x14ac:dyDescent="0.25">
      <c r="A15" s="38" t="s">
        <v>876</v>
      </c>
      <c r="B15" s="245"/>
      <c r="C15" s="245"/>
      <c r="D15" s="245"/>
      <c r="E15" s="245"/>
      <c r="F15" s="245"/>
    </row>
    <row r="16" spans="1:6" ht="15" customHeight="1" x14ac:dyDescent="0.25">
      <c r="A16" s="38" t="s">
        <v>34</v>
      </c>
      <c r="B16" s="245"/>
      <c r="C16" s="245"/>
      <c r="D16" s="245"/>
      <c r="E16" s="245"/>
      <c r="F16" s="245"/>
    </row>
    <row r="17" spans="1:6" ht="15" customHeight="1" x14ac:dyDescent="0.25">
      <c r="A17" s="38" t="s">
        <v>621</v>
      </c>
      <c r="B17" s="38" t="s">
        <v>648</v>
      </c>
      <c r="C17" s="38" t="s">
        <v>56</v>
      </c>
      <c r="D17" s="38" t="s">
        <v>472</v>
      </c>
      <c r="E17" s="245"/>
      <c r="F17" s="245"/>
    </row>
    <row r="18" spans="1:6" ht="15" customHeight="1" x14ac:dyDescent="0.25">
      <c r="A18" s="38" t="s">
        <v>914</v>
      </c>
      <c r="B18" s="245"/>
      <c r="C18" s="245"/>
      <c r="D18" s="245"/>
      <c r="E18" s="245"/>
      <c r="F18" s="245"/>
    </row>
    <row r="19" spans="1:6" ht="15" customHeight="1" x14ac:dyDescent="0.25">
      <c r="A19" s="38" t="s">
        <v>112</v>
      </c>
      <c r="B19" s="38" t="s">
        <v>583</v>
      </c>
      <c r="C19" s="245"/>
      <c r="D19" s="245"/>
      <c r="E19" s="245"/>
      <c r="F19" s="245"/>
    </row>
    <row r="20" spans="1:6" ht="15" customHeight="1" x14ac:dyDescent="0.25">
      <c r="A20" s="245"/>
      <c r="B20" s="245"/>
      <c r="C20" s="245"/>
      <c r="D20" s="245"/>
      <c r="E20" s="245"/>
      <c r="F20" s="404" t="s">
        <v>608</v>
      </c>
    </row>
    <row r="21" spans="1:6" ht="45" customHeight="1" x14ac:dyDescent="0.25">
      <c r="A21" s="1172" t="s">
        <v>1229</v>
      </c>
      <c r="B21" s="1172" t="s">
        <v>561</v>
      </c>
      <c r="C21" s="1176" t="s">
        <v>496</v>
      </c>
      <c r="D21" s="1178"/>
      <c r="E21" s="1176" t="s">
        <v>3</v>
      </c>
      <c r="F21" s="1178"/>
    </row>
    <row r="22" spans="1:6" ht="17.25" customHeight="1" x14ac:dyDescent="0.25">
      <c r="A22" s="1174"/>
      <c r="B22" s="1174"/>
      <c r="C22" s="608" t="s">
        <v>695</v>
      </c>
      <c r="D22" s="608" t="s">
        <v>1068</v>
      </c>
      <c r="E22" s="608" t="s">
        <v>695</v>
      </c>
      <c r="F22" s="608" t="s">
        <v>1068</v>
      </c>
    </row>
    <row r="23" spans="1:6" ht="15" customHeight="1" x14ac:dyDescent="0.25">
      <c r="A23" s="695"/>
      <c r="B23" s="695"/>
      <c r="C23" s="695"/>
      <c r="D23" s="695"/>
      <c r="E23" s="695"/>
      <c r="F23" s="695"/>
    </row>
    <row r="24" spans="1:6" ht="15" customHeight="1" x14ac:dyDescent="0.25">
      <c r="A24" s="646"/>
      <c r="B24" s="646"/>
      <c r="C24" s="646"/>
      <c r="D24" s="646"/>
      <c r="E24" s="646"/>
      <c r="F24" s="646"/>
    </row>
    <row r="25" spans="1:6" ht="15" customHeight="1" x14ac:dyDescent="0.25">
      <c r="A25" s="243"/>
      <c r="B25" s="243"/>
      <c r="C25" s="243"/>
      <c r="D25" s="243"/>
      <c r="E25" s="243"/>
      <c r="F25" s="243"/>
    </row>
    <row r="26" spans="1:6" ht="15" customHeight="1" x14ac:dyDescent="0.25">
      <c r="A26" s="626"/>
      <c r="B26" s="626"/>
      <c r="C26" s="626"/>
      <c r="D26" s="626"/>
      <c r="E26" s="626"/>
      <c r="F26" s="626"/>
    </row>
    <row r="27" spans="1:6" ht="15" customHeight="1" x14ac:dyDescent="0.25">
      <c r="A27" s="245"/>
      <c r="B27" s="245"/>
      <c r="C27" s="245"/>
      <c r="D27" s="245"/>
      <c r="E27" s="245"/>
      <c r="F27" s="245"/>
    </row>
    <row r="28" spans="1:6" ht="15" customHeight="1" x14ac:dyDescent="0.25">
      <c r="A28" s="38" t="s">
        <v>1152</v>
      </c>
      <c r="B28" s="245"/>
      <c r="C28" s="245"/>
      <c r="D28" s="245"/>
      <c r="E28" s="245"/>
      <c r="F28" s="245"/>
    </row>
    <row r="29" spans="1:6" ht="15" customHeight="1" x14ac:dyDescent="0.25">
      <c r="A29" s="38" t="s">
        <v>270</v>
      </c>
      <c r="B29" s="245"/>
      <c r="C29" s="245"/>
      <c r="D29" s="245"/>
      <c r="E29" s="245"/>
      <c r="F29" s="245"/>
    </row>
    <row r="30" spans="1:6" ht="15" customHeight="1" x14ac:dyDescent="0.25">
      <c r="A30" s="38" t="s">
        <v>923</v>
      </c>
      <c r="B30" s="245"/>
      <c r="C30" s="245"/>
      <c r="D30" s="245"/>
      <c r="E30" s="245"/>
      <c r="F30" s="245"/>
    </row>
    <row r="31" spans="1:6" ht="15" customHeight="1" x14ac:dyDescent="0.25">
      <c r="A31" s="38" t="s">
        <v>1160</v>
      </c>
      <c r="B31" s="245"/>
      <c r="C31" s="245"/>
      <c r="D31" s="245"/>
      <c r="E31" s="245"/>
      <c r="F31" s="245"/>
    </row>
    <row r="32" spans="1:6" ht="15" customHeight="1" x14ac:dyDescent="0.25">
      <c r="A32" s="38" t="s">
        <v>118</v>
      </c>
      <c r="B32" s="245"/>
      <c r="C32" s="245"/>
      <c r="D32" s="245"/>
      <c r="E32" s="245"/>
      <c r="F32" s="245"/>
    </row>
    <row r="33" spans="1:6" ht="15" customHeight="1" x14ac:dyDescent="0.25">
      <c r="A33" s="38" t="s">
        <v>658</v>
      </c>
      <c r="B33" s="245"/>
      <c r="C33" s="245"/>
      <c r="D33" s="245"/>
      <c r="E33" s="245"/>
      <c r="F33" s="245"/>
    </row>
    <row r="34" spans="1:6" ht="15" customHeight="1" x14ac:dyDescent="0.25">
      <c r="A34" s="38" t="s">
        <v>539</v>
      </c>
      <c r="B34" s="245"/>
      <c r="C34" s="245"/>
      <c r="D34" s="245"/>
      <c r="E34" s="245"/>
      <c r="F34" s="245"/>
    </row>
    <row r="35" spans="1:6" ht="15" customHeight="1" x14ac:dyDescent="0.25">
      <c r="A35" s="38" t="s">
        <v>947</v>
      </c>
      <c r="B35" s="245"/>
      <c r="C35" s="245"/>
      <c r="D35" s="245"/>
      <c r="E35" s="245"/>
      <c r="F35" s="245"/>
    </row>
    <row r="36" spans="1:6" ht="15" customHeight="1" x14ac:dyDescent="0.25">
      <c r="A36" s="38" t="s">
        <v>943</v>
      </c>
      <c r="B36" s="245"/>
      <c r="C36" s="245"/>
      <c r="D36" s="245"/>
      <c r="E36" s="245"/>
      <c r="F36" s="245"/>
    </row>
    <row r="37" spans="1:6" ht="15" customHeight="1" x14ac:dyDescent="0.25">
      <c r="A37" s="38" t="s">
        <v>118</v>
      </c>
      <c r="B37" s="245"/>
      <c r="C37" s="245"/>
      <c r="D37" s="245"/>
      <c r="E37" s="245"/>
      <c r="F37" s="245"/>
    </row>
    <row r="38" spans="1:6" ht="15" customHeight="1" x14ac:dyDescent="0.25">
      <c r="A38" s="38" t="s">
        <v>658</v>
      </c>
      <c r="B38" s="245"/>
      <c r="C38" s="245"/>
      <c r="D38" s="245"/>
      <c r="E38" s="245"/>
      <c r="F38" s="245"/>
    </row>
    <row r="39" spans="1:6" ht="15" customHeight="1" x14ac:dyDescent="0.25">
      <c r="A39" s="38" t="s">
        <v>553</v>
      </c>
      <c r="B39" s="245"/>
      <c r="C39" s="245"/>
      <c r="D39" s="245"/>
      <c r="E39" s="245"/>
      <c r="F39" s="245"/>
    </row>
    <row r="40" spans="1:6" ht="15" customHeight="1" x14ac:dyDescent="0.25">
      <c r="A40" s="38" t="s">
        <v>1146</v>
      </c>
      <c r="B40" s="245"/>
      <c r="C40" s="245"/>
      <c r="D40" s="245"/>
      <c r="E40" s="245"/>
      <c r="F40" s="245"/>
    </row>
    <row r="41" spans="1:6" ht="15" customHeight="1" x14ac:dyDescent="0.25">
      <c r="A41" s="245"/>
      <c r="B41" s="245"/>
      <c r="C41" s="245"/>
      <c r="D41" s="245"/>
      <c r="E41" s="245"/>
      <c r="F41" s="245"/>
    </row>
    <row r="42" spans="1:6" ht="15" customHeight="1" x14ac:dyDescent="0.25">
      <c r="A42" s="245"/>
      <c r="B42" s="245"/>
      <c r="C42" s="1180" t="s">
        <v>763</v>
      </c>
      <c r="D42" s="1171"/>
      <c r="E42" s="1171"/>
      <c r="F42" s="1171"/>
    </row>
    <row r="43" spans="1:6" ht="15" customHeight="1" x14ac:dyDescent="0.25">
      <c r="A43" s="180" t="s">
        <v>230</v>
      </c>
      <c r="B43" s="245"/>
      <c r="C43" s="1181" t="s">
        <v>86</v>
      </c>
      <c r="D43" s="1171"/>
      <c r="E43" s="1171"/>
      <c r="F43" s="1171"/>
    </row>
    <row r="44" spans="1:6" ht="15" customHeight="1" x14ac:dyDescent="0.25">
      <c r="A44" s="203" t="s">
        <v>427</v>
      </c>
      <c r="B44" s="245"/>
      <c r="C44" s="1191" t="s">
        <v>1255</v>
      </c>
      <c r="D44" s="1171"/>
      <c r="E44" s="1171"/>
      <c r="F44" s="1171"/>
    </row>
    <row r="45" spans="1:6" ht="15" customHeight="1" x14ac:dyDescent="0.25">
      <c r="A45" s="245"/>
      <c r="B45" s="245"/>
      <c r="C45" s="245"/>
      <c r="D45" s="245"/>
      <c r="E45" s="245"/>
      <c r="F45" s="245"/>
    </row>
    <row r="46" spans="1:6" ht="15" customHeight="1" x14ac:dyDescent="0.25">
      <c r="A46" s="245"/>
      <c r="B46" s="245"/>
      <c r="C46" s="245"/>
      <c r="D46" s="245"/>
      <c r="E46" s="245"/>
      <c r="F46" s="245"/>
    </row>
    <row r="47" spans="1:6" ht="15" customHeight="1" x14ac:dyDescent="0.25">
      <c r="A47" s="245"/>
      <c r="B47" s="245"/>
      <c r="C47" s="245"/>
      <c r="D47" s="245"/>
      <c r="E47" s="245"/>
      <c r="F47" s="245"/>
    </row>
    <row r="48" spans="1:6" ht="15" customHeight="1" x14ac:dyDescent="0.25">
      <c r="A48" s="245"/>
      <c r="B48" s="245"/>
      <c r="C48" s="245"/>
      <c r="D48" s="245"/>
      <c r="E48" s="245"/>
      <c r="F48" s="245"/>
    </row>
    <row r="49" spans="1:6" ht="15" customHeight="1" x14ac:dyDescent="0.25">
      <c r="A49" s="245"/>
      <c r="B49" s="245"/>
      <c r="C49" s="245"/>
      <c r="D49" s="245"/>
      <c r="E49" s="245"/>
      <c r="F49" s="245"/>
    </row>
    <row r="50" spans="1:6" ht="15" customHeight="1" x14ac:dyDescent="0.25">
      <c r="A50" s="245"/>
      <c r="B50" s="245"/>
      <c r="C50" s="245"/>
      <c r="D50" s="245"/>
      <c r="E50" s="245"/>
      <c r="F50" s="245"/>
    </row>
  </sheetData>
  <mergeCells count="11">
    <mergeCell ref="C42:F42"/>
    <mergeCell ref="C43:F43"/>
    <mergeCell ref="C44:F44"/>
    <mergeCell ref="B2:F2"/>
    <mergeCell ref="B3:F3"/>
    <mergeCell ref="A5:F5"/>
    <mergeCell ref="A7:F7"/>
    <mergeCell ref="A21:A22"/>
    <mergeCell ref="B21:B22"/>
    <mergeCell ref="C21:D21"/>
    <mergeCell ref="E21:F2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x14ac:dyDescent="0.25"/>
  <cols>
    <col min="1" max="1" width="5.85546875" customWidth="1"/>
    <col min="2" max="2" width="45.85546875" customWidth="1"/>
    <col min="3" max="8" width="20.85546875" customWidth="1"/>
  </cols>
  <sheetData>
    <row r="1" spans="1:8" ht="17.649999999999999" customHeight="1" x14ac:dyDescent="0.3">
      <c r="A1" s="425"/>
      <c r="B1" s="425"/>
      <c r="C1" s="425"/>
      <c r="D1" s="425"/>
      <c r="E1" s="425"/>
      <c r="F1" s="425"/>
      <c r="G1" s="425"/>
      <c r="H1" s="290" t="s">
        <v>921</v>
      </c>
    </row>
    <row r="2" spans="1:8" ht="17.649999999999999" customHeight="1" x14ac:dyDescent="0.25">
      <c r="A2" s="1193" t="s">
        <v>1169</v>
      </c>
      <c r="B2" s="1171"/>
      <c r="C2" s="1171"/>
      <c r="D2" s="1171"/>
      <c r="E2" s="1171"/>
      <c r="F2" s="1171"/>
      <c r="G2" s="1171"/>
      <c r="H2" s="1171"/>
    </row>
    <row r="3" spans="1:8" ht="15" customHeight="1" x14ac:dyDescent="0.25">
      <c r="A3" s="245"/>
      <c r="B3" s="245"/>
      <c r="C3" s="245"/>
      <c r="D3" s="245"/>
      <c r="E3" s="245"/>
      <c r="F3" s="245"/>
      <c r="G3" s="245"/>
      <c r="H3" s="245"/>
    </row>
    <row r="4" spans="1:8" ht="15" customHeight="1" x14ac:dyDescent="0.25">
      <c r="A4" s="38" t="s">
        <v>522</v>
      </c>
      <c r="B4" s="245"/>
      <c r="C4" s="38" t="s">
        <v>696</v>
      </c>
      <c r="D4" s="245"/>
      <c r="E4" s="245"/>
      <c r="F4" s="245"/>
      <c r="G4" s="245"/>
      <c r="H4" s="245"/>
    </row>
    <row r="5" spans="1:8" ht="15" customHeight="1" x14ac:dyDescent="0.25">
      <c r="A5" s="38" t="s">
        <v>402</v>
      </c>
      <c r="B5" s="245"/>
      <c r="C5" s="245"/>
      <c r="D5" s="245"/>
      <c r="E5" s="245"/>
      <c r="F5" s="245"/>
      <c r="G5" s="245"/>
      <c r="H5" s="245"/>
    </row>
    <row r="6" spans="1:8" ht="15" customHeight="1" x14ac:dyDescent="0.25">
      <c r="A6" s="38" t="s">
        <v>1176</v>
      </c>
      <c r="B6" s="245"/>
      <c r="C6" s="245"/>
      <c r="D6" s="245"/>
      <c r="E6" s="245"/>
      <c r="F6" s="245"/>
      <c r="G6" s="245"/>
      <c r="H6" s="245"/>
    </row>
    <row r="7" spans="1:8" ht="15" customHeight="1" x14ac:dyDescent="0.25">
      <c r="A7" s="38" t="s">
        <v>731</v>
      </c>
      <c r="B7" s="245"/>
      <c r="C7" s="245"/>
      <c r="D7" s="245"/>
      <c r="E7" s="245"/>
      <c r="F7" s="245"/>
      <c r="G7" s="245"/>
      <c r="H7" s="245"/>
    </row>
    <row r="8" spans="1:8" ht="15" customHeight="1" x14ac:dyDescent="0.25">
      <c r="A8" s="38" t="s">
        <v>205</v>
      </c>
      <c r="B8" s="245"/>
      <c r="C8" s="245"/>
      <c r="D8" s="245"/>
      <c r="E8" s="245"/>
      <c r="F8" s="245"/>
      <c r="G8" s="245"/>
      <c r="H8" s="245"/>
    </row>
    <row r="9" spans="1:8" ht="15" customHeight="1" x14ac:dyDescent="0.25">
      <c r="A9" s="38" t="s">
        <v>303</v>
      </c>
      <c r="B9" s="245"/>
      <c r="C9" s="245"/>
      <c r="D9" s="245"/>
      <c r="E9" s="245"/>
      <c r="F9" s="245"/>
      <c r="G9" s="245"/>
      <c r="H9" s="245"/>
    </row>
    <row r="10" spans="1:8" ht="15" customHeight="1" x14ac:dyDescent="0.25">
      <c r="A10" s="245"/>
      <c r="B10" s="245"/>
      <c r="C10" s="245"/>
      <c r="D10" s="245"/>
      <c r="E10" s="245"/>
      <c r="F10" s="245"/>
      <c r="G10" s="245"/>
      <c r="H10" s="404" t="s">
        <v>608</v>
      </c>
    </row>
    <row r="11" spans="1:8" ht="15.4" customHeight="1" x14ac:dyDescent="0.25">
      <c r="A11" s="1196" t="s">
        <v>386</v>
      </c>
      <c r="B11" s="1196" t="s">
        <v>1229</v>
      </c>
      <c r="C11" s="1196" t="s">
        <v>226</v>
      </c>
      <c r="D11" s="1197" t="s">
        <v>157</v>
      </c>
      <c r="E11" s="1177"/>
      <c r="F11" s="1178"/>
      <c r="G11" s="1196" t="s">
        <v>1049</v>
      </c>
      <c r="H11" s="1196" t="s">
        <v>1118</v>
      </c>
    </row>
    <row r="12" spans="1:8" ht="15.4" customHeight="1" x14ac:dyDescent="0.25">
      <c r="A12" s="1173"/>
      <c r="B12" s="1173"/>
      <c r="C12" s="1173"/>
      <c r="D12" s="573" t="s">
        <v>627</v>
      </c>
      <c r="E12" s="1197" t="s">
        <v>877</v>
      </c>
      <c r="F12" s="1178"/>
      <c r="G12" s="1173"/>
      <c r="H12" s="1173"/>
    </row>
    <row r="13" spans="1:8" ht="28.9" customHeight="1" x14ac:dyDescent="0.25">
      <c r="A13" s="1174"/>
      <c r="B13" s="1174"/>
      <c r="C13" s="1174"/>
      <c r="D13" s="298"/>
      <c r="E13" s="573" t="s">
        <v>595</v>
      </c>
      <c r="F13" s="573" t="s">
        <v>329</v>
      </c>
      <c r="G13" s="1174"/>
      <c r="H13" s="1174"/>
    </row>
    <row r="14" spans="1:8" ht="15" customHeight="1" x14ac:dyDescent="0.25">
      <c r="A14" s="300" t="s">
        <v>47</v>
      </c>
      <c r="B14" s="300" t="s">
        <v>407</v>
      </c>
      <c r="C14" s="300" t="s">
        <v>778</v>
      </c>
      <c r="D14" s="300" t="s">
        <v>1155</v>
      </c>
      <c r="E14" s="300" t="s">
        <v>965</v>
      </c>
      <c r="F14" s="300" t="s">
        <v>61</v>
      </c>
      <c r="G14" s="300"/>
      <c r="H14" s="300"/>
    </row>
    <row r="15" spans="1:8" ht="15.4" customHeight="1" x14ac:dyDescent="0.25">
      <c r="A15" s="448" t="s">
        <v>1204</v>
      </c>
      <c r="B15" s="752" t="s">
        <v>1163</v>
      </c>
      <c r="C15" s="463"/>
      <c r="D15" s="463"/>
      <c r="E15" s="463"/>
      <c r="F15" s="463"/>
      <c r="G15" s="463"/>
      <c r="H15" s="463"/>
    </row>
    <row r="16" spans="1:8" ht="15.4" customHeight="1" x14ac:dyDescent="0.25">
      <c r="A16" s="383" t="s">
        <v>489</v>
      </c>
      <c r="B16" s="699" t="s">
        <v>581</v>
      </c>
      <c r="C16" s="396"/>
      <c r="D16" s="396"/>
      <c r="E16" s="396"/>
      <c r="F16" s="396"/>
      <c r="G16" s="396"/>
      <c r="H16" s="396"/>
    </row>
    <row r="17" spans="1:8" ht="15.4" customHeight="1" x14ac:dyDescent="0.25">
      <c r="A17" s="62"/>
      <c r="B17" s="611" t="s">
        <v>1139</v>
      </c>
      <c r="C17" s="396"/>
      <c r="D17" s="396"/>
      <c r="E17" s="396"/>
      <c r="F17" s="396"/>
      <c r="G17" s="396"/>
      <c r="H17" s="396"/>
    </row>
    <row r="18" spans="1:8" ht="15.4" customHeight="1" x14ac:dyDescent="0.25">
      <c r="A18" s="62"/>
      <c r="B18" s="611" t="s">
        <v>732</v>
      </c>
      <c r="C18" s="396"/>
      <c r="D18" s="396"/>
      <c r="E18" s="396"/>
      <c r="F18" s="396"/>
      <c r="G18" s="396"/>
      <c r="H18" s="396"/>
    </row>
    <row r="19" spans="1:8" ht="15.4" customHeight="1" x14ac:dyDescent="0.25">
      <c r="A19" s="62"/>
      <c r="B19" s="699" t="s">
        <v>45</v>
      </c>
      <c r="C19" s="396"/>
      <c r="D19" s="396"/>
      <c r="E19" s="396"/>
      <c r="F19" s="396"/>
      <c r="G19" s="396"/>
      <c r="H19" s="396"/>
    </row>
    <row r="20" spans="1:8" ht="15.4" customHeight="1" x14ac:dyDescent="0.25">
      <c r="A20" s="62">
        <v>1</v>
      </c>
      <c r="B20" s="699" t="s">
        <v>832</v>
      </c>
      <c r="C20" s="396"/>
      <c r="D20" s="396"/>
      <c r="E20" s="396"/>
      <c r="F20" s="396"/>
      <c r="G20" s="396"/>
      <c r="H20" s="396"/>
    </row>
    <row r="21" spans="1:8" ht="15.4" customHeight="1" x14ac:dyDescent="0.25">
      <c r="A21" s="62"/>
      <c r="B21" s="611" t="s">
        <v>1139</v>
      </c>
      <c r="C21" s="396"/>
      <c r="D21" s="396"/>
      <c r="E21" s="396"/>
      <c r="F21" s="396"/>
      <c r="G21" s="396"/>
      <c r="H21" s="396"/>
    </row>
    <row r="22" spans="1:8" ht="15.4" customHeight="1" x14ac:dyDescent="0.25">
      <c r="A22" s="62"/>
      <c r="B22" s="611" t="s">
        <v>732</v>
      </c>
      <c r="C22" s="396"/>
      <c r="D22" s="396"/>
      <c r="E22" s="396"/>
      <c r="F22" s="396"/>
      <c r="G22" s="396"/>
      <c r="H22" s="396"/>
    </row>
    <row r="23" spans="1:8" ht="15.4" customHeight="1" x14ac:dyDescent="0.25">
      <c r="A23" s="62">
        <v>2</v>
      </c>
      <c r="B23" s="699" t="s">
        <v>425</v>
      </c>
      <c r="C23" s="396"/>
      <c r="D23" s="396"/>
      <c r="E23" s="396"/>
      <c r="F23" s="396"/>
      <c r="G23" s="396"/>
      <c r="H23" s="396"/>
    </row>
    <row r="24" spans="1:8" ht="15.4" customHeight="1" x14ac:dyDescent="0.25">
      <c r="A24" s="62">
        <v>3</v>
      </c>
      <c r="B24" s="699" t="s">
        <v>10</v>
      </c>
      <c r="C24" s="396"/>
      <c r="D24" s="396"/>
      <c r="E24" s="396"/>
      <c r="F24" s="396"/>
      <c r="G24" s="396"/>
      <c r="H24" s="396"/>
    </row>
    <row r="25" spans="1:8" ht="15.4" customHeight="1" x14ac:dyDescent="0.25">
      <c r="A25" s="62"/>
      <c r="B25" s="611" t="s">
        <v>1139</v>
      </c>
      <c r="C25" s="396"/>
      <c r="D25" s="396"/>
      <c r="E25" s="396"/>
      <c r="F25" s="396"/>
      <c r="G25" s="396"/>
      <c r="H25" s="396"/>
    </row>
    <row r="26" spans="1:8" ht="15.4" customHeight="1" x14ac:dyDescent="0.25">
      <c r="A26" s="62"/>
      <c r="B26" s="611" t="s">
        <v>732</v>
      </c>
      <c r="C26" s="396"/>
      <c r="D26" s="396"/>
      <c r="E26" s="396"/>
      <c r="F26" s="396"/>
      <c r="G26" s="396"/>
      <c r="H26" s="396"/>
    </row>
    <row r="27" spans="1:8" ht="28.9" customHeight="1" x14ac:dyDescent="0.25">
      <c r="A27" s="383" t="s">
        <v>548</v>
      </c>
      <c r="B27" s="699" t="s">
        <v>640</v>
      </c>
      <c r="C27" s="396"/>
      <c r="D27" s="396"/>
      <c r="E27" s="396"/>
      <c r="F27" s="396"/>
      <c r="G27" s="396"/>
      <c r="H27" s="396"/>
    </row>
    <row r="28" spans="1:8" ht="15.4" customHeight="1" x14ac:dyDescent="0.25">
      <c r="A28" s="62"/>
      <c r="B28" s="611" t="s">
        <v>1139</v>
      </c>
      <c r="C28" s="396"/>
      <c r="D28" s="396"/>
      <c r="E28" s="396"/>
      <c r="F28" s="396"/>
      <c r="G28" s="396"/>
      <c r="H28" s="396"/>
    </row>
    <row r="29" spans="1:8" ht="15.4" customHeight="1" x14ac:dyDescent="0.25">
      <c r="A29" s="62"/>
      <c r="B29" s="611" t="s">
        <v>732</v>
      </c>
      <c r="C29" s="396"/>
      <c r="D29" s="396"/>
      <c r="E29" s="396"/>
      <c r="F29" s="396"/>
      <c r="G29" s="396"/>
      <c r="H29" s="396"/>
    </row>
    <row r="30" spans="1:8" ht="15.4" customHeight="1" x14ac:dyDescent="0.25">
      <c r="A30" s="400" t="s">
        <v>278</v>
      </c>
      <c r="B30" s="718" t="s">
        <v>556</v>
      </c>
      <c r="C30" s="441"/>
      <c r="D30" s="441"/>
      <c r="E30" s="441"/>
      <c r="F30" s="441"/>
      <c r="G30" s="441"/>
      <c r="H30" s="441"/>
    </row>
    <row r="31" spans="1:8" ht="15.4" customHeight="1" x14ac:dyDescent="0.25">
      <c r="A31" s="383" t="s">
        <v>489</v>
      </c>
      <c r="B31" s="699" t="s">
        <v>581</v>
      </c>
      <c r="C31" s="396"/>
      <c r="D31" s="396"/>
      <c r="E31" s="396"/>
      <c r="F31" s="396"/>
      <c r="G31" s="396"/>
      <c r="H31" s="396"/>
    </row>
    <row r="32" spans="1:8" ht="15.4" customHeight="1" x14ac:dyDescent="0.25">
      <c r="A32" s="62"/>
      <c r="B32" s="611" t="s">
        <v>1139</v>
      </c>
      <c r="C32" s="396"/>
      <c r="D32" s="396"/>
      <c r="E32" s="396"/>
      <c r="F32" s="396"/>
      <c r="G32" s="396"/>
      <c r="H32" s="396"/>
    </row>
    <row r="33" spans="1:8" ht="15.4" customHeight="1" x14ac:dyDescent="0.25">
      <c r="A33" s="62"/>
      <c r="B33" s="611" t="s">
        <v>732</v>
      </c>
      <c r="C33" s="396"/>
      <c r="D33" s="396"/>
      <c r="E33" s="396"/>
      <c r="F33" s="396"/>
      <c r="G33" s="396"/>
      <c r="H33" s="396"/>
    </row>
    <row r="34" spans="1:8" ht="15.4" customHeight="1" x14ac:dyDescent="0.25">
      <c r="A34" s="62"/>
      <c r="B34" s="699" t="s">
        <v>45</v>
      </c>
      <c r="C34" s="396"/>
      <c r="D34" s="396"/>
      <c r="E34" s="396"/>
      <c r="F34" s="396"/>
      <c r="G34" s="396"/>
      <c r="H34" s="396"/>
    </row>
    <row r="35" spans="1:8" ht="15.4" customHeight="1" x14ac:dyDescent="0.25">
      <c r="A35" s="62">
        <v>1</v>
      </c>
      <c r="B35" s="699" t="s">
        <v>832</v>
      </c>
      <c r="C35" s="396"/>
      <c r="D35" s="396"/>
      <c r="E35" s="396"/>
      <c r="F35" s="396"/>
      <c r="G35" s="396"/>
      <c r="H35" s="396"/>
    </row>
    <row r="36" spans="1:8" ht="15.4" customHeight="1" x14ac:dyDescent="0.25">
      <c r="A36" s="62"/>
      <c r="B36" s="611" t="s">
        <v>1139</v>
      </c>
      <c r="C36" s="396"/>
      <c r="D36" s="396"/>
      <c r="E36" s="396"/>
      <c r="F36" s="396"/>
      <c r="G36" s="396"/>
      <c r="H36" s="396"/>
    </row>
    <row r="37" spans="1:8" ht="15.4" customHeight="1" x14ac:dyDescent="0.25">
      <c r="A37" s="62"/>
      <c r="B37" s="611" t="s">
        <v>732</v>
      </c>
      <c r="C37" s="396"/>
      <c r="D37" s="396"/>
      <c r="E37" s="396"/>
      <c r="F37" s="396"/>
      <c r="G37" s="396"/>
      <c r="H37" s="396"/>
    </row>
    <row r="38" spans="1:8" ht="15.4" customHeight="1" x14ac:dyDescent="0.25">
      <c r="A38" s="62">
        <v>2</v>
      </c>
      <c r="B38" s="699" t="s">
        <v>425</v>
      </c>
      <c r="C38" s="396"/>
      <c r="D38" s="396"/>
      <c r="E38" s="396"/>
      <c r="F38" s="396"/>
      <c r="G38" s="396"/>
      <c r="H38" s="396"/>
    </row>
    <row r="39" spans="1:8" ht="15.4" customHeight="1" x14ac:dyDescent="0.25">
      <c r="A39" s="62">
        <v>3</v>
      </c>
      <c r="B39" s="699" t="s">
        <v>10</v>
      </c>
      <c r="C39" s="396"/>
      <c r="D39" s="396"/>
      <c r="E39" s="396"/>
      <c r="F39" s="396"/>
      <c r="G39" s="396"/>
      <c r="H39" s="396"/>
    </row>
    <row r="40" spans="1:8" ht="15.4" customHeight="1" x14ac:dyDescent="0.25">
      <c r="A40" s="62"/>
      <c r="B40" s="611" t="s">
        <v>1139</v>
      </c>
      <c r="C40" s="396"/>
      <c r="D40" s="396"/>
      <c r="E40" s="396"/>
      <c r="F40" s="396"/>
      <c r="G40" s="396"/>
      <c r="H40" s="396"/>
    </row>
    <row r="41" spans="1:8" ht="15.4" customHeight="1" x14ac:dyDescent="0.25">
      <c r="A41" s="62"/>
      <c r="B41" s="611" t="s">
        <v>732</v>
      </c>
      <c r="C41" s="396"/>
      <c r="D41" s="396"/>
      <c r="E41" s="396"/>
      <c r="F41" s="396"/>
      <c r="G41" s="396"/>
      <c r="H41" s="396"/>
    </row>
    <row r="42" spans="1:8" ht="28.9" customHeight="1" x14ac:dyDescent="0.25">
      <c r="A42" s="383" t="s">
        <v>548</v>
      </c>
      <c r="B42" s="699" t="s">
        <v>640</v>
      </c>
      <c r="C42" s="396"/>
      <c r="D42" s="396"/>
      <c r="E42" s="396"/>
      <c r="F42" s="396"/>
      <c r="G42" s="396"/>
      <c r="H42" s="396"/>
    </row>
    <row r="43" spans="1:8" ht="15.4" customHeight="1" x14ac:dyDescent="0.25">
      <c r="A43" s="62"/>
      <c r="B43" s="611" t="s">
        <v>1139</v>
      </c>
      <c r="C43" s="396"/>
      <c r="D43" s="396"/>
      <c r="E43" s="396"/>
      <c r="F43" s="396"/>
      <c r="G43" s="396"/>
      <c r="H43" s="396"/>
    </row>
    <row r="44" spans="1:8" ht="15.4" customHeight="1" x14ac:dyDescent="0.25">
      <c r="A44" s="62"/>
      <c r="B44" s="611" t="s">
        <v>732</v>
      </c>
      <c r="C44" s="396"/>
      <c r="D44" s="396"/>
      <c r="E44" s="396"/>
      <c r="F44" s="396"/>
      <c r="G44" s="396"/>
      <c r="H44" s="396"/>
    </row>
    <row r="45" spans="1:8" ht="15.4" customHeight="1" x14ac:dyDescent="0.25">
      <c r="A45" s="400" t="s">
        <v>653</v>
      </c>
      <c r="B45" s="718" t="s">
        <v>250</v>
      </c>
      <c r="C45" s="441"/>
      <c r="D45" s="441"/>
      <c r="E45" s="441"/>
      <c r="F45" s="441"/>
      <c r="G45" s="441"/>
      <c r="H45" s="441"/>
    </row>
    <row r="46" spans="1:8" ht="15.4" customHeight="1" x14ac:dyDescent="0.25">
      <c r="A46" s="383" t="s">
        <v>489</v>
      </c>
      <c r="B46" s="699" t="s">
        <v>581</v>
      </c>
      <c r="C46" s="396"/>
      <c r="D46" s="396"/>
      <c r="E46" s="396"/>
      <c r="F46" s="396"/>
      <c r="G46" s="396"/>
      <c r="H46" s="396"/>
    </row>
    <row r="47" spans="1:8" ht="15.4" customHeight="1" x14ac:dyDescent="0.25">
      <c r="A47" s="62"/>
      <c r="B47" s="611" t="s">
        <v>1139</v>
      </c>
      <c r="C47" s="396"/>
      <c r="D47" s="396"/>
      <c r="E47" s="396"/>
      <c r="F47" s="396"/>
      <c r="G47" s="396"/>
      <c r="H47" s="396"/>
    </row>
    <row r="48" spans="1:8" ht="15.4" customHeight="1" x14ac:dyDescent="0.25">
      <c r="A48" s="62"/>
      <c r="B48" s="611" t="s">
        <v>732</v>
      </c>
      <c r="C48" s="396"/>
      <c r="D48" s="396"/>
      <c r="E48" s="396"/>
      <c r="F48" s="396"/>
      <c r="G48" s="396"/>
      <c r="H48" s="396"/>
    </row>
    <row r="49" spans="1:8" ht="15.4" customHeight="1" x14ac:dyDescent="0.25">
      <c r="A49" s="62"/>
      <c r="B49" s="699" t="s">
        <v>45</v>
      </c>
      <c r="C49" s="396"/>
      <c r="D49" s="396"/>
      <c r="E49" s="396"/>
      <c r="F49" s="396"/>
      <c r="G49" s="396"/>
      <c r="H49" s="396"/>
    </row>
    <row r="50" spans="1:8" ht="15.4" customHeight="1" x14ac:dyDescent="0.25">
      <c r="A50" s="62">
        <v>1</v>
      </c>
      <c r="B50" s="699" t="s">
        <v>832</v>
      </c>
      <c r="C50" s="396"/>
      <c r="D50" s="396"/>
      <c r="E50" s="396"/>
      <c r="F50" s="396"/>
      <c r="G50" s="396"/>
      <c r="H50" s="396"/>
    </row>
    <row r="51" spans="1:8" ht="15.4" customHeight="1" x14ac:dyDescent="0.25">
      <c r="A51" s="62"/>
      <c r="B51" s="611" t="s">
        <v>1139</v>
      </c>
      <c r="C51" s="396"/>
      <c r="D51" s="396"/>
      <c r="E51" s="396"/>
      <c r="F51" s="396"/>
      <c r="G51" s="396"/>
      <c r="H51" s="396"/>
    </row>
    <row r="52" spans="1:8" ht="15.4" customHeight="1" x14ac:dyDescent="0.25">
      <c r="A52" s="62"/>
      <c r="B52" s="611" t="s">
        <v>732</v>
      </c>
      <c r="C52" s="396"/>
      <c r="D52" s="396"/>
      <c r="E52" s="396"/>
      <c r="F52" s="396"/>
      <c r="G52" s="396"/>
      <c r="H52" s="396"/>
    </row>
    <row r="53" spans="1:8" ht="15.4" customHeight="1" x14ac:dyDescent="0.25">
      <c r="A53" s="62">
        <v>2</v>
      </c>
      <c r="B53" s="699" t="s">
        <v>425</v>
      </c>
      <c r="C53" s="396"/>
      <c r="D53" s="396"/>
      <c r="E53" s="396"/>
      <c r="F53" s="396"/>
      <c r="G53" s="396"/>
      <c r="H53" s="396"/>
    </row>
    <row r="54" spans="1:8" ht="15.4" customHeight="1" x14ac:dyDescent="0.25">
      <c r="A54" s="62">
        <v>3</v>
      </c>
      <c r="B54" s="699" t="s">
        <v>10</v>
      </c>
      <c r="C54" s="396"/>
      <c r="D54" s="396"/>
      <c r="E54" s="396"/>
      <c r="F54" s="396"/>
      <c r="G54" s="396"/>
      <c r="H54" s="396"/>
    </row>
    <row r="55" spans="1:8" ht="15.4" customHeight="1" x14ac:dyDescent="0.25">
      <c r="A55" s="62"/>
      <c r="B55" s="611" t="s">
        <v>1139</v>
      </c>
      <c r="C55" s="396"/>
      <c r="D55" s="396"/>
      <c r="E55" s="396"/>
      <c r="F55" s="396"/>
      <c r="G55" s="396"/>
      <c r="H55" s="396"/>
    </row>
    <row r="56" spans="1:8" ht="15.4" customHeight="1" x14ac:dyDescent="0.25">
      <c r="A56" s="62"/>
      <c r="B56" s="611" t="s">
        <v>732</v>
      </c>
      <c r="C56" s="396"/>
      <c r="D56" s="396"/>
      <c r="E56" s="396"/>
      <c r="F56" s="396"/>
      <c r="G56" s="396"/>
      <c r="H56" s="396"/>
    </row>
    <row r="57" spans="1:8" ht="28.9" customHeight="1" x14ac:dyDescent="0.25">
      <c r="A57" s="383" t="s">
        <v>548</v>
      </c>
      <c r="B57" s="699" t="s">
        <v>640</v>
      </c>
      <c r="C57" s="396"/>
      <c r="D57" s="396"/>
      <c r="E57" s="396"/>
      <c r="F57" s="396"/>
      <c r="G57" s="396"/>
      <c r="H57" s="396"/>
    </row>
    <row r="58" spans="1:8" ht="15.4" customHeight="1" x14ac:dyDescent="0.25">
      <c r="A58" s="62"/>
      <c r="B58" s="611" t="s">
        <v>1139</v>
      </c>
      <c r="C58" s="396"/>
      <c r="D58" s="396"/>
      <c r="E58" s="396"/>
      <c r="F58" s="396"/>
      <c r="G58" s="396"/>
      <c r="H58" s="396"/>
    </row>
    <row r="59" spans="1:8" ht="15.4" customHeight="1" x14ac:dyDescent="0.25">
      <c r="A59" s="424"/>
      <c r="B59" s="174" t="s">
        <v>732</v>
      </c>
      <c r="C59" s="733"/>
      <c r="D59" s="733"/>
      <c r="E59" s="733"/>
      <c r="F59" s="733"/>
      <c r="G59" s="733"/>
      <c r="H59" s="733"/>
    </row>
    <row r="60" spans="1:8" ht="15" customHeight="1" x14ac:dyDescent="0.25">
      <c r="A60" s="38" t="s">
        <v>617</v>
      </c>
      <c r="B60" s="245"/>
      <c r="C60" s="245"/>
      <c r="D60" s="245"/>
      <c r="E60" s="245"/>
      <c r="F60" s="245"/>
      <c r="G60" s="245"/>
      <c r="H60" s="245"/>
    </row>
    <row r="61" spans="1:8" ht="15" customHeight="1" x14ac:dyDescent="0.25">
      <c r="A61" s="38" t="s">
        <v>173</v>
      </c>
      <c r="B61" s="245"/>
      <c r="C61" s="245"/>
      <c r="D61" s="245"/>
      <c r="E61" s="245"/>
      <c r="F61" s="245"/>
      <c r="G61" s="245"/>
      <c r="H61" s="245"/>
    </row>
    <row r="62" spans="1:8" ht="15" customHeight="1" x14ac:dyDescent="0.25">
      <c r="A62" s="38" t="s">
        <v>1251</v>
      </c>
      <c r="B62" s="245"/>
      <c r="C62" s="245"/>
      <c r="D62" s="245"/>
      <c r="E62" s="245"/>
      <c r="F62" s="245"/>
      <c r="G62" s="245"/>
      <c r="H62" s="245"/>
    </row>
    <row r="63" spans="1:8" ht="15" customHeight="1" x14ac:dyDescent="0.25">
      <c r="A63" s="38" t="s">
        <v>1208</v>
      </c>
      <c r="B63" s="245"/>
      <c r="C63" s="245"/>
      <c r="D63" s="245"/>
      <c r="E63" s="245"/>
      <c r="F63" s="245"/>
      <c r="G63" s="245"/>
      <c r="H63" s="245"/>
    </row>
    <row r="64" spans="1:8" ht="15" customHeight="1" x14ac:dyDescent="0.25">
      <c r="A64" s="38" t="s">
        <v>293</v>
      </c>
      <c r="B64" s="245"/>
      <c r="C64" s="245"/>
      <c r="D64" s="245"/>
      <c r="E64" s="245"/>
      <c r="F64" s="245"/>
      <c r="G64" s="245"/>
      <c r="H64" s="245"/>
    </row>
    <row r="65" spans="1:8" ht="15" customHeight="1" x14ac:dyDescent="0.25">
      <c r="A65" s="245"/>
      <c r="B65" s="38" t="s">
        <v>206</v>
      </c>
      <c r="C65" s="245"/>
      <c r="D65" s="245"/>
      <c r="E65" s="245"/>
      <c r="F65" s="245"/>
      <c r="G65" s="245"/>
      <c r="H65" s="245"/>
    </row>
    <row r="66" spans="1:8" ht="15" customHeight="1" x14ac:dyDescent="0.25">
      <c r="A66" s="245"/>
      <c r="B66" s="245"/>
      <c r="C66" s="245"/>
      <c r="D66" s="245"/>
      <c r="E66" s="245"/>
      <c r="F66" s="245"/>
      <c r="G66" s="245"/>
      <c r="H66" s="245"/>
    </row>
    <row r="67" spans="1:8" ht="15" customHeight="1" x14ac:dyDescent="0.25">
      <c r="A67" s="634"/>
      <c r="B67" s="634"/>
      <c r="C67" s="634"/>
      <c r="D67" s="634"/>
      <c r="E67" s="634"/>
      <c r="F67" s="1194" t="s">
        <v>1267</v>
      </c>
      <c r="G67" s="1171"/>
      <c r="H67" s="1171"/>
    </row>
    <row r="68" spans="1:8" ht="15" customHeight="1" x14ac:dyDescent="0.25">
      <c r="A68" s="634"/>
      <c r="B68" s="203" t="s">
        <v>86</v>
      </c>
      <c r="C68" s="634"/>
      <c r="D68" s="634"/>
      <c r="E68" s="634"/>
      <c r="F68" s="1195" t="s">
        <v>634</v>
      </c>
      <c r="G68" s="1171"/>
      <c r="H68" s="1171"/>
    </row>
    <row r="69" spans="1:8" ht="15" customHeight="1" x14ac:dyDescent="0.25">
      <c r="A69" s="634"/>
      <c r="B69" s="180" t="s">
        <v>797</v>
      </c>
      <c r="C69" s="634"/>
      <c r="D69" s="634"/>
      <c r="E69" s="634"/>
      <c r="F69" s="1194" t="s">
        <v>952</v>
      </c>
      <c r="G69" s="1171"/>
      <c r="H69" s="1171"/>
    </row>
    <row r="70" spans="1:8" ht="15" customHeight="1" x14ac:dyDescent="0.25">
      <c r="A70" s="634"/>
      <c r="B70" s="180" t="s">
        <v>1255</v>
      </c>
      <c r="C70" s="634"/>
      <c r="D70" s="634"/>
      <c r="E70" s="634"/>
      <c r="F70" s="1194" t="s">
        <v>1255</v>
      </c>
      <c r="G70" s="1171"/>
      <c r="H70" s="1171"/>
    </row>
    <row r="71" spans="1:8" ht="15" customHeight="1" x14ac:dyDescent="0.25">
      <c r="A71" s="188"/>
      <c r="B71" s="188"/>
      <c r="C71" s="188"/>
      <c r="D71" s="188"/>
      <c r="E71" s="188"/>
      <c r="F71" s="188"/>
      <c r="G71" s="188"/>
      <c r="H71" s="188"/>
    </row>
    <row r="72" spans="1:8" ht="15" customHeight="1" x14ac:dyDescent="0.25">
      <c r="A72" s="188"/>
      <c r="B72" s="188"/>
      <c r="C72" s="188"/>
      <c r="D72" s="188"/>
      <c r="E72" s="188"/>
      <c r="F72" s="188"/>
      <c r="G72" s="188"/>
      <c r="H72" s="188"/>
    </row>
    <row r="73" spans="1:8" ht="15" customHeight="1" x14ac:dyDescent="0.25">
      <c r="A73" s="188"/>
      <c r="B73" s="188"/>
      <c r="C73" s="188"/>
      <c r="D73" s="188"/>
      <c r="E73" s="188"/>
      <c r="F73" s="188"/>
      <c r="G73" s="188"/>
      <c r="H73" s="188"/>
    </row>
    <row r="74" spans="1:8" ht="15" customHeight="1" x14ac:dyDescent="0.25">
      <c r="A74" s="188"/>
      <c r="B74" s="188"/>
      <c r="C74" s="188"/>
      <c r="D74" s="188"/>
      <c r="E74" s="188"/>
      <c r="F74" s="188"/>
      <c r="G74" s="188"/>
      <c r="H74" s="188"/>
    </row>
    <row r="75" spans="1:8" ht="15" customHeight="1" x14ac:dyDescent="0.25">
      <c r="A75" s="188"/>
      <c r="B75" s="188"/>
      <c r="C75" s="188"/>
      <c r="D75" s="188"/>
      <c r="E75" s="188"/>
      <c r="F75" s="188"/>
      <c r="G75" s="188"/>
      <c r="H75" s="188"/>
    </row>
    <row r="76" spans="1:8" ht="15" customHeight="1" x14ac:dyDescent="0.25">
      <c r="A76" s="188"/>
      <c r="B76" s="188"/>
      <c r="C76" s="188"/>
      <c r="D76" s="188"/>
      <c r="E76" s="188"/>
      <c r="F76" s="188"/>
      <c r="G76" s="188"/>
      <c r="H76" s="188"/>
    </row>
    <row r="77" spans="1:8" ht="15" customHeight="1" x14ac:dyDescent="0.25">
      <c r="A77" s="188"/>
      <c r="B77" s="188"/>
      <c r="C77" s="188"/>
      <c r="D77" s="188"/>
      <c r="E77" s="188"/>
      <c r="F77" s="188"/>
      <c r="G77" s="188"/>
      <c r="H77" s="188"/>
    </row>
    <row r="78" spans="1:8" ht="15" customHeight="1" x14ac:dyDescent="0.25">
      <c r="A78" s="188"/>
      <c r="B78" s="188"/>
      <c r="C78" s="188"/>
      <c r="D78" s="188"/>
      <c r="E78" s="188"/>
      <c r="F78" s="188"/>
      <c r="G78" s="188"/>
      <c r="H78" s="188"/>
    </row>
    <row r="79" spans="1:8" ht="15" customHeight="1" x14ac:dyDescent="0.25">
      <c r="A79" s="188"/>
      <c r="B79" s="188"/>
      <c r="C79" s="188"/>
      <c r="D79" s="188"/>
      <c r="E79" s="188"/>
      <c r="F79" s="188"/>
      <c r="G79" s="188"/>
      <c r="H79" s="188"/>
    </row>
    <row r="80" spans="1:8" ht="15" customHeight="1" x14ac:dyDescent="0.25">
      <c r="A80" s="188"/>
      <c r="B80" s="188"/>
      <c r="C80" s="188"/>
      <c r="D80" s="188"/>
      <c r="E80" s="188"/>
      <c r="F80" s="188"/>
      <c r="G80" s="188"/>
      <c r="H80" s="188"/>
    </row>
  </sheetData>
  <mergeCells count="12">
    <mergeCell ref="F67:H67"/>
    <mergeCell ref="F68:H68"/>
    <mergeCell ref="F69:H69"/>
    <mergeCell ref="F70:H70"/>
    <mergeCell ref="A2:H2"/>
    <mergeCell ref="A11:A13"/>
    <mergeCell ref="B11:B13"/>
    <mergeCell ref="C11:C13"/>
    <mergeCell ref="D11:F11"/>
    <mergeCell ref="G11:G13"/>
    <mergeCell ref="H11:H13"/>
    <mergeCell ref="E12: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0" workbookViewId="0">
      <selection activeCell="E12" sqref="E12:E28"/>
    </sheetView>
  </sheetViews>
  <sheetFormatPr defaultColWidth="9.140625" defaultRowHeight="15" x14ac:dyDescent="0.25"/>
  <cols>
    <col min="1" max="1" width="4.28515625" style="835" customWidth="1"/>
    <col min="2" max="2" width="39.5703125" style="835" customWidth="1"/>
    <col min="3" max="3" width="9.140625" style="835"/>
    <col min="4" max="4" width="22.140625" style="835" customWidth="1"/>
    <col min="5" max="5" width="18.85546875" style="835" customWidth="1"/>
    <col min="6" max="6" width="9.140625" style="835" customWidth="1"/>
    <col min="7" max="7" width="15.42578125" style="835" customWidth="1"/>
    <col min="8" max="8" width="14.28515625" style="835" bestFit="1" customWidth="1"/>
    <col min="9" max="9" width="12.140625" style="835" bestFit="1" customWidth="1"/>
    <col min="10" max="11" width="9.140625" style="835" customWidth="1"/>
    <col min="12" max="12" width="14.28515625" style="895" customWidth="1"/>
    <col min="13" max="15" width="9.140625" style="835" customWidth="1"/>
    <col min="16" max="16" width="11" style="835" customWidth="1"/>
    <col min="17" max="17" width="12.140625" style="835" customWidth="1"/>
    <col min="18" max="22" width="9.140625" style="835" customWidth="1"/>
    <col min="23" max="16384" width="9.140625" style="835"/>
  </cols>
  <sheetData>
    <row r="1" spans="1:9" ht="15.75" x14ac:dyDescent="0.25">
      <c r="A1" s="953" t="s">
        <v>1277</v>
      </c>
      <c r="B1" s="953"/>
      <c r="C1" s="953"/>
      <c r="D1" s="953"/>
      <c r="E1" s="953"/>
      <c r="F1" s="104"/>
      <c r="G1" s="104"/>
    </row>
    <row r="2" spans="1:9" ht="15.75" x14ac:dyDescent="0.25">
      <c r="A2" s="953" t="s">
        <v>564</v>
      </c>
      <c r="B2" s="953"/>
      <c r="C2" s="953"/>
      <c r="D2" s="953"/>
      <c r="E2" s="953"/>
      <c r="F2" s="104"/>
      <c r="G2" s="104"/>
    </row>
    <row r="3" spans="1:9" ht="15.75" x14ac:dyDescent="0.25">
      <c r="A3" s="954" t="s">
        <v>1278</v>
      </c>
      <c r="B3" s="953"/>
      <c r="C3" s="953"/>
      <c r="D3" s="953"/>
      <c r="E3" s="953"/>
      <c r="F3" s="104"/>
      <c r="G3" s="104"/>
    </row>
    <row r="4" spans="1:9" ht="6" customHeight="1" x14ac:dyDescent="0.25">
      <c r="A4" s="832"/>
      <c r="B4" s="832"/>
      <c r="C4" s="832"/>
      <c r="D4" s="832"/>
      <c r="E4" s="836"/>
      <c r="F4" s="104"/>
      <c r="G4" s="104"/>
    </row>
    <row r="5" spans="1:9" ht="21.75" customHeight="1" x14ac:dyDescent="0.25">
      <c r="A5" s="955" t="s">
        <v>1439</v>
      </c>
      <c r="B5" s="955"/>
      <c r="C5" s="955"/>
      <c r="D5" s="955"/>
      <c r="E5" s="955"/>
      <c r="F5" s="104"/>
      <c r="G5" s="104"/>
    </row>
    <row r="6" spans="1:9" ht="6" customHeight="1" x14ac:dyDescent="0.25">
      <c r="A6" s="832"/>
      <c r="B6" s="832"/>
      <c r="C6" s="832"/>
      <c r="D6" s="832"/>
      <c r="E6" s="836"/>
      <c r="F6" s="104"/>
      <c r="G6" s="104"/>
    </row>
    <row r="7" spans="1:9" ht="18" customHeight="1" x14ac:dyDescent="0.25">
      <c r="A7" s="956" t="s">
        <v>1403</v>
      </c>
      <c r="B7" s="956"/>
      <c r="C7" s="956"/>
      <c r="D7" s="956"/>
      <c r="E7" s="956"/>
      <c r="F7" s="837"/>
      <c r="G7" s="837"/>
    </row>
    <row r="8" spans="1:9" ht="18" customHeight="1" x14ac:dyDescent="0.25">
      <c r="A8" s="956" t="s">
        <v>1397</v>
      </c>
      <c r="B8" s="956"/>
      <c r="C8" s="956"/>
      <c r="D8" s="956"/>
      <c r="E8" s="956"/>
      <c r="F8" s="837"/>
      <c r="G8" s="837"/>
    </row>
    <row r="9" spans="1:9" ht="16.5" x14ac:dyDescent="0.25">
      <c r="A9" s="950" t="s">
        <v>1412</v>
      </c>
      <c r="B9" s="950"/>
      <c r="C9" s="950"/>
      <c r="D9" s="950"/>
      <c r="E9" s="950"/>
      <c r="F9" s="837"/>
      <c r="G9" s="837"/>
    </row>
    <row r="10" spans="1:9" ht="16.5" x14ac:dyDescent="0.25">
      <c r="A10" s="832"/>
      <c r="B10" s="832"/>
      <c r="C10" s="832"/>
      <c r="D10" s="832"/>
      <c r="E10" s="940" t="s">
        <v>1440</v>
      </c>
      <c r="F10" s="104"/>
      <c r="G10" s="104"/>
    </row>
    <row r="11" spans="1:9" ht="31.5" x14ac:dyDescent="0.25">
      <c r="A11" s="825" t="s">
        <v>881</v>
      </c>
      <c r="B11" s="825" t="s">
        <v>1279</v>
      </c>
      <c r="C11" s="844" t="s">
        <v>1280</v>
      </c>
      <c r="D11" s="825" t="s">
        <v>1091</v>
      </c>
      <c r="E11" s="845" t="s">
        <v>1281</v>
      </c>
      <c r="F11" s="104"/>
      <c r="G11" s="104"/>
    </row>
    <row r="12" spans="1:9" ht="15.75" x14ac:dyDescent="0.25">
      <c r="A12" s="825" t="s">
        <v>1282</v>
      </c>
      <c r="B12" s="839" t="s">
        <v>1283</v>
      </c>
      <c r="C12" s="825" t="s">
        <v>1284</v>
      </c>
      <c r="D12" s="825" t="s">
        <v>1285</v>
      </c>
      <c r="E12" s="846">
        <f>ROUND(SUM(E13:E14),-3)</f>
        <v>926698000</v>
      </c>
      <c r="F12" s="104"/>
      <c r="G12" s="104"/>
    </row>
    <row r="13" spans="1:9" ht="15.75" x14ac:dyDescent="0.25">
      <c r="A13" s="820" t="s">
        <v>98</v>
      </c>
      <c r="B13" s="840" t="str">
        <f>'Chi phi xay lap'!B7</f>
        <v>*\1- Nền, mặt đường :</v>
      </c>
      <c r="C13" s="820" t="s">
        <v>1103</v>
      </c>
      <c r="D13" s="820" t="s">
        <v>1286</v>
      </c>
      <c r="E13" s="847">
        <f>'Chi phi xay lap'!E19</f>
        <v>906272000</v>
      </c>
      <c r="F13" s="104"/>
      <c r="G13" s="104"/>
    </row>
    <row r="14" spans="1:9" ht="15.75" x14ac:dyDescent="0.25">
      <c r="A14" s="823" t="s">
        <v>98</v>
      </c>
      <c r="B14" s="841" t="str">
        <f>'Chi phi xay lap'!B21</f>
        <v>*\2- Cống vuông V400mm :</v>
      </c>
      <c r="C14" s="823" t="s">
        <v>1287</v>
      </c>
      <c r="D14" s="823" t="s">
        <v>1288</v>
      </c>
      <c r="E14" s="847">
        <f>'Chi phi xay lap'!E33</f>
        <v>20426000</v>
      </c>
      <c r="F14" s="104"/>
      <c r="G14" s="226">
        <v>954013000</v>
      </c>
      <c r="H14" s="226">
        <f>E12</f>
        <v>926698000</v>
      </c>
      <c r="I14" s="226">
        <f>H14-G14</f>
        <v>-27315000</v>
      </c>
    </row>
    <row r="15" spans="1:9" ht="15.75" x14ac:dyDescent="0.25">
      <c r="A15" s="824" t="s">
        <v>1289</v>
      </c>
      <c r="B15" s="842" t="s">
        <v>1290</v>
      </c>
      <c r="C15" s="824" t="s">
        <v>1291</v>
      </c>
      <c r="D15" s="824" t="s">
        <v>1405</v>
      </c>
      <c r="E15" s="846">
        <f>ROUND(E12/1.08*3.024%,-3)</f>
        <v>25948000</v>
      </c>
      <c r="F15" s="104"/>
      <c r="G15" s="226">
        <v>26712000</v>
      </c>
      <c r="H15" s="226">
        <f>E15</f>
        <v>25948000</v>
      </c>
      <c r="I15" s="226">
        <f t="shared" ref="I15:I19" si="0">H15-G15</f>
        <v>-764000</v>
      </c>
    </row>
    <row r="16" spans="1:9" ht="15.75" x14ac:dyDescent="0.25">
      <c r="A16" s="825" t="s">
        <v>1292</v>
      </c>
      <c r="B16" s="839" t="s">
        <v>1293</v>
      </c>
      <c r="C16" s="825" t="s">
        <v>1294</v>
      </c>
      <c r="D16" s="825" t="s">
        <v>1410</v>
      </c>
      <c r="E16" s="846">
        <f>ROUND(SUM(E17:E22),-3)</f>
        <v>96783000</v>
      </c>
      <c r="F16" s="104"/>
      <c r="G16" s="226">
        <v>111547000</v>
      </c>
      <c r="H16" s="226">
        <f>E16</f>
        <v>96783000</v>
      </c>
      <c r="I16" s="226">
        <f t="shared" si="0"/>
        <v>-14764000</v>
      </c>
    </row>
    <row r="17" spans="1:12" ht="15.75" x14ac:dyDescent="0.25">
      <c r="A17" s="820" t="s">
        <v>98</v>
      </c>
      <c r="B17" s="840" t="s">
        <v>1295</v>
      </c>
      <c r="C17" s="820" t="s">
        <v>1296</v>
      </c>
      <c r="D17" s="820" t="s">
        <v>1406</v>
      </c>
      <c r="E17" s="847">
        <v>12368000</v>
      </c>
      <c r="F17" s="104"/>
      <c r="G17" s="226">
        <v>12297000</v>
      </c>
      <c r="H17" s="226">
        <f>E23</f>
        <v>8849000</v>
      </c>
      <c r="I17" s="226">
        <f t="shared" si="0"/>
        <v>-3448000</v>
      </c>
    </row>
    <row r="18" spans="1:12" ht="15.75" x14ac:dyDescent="0.25">
      <c r="A18" s="828" t="s">
        <v>98</v>
      </c>
      <c r="B18" s="843" t="s">
        <v>1297</v>
      </c>
      <c r="C18" s="828" t="s">
        <v>1298</v>
      </c>
      <c r="D18" s="828" t="s">
        <v>1299</v>
      </c>
      <c r="E18" s="847">
        <f>ROUND(E17*3%,-3)</f>
        <v>371000</v>
      </c>
      <c r="F18" s="104"/>
      <c r="G18" s="226">
        <v>25431000</v>
      </c>
      <c r="H18" s="226">
        <f>E27</f>
        <v>71722000</v>
      </c>
      <c r="I18" s="226">
        <f t="shared" si="0"/>
        <v>46291000</v>
      </c>
    </row>
    <row r="19" spans="1:12" ht="15.75" x14ac:dyDescent="0.25">
      <c r="A19" s="828" t="s">
        <v>98</v>
      </c>
      <c r="B19" s="843" t="s">
        <v>1300</v>
      </c>
      <c r="C19" s="828" t="s">
        <v>1301</v>
      </c>
      <c r="D19" s="828" t="s">
        <v>1302</v>
      </c>
      <c r="E19" s="847">
        <f>ROUND(E12*5.4%,-3)</f>
        <v>50042000</v>
      </c>
      <c r="F19" s="104"/>
      <c r="G19" s="836">
        <f>SUM(G14:G18)</f>
        <v>1130000000</v>
      </c>
      <c r="H19" s="836">
        <f>SUM(H14:H18)</f>
        <v>1130000000</v>
      </c>
      <c r="I19" s="836">
        <f t="shared" si="0"/>
        <v>0</v>
      </c>
      <c r="L19" s="896">
        <f>+E17+E19</f>
        <v>62410000</v>
      </c>
    </row>
    <row r="20" spans="1:12" ht="15.75" x14ac:dyDescent="0.25">
      <c r="A20" s="828" t="s">
        <v>98</v>
      </c>
      <c r="B20" s="843" t="s">
        <v>1303</v>
      </c>
      <c r="C20" s="828" t="s">
        <v>1304</v>
      </c>
      <c r="D20" s="828" t="s">
        <v>1380</v>
      </c>
      <c r="E20" s="847">
        <v>2160000</v>
      </c>
      <c r="F20" s="104"/>
      <c r="G20" s="104"/>
      <c r="L20" s="896">
        <f>+E20+E21</f>
        <v>4320000</v>
      </c>
    </row>
    <row r="21" spans="1:12" ht="15.75" x14ac:dyDescent="0.25">
      <c r="A21" s="828" t="s">
        <v>98</v>
      </c>
      <c r="B21" s="843" t="s">
        <v>1305</v>
      </c>
      <c r="C21" s="828" t="s">
        <v>1306</v>
      </c>
      <c r="D21" s="828" t="s">
        <v>1380</v>
      </c>
      <c r="E21" s="847">
        <v>2160000</v>
      </c>
      <c r="F21" s="104"/>
      <c r="G21" s="104"/>
      <c r="L21" s="896">
        <f>+E12</f>
        <v>926698000</v>
      </c>
    </row>
    <row r="22" spans="1:12" ht="15.75" x14ac:dyDescent="0.25">
      <c r="A22" s="823" t="s">
        <v>98</v>
      </c>
      <c r="B22" s="841" t="s">
        <v>1307</v>
      </c>
      <c r="C22" s="823" t="s">
        <v>1409</v>
      </c>
      <c r="D22" s="823" t="s">
        <v>1308</v>
      </c>
      <c r="E22" s="848">
        <f>ROUND(E12*3.203%,-3)</f>
        <v>29682000</v>
      </c>
      <c r="F22" s="104"/>
      <c r="G22" s="104"/>
      <c r="L22" s="896">
        <f>+E22</f>
        <v>29682000</v>
      </c>
    </row>
    <row r="23" spans="1:12" ht="15.75" x14ac:dyDescent="0.25">
      <c r="A23" s="825" t="s">
        <v>1309</v>
      </c>
      <c r="B23" s="839" t="s">
        <v>1310</v>
      </c>
      <c r="C23" s="825" t="s">
        <v>1311</v>
      </c>
      <c r="D23" s="829" t="s">
        <v>1394</v>
      </c>
      <c r="E23" s="846">
        <f>ROUND(SUM(E24:E26),-3)</f>
        <v>8849000</v>
      </c>
      <c r="F23" s="104"/>
      <c r="G23" s="226"/>
      <c r="L23" s="896">
        <f>+E25</f>
        <v>2317000</v>
      </c>
    </row>
    <row r="24" spans="1:12" ht="15.75" x14ac:dyDescent="0.25">
      <c r="A24" s="828" t="s">
        <v>98</v>
      </c>
      <c r="B24" s="843" t="s">
        <v>1314</v>
      </c>
      <c r="C24" s="828" t="s">
        <v>1312</v>
      </c>
      <c r="D24" s="828" t="s">
        <v>1380</v>
      </c>
      <c r="E24" s="847">
        <v>500000</v>
      </c>
      <c r="F24" s="104"/>
      <c r="G24" s="226"/>
      <c r="L24" s="896">
        <f>+E15+E18+E24+E26</f>
        <v>32851000</v>
      </c>
    </row>
    <row r="25" spans="1:12" ht="15.75" x14ac:dyDescent="0.25">
      <c r="A25" s="828" t="s">
        <v>98</v>
      </c>
      <c r="B25" s="843" t="s">
        <v>1316</v>
      </c>
      <c r="C25" s="828" t="s">
        <v>1313</v>
      </c>
      <c r="D25" s="828" t="s">
        <v>1407</v>
      </c>
      <c r="E25" s="847">
        <f>ROUND(E12*0.25%,-3)</f>
        <v>2317000</v>
      </c>
      <c r="F25" s="104"/>
      <c r="G25" s="104"/>
      <c r="L25" s="896">
        <f>+E27</f>
        <v>71722000</v>
      </c>
    </row>
    <row r="26" spans="1:12" ht="15.75" x14ac:dyDescent="0.25">
      <c r="A26" s="823" t="s">
        <v>98</v>
      </c>
      <c r="B26" s="841" t="s">
        <v>1317</v>
      </c>
      <c r="C26" s="823" t="s">
        <v>1315</v>
      </c>
      <c r="D26" s="850" t="s">
        <v>1408</v>
      </c>
      <c r="E26" s="848">
        <f>ROUND(G27*0.57%,-3)</f>
        <v>6032000</v>
      </c>
      <c r="F26" s="104"/>
      <c r="G26" s="104"/>
      <c r="L26" s="896">
        <f>SUM(L19:L25)</f>
        <v>1130000000</v>
      </c>
    </row>
    <row r="27" spans="1:12" ht="15.75" x14ac:dyDescent="0.25">
      <c r="A27" s="825" t="s">
        <v>1318</v>
      </c>
      <c r="B27" s="839" t="s">
        <v>1319</v>
      </c>
      <c r="C27" s="825" t="s">
        <v>1320</v>
      </c>
      <c r="D27" s="829" t="s">
        <v>1321</v>
      </c>
      <c r="E27" s="846">
        <f>G28-(E12+E15+E16+E23)</f>
        <v>71722000</v>
      </c>
      <c r="F27" s="104"/>
      <c r="G27" s="226">
        <f>G28-71722000</f>
        <v>1058278000</v>
      </c>
    </row>
    <row r="28" spans="1:12" ht="16.5" thickBot="1" x14ac:dyDescent="0.3">
      <c r="A28" s="824" t="s">
        <v>1322</v>
      </c>
      <c r="B28" s="842" t="s">
        <v>1323</v>
      </c>
      <c r="C28" s="824" t="s">
        <v>286</v>
      </c>
      <c r="D28" s="829" t="s">
        <v>1324</v>
      </c>
      <c r="E28" s="849">
        <f>+E12+E15+E16+E23+E27</f>
        <v>1130000000</v>
      </c>
      <c r="F28" s="104"/>
      <c r="G28" s="838">
        <v>1130000000</v>
      </c>
    </row>
    <row r="29" spans="1:12" x14ac:dyDescent="0.25">
      <c r="A29" s="951"/>
      <c r="B29" s="951"/>
      <c r="C29" s="851"/>
      <c r="D29" s="851"/>
      <c r="E29" s="837"/>
    </row>
    <row r="30" spans="1:12" ht="15.75" x14ac:dyDescent="0.25">
      <c r="A30" s="949"/>
      <c r="B30" s="949"/>
      <c r="C30" s="952"/>
      <c r="D30" s="952"/>
      <c r="E30" s="952"/>
      <c r="G30" s="854"/>
    </row>
    <row r="31" spans="1:12" ht="15.75" x14ac:dyDescent="0.25">
      <c r="A31" s="949"/>
      <c r="B31" s="949"/>
      <c r="C31" s="949"/>
      <c r="D31" s="949"/>
      <c r="E31" s="949"/>
      <c r="G31" s="854"/>
    </row>
    <row r="32" spans="1:12" ht="15.75" x14ac:dyDescent="0.25">
      <c r="A32" s="853"/>
      <c r="B32" s="853"/>
      <c r="C32" s="949"/>
      <c r="D32" s="949"/>
      <c r="E32" s="949"/>
    </row>
    <row r="33" spans="1:7" ht="15.75" x14ac:dyDescent="0.25">
      <c r="A33" s="853"/>
      <c r="B33" s="853"/>
      <c r="C33" s="852"/>
      <c r="D33" s="852"/>
      <c r="E33" s="852"/>
    </row>
    <row r="34" spans="1:7" ht="15.75" x14ac:dyDescent="0.25">
      <c r="A34" s="853"/>
      <c r="B34" s="853"/>
      <c r="C34" s="852"/>
      <c r="D34" s="852"/>
      <c r="E34" s="852"/>
    </row>
    <row r="35" spans="1:7" ht="15.75" x14ac:dyDescent="0.25">
      <c r="A35" s="853"/>
      <c r="B35" s="853"/>
      <c r="C35" s="852"/>
      <c r="D35" s="852"/>
      <c r="E35" s="852"/>
    </row>
    <row r="36" spans="1:7" ht="15.75" x14ac:dyDescent="0.25">
      <c r="A36" s="853"/>
      <c r="B36" s="853"/>
      <c r="C36" s="852"/>
      <c r="D36" s="852"/>
      <c r="E36" s="852"/>
      <c r="G36" s="837"/>
    </row>
    <row r="37" spans="1:7" ht="17.45" customHeight="1" x14ac:dyDescent="0.25">
      <c r="A37" s="949"/>
      <c r="B37" s="949"/>
      <c r="C37" s="949"/>
      <c r="D37" s="949"/>
      <c r="E37" s="949"/>
    </row>
    <row r="38" spans="1:7" ht="15.75" x14ac:dyDescent="0.25">
      <c r="A38" s="104"/>
      <c r="B38" s="104"/>
      <c r="C38" s="104"/>
      <c r="D38" s="949"/>
      <c r="E38" s="949"/>
    </row>
  </sheetData>
  <mergeCells count="16">
    <mergeCell ref="D38:E38"/>
    <mergeCell ref="A8:E8"/>
    <mergeCell ref="A37:B37"/>
    <mergeCell ref="A29:B29"/>
    <mergeCell ref="A30:B30"/>
    <mergeCell ref="A31:B31"/>
    <mergeCell ref="C30:E30"/>
    <mergeCell ref="C31:E31"/>
    <mergeCell ref="C32:E32"/>
    <mergeCell ref="C37:E37"/>
    <mergeCell ref="A9:E9"/>
    <mergeCell ref="A1:E1"/>
    <mergeCell ref="A2:E2"/>
    <mergeCell ref="A3:E3"/>
    <mergeCell ref="A5:E5"/>
    <mergeCell ref="A7:E7"/>
  </mergeCells>
  <printOptions horizontalCentered="1"/>
  <pageMargins left="0.5" right="0" top="0.75" bottom="0.118110236220472" header="7.8740157480315001E-2" footer="7.8740157480315001E-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6" workbookViewId="0">
      <selection activeCell="AC27" sqref="AC27"/>
    </sheetView>
  </sheetViews>
  <sheetFormatPr defaultColWidth="9.140625" defaultRowHeight="15" x14ac:dyDescent="0.25"/>
  <cols>
    <col min="1" max="1" width="4.7109375" style="831" customWidth="1"/>
    <col min="2" max="2" width="38.28515625" style="831" customWidth="1"/>
    <col min="3" max="3" width="9.42578125" style="831" customWidth="1"/>
    <col min="4" max="4" width="18" style="835" customWidth="1"/>
    <col min="5" max="5" width="13.5703125" style="831" customWidth="1"/>
    <col min="6" max="6" width="0" style="831" hidden="1" customWidth="1"/>
    <col min="7" max="7" width="9.140625" style="831"/>
    <col min="8" max="9" width="0" style="831" hidden="1" customWidth="1"/>
    <col min="10" max="15" width="9.140625" style="831"/>
    <col min="16" max="16" width="11" style="831" customWidth="1"/>
    <col min="17" max="17" width="12.140625" style="831" customWidth="1"/>
    <col min="18" max="16384" width="9.140625" style="831"/>
  </cols>
  <sheetData>
    <row r="1" spans="1:5" ht="24.95" customHeight="1" x14ac:dyDescent="0.25">
      <c r="A1" s="955" t="s">
        <v>1327</v>
      </c>
      <c r="B1" s="955"/>
      <c r="C1" s="955"/>
      <c r="D1" s="955"/>
      <c r="E1" s="955"/>
    </row>
    <row r="2" spans="1:5" ht="15.75" x14ac:dyDescent="0.25">
      <c r="A2" s="832"/>
      <c r="B2" s="833"/>
      <c r="C2" s="832"/>
      <c r="D2" s="832"/>
      <c r="E2" s="834"/>
    </row>
    <row r="3" spans="1:5" ht="18" customHeight="1" x14ac:dyDescent="0.25">
      <c r="A3" s="956" t="str">
        <f>'Tong du toan'!A7:E7</f>
        <v>CÔNG TRÌNH : NÂNG CẤP, SỬA CHỮA ĐƯỜNG TRẦN QUANG DIỆM - HƯƠNG XUÂN</v>
      </c>
      <c r="B3" s="956"/>
      <c r="C3" s="956"/>
      <c r="D3" s="956"/>
      <c r="E3" s="956"/>
    </row>
    <row r="4" spans="1:5" ht="18" customHeight="1" x14ac:dyDescent="0.25">
      <c r="A4" s="957" t="s">
        <v>1397</v>
      </c>
      <c r="B4" s="957"/>
      <c r="C4" s="957"/>
      <c r="D4" s="957"/>
      <c r="E4" s="957"/>
    </row>
    <row r="5" spans="1:5" ht="15.75" x14ac:dyDescent="0.25">
      <c r="A5" s="832"/>
      <c r="B5" s="833"/>
      <c r="C5" s="832"/>
      <c r="D5" s="832"/>
      <c r="E5" s="834"/>
    </row>
    <row r="6" spans="1:5" ht="31.5" x14ac:dyDescent="0.25">
      <c r="A6" s="825" t="s">
        <v>881</v>
      </c>
      <c r="B6" s="825" t="s">
        <v>1279</v>
      </c>
      <c r="C6" s="844" t="s">
        <v>1280</v>
      </c>
      <c r="D6" s="825" t="s">
        <v>1091</v>
      </c>
      <c r="E6" s="830" t="s">
        <v>120</v>
      </c>
    </row>
    <row r="7" spans="1:5" ht="15.75" x14ac:dyDescent="0.25">
      <c r="A7" s="856" t="s">
        <v>1328</v>
      </c>
      <c r="B7" s="855" t="s">
        <v>1326</v>
      </c>
      <c r="C7" s="856" t="s">
        <v>98</v>
      </c>
      <c r="D7" s="856" t="s">
        <v>98</v>
      </c>
      <c r="E7" s="859"/>
    </row>
    <row r="8" spans="1:5" ht="15.75" x14ac:dyDescent="0.25">
      <c r="A8" s="828" t="s">
        <v>98</v>
      </c>
      <c r="B8" s="826" t="s">
        <v>1329</v>
      </c>
      <c r="C8" s="828" t="s">
        <v>356</v>
      </c>
      <c r="D8" s="828" t="s">
        <v>1330</v>
      </c>
      <c r="E8" s="827">
        <f>E9+E10+E11</f>
        <v>717067481.13229823</v>
      </c>
    </row>
    <row r="9" spans="1:5" ht="15.75" x14ac:dyDescent="0.25">
      <c r="A9" s="828" t="s">
        <v>98</v>
      </c>
      <c r="B9" s="826" t="s">
        <v>1331</v>
      </c>
      <c r="C9" s="828" t="s">
        <v>962</v>
      </c>
      <c r="D9" s="828" t="s">
        <v>1332</v>
      </c>
      <c r="E9" s="827">
        <f>'Du toan chi tiet'!R7</f>
        <v>651622466.16489148</v>
      </c>
    </row>
    <row r="10" spans="1:5" ht="15.75" x14ac:dyDescent="0.25">
      <c r="A10" s="828" t="s">
        <v>98</v>
      </c>
      <c r="B10" s="826" t="s">
        <v>1333</v>
      </c>
      <c r="C10" s="828" t="s">
        <v>1018</v>
      </c>
      <c r="D10" s="828" t="s">
        <v>1334</v>
      </c>
      <c r="E10" s="827">
        <f>'Du toan chi tiet'!T7</f>
        <v>40247227.328168005</v>
      </c>
    </row>
    <row r="11" spans="1:5" ht="15.75" x14ac:dyDescent="0.25">
      <c r="A11" s="828" t="s">
        <v>98</v>
      </c>
      <c r="B11" s="826" t="s">
        <v>1335</v>
      </c>
      <c r="C11" s="828" t="s">
        <v>138</v>
      </c>
      <c r="D11" s="828" t="s">
        <v>1336</v>
      </c>
      <c r="E11" s="827">
        <f>'Du toan chi tiet'!U7</f>
        <v>25197787.639238708</v>
      </c>
    </row>
    <row r="12" spans="1:5" ht="15.75" x14ac:dyDescent="0.25">
      <c r="A12" s="828" t="s">
        <v>98</v>
      </c>
      <c r="B12" s="826" t="s">
        <v>1337</v>
      </c>
      <c r="C12" s="828" t="s">
        <v>1032</v>
      </c>
      <c r="D12" s="828" t="s">
        <v>1338</v>
      </c>
      <c r="E12" s="827">
        <f>E13+E14+E15</f>
        <v>74575018.037759021</v>
      </c>
    </row>
    <row r="13" spans="1:5" ht="15.75" x14ac:dyDescent="0.25">
      <c r="A13" s="828" t="s">
        <v>98</v>
      </c>
      <c r="B13" s="826" t="s">
        <v>1339</v>
      </c>
      <c r="C13" s="828" t="s">
        <v>653</v>
      </c>
      <c r="D13" s="828" t="s">
        <v>1340</v>
      </c>
      <c r="E13" s="827">
        <f>E8*6.2/100</f>
        <v>44458183.83020249</v>
      </c>
    </row>
    <row r="14" spans="1:5" ht="15.75" x14ac:dyDescent="0.25">
      <c r="A14" s="828" t="s">
        <v>98</v>
      </c>
      <c r="B14" s="826" t="s">
        <v>1341</v>
      </c>
      <c r="C14" s="828" t="s">
        <v>602</v>
      </c>
      <c r="D14" s="828" t="s">
        <v>1342</v>
      </c>
      <c r="E14" s="827">
        <f>E8*2.2/100</f>
        <v>15775484.584910562</v>
      </c>
    </row>
    <row r="15" spans="1:5" ht="15.75" x14ac:dyDescent="0.25">
      <c r="A15" s="828" t="s">
        <v>98</v>
      </c>
      <c r="B15" s="826" t="s">
        <v>1343</v>
      </c>
      <c r="C15" s="828" t="s">
        <v>881</v>
      </c>
      <c r="D15" s="828" t="s">
        <v>1344</v>
      </c>
      <c r="E15" s="827">
        <f>E8*2/100</f>
        <v>14341349.622645965</v>
      </c>
    </row>
    <row r="16" spans="1:5" ht="15.75" x14ac:dyDescent="0.25">
      <c r="A16" s="828" t="s">
        <v>98</v>
      </c>
      <c r="B16" s="826" t="s">
        <v>1345</v>
      </c>
      <c r="C16" s="828" t="s">
        <v>307</v>
      </c>
      <c r="D16" s="828" t="s">
        <v>1346</v>
      </c>
      <c r="E16" s="827">
        <f>(E8+E12)*6/100</f>
        <v>47498549.950203441</v>
      </c>
    </row>
    <row r="17" spans="1:5" ht="15.75" x14ac:dyDescent="0.25">
      <c r="A17" s="858" t="s">
        <v>1347</v>
      </c>
      <c r="B17" s="857" t="s">
        <v>1348</v>
      </c>
      <c r="C17" s="858" t="s">
        <v>286</v>
      </c>
      <c r="D17" s="858" t="s">
        <v>1349</v>
      </c>
      <c r="E17" s="860">
        <f>E8+E12+E16</f>
        <v>839141049.12026072</v>
      </c>
    </row>
    <row r="18" spans="1:5" ht="15.75" x14ac:dyDescent="0.25">
      <c r="A18" s="828" t="s">
        <v>98</v>
      </c>
      <c r="B18" s="826" t="s">
        <v>1350</v>
      </c>
      <c r="C18" s="828" t="s">
        <v>1351</v>
      </c>
      <c r="D18" s="828" t="s">
        <v>1363</v>
      </c>
      <c r="E18" s="827">
        <f>E17*8/100</f>
        <v>67131283.929620862</v>
      </c>
    </row>
    <row r="19" spans="1:5" ht="15.75" x14ac:dyDescent="0.25">
      <c r="A19" s="858" t="s">
        <v>1352</v>
      </c>
      <c r="B19" s="857" t="s">
        <v>1353</v>
      </c>
      <c r="C19" s="858" t="s">
        <v>1108</v>
      </c>
      <c r="D19" s="858" t="s">
        <v>1354</v>
      </c>
      <c r="E19" s="860">
        <f>ROUND(E17+E18,-3)</f>
        <v>906272000</v>
      </c>
    </row>
    <row r="20" spans="1:5" ht="15.75" x14ac:dyDescent="0.25">
      <c r="A20" s="828" t="s">
        <v>98</v>
      </c>
      <c r="B20" s="826" t="s">
        <v>98</v>
      </c>
      <c r="C20" s="828" t="s">
        <v>98</v>
      </c>
      <c r="D20" s="828" t="s">
        <v>98</v>
      </c>
      <c r="E20" s="827"/>
    </row>
    <row r="21" spans="1:5" ht="15.75" x14ac:dyDescent="0.25">
      <c r="A21" s="858" t="s">
        <v>1355</v>
      </c>
      <c r="B21" s="857" t="s">
        <v>1325</v>
      </c>
      <c r="C21" s="858" t="s">
        <v>98</v>
      </c>
      <c r="D21" s="858" t="s">
        <v>98</v>
      </c>
      <c r="E21" s="860"/>
    </row>
    <row r="22" spans="1:5" ht="15.75" x14ac:dyDescent="0.25">
      <c r="A22" s="828" t="s">
        <v>98</v>
      </c>
      <c r="B22" s="826" t="s">
        <v>1329</v>
      </c>
      <c r="C22" s="828" t="s">
        <v>356</v>
      </c>
      <c r="D22" s="828" t="s">
        <v>1330</v>
      </c>
      <c r="E22" s="827">
        <f>SUM(E23:E25)</f>
        <v>16161785.89050463</v>
      </c>
    </row>
    <row r="23" spans="1:5" ht="15.75" x14ac:dyDescent="0.25">
      <c r="A23" s="828" t="s">
        <v>98</v>
      </c>
      <c r="B23" s="826" t="s">
        <v>1331</v>
      </c>
      <c r="C23" s="828" t="s">
        <v>962</v>
      </c>
      <c r="D23" s="828" t="s">
        <v>1332</v>
      </c>
      <c r="E23" s="827">
        <f>'Du toan chi tiet'!R31</f>
        <v>9758633.3491577096</v>
      </c>
    </row>
    <row r="24" spans="1:5" ht="15.75" x14ac:dyDescent="0.25">
      <c r="A24" s="828" t="s">
        <v>98</v>
      </c>
      <c r="B24" s="826" t="s">
        <v>1333</v>
      </c>
      <c r="C24" s="828" t="s">
        <v>1018</v>
      </c>
      <c r="D24" s="828" t="s">
        <v>1334</v>
      </c>
      <c r="E24" s="827">
        <f>'Du toan chi tiet'!T31</f>
        <v>5614544.7147149993</v>
      </c>
    </row>
    <row r="25" spans="1:5" ht="15.75" x14ac:dyDescent="0.25">
      <c r="A25" s="828" t="s">
        <v>98</v>
      </c>
      <c r="B25" s="826" t="s">
        <v>1335</v>
      </c>
      <c r="C25" s="828" t="s">
        <v>138</v>
      </c>
      <c r="D25" s="828" t="s">
        <v>1336</v>
      </c>
      <c r="E25" s="827">
        <f>'Du toan chi tiet'!U31</f>
        <v>788607.82663191995</v>
      </c>
    </row>
    <row r="26" spans="1:5" ht="15.75" x14ac:dyDescent="0.25">
      <c r="A26" s="828" t="s">
        <v>98</v>
      </c>
      <c r="B26" s="826" t="s">
        <v>1337</v>
      </c>
      <c r="C26" s="828" t="s">
        <v>1032</v>
      </c>
      <c r="D26" s="828" t="s">
        <v>1338</v>
      </c>
      <c r="E26" s="827">
        <f>E27+E28+E29</f>
        <v>1680825.7326124818</v>
      </c>
    </row>
    <row r="27" spans="1:5" ht="15.75" x14ac:dyDescent="0.25">
      <c r="A27" s="828" t="s">
        <v>98</v>
      </c>
      <c r="B27" s="826" t="s">
        <v>1339</v>
      </c>
      <c r="C27" s="828" t="s">
        <v>653</v>
      </c>
      <c r="D27" s="828" t="s">
        <v>1340</v>
      </c>
      <c r="E27" s="827">
        <f>E22*6.2/100</f>
        <v>1002030.7252112872</v>
      </c>
    </row>
    <row r="28" spans="1:5" ht="15.75" x14ac:dyDescent="0.25">
      <c r="A28" s="828" t="s">
        <v>98</v>
      </c>
      <c r="B28" s="826" t="s">
        <v>1341</v>
      </c>
      <c r="C28" s="828" t="s">
        <v>602</v>
      </c>
      <c r="D28" s="828" t="s">
        <v>1342</v>
      </c>
      <c r="E28" s="827">
        <f>E22*2.2/100</f>
        <v>355559.28959110193</v>
      </c>
    </row>
    <row r="29" spans="1:5" ht="15.75" x14ac:dyDescent="0.25">
      <c r="A29" s="828" t="s">
        <v>98</v>
      </c>
      <c r="B29" s="826" t="s">
        <v>1343</v>
      </c>
      <c r="C29" s="828" t="s">
        <v>881</v>
      </c>
      <c r="D29" s="828" t="s">
        <v>1344</v>
      </c>
      <c r="E29" s="827">
        <f>E22*2/100</f>
        <v>323235.71781009261</v>
      </c>
    </row>
    <row r="30" spans="1:5" ht="15.75" x14ac:dyDescent="0.25">
      <c r="A30" s="828" t="s">
        <v>98</v>
      </c>
      <c r="B30" s="826" t="s">
        <v>1345</v>
      </c>
      <c r="C30" s="828" t="s">
        <v>307</v>
      </c>
      <c r="D30" s="828" t="s">
        <v>1346</v>
      </c>
      <c r="E30" s="827">
        <f>(E22+E26)*6/100</f>
        <v>1070556.6973870266</v>
      </c>
    </row>
    <row r="31" spans="1:5" ht="15.75" x14ac:dyDescent="0.25">
      <c r="A31" s="858" t="s">
        <v>1347</v>
      </c>
      <c r="B31" s="857" t="s">
        <v>1348</v>
      </c>
      <c r="C31" s="858" t="s">
        <v>286</v>
      </c>
      <c r="D31" s="858" t="s">
        <v>1349</v>
      </c>
      <c r="E31" s="860">
        <f>E22+E26+E30</f>
        <v>18913168.320504136</v>
      </c>
    </row>
    <row r="32" spans="1:5" ht="15.75" x14ac:dyDescent="0.25">
      <c r="A32" s="828" t="s">
        <v>98</v>
      </c>
      <c r="B32" s="826" t="s">
        <v>1350</v>
      </c>
      <c r="C32" s="828" t="s">
        <v>1351</v>
      </c>
      <c r="D32" s="828" t="s">
        <v>1363</v>
      </c>
      <c r="E32" s="827">
        <f>E31*8/100</f>
        <v>1513053.4656403309</v>
      </c>
    </row>
    <row r="33" spans="1:5" ht="15.75" x14ac:dyDescent="0.25">
      <c r="A33" s="858" t="s">
        <v>1352</v>
      </c>
      <c r="B33" s="857" t="s">
        <v>1353</v>
      </c>
      <c r="C33" s="858" t="s">
        <v>1108</v>
      </c>
      <c r="D33" s="858" t="s">
        <v>1354</v>
      </c>
      <c r="E33" s="860">
        <f>ROUND(E31+E32,-3)</f>
        <v>20426000</v>
      </c>
    </row>
    <row r="34" spans="1:5" ht="15.75" x14ac:dyDescent="0.25">
      <c r="A34" s="823" t="s">
        <v>98</v>
      </c>
      <c r="B34" s="821" t="s">
        <v>98</v>
      </c>
      <c r="C34" s="823" t="s">
        <v>98</v>
      </c>
      <c r="D34" s="823" t="s">
        <v>98</v>
      </c>
      <c r="E34" s="822"/>
    </row>
  </sheetData>
  <mergeCells count="3">
    <mergeCell ref="A1:E1"/>
    <mergeCell ref="A3:E3"/>
    <mergeCell ref="A4:E4"/>
  </mergeCells>
  <pageMargins left="0.98425196850393704" right="0.59055118110236227" top="0.78740157480314965" bottom="0.78740157480314965" header="0.31496062992125984" footer="0.31496062992125984"/>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1"/>
  <sheetViews>
    <sheetView showZeros="0" topLeftCell="B25" workbookViewId="0">
      <selection activeCell="AC27" sqref="AC27"/>
    </sheetView>
  </sheetViews>
  <sheetFormatPr defaultColWidth="9.140625" defaultRowHeight="15" x14ac:dyDescent="0.25"/>
  <cols>
    <col min="1" max="1" width="3.140625" style="770" hidden="1" customWidth="1"/>
    <col min="2" max="2" width="4.85546875" style="770" bestFit="1" customWidth="1"/>
    <col min="3" max="3" width="10.5703125" style="770" customWidth="1"/>
    <col min="4" max="4" width="42.28515625" style="770" customWidth="1"/>
    <col min="5" max="5" width="6.42578125" style="770" customWidth="1"/>
    <col min="6" max="6" width="8.5703125" style="770" hidden="1" customWidth="1"/>
    <col min="7" max="7" width="7.140625" style="770" hidden="1" customWidth="1"/>
    <col min="8" max="8" width="4.140625" style="770" hidden="1" customWidth="1"/>
    <col min="9" max="9" width="6" style="770" hidden="1" customWidth="1"/>
    <col min="10" max="10" width="4.7109375" style="770" hidden="1" customWidth="1"/>
    <col min="11" max="11" width="7.85546875" style="770" hidden="1" customWidth="1"/>
    <col min="12" max="12" width="8.140625" style="770" hidden="1" customWidth="1"/>
    <col min="13" max="13" width="7.7109375" style="885" customWidth="1"/>
    <col min="14" max="14" width="10.7109375" style="770" customWidth="1"/>
    <col min="15" max="15" width="12.140625" style="770" hidden="1" customWidth="1"/>
    <col min="16" max="16" width="11" style="770" customWidth="1"/>
    <col min="17" max="17" width="12.140625" style="770" customWidth="1"/>
    <col min="18" max="18" width="12" style="770" customWidth="1"/>
    <col min="19" max="19" width="12.140625" style="770" hidden="1" customWidth="1"/>
    <col min="20" max="20" width="11.28515625" style="770" customWidth="1"/>
    <col min="21" max="21" width="11.5703125" style="770" customWidth="1"/>
    <col min="22" max="22" width="9" style="770" hidden="1" customWidth="1"/>
    <col min="23" max="24" width="9.42578125" style="770" hidden="1" customWidth="1"/>
    <col min="25" max="25" width="9.140625" style="770" customWidth="1"/>
    <col min="26" max="27" width="9.140625" style="770"/>
    <col min="28" max="36" width="0" style="770" hidden="1" customWidth="1"/>
    <col min="37" max="16384" width="9.140625" style="770"/>
  </cols>
  <sheetData>
    <row r="1" spans="1:28" ht="18.75" x14ac:dyDescent="0.3">
      <c r="B1" s="959" t="s">
        <v>16</v>
      </c>
      <c r="C1" s="959"/>
      <c r="D1" s="959"/>
      <c r="E1" s="959"/>
      <c r="F1" s="959"/>
      <c r="G1" s="959"/>
      <c r="H1" s="959"/>
      <c r="I1" s="959"/>
      <c r="J1" s="959"/>
      <c r="K1" s="959"/>
      <c r="L1" s="959"/>
      <c r="M1" s="959"/>
      <c r="N1" s="959"/>
      <c r="O1" s="959"/>
      <c r="P1" s="959"/>
      <c r="Q1" s="959"/>
      <c r="R1" s="959"/>
      <c r="S1" s="959"/>
      <c r="T1" s="959"/>
      <c r="U1" s="959"/>
      <c r="V1" s="959"/>
      <c r="W1" s="959"/>
      <c r="X1" s="959"/>
    </row>
    <row r="2" spans="1:28" ht="14.45" customHeight="1" x14ac:dyDescent="0.25">
      <c r="A2" s="961" t="str">
        <f>'Tong du toan'!A7:E7</f>
        <v>CÔNG TRÌNH : NÂNG CẤP, SỬA CHỮA ĐƯỜNG TRẦN QUANG DIỆM - HƯƠNG XUÂN</v>
      </c>
      <c r="B2" s="961"/>
      <c r="C2" s="961"/>
      <c r="D2" s="961"/>
      <c r="E2" s="961"/>
      <c r="F2" s="961"/>
      <c r="G2" s="961"/>
      <c r="H2" s="961"/>
      <c r="I2" s="961"/>
      <c r="J2" s="961"/>
      <c r="K2" s="961"/>
      <c r="L2" s="961"/>
      <c r="M2" s="961"/>
      <c r="N2" s="961"/>
      <c r="O2" s="961"/>
      <c r="P2" s="961"/>
      <c r="Q2" s="961"/>
      <c r="R2" s="961"/>
      <c r="S2" s="961"/>
      <c r="T2" s="961"/>
      <c r="U2" s="961"/>
      <c r="V2" s="961"/>
      <c r="W2" s="961"/>
      <c r="X2" s="961"/>
    </row>
    <row r="3" spans="1:28" ht="14.45" customHeight="1" x14ac:dyDescent="0.25">
      <c r="A3" s="961" t="str">
        <f>'Tong du toan'!A8:E8</f>
        <v>ĐỊA ĐIỂM : PHƯỜNG HƯƠNG XUÂN - THỊ XÃ HƯƠNG TRÀ - TỈNH THỪA THIÊN HUẾ</v>
      </c>
      <c r="B3" s="961"/>
      <c r="C3" s="961"/>
      <c r="D3" s="961"/>
      <c r="E3" s="961"/>
      <c r="F3" s="961"/>
      <c r="G3" s="961"/>
      <c r="H3" s="961"/>
      <c r="I3" s="961"/>
      <c r="J3" s="961"/>
      <c r="K3" s="961"/>
      <c r="L3" s="961"/>
      <c r="M3" s="961"/>
      <c r="N3" s="961"/>
      <c r="O3" s="961"/>
      <c r="P3" s="961"/>
      <c r="Q3" s="961"/>
      <c r="R3" s="961"/>
      <c r="S3" s="961"/>
      <c r="T3" s="961"/>
      <c r="U3" s="961"/>
      <c r="V3" s="961"/>
      <c r="W3" s="961"/>
      <c r="X3" s="961"/>
    </row>
    <row r="4" spans="1:28" x14ac:dyDescent="0.25">
      <c r="B4" s="792"/>
      <c r="C4" s="792"/>
      <c r="D4" s="792"/>
      <c r="E4" s="792"/>
      <c r="F4" s="792"/>
      <c r="G4" s="792"/>
      <c r="H4" s="792"/>
      <c r="I4" s="792"/>
      <c r="J4" s="792"/>
      <c r="K4" s="792"/>
      <c r="L4" s="792"/>
      <c r="M4" s="880"/>
      <c r="N4" s="792"/>
      <c r="O4" s="792"/>
      <c r="P4" s="792"/>
      <c r="Q4" s="792"/>
      <c r="R4" s="792"/>
      <c r="S4" s="792"/>
      <c r="T4" s="792"/>
      <c r="U4" s="792"/>
      <c r="V4" s="792"/>
      <c r="W4" s="792"/>
      <c r="X4" s="792"/>
    </row>
    <row r="5" spans="1:28" s="772" customFormat="1" ht="14.25" x14ac:dyDescent="0.25">
      <c r="A5" s="962"/>
      <c r="B5" s="958" t="s">
        <v>386</v>
      </c>
      <c r="C5" s="958" t="s">
        <v>1120</v>
      </c>
      <c r="D5" s="958" t="s">
        <v>1172</v>
      </c>
      <c r="E5" s="963" t="s">
        <v>441</v>
      </c>
      <c r="F5" s="958" t="s">
        <v>519</v>
      </c>
      <c r="G5" s="958"/>
      <c r="H5" s="958"/>
      <c r="I5" s="958"/>
      <c r="J5" s="958"/>
      <c r="K5" s="958"/>
      <c r="L5" s="958" t="s">
        <v>680</v>
      </c>
      <c r="M5" s="960" t="s">
        <v>449</v>
      </c>
      <c r="N5" s="958" t="s">
        <v>822</v>
      </c>
      <c r="O5" s="958"/>
      <c r="P5" s="958"/>
      <c r="Q5" s="958"/>
      <c r="R5" s="958" t="s">
        <v>120</v>
      </c>
      <c r="S5" s="958"/>
      <c r="T5" s="958"/>
      <c r="U5" s="958"/>
      <c r="V5" s="958" t="s">
        <v>677</v>
      </c>
      <c r="W5" s="958"/>
      <c r="X5" s="958"/>
      <c r="Y5" s="771"/>
      <c r="Z5" s="771"/>
      <c r="AA5" s="771"/>
    </row>
    <row r="6" spans="1:28" s="772" customFormat="1" ht="14.25" x14ac:dyDescent="0.25">
      <c r="A6" s="962"/>
      <c r="B6" s="958"/>
      <c r="C6" s="958"/>
      <c r="D6" s="958"/>
      <c r="E6" s="963"/>
      <c r="F6" s="773" t="s">
        <v>616</v>
      </c>
      <c r="G6" s="773" t="s">
        <v>77</v>
      </c>
      <c r="H6" s="773" t="s">
        <v>87</v>
      </c>
      <c r="I6" s="773" t="s">
        <v>989</v>
      </c>
      <c r="J6" s="773" t="s">
        <v>482</v>
      </c>
      <c r="K6" s="773" t="s">
        <v>156</v>
      </c>
      <c r="L6" s="958"/>
      <c r="M6" s="960"/>
      <c r="N6" s="773" t="s">
        <v>547</v>
      </c>
      <c r="O6" s="773" t="s">
        <v>888</v>
      </c>
      <c r="P6" s="773" t="s">
        <v>301</v>
      </c>
      <c r="Q6" s="773" t="s">
        <v>723</v>
      </c>
      <c r="R6" s="773" t="s">
        <v>547</v>
      </c>
      <c r="S6" s="773" t="s">
        <v>888</v>
      </c>
      <c r="T6" s="773" t="s">
        <v>301</v>
      </c>
      <c r="U6" s="773" t="s">
        <v>723</v>
      </c>
      <c r="V6" s="773" t="s">
        <v>962</v>
      </c>
      <c r="W6" s="773" t="s">
        <v>1018</v>
      </c>
      <c r="X6" s="773" t="s">
        <v>138</v>
      </c>
      <c r="Y6" s="771"/>
      <c r="Z6" s="771"/>
      <c r="AA6" s="771"/>
    </row>
    <row r="7" spans="1:28" x14ac:dyDescent="0.25">
      <c r="A7" s="777"/>
      <c r="B7" s="862"/>
      <c r="C7" s="862"/>
      <c r="D7" s="862" t="s">
        <v>1326</v>
      </c>
      <c r="E7" s="862"/>
      <c r="F7" s="862"/>
      <c r="G7" s="862"/>
      <c r="H7" s="862"/>
      <c r="I7" s="862"/>
      <c r="J7" s="862"/>
      <c r="K7" s="862"/>
      <c r="L7" s="862"/>
      <c r="M7" s="881"/>
      <c r="N7" s="862"/>
      <c r="O7" s="862"/>
      <c r="P7" s="862"/>
      <c r="Q7" s="862"/>
      <c r="R7" s="779">
        <f>SUM(R8:R30)</f>
        <v>651622466.16489148</v>
      </c>
      <c r="S7" s="779">
        <f t="shared" ref="S7:U7" si="0">SUM(S8:S30)</f>
        <v>0</v>
      </c>
      <c r="T7" s="779">
        <f t="shared" si="0"/>
        <v>40247227.328168005</v>
      </c>
      <c r="U7" s="779">
        <f t="shared" si="0"/>
        <v>25197787.639238708</v>
      </c>
      <c r="V7" s="778"/>
      <c r="W7" s="778"/>
      <c r="X7" s="778"/>
      <c r="Y7" s="774"/>
      <c r="Z7" s="774"/>
      <c r="AA7" s="774"/>
    </row>
    <row r="8" spans="1:28" ht="45" x14ac:dyDescent="0.25">
      <c r="A8" s="780"/>
      <c r="B8" s="782">
        <v>1</v>
      </c>
      <c r="C8" s="781" t="s">
        <v>544</v>
      </c>
      <c r="D8" s="783" t="s">
        <v>210</v>
      </c>
      <c r="E8" s="782" t="s">
        <v>594</v>
      </c>
      <c r="F8" s="781"/>
      <c r="G8" s="784">
        <v>0</v>
      </c>
      <c r="H8" s="784">
        <v>0</v>
      </c>
      <c r="I8" s="784">
        <v>0</v>
      </c>
      <c r="J8" s="784">
        <v>0</v>
      </c>
      <c r="K8" s="784">
        <v>0</v>
      </c>
      <c r="L8" s="784">
        <f t="shared" ref="L8:L49" si="1">0</f>
        <v>0</v>
      </c>
      <c r="M8" s="882">
        <v>1631.42</v>
      </c>
      <c r="N8" s="785">
        <f>'Phan tich don gia'!Q7</f>
        <v>222467.38400000002</v>
      </c>
      <c r="O8" s="785">
        <f t="shared" ref="O8:O49" si="2">0*V8</f>
        <v>0</v>
      </c>
      <c r="P8" s="785">
        <f>'Phan tich don gia'!Q10</f>
        <v>2017.6000000000001</v>
      </c>
      <c r="Q8" s="785">
        <f>'Phan tich don gia'!Q12</f>
        <v>3181.7172350000001</v>
      </c>
      <c r="R8" s="785">
        <f t="shared" ref="R8:R49" si="3">M8*N8</f>
        <v>362937739.60528004</v>
      </c>
      <c r="S8" s="785">
        <f t="shared" ref="S8:S49" si="4">M8*O8</f>
        <v>0</v>
      </c>
      <c r="T8" s="785">
        <f t="shared" ref="T8:T49" si="5">M8*P8</f>
        <v>3291552.9920000006</v>
      </c>
      <c r="U8" s="785">
        <f t="shared" ref="U8:U49" si="6">M8*Q8</f>
        <v>5190717.1315237004</v>
      </c>
      <c r="V8" s="780">
        <v>1</v>
      </c>
      <c r="W8" s="780">
        <v>1</v>
      </c>
      <c r="X8" s="780">
        <v>1</v>
      </c>
      <c r="Y8" s="774"/>
      <c r="Z8" s="774"/>
      <c r="AA8" s="774"/>
      <c r="AB8" s="770" t="s">
        <v>493</v>
      </c>
    </row>
    <row r="9" spans="1:28" ht="45" x14ac:dyDescent="0.25">
      <c r="A9" s="781"/>
      <c r="B9" s="782">
        <v>2</v>
      </c>
      <c r="C9" s="781" t="s">
        <v>1381</v>
      </c>
      <c r="D9" s="783" t="s">
        <v>1395</v>
      </c>
      <c r="E9" s="782" t="s">
        <v>594</v>
      </c>
      <c r="F9" s="781"/>
      <c r="G9" s="784">
        <v>0</v>
      </c>
      <c r="H9" s="784">
        <v>0</v>
      </c>
      <c r="I9" s="784">
        <v>0</v>
      </c>
      <c r="J9" s="784">
        <v>0</v>
      </c>
      <c r="K9" s="784">
        <v>0</v>
      </c>
      <c r="L9" s="784">
        <f t="shared" si="1"/>
        <v>0</v>
      </c>
      <c r="M9" s="882">
        <v>856.71</v>
      </c>
      <c r="N9" s="785">
        <f>'Phan tich don gia'!Q18</f>
        <v>75697.97600000001</v>
      </c>
      <c r="O9" s="785">
        <f t="shared" si="2"/>
        <v>0</v>
      </c>
      <c r="P9" s="785">
        <f>'Phan tich don gia'!Q21</f>
        <v>1092.8666666666666</v>
      </c>
      <c r="Q9" s="785">
        <f>'Phan tich don gia'!Q23</f>
        <v>1798.3976833333336</v>
      </c>
      <c r="R9" s="785">
        <f t="shared" si="3"/>
        <v>64851213.018960014</v>
      </c>
      <c r="S9" s="785">
        <f t="shared" si="4"/>
        <v>0</v>
      </c>
      <c r="T9" s="785">
        <f t="shared" si="5"/>
        <v>936269.80199999991</v>
      </c>
      <c r="U9" s="785">
        <f t="shared" si="6"/>
        <v>1540705.2792885003</v>
      </c>
      <c r="V9" s="781">
        <v>1</v>
      </c>
      <c r="W9" s="781">
        <v>1</v>
      </c>
      <c r="X9" s="781">
        <v>1</v>
      </c>
      <c r="Y9" s="774"/>
      <c r="Z9" s="774"/>
      <c r="AA9" s="774"/>
      <c r="AB9" s="770" t="s">
        <v>493</v>
      </c>
    </row>
    <row r="10" spans="1:28" ht="33.6" customHeight="1" x14ac:dyDescent="0.25">
      <c r="A10" s="781"/>
      <c r="B10" s="782">
        <v>3</v>
      </c>
      <c r="C10" s="781" t="s">
        <v>675</v>
      </c>
      <c r="D10" s="783" t="s">
        <v>1396</v>
      </c>
      <c r="E10" s="782" t="s">
        <v>950</v>
      </c>
      <c r="F10" s="781"/>
      <c r="G10" s="784">
        <v>0</v>
      </c>
      <c r="H10" s="784">
        <v>0</v>
      </c>
      <c r="I10" s="784">
        <v>0</v>
      </c>
      <c r="J10" s="784">
        <v>0</v>
      </c>
      <c r="K10" s="784">
        <v>0</v>
      </c>
      <c r="L10" s="784">
        <f t="shared" si="1"/>
        <v>0</v>
      </c>
      <c r="M10" s="882">
        <v>133.84</v>
      </c>
      <c r="N10" s="785">
        <f>'Phan tich don gia'!Q29</f>
        <v>1392741.5051997488</v>
      </c>
      <c r="O10" s="785">
        <f t="shared" si="2"/>
        <v>0</v>
      </c>
      <c r="P10" s="785">
        <f>'Phan tich don gia'!Q34</f>
        <v>172757</v>
      </c>
      <c r="Q10" s="785">
        <f>'Phan tich don gia'!Q36</f>
        <v>47420.294699999999</v>
      </c>
      <c r="R10" s="785">
        <f t="shared" si="3"/>
        <v>186404523.05593437</v>
      </c>
      <c r="S10" s="785">
        <f t="shared" si="4"/>
        <v>0</v>
      </c>
      <c r="T10" s="785">
        <f t="shared" si="5"/>
        <v>23121796.879999999</v>
      </c>
      <c r="U10" s="785">
        <f t="shared" si="6"/>
        <v>6346732.2426479999</v>
      </c>
      <c r="V10" s="781">
        <v>1</v>
      </c>
      <c r="W10" s="781">
        <v>1</v>
      </c>
      <c r="X10" s="781">
        <v>1</v>
      </c>
      <c r="Y10" s="774"/>
      <c r="Z10" s="774"/>
      <c r="AA10" s="774"/>
      <c r="AB10" s="770" t="s">
        <v>493</v>
      </c>
    </row>
    <row r="11" spans="1:28" x14ac:dyDescent="0.25">
      <c r="A11" s="781"/>
      <c r="B11" s="782">
        <v>4</v>
      </c>
      <c r="C11" s="781" t="s">
        <v>131</v>
      </c>
      <c r="D11" s="783" t="s">
        <v>1368</v>
      </c>
      <c r="E11" s="782" t="s">
        <v>950</v>
      </c>
      <c r="F11" s="781"/>
      <c r="G11" s="784">
        <v>0</v>
      </c>
      <c r="H11" s="784">
        <v>0</v>
      </c>
      <c r="I11" s="784">
        <v>0</v>
      </c>
      <c r="J11" s="784">
        <v>0</v>
      </c>
      <c r="K11" s="784">
        <v>0</v>
      </c>
      <c r="L11" s="784">
        <f t="shared" si="1"/>
        <v>0</v>
      </c>
      <c r="M11" s="882">
        <v>39.97</v>
      </c>
      <c r="N11" s="785">
        <f>'Phan tich don gia'!Q41</f>
        <v>173936.85111923999</v>
      </c>
      <c r="O11" s="785">
        <f t="shared" si="2"/>
        <v>0</v>
      </c>
      <c r="P11" s="785">
        <f>'Phan tich don gia'!Q43</f>
        <v>8501.945099999999</v>
      </c>
      <c r="Q11" s="785">
        <f>'Phan tich don gia'!Q45</f>
        <v>7382.8303799999994</v>
      </c>
      <c r="R11" s="785">
        <f t="shared" si="3"/>
        <v>6952255.9392360225</v>
      </c>
      <c r="S11" s="785">
        <f t="shared" si="4"/>
        <v>0</v>
      </c>
      <c r="T11" s="785">
        <f t="shared" si="5"/>
        <v>339822.74564699997</v>
      </c>
      <c r="U11" s="785">
        <f t="shared" si="6"/>
        <v>295091.73028859997</v>
      </c>
      <c r="V11" s="781">
        <v>1</v>
      </c>
      <c r="W11" s="781">
        <v>1</v>
      </c>
      <c r="X11" s="781">
        <v>1</v>
      </c>
      <c r="Y11" s="774"/>
      <c r="Z11" s="774"/>
      <c r="AA11" s="774"/>
      <c r="AB11" s="770" t="s">
        <v>493</v>
      </c>
    </row>
    <row r="12" spans="1:28" x14ac:dyDescent="0.25">
      <c r="A12" s="781"/>
      <c r="B12" s="782">
        <v>5</v>
      </c>
      <c r="C12" s="781" t="s">
        <v>928</v>
      </c>
      <c r="D12" s="783" t="s">
        <v>1365</v>
      </c>
      <c r="E12" s="782" t="s">
        <v>594</v>
      </c>
      <c r="F12" s="781"/>
      <c r="G12" s="784">
        <v>0</v>
      </c>
      <c r="H12" s="784">
        <v>0</v>
      </c>
      <c r="I12" s="784">
        <v>0</v>
      </c>
      <c r="J12" s="784">
        <v>0</v>
      </c>
      <c r="K12" s="784">
        <v>0</v>
      </c>
      <c r="L12" s="784">
        <f t="shared" si="1"/>
        <v>0</v>
      </c>
      <c r="M12" s="882">
        <v>763.11</v>
      </c>
      <c r="N12" s="785">
        <f>'Phan tich don gia'!Q49</f>
        <v>5610</v>
      </c>
      <c r="O12" s="785">
        <f t="shared" si="2"/>
        <v>0</v>
      </c>
      <c r="P12" s="785">
        <f>'Phan tich don gia'!Q52</f>
        <v>378.3</v>
      </c>
      <c r="Q12" s="785">
        <f>0*X12</f>
        <v>0</v>
      </c>
      <c r="R12" s="785">
        <f t="shared" si="3"/>
        <v>4281047.0999999996</v>
      </c>
      <c r="S12" s="785">
        <f t="shared" si="4"/>
        <v>0</v>
      </c>
      <c r="T12" s="785">
        <f t="shared" si="5"/>
        <v>288684.51300000004</v>
      </c>
      <c r="U12" s="785">
        <f t="shared" si="6"/>
        <v>0</v>
      </c>
      <c r="V12" s="781">
        <v>1</v>
      </c>
      <c r="W12" s="781">
        <v>1</v>
      </c>
      <c r="X12" s="781">
        <v>1</v>
      </c>
      <c r="Y12" s="774"/>
      <c r="Z12" s="774"/>
      <c r="AA12" s="774"/>
      <c r="AB12" s="770" t="s">
        <v>493</v>
      </c>
    </row>
    <row r="13" spans="1:28" x14ac:dyDescent="0.25">
      <c r="A13" s="781"/>
      <c r="B13" s="782">
        <v>6</v>
      </c>
      <c r="C13" s="781" t="s">
        <v>1130</v>
      </c>
      <c r="D13" s="783" t="s">
        <v>1273</v>
      </c>
      <c r="E13" s="782" t="s">
        <v>594</v>
      </c>
      <c r="F13" s="781"/>
      <c r="G13" s="784">
        <v>0</v>
      </c>
      <c r="H13" s="784">
        <v>0</v>
      </c>
      <c r="I13" s="784">
        <v>0</v>
      </c>
      <c r="J13" s="784">
        <v>0</v>
      </c>
      <c r="K13" s="784">
        <v>0</v>
      </c>
      <c r="L13" s="784">
        <f t="shared" si="1"/>
        <v>0</v>
      </c>
      <c r="M13" s="882">
        <v>105.49</v>
      </c>
      <c r="N13" s="785">
        <f>'Phan tich don gia'!Q55</f>
        <v>6608.9745113801073</v>
      </c>
      <c r="O13" s="785">
        <f t="shared" si="2"/>
        <v>0</v>
      </c>
      <c r="P13" s="785">
        <f>'Phan tich don gia'!Q59</f>
        <v>31483.550000000003</v>
      </c>
      <c r="Q13" s="785">
        <f>'Phan tich don gia'!Q61</f>
        <v>2047.4392679999999</v>
      </c>
      <c r="R13" s="785">
        <f t="shared" si="3"/>
        <v>697180.7212054875</v>
      </c>
      <c r="S13" s="785">
        <f t="shared" si="4"/>
        <v>0</v>
      </c>
      <c r="T13" s="785">
        <f t="shared" si="5"/>
        <v>3321199.6895000003</v>
      </c>
      <c r="U13" s="785">
        <f t="shared" si="6"/>
        <v>215984.36838131998</v>
      </c>
      <c r="V13" s="781">
        <v>1</v>
      </c>
      <c r="W13" s="781">
        <v>1</v>
      </c>
      <c r="X13" s="781">
        <v>1</v>
      </c>
      <c r="Y13" s="774"/>
      <c r="Z13" s="774"/>
      <c r="AA13" s="774"/>
      <c r="AB13" s="770" t="s">
        <v>493</v>
      </c>
    </row>
    <row r="14" spans="1:28" ht="30" x14ac:dyDescent="0.25">
      <c r="A14" s="781"/>
      <c r="B14" s="782">
        <v>7</v>
      </c>
      <c r="C14" s="781" t="s">
        <v>369</v>
      </c>
      <c r="D14" s="783" t="s">
        <v>737</v>
      </c>
      <c r="E14" s="782" t="s">
        <v>1184</v>
      </c>
      <c r="F14" s="781"/>
      <c r="G14" s="784">
        <v>0</v>
      </c>
      <c r="H14" s="784">
        <v>0</v>
      </c>
      <c r="I14" s="784">
        <v>0</v>
      </c>
      <c r="J14" s="784">
        <v>0</v>
      </c>
      <c r="K14" s="784">
        <v>0</v>
      </c>
      <c r="L14" s="784">
        <f t="shared" si="1"/>
        <v>0</v>
      </c>
      <c r="M14" s="882">
        <v>25</v>
      </c>
      <c r="N14" s="785">
        <f>'Phan tich don gia'!Q65</f>
        <v>3371.1</v>
      </c>
      <c r="O14" s="785">
        <f t="shared" si="2"/>
        <v>0</v>
      </c>
      <c r="P14" s="785">
        <f>'Phan tich don gia'!Q68</f>
        <v>4818.3519999999999</v>
      </c>
      <c r="Q14" s="785">
        <f>'Phan tich don gia'!Q70</f>
        <v>1115.6875400000001</v>
      </c>
      <c r="R14" s="785">
        <f t="shared" si="3"/>
        <v>84277.5</v>
      </c>
      <c r="S14" s="785">
        <f t="shared" si="4"/>
        <v>0</v>
      </c>
      <c r="T14" s="785">
        <f t="shared" si="5"/>
        <v>120458.8</v>
      </c>
      <c r="U14" s="785">
        <f t="shared" si="6"/>
        <v>27892.188500000004</v>
      </c>
      <c r="V14" s="781">
        <v>1</v>
      </c>
      <c r="W14" s="781">
        <v>1</v>
      </c>
      <c r="X14" s="781">
        <v>1</v>
      </c>
      <c r="Y14" s="774"/>
      <c r="Z14" s="774"/>
      <c r="AA14" s="774"/>
      <c r="AB14" s="770" t="s">
        <v>1207</v>
      </c>
    </row>
    <row r="15" spans="1:28" x14ac:dyDescent="0.25">
      <c r="A15" s="781"/>
      <c r="B15" s="782">
        <v>8</v>
      </c>
      <c r="C15" s="781" t="s">
        <v>1182</v>
      </c>
      <c r="D15" s="783" t="s">
        <v>1382</v>
      </c>
      <c r="E15" s="782" t="s">
        <v>180</v>
      </c>
      <c r="F15" s="781"/>
      <c r="G15" s="784">
        <v>0</v>
      </c>
      <c r="H15" s="784">
        <v>0</v>
      </c>
      <c r="I15" s="784">
        <v>0</v>
      </c>
      <c r="J15" s="784">
        <v>0</v>
      </c>
      <c r="K15" s="784">
        <v>0</v>
      </c>
      <c r="L15" s="784">
        <f t="shared" si="1"/>
        <v>0</v>
      </c>
      <c r="M15" s="882">
        <v>0.6</v>
      </c>
      <c r="N15" s="785">
        <f>'Phan tich don gia'!Q73</f>
        <v>239181.84</v>
      </c>
      <c r="O15" s="785">
        <f t="shared" si="2"/>
        <v>0</v>
      </c>
      <c r="P15" s="785">
        <f>'Phan tich don gia'!Q76</f>
        <v>138710</v>
      </c>
      <c r="Q15" s="785">
        <f>'Phan tich don gia'!Q78</f>
        <v>67683.66</v>
      </c>
      <c r="R15" s="785">
        <f t="shared" si="3"/>
        <v>143509.10399999999</v>
      </c>
      <c r="S15" s="785">
        <f t="shared" si="4"/>
        <v>0</v>
      </c>
      <c r="T15" s="785">
        <f t="shared" si="5"/>
        <v>83226</v>
      </c>
      <c r="U15" s="785">
        <f t="shared" si="6"/>
        <v>40610.196000000004</v>
      </c>
      <c r="V15" s="781">
        <v>1</v>
      </c>
      <c r="W15" s="781">
        <v>1</v>
      </c>
      <c r="X15" s="781">
        <v>1</v>
      </c>
      <c r="Y15" s="774"/>
      <c r="Z15" s="774"/>
      <c r="AA15" s="774"/>
      <c r="AB15" s="770" t="s">
        <v>493</v>
      </c>
    </row>
    <row r="16" spans="1:28" ht="30" x14ac:dyDescent="0.25">
      <c r="A16" s="781"/>
      <c r="B16" s="782">
        <v>9</v>
      </c>
      <c r="C16" s="781" t="s">
        <v>880</v>
      </c>
      <c r="D16" s="783" t="s">
        <v>114</v>
      </c>
      <c r="E16" s="782" t="s">
        <v>360</v>
      </c>
      <c r="F16" s="781"/>
      <c r="G16" s="784">
        <v>0</v>
      </c>
      <c r="H16" s="784">
        <v>0</v>
      </c>
      <c r="I16" s="784">
        <v>0</v>
      </c>
      <c r="J16" s="784">
        <v>0</v>
      </c>
      <c r="K16" s="784">
        <v>0</v>
      </c>
      <c r="L16" s="784">
        <f t="shared" si="1"/>
        <v>0</v>
      </c>
      <c r="M16" s="882">
        <v>52.2</v>
      </c>
      <c r="N16" s="785">
        <f>'Phan tich don gia'!Q81</f>
        <v>71896.950000000012</v>
      </c>
      <c r="O16" s="785">
        <f t="shared" si="2"/>
        <v>0</v>
      </c>
      <c r="P16" s="785">
        <f>'Phan tich don gia'!Q83</f>
        <v>38240</v>
      </c>
      <c r="Q16" s="785">
        <f>'Phan tich don gia'!Q85</f>
        <v>22761.1728</v>
      </c>
      <c r="R16" s="785">
        <f t="shared" si="3"/>
        <v>3753020.790000001</v>
      </c>
      <c r="S16" s="785">
        <f t="shared" si="4"/>
        <v>0</v>
      </c>
      <c r="T16" s="785">
        <f t="shared" si="5"/>
        <v>1996128</v>
      </c>
      <c r="U16" s="785">
        <f t="shared" si="6"/>
        <v>1188133.22016</v>
      </c>
      <c r="V16" s="781">
        <v>1</v>
      </c>
      <c r="W16" s="781">
        <v>1</v>
      </c>
      <c r="X16" s="781">
        <v>1</v>
      </c>
      <c r="Y16" s="774"/>
      <c r="Z16" s="774"/>
      <c r="AA16" s="774"/>
      <c r="AB16" s="770" t="s">
        <v>1207</v>
      </c>
    </row>
    <row r="17" spans="1:28" x14ac:dyDescent="0.25">
      <c r="A17" s="781"/>
      <c r="B17" s="782">
        <v>10</v>
      </c>
      <c r="C17" s="781" t="s">
        <v>908</v>
      </c>
      <c r="D17" s="783" t="s">
        <v>1383</v>
      </c>
      <c r="E17" s="782" t="s">
        <v>950</v>
      </c>
      <c r="F17" s="781"/>
      <c r="G17" s="784">
        <v>0</v>
      </c>
      <c r="H17" s="784">
        <v>0</v>
      </c>
      <c r="I17" s="784">
        <v>0</v>
      </c>
      <c r="J17" s="784">
        <v>0</v>
      </c>
      <c r="K17" s="784">
        <v>0</v>
      </c>
      <c r="L17" s="784">
        <f t="shared" si="1"/>
        <v>0</v>
      </c>
      <c r="M17" s="882">
        <v>5.92</v>
      </c>
      <c r="N17" s="785">
        <f t="shared" ref="N17:N21" si="7">0*V17</f>
        <v>0</v>
      </c>
      <c r="O17" s="785">
        <f t="shared" si="2"/>
        <v>0</v>
      </c>
      <c r="P17" s="785">
        <f>'Phan tich don gia'!Q88</f>
        <v>10512.687899999999</v>
      </c>
      <c r="Q17" s="785">
        <f>'Phan tich don gia'!Q90</f>
        <v>17065.195302</v>
      </c>
      <c r="R17" s="785">
        <f t="shared" si="3"/>
        <v>0</v>
      </c>
      <c r="S17" s="785">
        <f t="shared" si="4"/>
        <v>0</v>
      </c>
      <c r="T17" s="785">
        <f t="shared" si="5"/>
        <v>62235.112367999995</v>
      </c>
      <c r="U17" s="785">
        <f t="shared" si="6"/>
        <v>101025.95618784</v>
      </c>
      <c r="V17" s="781">
        <v>1</v>
      </c>
      <c r="W17" s="781">
        <v>1</v>
      </c>
      <c r="X17" s="781">
        <v>1</v>
      </c>
      <c r="Y17" s="774"/>
      <c r="Z17" s="774"/>
      <c r="AA17" s="774"/>
      <c r="AB17" s="770" t="s">
        <v>493</v>
      </c>
    </row>
    <row r="18" spans="1:28" ht="30" x14ac:dyDescent="0.25">
      <c r="A18" s="781"/>
      <c r="B18" s="782">
        <v>11</v>
      </c>
      <c r="C18" s="781" t="s">
        <v>528</v>
      </c>
      <c r="D18" s="783" t="s">
        <v>1384</v>
      </c>
      <c r="E18" s="782" t="s">
        <v>950</v>
      </c>
      <c r="F18" s="781"/>
      <c r="G18" s="784">
        <v>0</v>
      </c>
      <c r="H18" s="784">
        <v>0</v>
      </c>
      <c r="I18" s="784">
        <v>0</v>
      </c>
      <c r="J18" s="784">
        <v>0</v>
      </c>
      <c r="K18" s="784">
        <v>0</v>
      </c>
      <c r="L18" s="784">
        <f t="shared" si="1"/>
        <v>0</v>
      </c>
      <c r="M18" s="882">
        <v>185.83</v>
      </c>
      <c r="N18" s="785">
        <f t="shared" si="7"/>
        <v>0</v>
      </c>
      <c r="O18" s="785">
        <f t="shared" si="2"/>
        <v>0</v>
      </c>
      <c r="P18" s="785">
        <f>'Phan tich don gia'!Q94</f>
        <v>1114.6509000000001</v>
      </c>
      <c r="Q18" s="785">
        <f>'Phan tich don gia'!Q96</f>
        <v>8757.9933689999998</v>
      </c>
      <c r="R18" s="785">
        <f t="shared" si="3"/>
        <v>0</v>
      </c>
      <c r="S18" s="785">
        <f t="shared" si="4"/>
        <v>0</v>
      </c>
      <c r="T18" s="785">
        <f t="shared" si="5"/>
        <v>207135.57674700004</v>
      </c>
      <c r="U18" s="785">
        <f t="shared" si="6"/>
        <v>1627497.9077612702</v>
      </c>
      <c r="V18" s="781">
        <v>1</v>
      </c>
      <c r="W18" s="781">
        <v>1</v>
      </c>
      <c r="X18" s="781">
        <v>1</v>
      </c>
      <c r="Y18" s="774"/>
      <c r="Z18" s="774"/>
      <c r="AA18" s="774"/>
      <c r="AB18" s="770" t="s">
        <v>493</v>
      </c>
    </row>
    <row r="19" spans="1:28" ht="30" x14ac:dyDescent="0.25">
      <c r="A19" s="781"/>
      <c r="B19" s="782">
        <v>12</v>
      </c>
      <c r="C19" s="781" t="s">
        <v>190</v>
      </c>
      <c r="D19" s="783" t="s">
        <v>1385</v>
      </c>
      <c r="E19" s="782" t="s">
        <v>950</v>
      </c>
      <c r="F19" s="781"/>
      <c r="G19" s="784">
        <v>0</v>
      </c>
      <c r="H19" s="784">
        <v>0</v>
      </c>
      <c r="I19" s="784">
        <v>0</v>
      </c>
      <c r="J19" s="784">
        <v>0</v>
      </c>
      <c r="K19" s="784">
        <v>0</v>
      </c>
      <c r="L19" s="784">
        <f t="shared" si="1"/>
        <v>0</v>
      </c>
      <c r="M19" s="882">
        <v>18.11</v>
      </c>
      <c r="N19" s="785">
        <f t="shared" si="7"/>
        <v>0</v>
      </c>
      <c r="O19" s="785">
        <f t="shared" si="2"/>
        <v>0</v>
      </c>
      <c r="P19" s="785">
        <f>'Phan tich don gia'!Q100</f>
        <v>7409.1500999999998</v>
      </c>
      <c r="Q19" s="785">
        <f>'Phan tich don gia'!Q102</f>
        <v>10603.671816999999</v>
      </c>
      <c r="R19" s="785">
        <f t="shared" si="3"/>
        <v>0</v>
      </c>
      <c r="S19" s="785">
        <f t="shared" si="4"/>
        <v>0</v>
      </c>
      <c r="T19" s="785">
        <f t="shared" si="5"/>
        <v>134179.70831099999</v>
      </c>
      <c r="U19" s="785">
        <f t="shared" si="6"/>
        <v>192032.49660586996</v>
      </c>
      <c r="V19" s="781">
        <v>1</v>
      </c>
      <c r="W19" s="781">
        <v>1</v>
      </c>
      <c r="X19" s="781">
        <v>1</v>
      </c>
      <c r="Y19" s="774"/>
      <c r="Z19" s="774"/>
      <c r="AA19" s="774"/>
      <c r="AB19" s="770" t="s">
        <v>493</v>
      </c>
    </row>
    <row r="20" spans="1:28" ht="30" x14ac:dyDescent="0.25">
      <c r="A20" s="781"/>
      <c r="B20" s="782">
        <v>13</v>
      </c>
      <c r="C20" s="781" t="s">
        <v>1261</v>
      </c>
      <c r="D20" s="783" t="s">
        <v>961</v>
      </c>
      <c r="E20" s="782" t="s">
        <v>950</v>
      </c>
      <c r="F20" s="781"/>
      <c r="G20" s="784">
        <v>0</v>
      </c>
      <c r="H20" s="784">
        <v>0</v>
      </c>
      <c r="I20" s="784">
        <v>0</v>
      </c>
      <c r="J20" s="784">
        <v>0</v>
      </c>
      <c r="K20" s="784">
        <v>0</v>
      </c>
      <c r="L20" s="784">
        <f t="shared" si="1"/>
        <v>0</v>
      </c>
      <c r="M20" s="882">
        <v>33.17</v>
      </c>
      <c r="N20" s="785">
        <f t="shared" si="7"/>
        <v>0</v>
      </c>
      <c r="O20" s="785">
        <f t="shared" si="2"/>
        <v>0</v>
      </c>
      <c r="P20" s="785">
        <f>'Phan tich don gia'!Q106</f>
        <v>109279.5</v>
      </c>
      <c r="Q20" s="785">
        <f>'Phan tich don gia'!Q108</f>
        <v>163350.45000000001</v>
      </c>
      <c r="R20" s="785">
        <f t="shared" si="3"/>
        <v>0</v>
      </c>
      <c r="S20" s="785">
        <f t="shared" si="4"/>
        <v>0</v>
      </c>
      <c r="T20" s="785">
        <f t="shared" si="5"/>
        <v>3624801.0150000001</v>
      </c>
      <c r="U20" s="785">
        <f t="shared" si="6"/>
        <v>5418334.426500001</v>
      </c>
      <c r="V20" s="781">
        <v>1</v>
      </c>
      <c r="W20" s="781">
        <v>1</v>
      </c>
      <c r="X20" s="781">
        <v>1</v>
      </c>
      <c r="Y20" s="774"/>
      <c r="Z20" s="774"/>
      <c r="AA20" s="774"/>
      <c r="AB20" s="770" t="s">
        <v>493</v>
      </c>
    </row>
    <row r="21" spans="1:28" ht="30" x14ac:dyDescent="0.25">
      <c r="A21" s="781"/>
      <c r="B21" s="782">
        <v>14</v>
      </c>
      <c r="C21" s="781" t="s">
        <v>980</v>
      </c>
      <c r="D21" s="783" t="s">
        <v>618</v>
      </c>
      <c r="E21" s="782" t="s">
        <v>1069</v>
      </c>
      <c r="F21" s="781"/>
      <c r="G21" s="784">
        <v>0</v>
      </c>
      <c r="H21" s="784">
        <v>0</v>
      </c>
      <c r="I21" s="784">
        <v>0</v>
      </c>
      <c r="J21" s="784">
        <v>0</v>
      </c>
      <c r="K21" s="784">
        <v>0</v>
      </c>
      <c r="L21" s="784">
        <f t="shared" si="1"/>
        <v>0</v>
      </c>
      <c r="M21" s="882">
        <v>7</v>
      </c>
      <c r="N21" s="785">
        <f t="shared" si="7"/>
        <v>0</v>
      </c>
      <c r="O21" s="785">
        <f t="shared" si="2"/>
        <v>0</v>
      </c>
      <c r="P21" s="785">
        <f>'Phan tich don gia'!Q112</f>
        <v>172661.61000000002</v>
      </c>
      <c r="Q21" s="785">
        <f>0*X21</f>
        <v>0</v>
      </c>
      <c r="R21" s="785">
        <f t="shared" si="3"/>
        <v>0</v>
      </c>
      <c r="S21" s="785">
        <f t="shared" si="4"/>
        <v>0</v>
      </c>
      <c r="T21" s="785">
        <f t="shared" si="5"/>
        <v>1208631.27</v>
      </c>
      <c r="U21" s="785">
        <f t="shared" si="6"/>
        <v>0</v>
      </c>
      <c r="V21" s="781">
        <v>1</v>
      </c>
      <c r="W21" s="781">
        <v>1</v>
      </c>
      <c r="X21" s="781">
        <v>1</v>
      </c>
      <c r="Y21" s="774"/>
      <c r="Z21" s="774"/>
      <c r="AA21" s="774"/>
      <c r="AB21" s="770" t="s">
        <v>493</v>
      </c>
    </row>
    <row r="22" spans="1:28" ht="30" x14ac:dyDescent="0.25">
      <c r="A22" s="781"/>
      <c r="B22" s="782">
        <v>15</v>
      </c>
      <c r="C22" s="781" t="s">
        <v>1386</v>
      </c>
      <c r="D22" s="783" t="s">
        <v>1387</v>
      </c>
      <c r="E22" s="782" t="s">
        <v>835</v>
      </c>
      <c r="F22" s="781"/>
      <c r="G22" s="784"/>
      <c r="H22" s="784"/>
      <c r="I22" s="784"/>
      <c r="J22" s="784"/>
      <c r="K22" s="784"/>
      <c r="L22" s="784"/>
      <c r="M22" s="882">
        <v>170.29</v>
      </c>
      <c r="N22" s="785">
        <f>'Phan tich don gia'!Q115</f>
        <v>106005.978</v>
      </c>
      <c r="O22" s="785"/>
      <c r="P22" s="785">
        <f>'Phan tich don gia'!Q117</f>
        <v>3169.1055000000001</v>
      </c>
      <c r="Q22" s="785">
        <f>'Phan tich don gia'!Q119</f>
        <v>8509.0263072500002</v>
      </c>
      <c r="R22" s="785">
        <f t="shared" si="3"/>
        <v>18051757.993620001</v>
      </c>
      <c r="S22" s="785"/>
      <c r="T22" s="785">
        <f>M22*P22</f>
        <v>539666.97559499997</v>
      </c>
      <c r="U22" s="785">
        <f>M22*Q22</f>
        <v>1449002.0898616025</v>
      </c>
      <c r="V22" s="781"/>
      <c r="W22" s="781"/>
      <c r="X22" s="781"/>
      <c r="Y22" s="774"/>
      <c r="Z22" s="774"/>
      <c r="AA22" s="774"/>
    </row>
    <row r="23" spans="1:28" x14ac:dyDescent="0.25">
      <c r="A23" s="781"/>
      <c r="B23" s="782">
        <v>16</v>
      </c>
      <c r="C23" s="781" t="s">
        <v>1388</v>
      </c>
      <c r="D23" s="783" t="s">
        <v>1389</v>
      </c>
      <c r="E23" s="782" t="s">
        <v>1390</v>
      </c>
      <c r="F23" s="781"/>
      <c r="G23" s="784"/>
      <c r="H23" s="784"/>
      <c r="I23" s="784"/>
      <c r="J23" s="784"/>
      <c r="K23" s="784"/>
      <c r="L23" s="784"/>
      <c r="M23" s="882">
        <v>351.47</v>
      </c>
      <c r="N23" s="785"/>
      <c r="O23" s="785"/>
      <c r="P23" s="785"/>
      <c r="Q23" s="785">
        <f>'Phan tich don gia'!Q124</f>
        <v>1485.298</v>
      </c>
      <c r="R23" s="785"/>
      <c r="S23" s="785"/>
      <c r="T23" s="785"/>
      <c r="U23" s="785">
        <f>M23*Q23</f>
        <v>522037.68806000001</v>
      </c>
      <c r="V23" s="781"/>
      <c r="W23" s="781"/>
      <c r="X23" s="781"/>
      <c r="Y23" s="774"/>
      <c r="Z23" s="774"/>
      <c r="AA23" s="774"/>
    </row>
    <row r="24" spans="1:28" ht="30" x14ac:dyDescent="0.25">
      <c r="A24" s="781"/>
      <c r="B24" s="782">
        <v>17</v>
      </c>
      <c r="C24" s="781" t="s">
        <v>1369</v>
      </c>
      <c r="D24" s="783" t="s">
        <v>1370</v>
      </c>
      <c r="E24" s="782" t="s">
        <v>594</v>
      </c>
      <c r="F24" s="781"/>
      <c r="G24" s="784">
        <v>0</v>
      </c>
      <c r="H24" s="784">
        <v>0</v>
      </c>
      <c r="I24" s="784">
        <v>0</v>
      </c>
      <c r="J24" s="784">
        <v>0</v>
      </c>
      <c r="K24" s="784">
        <v>0</v>
      </c>
      <c r="L24" s="784">
        <f t="shared" si="1"/>
        <v>0</v>
      </c>
      <c r="M24" s="882">
        <v>6.6</v>
      </c>
      <c r="N24" s="785">
        <f>'Phan tich don gia'!Q127</f>
        <v>482371.54560000001</v>
      </c>
      <c r="O24" s="785">
        <f t="shared" si="2"/>
        <v>0</v>
      </c>
      <c r="P24" s="785">
        <f>'Phan tich don gia'!Q132</f>
        <v>65572</v>
      </c>
      <c r="Q24" s="785">
        <f>'Phan tich don gia'!Q134</f>
        <v>153139.42992</v>
      </c>
      <c r="R24" s="785">
        <f t="shared" si="3"/>
        <v>3183652.20096</v>
      </c>
      <c r="S24" s="785">
        <f t="shared" si="4"/>
        <v>0</v>
      </c>
      <c r="T24" s="785">
        <f t="shared" si="5"/>
        <v>432775.19999999995</v>
      </c>
      <c r="U24" s="785">
        <f t="shared" si="6"/>
        <v>1010720.2374719999</v>
      </c>
      <c r="V24" s="781">
        <v>1</v>
      </c>
      <c r="W24" s="781">
        <v>1</v>
      </c>
      <c r="X24" s="781">
        <v>1</v>
      </c>
      <c r="Y24" s="774"/>
      <c r="Z24" s="774"/>
      <c r="AA24" s="774"/>
      <c r="AB24" s="770" t="s">
        <v>493</v>
      </c>
    </row>
    <row r="25" spans="1:28" ht="30" x14ac:dyDescent="0.25">
      <c r="A25" s="781"/>
      <c r="B25" s="782">
        <v>18</v>
      </c>
      <c r="C25" s="781" t="s">
        <v>279</v>
      </c>
      <c r="D25" s="783" t="s">
        <v>1404</v>
      </c>
      <c r="E25" s="782" t="s">
        <v>950</v>
      </c>
      <c r="F25" s="781"/>
      <c r="G25" s="784">
        <v>0</v>
      </c>
      <c r="H25" s="784">
        <v>0</v>
      </c>
      <c r="I25" s="784">
        <v>0</v>
      </c>
      <c r="J25" s="784">
        <v>0</v>
      </c>
      <c r="K25" s="784">
        <v>0</v>
      </c>
      <c r="L25" s="784">
        <f t="shared" si="1"/>
        <v>0</v>
      </c>
      <c r="M25" s="882">
        <v>0.2</v>
      </c>
      <c r="N25" s="785">
        <f>0*V25</f>
        <v>0</v>
      </c>
      <c r="O25" s="785">
        <f t="shared" si="2"/>
        <v>0</v>
      </c>
      <c r="P25" s="785">
        <f>'Phan tich don gia'!Q140</f>
        <v>410890.92</v>
      </c>
      <c r="Q25" s="785">
        <f>'Phan tich don gia'!Q142</f>
        <v>24685.200000000001</v>
      </c>
      <c r="R25" s="785">
        <f t="shared" si="3"/>
        <v>0</v>
      </c>
      <c r="S25" s="785">
        <f t="shared" si="4"/>
        <v>0</v>
      </c>
      <c r="T25" s="785">
        <f t="shared" si="5"/>
        <v>82178.184000000008</v>
      </c>
      <c r="U25" s="785">
        <f t="shared" si="6"/>
        <v>4937.0400000000009</v>
      </c>
      <c r="V25" s="781">
        <v>1</v>
      </c>
      <c r="W25" s="781">
        <v>1</v>
      </c>
      <c r="X25" s="781">
        <v>1</v>
      </c>
      <c r="Y25" s="774"/>
      <c r="Z25" s="774"/>
      <c r="AA25" s="774"/>
      <c r="AB25" s="770" t="s">
        <v>493</v>
      </c>
    </row>
    <row r="26" spans="1:28" x14ac:dyDescent="0.25">
      <c r="A26" s="781"/>
      <c r="B26" s="782">
        <v>19</v>
      </c>
      <c r="C26" s="781" t="s">
        <v>11</v>
      </c>
      <c r="D26" s="783" t="s">
        <v>815</v>
      </c>
      <c r="E26" s="782" t="s">
        <v>594</v>
      </c>
      <c r="F26" s="781"/>
      <c r="G26" s="784">
        <v>0</v>
      </c>
      <c r="H26" s="784">
        <v>0</v>
      </c>
      <c r="I26" s="784">
        <v>0</v>
      </c>
      <c r="J26" s="784">
        <v>0</v>
      </c>
      <c r="K26" s="784">
        <v>0</v>
      </c>
      <c r="L26" s="784">
        <f t="shared" si="1"/>
        <v>0</v>
      </c>
      <c r="M26" s="882">
        <v>1.1200000000000001</v>
      </c>
      <c r="N26" s="785">
        <f>'Phan tich don gia'!Q145</f>
        <v>29192.397959999998</v>
      </c>
      <c r="O26" s="785">
        <f t="shared" si="2"/>
        <v>0</v>
      </c>
      <c r="P26" s="785">
        <f>'Phan tich don gia'!Q148</f>
        <v>40352</v>
      </c>
      <c r="Q26" s="785">
        <f t="shared" ref="Q26:Q27" si="8">0*X26</f>
        <v>0</v>
      </c>
      <c r="R26" s="785">
        <f t="shared" si="3"/>
        <v>32695.4857152</v>
      </c>
      <c r="S26" s="785">
        <f t="shared" si="4"/>
        <v>0</v>
      </c>
      <c r="T26" s="785">
        <f t="shared" si="5"/>
        <v>45194.240000000005</v>
      </c>
      <c r="U26" s="785">
        <f t="shared" si="6"/>
        <v>0</v>
      </c>
      <c r="V26" s="781">
        <v>1</v>
      </c>
      <c r="W26" s="781">
        <v>1</v>
      </c>
      <c r="X26" s="781">
        <v>1</v>
      </c>
      <c r="Y26" s="774"/>
      <c r="Z26" s="774"/>
      <c r="AA26" s="774"/>
      <c r="AB26" s="770" t="s">
        <v>1207</v>
      </c>
    </row>
    <row r="27" spans="1:28" x14ac:dyDescent="0.25">
      <c r="A27" s="781"/>
      <c r="B27" s="782">
        <v>20</v>
      </c>
      <c r="C27" s="781" t="s">
        <v>1041</v>
      </c>
      <c r="D27" s="783" t="s">
        <v>253</v>
      </c>
      <c r="E27" s="782" t="s">
        <v>594</v>
      </c>
      <c r="F27" s="781"/>
      <c r="G27" s="784">
        <v>0</v>
      </c>
      <c r="H27" s="784">
        <v>0</v>
      </c>
      <c r="I27" s="784">
        <v>0</v>
      </c>
      <c r="J27" s="784">
        <v>0</v>
      </c>
      <c r="K27" s="784">
        <v>0</v>
      </c>
      <c r="L27" s="784">
        <f t="shared" si="1"/>
        <v>0</v>
      </c>
      <c r="M27" s="882">
        <v>0.38</v>
      </c>
      <c r="N27" s="785">
        <f>'Phan tich don gia'!Q151</f>
        <v>451000.00000000006</v>
      </c>
      <c r="O27" s="785">
        <f t="shared" si="2"/>
        <v>0</v>
      </c>
      <c r="P27" s="785">
        <f>'Phan tich don gia'!Q153</f>
        <v>109508</v>
      </c>
      <c r="Q27" s="785">
        <f t="shared" si="8"/>
        <v>0</v>
      </c>
      <c r="R27" s="785">
        <f t="shared" si="3"/>
        <v>171380.00000000003</v>
      </c>
      <c r="S27" s="785">
        <f t="shared" si="4"/>
        <v>0</v>
      </c>
      <c r="T27" s="785">
        <f t="shared" si="5"/>
        <v>41613.040000000001</v>
      </c>
      <c r="U27" s="785">
        <f t="shared" si="6"/>
        <v>0</v>
      </c>
      <c r="V27" s="781">
        <v>1</v>
      </c>
      <c r="W27" s="781">
        <v>1</v>
      </c>
      <c r="X27" s="781">
        <v>1</v>
      </c>
      <c r="Y27" s="774"/>
      <c r="Z27" s="774"/>
      <c r="AA27" s="774"/>
      <c r="AB27" s="770" t="s">
        <v>1207</v>
      </c>
    </row>
    <row r="28" spans="1:28" ht="30" x14ac:dyDescent="0.25">
      <c r="A28" s="781"/>
      <c r="B28" s="782">
        <v>21</v>
      </c>
      <c r="C28" s="781" t="s">
        <v>1074</v>
      </c>
      <c r="D28" s="783" t="s">
        <v>287</v>
      </c>
      <c r="E28" s="782" t="s">
        <v>630</v>
      </c>
      <c r="F28" s="781"/>
      <c r="G28" s="784">
        <v>0</v>
      </c>
      <c r="H28" s="784">
        <v>0</v>
      </c>
      <c r="I28" s="784">
        <v>0</v>
      </c>
      <c r="J28" s="784">
        <v>0</v>
      </c>
      <c r="K28" s="784">
        <v>0</v>
      </c>
      <c r="L28" s="784">
        <f t="shared" si="1"/>
        <v>0</v>
      </c>
      <c r="M28" s="882">
        <v>1</v>
      </c>
      <c r="N28" s="785">
        <f>'Phan tich don gia'!Q156</f>
        <v>78213.649980450224</v>
      </c>
      <c r="O28" s="785">
        <f t="shared" si="2"/>
        <v>0</v>
      </c>
      <c r="P28" s="785">
        <f>'Phan tich don gia'!Q161</f>
        <v>156364</v>
      </c>
      <c r="Q28" s="785">
        <f>'Phan tich don gia'!Q163</f>
        <v>26333.440000000002</v>
      </c>
      <c r="R28" s="785">
        <f t="shared" si="3"/>
        <v>78213.649980450224</v>
      </c>
      <c r="S28" s="785">
        <f t="shared" si="4"/>
        <v>0</v>
      </c>
      <c r="T28" s="785">
        <f t="shared" si="5"/>
        <v>156364</v>
      </c>
      <c r="U28" s="785">
        <f t="shared" si="6"/>
        <v>26333.440000000002</v>
      </c>
      <c r="V28" s="781">
        <v>1</v>
      </c>
      <c r="W28" s="781">
        <v>1</v>
      </c>
      <c r="X28" s="781">
        <v>1</v>
      </c>
      <c r="Y28" s="774"/>
      <c r="Z28" s="774"/>
      <c r="AA28" s="774"/>
      <c r="AB28" s="770" t="s">
        <v>493</v>
      </c>
    </row>
    <row r="29" spans="1:28" ht="30" x14ac:dyDescent="0.25">
      <c r="A29" s="781"/>
      <c r="B29" s="782">
        <v>22</v>
      </c>
      <c r="C29" s="781" t="s">
        <v>994</v>
      </c>
      <c r="D29" s="783" t="s">
        <v>344</v>
      </c>
      <c r="E29" s="782" t="s">
        <v>835</v>
      </c>
      <c r="F29" s="781"/>
      <c r="G29" s="784">
        <v>0</v>
      </c>
      <c r="H29" s="784">
        <v>0</v>
      </c>
      <c r="I29" s="784">
        <v>0</v>
      </c>
      <c r="J29" s="784">
        <v>0</v>
      </c>
      <c r="K29" s="784">
        <v>0</v>
      </c>
      <c r="L29" s="784">
        <f t="shared" si="1"/>
        <v>0</v>
      </c>
      <c r="M29" s="882">
        <v>0.44</v>
      </c>
      <c r="N29" s="785">
        <f t="shared" ref="N29:N30" si="9">0*V29</f>
        <v>0</v>
      </c>
      <c r="O29" s="785">
        <f t="shared" si="2"/>
        <v>0</v>
      </c>
      <c r="P29" s="785">
        <f>'Phan tich don gia'!Q166</f>
        <v>415262.1</v>
      </c>
      <c r="Q29" s="785">
        <f t="shared" ref="Q29:Q30" si="10">0*X29</f>
        <v>0</v>
      </c>
      <c r="R29" s="785">
        <f t="shared" si="3"/>
        <v>0</v>
      </c>
      <c r="S29" s="785">
        <f t="shared" si="4"/>
        <v>0</v>
      </c>
      <c r="T29" s="785">
        <f t="shared" si="5"/>
        <v>182715.32399999999</v>
      </c>
      <c r="U29" s="785">
        <f t="shared" si="6"/>
        <v>0</v>
      </c>
      <c r="V29" s="781">
        <v>1</v>
      </c>
      <c r="W29" s="781">
        <v>1</v>
      </c>
      <c r="X29" s="781">
        <v>1</v>
      </c>
      <c r="Y29" s="774"/>
      <c r="Z29" s="774"/>
      <c r="AA29" s="774"/>
      <c r="AB29" s="770" t="s">
        <v>493</v>
      </c>
    </row>
    <row r="30" spans="1:28" ht="30" x14ac:dyDescent="0.25">
      <c r="A30" s="781"/>
      <c r="B30" s="782">
        <v>23</v>
      </c>
      <c r="C30" s="781" t="s">
        <v>418</v>
      </c>
      <c r="D30" s="783" t="s">
        <v>302</v>
      </c>
      <c r="E30" s="782" t="s">
        <v>950</v>
      </c>
      <c r="F30" s="781"/>
      <c r="G30" s="784">
        <v>0</v>
      </c>
      <c r="H30" s="784">
        <v>0</v>
      </c>
      <c r="I30" s="784">
        <v>0</v>
      </c>
      <c r="J30" s="784">
        <v>0</v>
      </c>
      <c r="K30" s="784">
        <v>0</v>
      </c>
      <c r="L30" s="784">
        <f t="shared" si="1"/>
        <v>0</v>
      </c>
      <c r="M30" s="882">
        <v>0.25</v>
      </c>
      <c r="N30" s="785">
        <f t="shared" si="9"/>
        <v>0</v>
      </c>
      <c r="O30" s="785">
        <f t="shared" si="2"/>
        <v>0</v>
      </c>
      <c r="P30" s="785">
        <f>'Phan tich don gia'!Q169</f>
        <v>122393.04000000001</v>
      </c>
      <c r="Q30" s="785">
        <f t="shared" si="10"/>
        <v>0</v>
      </c>
      <c r="R30" s="785">
        <f t="shared" si="3"/>
        <v>0</v>
      </c>
      <c r="S30" s="785">
        <f t="shared" si="4"/>
        <v>0</v>
      </c>
      <c r="T30" s="785">
        <f t="shared" si="5"/>
        <v>30598.260000000002</v>
      </c>
      <c r="U30" s="785">
        <f t="shared" si="6"/>
        <v>0</v>
      </c>
      <c r="V30" s="781">
        <v>1</v>
      </c>
      <c r="W30" s="781">
        <v>1</v>
      </c>
      <c r="X30" s="781">
        <v>1</v>
      </c>
      <c r="Y30" s="774"/>
      <c r="Z30" s="774"/>
      <c r="AA30" s="774"/>
      <c r="AB30" s="770" t="s">
        <v>493</v>
      </c>
    </row>
    <row r="31" spans="1:28" x14ac:dyDescent="0.25">
      <c r="A31" s="781"/>
      <c r="B31" s="782"/>
      <c r="C31" s="781"/>
      <c r="D31" s="786" t="s">
        <v>1325</v>
      </c>
      <c r="E31" s="782"/>
      <c r="F31" s="781"/>
      <c r="G31" s="784"/>
      <c r="H31" s="784"/>
      <c r="I31" s="784"/>
      <c r="J31" s="784"/>
      <c r="K31" s="784"/>
      <c r="L31" s="784"/>
      <c r="M31" s="882"/>
      <c r="N31" s="785"/>
      <c r="O31" s="785"/>
      <c r="P31" s="785"/>
      <c r="Q31" s="785"/>
      <c r="R31" s="861">
        <f>SUM(R32:R49)</f>
        <v>9758633.3491577096</v>
      </c>
      <c r="S31" s="861">
        <f t="shared" ref="S31:U31" si="11">SUM(S32:S49)</f>
        <v>0</v>
      </c>
      <c r="T31" s="861">
        <f t="shared" si="11"/>
        <v>5614544.7147149993</v>
      </c>
      <c r="U31" s="861">
        <f t="shared" si="11"/>
        <v>788607.82663191995</v>
      </c>
      <c r="V31" s="781"/>
      <c r="W31" s="781"/>
      <c r="X31" s="781"/>
      <c r="Y31" s="774"/>
      <c r="Z31" s="774"/>
      <c r="AA31" s="774"/>
    </row>
    <row r="32" spans="1:28" ht="45" x14ac:dyDescent="0.25">
      <c r="A32" s="781"/>
      <c r="B32" s="782">
        <v>24</v>
      </c>
      <c r="C32" s="781" t="s">
        <v>510</v>
      </c>
      <c r="D32" s="783" t="s">
        <v>260</v>
      </c>
      <c r="E32" s="782" t="s">
        <v>950</v>
      </c>
      <c r="F32" s="781"/>
      <c r="G32" s="784">
        <v>0</v>
      </c>
      <c r="H32" s="784">
        <v>0</v>
      </c>
      <c r="I32" s="784">
        <v>0</v>
      </c>
      <c r="J32" s="784">
        <v>0</v>
      </c>
      <c r="K32" s="784">
        <v>0</v>
      </c>
      <c r="L32" s="784">
        <f t="shared" si="1"/>
        <v>0</v>
      </c>
      <c r="M32" s="882">
        <v>2.63</v>
      </c>
      <c r="N32" s="785">
        <f>'Phan tich don gia'!Q172</f>
        <v>979816.61098329537</v>
      </c>
      <c r="O32" s="785">
        <f t="shared" si="2"/>
        <v>0</v>
      </c>
      <c r="P32" s="785">
        <f>'Phan tich don gia'!Q178</f>
        <v>557362</v>
      </c>
      <c r="Q32" s="785">
        <f>'Phan tich don gia'!Q180</f>
        <v>53736.607000000004</v>
      </c>
      <c r="R32" s="785">
        <f t="shared" si="3"/>
        <v>2576917.6868860666</v>
      </c>
      <c r="S32" s="785">
        <f t="shared" si="4"/>
        <v>0</v>
      </c>
      <c r="T32" s="785">
        <f t="shared" si="5"/>
        <v>1465862.06</v>
      </c>
      <c r="U32" s="785">
        <f t="shared" si="6"/>
        <v>141327.27640999999</v>
      </c>
      <c r="V32" s="781">
        <v>1</v>
      </c>
      <c r="W32" s="781">
        <v>1</v>
      </c>
      <c r="X32" s="781">
        <v>1</v>
      </c>
      <c r="Y32" s="774"/>
      <c r="Z32" s="774"/>
      <c r="AA32" s="774"/>
      <c r="AB32" s="770" t="s">
        <v>493</v>
      </c>
    </row>
    <row r="33" spans="1:28" x14ac:dyDescent="0.25">
      <c r="A33" s="781"/>
      <c r="B33" s="782">
        <v>25</v>
      </c>
      <c r="C33" s="781" t="s">
        <v>491</v>
      </c>
      <c r="D33" s="783" t="s">
        <v>1376</v>
      </c>
      <c r="E33" s="782" t="s">
        <v>165</v>
      </c>
      <c r="F33" s="781"/>
      <c r="G33" s="784">
        <v>0</v>
      </c>
      <c r="H33" s="784">
        <v>0</v>
      </c>
      <c r="I33" s="784">
        <v>0</v>
      </c>
      <c r="J33" s="784">
        <v>0</v>
      </c>
      <c r="K33" s="784">
        <v>0</v>
      </c>
      <c r="L33" s="784">
        <f t="shared" si="1"/>
        <v>0</v>
      </c>
      <c r="M33" s="882">
        <v>0.23899999999999999</v>
      </c>
      <c r="N33" s="785">
        <f>'Phan tich don gia'!Q184</f>
        <v>14800769.27537195</v>
      </c>
      <c r="O33" s="785">
        <f t="shared" si="2"/>
        <v>0</v>
      </c>
      <c r="P33" s="785">
        <f>'Phan tich don gia'!Q187</f>
        <v>4673266</v>
      </c>
      <c r="Q33" s="785">
        <f>'Phan tich don gia'!Q189</f>
        <v>109490.40000000001</v>
      </c>
      <c r="R33" s="785">
        <f t="shared" si="3"/>
        <v>3537383.856813896</v>
      </c>
      <c r="S33" s="785">
        <f t="shared" si="4"/>
        <v>0</v>
      </c>
      <c r="T33" s="785">
        <f t="shared" si="5"/>
        <v>1116910.574</v>
      </c>
      <c r="U33" s="785">
        <f t="shared" si="6"/>
        <v>26168.205600000001</v>
      </c>
      <c r="V33" s="781">
        <v>1</v>
      </c>
      <c r="W33" s="781">
        <v>1</v>
      </c>
      <c r="X33" s="781">
        <v>1</v>
      </c>
      <c r="Y33" s="774"/>
      <c r="Z33" s="774"/>
      <c r="AA33" s="774"/>
      <c r="AB33" s="770" t="s">
        <v>493</v>
      </c>
    </row>
    <row r="34" spans="1:28" x14ac:dyDescent="0.25">
      <c r="A34" s="781"/>
      <c r="B34" s="782">
        <v>26</v>
      </c>
      <c r="C34" s="781" t="s">
        <v>558</v>
      </c>
      <c r="D34" s="783" t="s">
        <v>1377</v>
      </c>
      <c r="E34" s="782" t="s">
        <v>165</v>
      </c>
      <c r="F34" s="781"/>
      <c r="G34" s="784">
        <v>0</v>
      </c>
      <c r="H34" s="784">
        <v>0</v>
      </c>
      <c r="I34" s="784">
        <v>0</v>
      </c>
      <c r="J34" s="784">
        <v>0</v>
      </c>
      <c r="K34" s="784">
        <v>0</v>
      </c>
      <c r="L34" s="784">
        <f t="shared" si="1"/>
        <v>0</v>
      </c>
      <c r="M34" s="882">
        <v>6.3E-2</v>
      </c>
      <c r="N34" s="785">
        <f>'Phan tich don gia'!Q192</f>
        <v>15079818.7123178</v>
      </c>
      <c r="O34" s="785">
        <f t="shared" si="2"/>
        <v>0</v>
      </c>
      <c r="P34" s="785">
        <f>'Phan tich don gia'!Q196</f>
        <v>3666988</v>
      </c>
      <c r="Q34" s="785">
        <f>'Phan tich don gia'!Q198</f>
        <v>1182045.1500000001</v>
      </c>
      <c r="R34" s="785">
        <f t="shared" si="3"/>
        <v>950028.57887602143</v>
      </c>
      <c r="S34" s="785">
        <f t="shared" si="4"/>
        <v>0</v>
      </c>
      <c r="T34" s="785">
        <f t="shared" si="5"/>
        <v>231020.24400000001</v>
      </c>
      <c r="U34" s="785">
        <f t="shared" si="6"/>
        <v>74468.844450000004</v>
      </c>
      <c r="V34" s="781">
        <v>1</v>
      </c>
      <c r="W34" s="781">
        <v>1</v>
      </c>
      <c r="X34" s="781">
        <v>1</v>
      </c>
      <c r="Y34" s="774"/>
      <c r="Z34" s="774"/>
      <c r="AA34" s="774"/>
      <c r="AB34" s="770" t="s">
        <v>493</v>
      </c>
    </row>
    <row r="35" spans="1:28" ht="30" x14ac:dyDescent="0.25">
      <c r="A35" s="781"/>
      <c r="B35" s="782">
        <v>27</v>
      </c>
      <c r="C35" s="781" t="s">
        <v>1102</v>
      </c>
      <c r="D35" s="783" t="s">
        <v>591</v>
      </c>
      <c r="E35" s="782" t="s">
        <v>594</v>
      </c>
      <c r="F35" s="781"/>
      <c r="G35" s="784">
        <v>0</v>
      </c>
      <c r="H35" s="784">
        <v>0</v>
      </c>
      <c r="I35" s="784">
        <v>0</v>
      </c>
      <c r="J35" s="784">
        <v>0</v>
      </c>
      <c r="K35" s="784">
        <v>0</v>
      </c>
      <c r="L35" s="784">
        <f t="shared" si="1"/>
        <v>0</v>
      </c>
      <c r="M35" s="882">
        <v>21.33</v>
      </c>
      <c r="N35" s="785">
        <f>'Phan tich don gia'!Q202</f>
        <v>21219.530749447866</v>
      </c>
      <c r="O35" s="785">
        <f t="shared" si="2"/>
        <v>0</v>
      </c>
      <c r="P35" s="785">
        <f>'Phan tich don gia'!Q207</f>
        <v>78024.45</v>
      </c>
      <c r="Q35" s="785">
        <f>'Phan tich don gia'!Q209</f>
        <v>7312.2830999999996</v>
      </c>
      <c r="R35" s="785">
        <f t="shared" si="3"/>
        <v>452612.59088572295</v>
      </c>
      <c r="S35" s="785">
        <f t="shared" si="4"/>
        <v>0</v>
      </c>
      <c r="T35" s="785">
        <f t="shared" si="5"/>
        <v>1664261.5184999998</v>
      </c>
      <c r="U35" s="785">
        <f t="shared" si="6"/>
        <v>155970.99852299999</v>
      </c>
      <c r="V35" s="781">
        <v>1</v>
      </c>
      <c r="W35" s="781">
        <v>1</v>
      </c>
      <c r="X35" s="781">
        <v>1</v>
      </c>
      <c r="Y35" s="774"/>
      <c r="Z35" s="774"/>
      <c r="AA35" s="774"/>
      <c r="AB35" s="770" t="s">
        <v>493</v>
      </c>
    </row>
    <row r="36" spans="1:28" ht="45" x14ac:dyDescent="0.25">
      <c r="A36" s="781"/>
      <c r="B36" s="782">
        <v>28</v>
      </c>
      <c r="C36" s="781" t="s">
        <v>1067</v>
      </c>
      <c r="D36" s="783" t="s">
        <v>1398</v>
      </c>
      <c r="E36" s="782" t="s">
        <v>950</v>
      </c>
      <c r="F36" s="781"/>
      <c r="G36" s="784">
        <v>0</v>
      </c>
      <c r="H36" s="784">
        <v>0</v>
      </c>
      <c r="I36" s="784">
        <v>0</v>
      </c>
      <c r="J36" s="784">
        <v>0</v>
      </c>
      <c r="K36" s="784">
        <v>0</v>
      </c>
      <c r="L36" s="784">
        <f t="shared" si="1"/>
        <v>0</v>
      </c>
      <c r="M36" s="882">
        <v>0.59</v>
      </c>
      <c r="N36" s="785">
        <f>'Phan tich don gia'!Q213</f>
        <v>834624.02152202884</v>
      </c>
      <c r="O36" s="785">
        <f t="shared" si="2"/>
        <v>0</v>
      </c>
      <c r="P36" s="785">
        <f>'Phan tich don gia'!Q219</f>
        <v>283674.90000000002</v>
      </c>
      <c r="Q36" s="785">
        <f>'Phan tich don gia'!Q221</f>
        <v>53736.607000000004</v>
      </c>
      <c r="R36" s="785">
        <f t="shared" si="3"/>
        <v>492428.17269799701</v>
      </c>
      <c r="S36" s="785">
        <f t="shared" si="4"/>
        <v>0</v>
      </c>
      <c r="T36" s="785">
        <f t="shared" si="5"/>
        <v>167368.19099999999</v>
      </c>
      <c r="U36" s="785">
        <f t="shared" si="6"/>
        <v>31704.598130000002</v>
      </c>
      <c r="V36" s="781">
        <v>1</v>
      </c>
      <c r="W36" s="781">
        <v>1</v>
      </c>
      <c r="X36" s="781">
        <v>1</v>
      </c>
      <c r="Y36" s="774"/>
      <c r="Z36" s="774"/>
      <c r="AA36" s="774"/>
      <c r="AB36" s="770" t="s">
        <v>493</v>
      </c>
    </row>
    <row r="37" spans="1:28" x14ac:dyDescent="0.25">
      <c r="A37" s="781"/>
      <c r="B37" s="782">
        <v>29</v>
      </c>
      <c r="C37" s="781" t="s">
        <v>885</v>
      </c>
      <c r="D37" s="783" t="s">
        <v>1240</v>
      </c>
      <c r="E37" s="782" t="s">
        <v>594</v>
      </c>
      <c r="F37" s="781"/>
      <c r="G37" s="784">
        <v>0</v>
      </c>
      <c r="H37" s="784">
        <v>0</v>
      </c>
      <c r="I37" s="784">
        <v>0</v>
      </c>
      <c r="J37" s="784">
        <v>0</v>
      </c>
      <c r="K37" s="784">
        <v>0</v>
      </c>
      <c r="L37" s="784">
        <f t="shared" si="1"/>
        <v>0</v>
      </c>
      <c r="M37" s="882">
        <v>1.78</v>
      </c>
      <c r="N37" s="785">
        <f>'Phan tich don gia'!Q225</f>
        <v>17413.044164636009</v>
      </c>
      <c r="O37" s="785">
        <f t="shared" si="2"/>
        <v>0</v>
      </c>
      <c r="P37" s="785">
        <f>'Phan tich don gia'!Q230</f>
        <v>33536.824999999997</v>
      </c>
      <c r="Q37" s="785">
        <f>'Phan tich don gia'!Q232</f>
        <v>3997.3814280000001</v>
      </c>
      <c r="R37" s="785">
        <f t="shared" si="3"/>
        <v>30995.218613052097</v>
      </c>
      <c r="S37" s="785">
        <f t="shared" si="4"/>
        <v>0</v>
      </c>
      <c r="T37" s="785">
        <f t="shared" si="5"/>
        <v>59695.548499999997</v>
      </c>
      <c r="U37" s="785">
        <f t="shared" si="6"/>
        <v>7115.3389418400002</v>
      </c>
      <c r="V37" s="781">
        <v>1</v>
      </c>
      <c r="W37" s="781">
        <v>1</v>
      </c>
      <c r="X37" s="781">
        <v>1</v>
      </c>
      <c r="Y37" s="774"/>
      <c r="Z37" s="774"/>
      <c r="AA37" s="774"/>
      <c r="AB37" s="770" t="s">
        <v>493</v>
      </c>
    </row>
    <row r="38" spans="1:28" ht="45" x14ac:dyDescent="0.25">
      <c r="A38" s="781"/>
      <c r="B38" s="782">
        <v>30</v>
      </c>
      <c r="C38" s="781" t="s">
        <v>787</v>
      </c>
      <c r="D38" s="783" t="s">
        <v>1399</v>
      </c>
      <c r="E38" s="782" t="s">
        <v>950</v>
      </c>
      <c r="F38" s="781"/>
      <c r="G38" s="784">
        <v>0</v>
      </c>
      <c r="H38" s="784">
        <v>0</v>
      </c>
      <c r="I38" s="784">
        <v>0</v>
      </c>
      <c r="J38" s="784">
        <v>0</v>
      </c>
      <c r="K38" s="784">
        <v>0</v>
      </c>
      <c r="L38" s="784">
        <f t="shared" si="1"/>
        <v>0</v>
      </c>
      <c r="M38" s="882">
        <v>0.15</v>
      </c>
      <c r="N38" s="785">
        <f>'Phan tich don gia'!Q236</f>
        <v>834624.02152202884</v>
      </c>
      <c r="O38" s="785">
        <f t="shared" si="2"/>
        <v>0</v>
      </c>
      <c r="P38" s="785">
        <f>'Phan tich don gia'!Q242</f>
        <v>627978</v>
      </c>
      <c r="Q38" s="785">
        <f>'Phan tich don gia'!Q244</f>
        <v>77865.53</v>
      </c>
      <c r="R38" s="785">
        <f t="shared" si="3"/>
        <v>125193.60322830432</v>
      </c>
      <c r="S38" s="785">
        <f t="shared" si="4"/>
        <v>0</v>
      </c>
      <c r="T38" s="785">
        <f t="shared" si="5"/>
        <v>94196.7</v>
      </c>
      <c r="U38" s="785">
        <f t="shared" si="6"/>
        <v>11679.8295</v>
      </c>
      <c r="V38" s="781">
        <v>1</v>
      </c>
      <c r="W38" s="781">
        <v>1</v>
      </c>
      <c r="X38" s="781">
        <v>1</v>
      </c>
      <c r="Y38" s="774"/>
      <c r="Z38" s="774"/>
      <c r="AA38" s="774"/>
      <c r="AB38" s="770" t="s">
        <v>493</v>
      </c>
    </row>
    <row r="39" spans="1:28" ht="30" x14ac:dyDescent="0.25">
      <c r="A39" s="781"/>
      <c r="B39" s="782">
        <v>31</v>
      </c>
      <c r="C39" s="781" t="s">
        <v>1102</v>
      </c>
      <c r="D39" s="783" t="s">
        <v>1400</v>
      </c>
      <c r="E39" s="782" t="s">
        <v>594</v>
      </c>
      <c r="F39" s="781"/>
      <c r="G39" s="784">
        <v>0</v>
      </c>
      <c r="H39" s="784">
        <v>0</v>
      </c>
      <c r="I39" s="784">
        <v>0</v>
      </c>
      <c r="J39" s="784">
        <v>0</v>
      </c>
      <c r="K39" s="784">
        <v>0</v>
      </c>
      <c r="L39" s="784">
        <f t="shared" si="1"/>
        <v>0</v>
      </c>
      <c r="M39" s="882">
        <v>0.81</v>
      </c>
      <c r="N39" s="785">
        <f>'Phan tich don gia'!Q248</f>
        <v>21219.530749447866</v>
      </c>
      <c r="O39" s="785">
        <f t="shared" si="2"/>
        <v>0</v>
      </c>
      <c r="P39" s="785">
        <f>'Phan tich don gia'!Q253</f>
        <v>78024.45</v>
      </c>
      <c r="Q39" s="785">
        <f>'Phan tich don gia'!Q255</f>
        <v>7312.2830999999996</v>
      </c>
      <c r="R39" s="785">
        <f t="shared" si="3"/>
        <v>17187.819907052773</v>
      </c>
      <c r="S39" s="785">
        <f t="shared" si="4"/>
        <v>0</v>
      </c>
      <c r="T39" s="785">
        <f t="shared" si="5"/>
        <v>63199.804499999998</v>
      </c>
      <c r="U39" s="785">
        <f t="shared" si="6"/>
        <v>5922.9493110000003</v>
      </c>
      <c r="V39" s="781">
        <v>1</v>
      </c>
      <c r="W39" s="781">
        <v>1</v>
      </c>
      <c r="X39" s="781">
        <v>1</v>
      </c>
      <c r="Y39" s="774"/>
      <c r="Z39" s="774"/>
      <c r="AA39" s="774"/>
      <c r="AB39" s="770" t="s">
        <v>493</v>
      </c>
    </row>
    <row r="40" spans="1:28" x14ac:dyDescent="0.25">
      <c r="A40" s="781"/>
      <c r="B40" s="782">
        <v>32</v>
      </c>
      <c r="C40" s="781" t="s">
        <v>684</v>
      </c>
      <c r="D40" s="783" t="s">
        <v>1373</v>
      </c>
      <c r="E40" s="782" t="s">
        <v>950</v>
      </c>
      <c r="F40" s="781"/>
      <c r="G40" s="784">
        <v>0</v>
      </c>
      <c r="H40" s="784">
        <v>0</v>
      </c>
      <c r="I40" s="784">
        <v>0</v>
      </c>
      <c r="J40" s="784">
        <v>0</v>
      </c>
      <c r="K40" s="784">
        <v>0</v>
      </c>
      <c r="L40" s="784">
        <f t="shared" si="1"/>
        <v>0</v>
      </c>
      <c r="M40" s="882">
        <v>0.76</v>
      </c>
      <c r="N40" s="785">
        <f>'Phan tich don gia'!Q259</f>
        <v>379575.77347800002</v>
      </c>
      <c r="O40" s="785">
        <f t="shared" si="2"/>
        <v>0</v>
      </c>
      <c r="P40" s="785">
        <f>'Phan tich don gia'!Q261</f>
        <v>405179.6</v>
      </c>
      <c r="Q40" s="785">
        <f>0*X40</f>
        <v>0</v>
      </c>
      <c r="R40" s="785">
        <f t="shared" si="3"/>
        <v>288477.58784327999</v>
      </c>
      <c r="S40" s="785">
        <f t="shared" si="4"/>
        <v>0</v>
      </c>
      <c r="T40" s="785">
        <f t="shared" si="5"/>
        <v>307936.49599999998</v>
      </c>
      <c r="U40" s="785">
        <f t="shared" si="6"/>
        <v>0</v>
      </c>
      <c r="V40" s="781">
        <v>1</v>
      </c>
      <c r="W40" s="781">
        <v>1</v>
      </c>
      <c r="X40" s="781">
        <v>1</v>
      </c>
      <c r="Y40" s="774"/>
      <c r="Z40" s="774"/>
      <c r="AA40" s="774"/>
      <c r="AB40" s="770" t="s">
        <v>493</v>
      </c>
    </row>
    <row r="41" spans="1:28" x14ac:dyDescent="0.25">
      <c r="A41" s="781"/>
      <c r="B41" s="782">
        <v>33</v>
      </c>
      <c r="C41" s="781" t="s">
        <v>1182</v>
      </c>
      <c r="D41" s="783" t="s">
        <v>1382</v>
      </c>
      <c r="E41" s="782" t="s">
        <v>180</v>
      </c>
      <c r="F41" s="781"/>
      <c r="G41" s="784">
        <v>0</v>
      </c>
      <c r="H41" s="784">
        <v>0</v>
      </c>
      <c r="I41" s="784">
        <v>0</v>
      </c>
      <c r="J41" s="784">
        <v>0</v>
      </c>
      <c r="K41" s="784">
        <v>0</v>
      </c>
      <c r="L41" s="784">
        <f t="shared" si="1"/>
        <v>0</v>
      </c>
      <c r="M41" s="882">
        <v>0.6</v>
      </c>
      <c r="N41" s="785">
        <f>'Phan tich don gia'!Q264</f>
        <v>239181.84</v>
      </c>
      <c r="O41" s="785">
        <f t="shared" si="2"/>
        <v>0</v>
      </c>
      <c r="P41" s="785">
        <f>'Phan tich don gia'!Q267</f>
        <v>138710</v>
      </c>
      <c r="Q41" s="785">
        <f>'Phan tich don gia'!Q269</f>
        <v>67683.66</v>
      </c>
      <c r="R41" s="785">
        <f t="shared" si="3"/>
        <v>143509.10399999999</v>
      </c>
      <c r="S41" s="785">
        <f t="shared" si="4"/>
        <v>0</v>
      </c>
      <c r="T41" s="785">
        <f t="shared" si="5"/>
        <v>83226</v>
      </c>
      <c r="U41" s="785">
        <f t="shared" si="6"/>
        <v>40610.196000000004</v>
      </c>
      <c r="V41" s="781">
        <v>1</v>
      </c>
      <c r="W41" s="781">
        <v>1</v>
      </c>
      <c r="X41" s="781">
        <v>1</v>
      </c>
      <c r="Y41" s="774"/>
      <c r="Z41" s="774"/>
      <c r="AA41" s="774"/>
      <c r="AB41" s="770" t="s">
        <v>493</v>
      </c>
    </row>
    <row r="42" spans="1:28" x14ac:dyDescent="0.25">
      <c r="A42" s="781"/>
      <c r="B42" s="782">
        <v>34</v>
      </c>
      <c r="C42" s="781" t="s">
        <v>908</v>
      </c>
      <c r="D42" s="783" t="s">
        <v>1401</v>
      </c>
      <c r="E42" s="782" t="s">
        <v>950</v>
      </c>
      <c r="F42" s="781"/>
      <c r="G42" s="784">
        <v>0</v>
      </c>
      <c r="H42" s="784">
        <v>0</v>
      </c>
      <c r="I42" s="784">
        <v>0</v>
      </c>
      <c r="J42" s="784">
        <v>0</v>
      </c>
      <c r="K42" s="784">
        <v>0</v>
      </c>
      <c r="L42" s="784">
        <f t="shared" si="1"/>
        <v>0</v>
      </c>
      <c r="M42" s="882">
        <v>0.76</v>
      </c>
      <c r="N42" s="785">
        <f t="shared" ref="N42:N44" si="12">0*V42</f>
        <v>0</v>
      </c>
      <c r="O42" s="785">
        <f t="shared" si="2"/>
        <v>0</v>
      </c>
      <c r="P42" s="785">
        <f>'Phan tich don gia'!Q272</f>
        <v>10512.687899999999</v>
      </c>
      <c r="Q42" s="785">
        <f>'Phan tich don gia'!Q274</f>
        <v>17065.195302</v>
      </c>
      <c r="R42" s="785">
        <f t="shared" si="3"/>
        <v>0</v>
      </c>
      <c r="S42" s="785">
        <f t="shared" si="4"/>
        <v>0</v>
      </c>
      <c r="T42" s="785">
        <f t="shared" si="5"/>
        <v>7989.6428039999992</v>
      </c>
      <c r="U42" s="785">
        <f t="shared" si="6"/>
        <v>12969.54842952</v>
      </c>
      <c r="V42" s="781">
        <v>1</v>
      </c>
      <c r="W42" s="781">
        <v>1</v>
      </c>
      <c r="X42" s="781">
        <v>1</v>
      </c>
      <c r="Y42" s="774"/>
      <c r="Z42" s="774"/>
      <c r="AA42" s="774"/>
      <c r="AB42" s="770" t="s">
        <v>493</v>
      </c>
    </row>
    <row r="43" spans="1:28" ht="30" x14ac:dyDescent="0.25">
      <c r="A43" s="781"/>
      <c r="B43" s="782">
        <v>35</v>
      </c>
      <c r="C43" s="781" t="s">
        <v>247</v>
      </c>
      <c r="D43" s="783" t="s">
        <v>828</v>
      </c>
      <c r="E43" s="782" t="s">
        <v>950</v>
      </c>
      <c r="F43" s="781"/>
      <c r="G43" s="784">
        <v>0</v>
      </c>
      <c r="H43" s="784">
        <v>0</v>
      </c>
      <c r="I43" s="784">
        <v>0</v>
      </c>
      <c r="J43" s="784">
        <v>0</v>
      </c>
      <c r="K43" s="784">
        <v>0</v>
      </c>
      <c r="L43" s="784">
        <f t="shared" si="1"/>
        <v>0</v>
      </c>
      <c r="M43" s="882">
        <v>11.4</v>
      </c>
      <c r="N43" s="785">
        <f t="shared" si="12"/>
        <v>0</v>
      </c>
      <c r="O43" s="785">
        <f t="shared" si="2"/>
        <v>0</v>
      </c>
      <c r="P43" s="785">
        <f>'Phan tich don gia'!Q278</f>
        <v>10075.5699</v>
      </c>
      <c r="Q43" s="785">
        <f>'Phan tich don gia'!Q280</f>
        <v>17413.818006000001</v>
      </c>
      <c r="R43" s="785">
        <f t="shared" si="3"/>
        <v>0</v>
      </c>
      <c r="S43" s="785">
        <f t="shared" si="4"/>
        <v>0</v>
      </c>
      <c r="T43" s="785">
        <f t="shared" si="5"/>
        <v>114861.49686000001</v>
      </c>
      <c r="U43" s="785">
        <f t="shared" si="6"/>
        <v>198517.52526840003</v>
      </c>
      <c r="V43" s="781">
        <v>1</v>
      </c>
      <c r="W43" s="781">
        <v>1</v>
      </c>
      <c r="X43" s="781">
        <v>1</v>
      </c>
      <c r="Y43" s="774"/>
      <c r="Z43" s="774"/>
      <c r="AA43" s="774"/>
      <c r="AB43" s="770" t="s">
        <v>493</v>
      </c>
    </row>
    <row r="44" spans="1:28" ht="30" x14ac:dyDescent="0.25">
      <c r="A44" s="781"/>
      <c r="B44" s="782">
        <v>36</v>
      </c>
      <c r="C44" s="781" t="s">
        <v>321</v>
      </c>
      <c r="D44" s="783" t="s">
        <v>161</v>
      </c>
      <c r="E44" s="782" t="s">
        <v>950</v>
      </c>
      <c r="F44" s="781"/>
      <c r="G44" s="784">
        <v>0</v>
      </c>
      <c r="H44" s="784">
        <v>0</v>
      </c>
      <c r="I44" s="784">
        <v>0</v>
      </c>
      <c r="J44" s="784">
        <v>0</v>
      </c>
      <c r="K44" s="784">
        <v>0</v>
      </c>
      <c r="L44" s="784">
        <f t="shared" si="1"/>
        <v>0</v>
      </c>
      <c r="M44" s="882">
        <v>2.52</v>
      </c>
      <c r="N44" s="785">
        <f t="shared" si="12"/>
        <v>0</v>
      </c>
      <c r="O44" s="785">
        <f t="shared" si="2"/>
        <v>0</v>
      </c>
      <c r="P44" s="785">
        <f>'Phan tich don gia'!Q283</f>
        <v>15583.2567</v>
      </c>
      <c r="Q44" s="785">
        <f>'Phan tich don gia'!Q285</f>
        <v>16868.510279999999</v>
      </c>
      <c r="R44" s="785">
        <f t="shared" si="3"/>
        <v>0</v>
      </c>
      <c r="S44" s="785">
        <f t="shared" si="4"/>
        <v>0</v>
      </c>
      <c r="T44" s="785">
        <f t="shared" si="5"/>
        <v>39269.806883999998</v>
      </c>
      <c r="U44" s="785">
        <f t="shared" si="6"/>
        <v>42508.645905599995</v>
      </c>
      <c r="V44" s="781">
        <v>1</v>
      </c>
      <c r="W44" s="781">
        <v>1</v>
      </c>
      <c r="X44" s="781">
        <v>1</v>
      </c>
      <c r="Y44" s="774"/>
      <c r="Z44" s="774"/>
      <c r="AA44" s="774"/>
      <c r="AB44" s="770" t="s">
        <v>493</v>
      </c>
    </row>
    <row r="45" spans="1:28" ht="45" x14ac:dyDescent="0.25">
      <c r="A45" s="781"/>
      <c r="B45" s="782">
        <v>37</v>
      </c>
      <c r="C45" s="781" t="s">
        <v>675</v>
      </c>
      <c r="D45" s="783" t="s">
        <v>1402</v>
      </c>
      <c r="E45" s="782" t="s">
        <v>950</v>
      </c>
      <c r="F45" s="781"/>
      <c r="G45" s="784">
        <v>0</v>
      </c>
      <c r="H45" s="784">
        <v>0</v>
      </c>
      <c r="I45" s="784">
        <v>0</v>
      </c>
      <c r="J45" s="784">
        <v>0</v>
      </c>
      <c r="K45" s="784">
        <v>0</v>
      </c>
      <c r="L45" s="784">
        <f t="shared" si="1"/>
        <v>0</v>
      </c>
      <c r="M45" s="882">
        <v>0.59</v>
      </c>
      <c r="N45" s="785">
        <f>'Phan tich don gia'!Q288</f>
        <v>1368771.3660837321</v>
      </c>
      <c r="O45" s="785">
        <f t="shared" si="2"/>
        <v>0</v>
      </c>
      <c r="P45" s="785">
        <f>'Phan tich don gia'!Q293</f>
        <v>156364</v>
      </c>
      <c r="Q45" s="785">
        <f>'Phan tich don gia'!Q295</f>
        <v>47420.294699999999</v>
      </c>
      <c r="R45" s="785">
        <f t="shared" si="3"/>
        <v>807575.10598940193</v>
      </c>
      <c r="S45" s="785">
        <f t="shared" si="4"/>
        <v>0</v>
      </c>
      <c r="T45" s="785">
        <f t="shared" si="5"/>
        <v>92254.76</v>
      </c>
      <c r="U45" s="785">
        <f t="shared" si="6"/>
        <v>27977.973872999999</v>
      </c>
      <c r="V45" s="781">
        <v>1</v>
      </c>
      <c r="W45" s="781">
        <v>1</v>
      </c>
      <c r="X45" s="781">
        <v>1</v>
      </c>
      <c r="Y45" s="774"/>
      <c r="Z45" s="774"/>
      <c r="AA45" s="774"/>
      <c r="AB45" s="770" t="s">
        <v>493</v>
      </c>
    </row>
    <row r="46" spans="1:28" x14ac:dyDescent="0.25">
      <c r="A46" s="781"/>
      <c r="B46" s="782">
        <v>38</v>
      </c>
      <c r="C46" s="781" t="s">
        <v>131</v>
      </c>
      <c r="D46" s="783" t="s">
        <v>1372</v>
      </c>
      <c r="E46" s="782" t="s">
        <v>950</v>
      </c>
      <c r="F46" s="781"/>
      <c r="G46" s="784">
        <v>0</v>
      </c>
      <c r="H46" s="784">
        <v>0</v>
      </c>
      <c r="I46" s="784">
        <v>0</v>
      </c>
      <c r="J46" s="784">
        <v>0</v>
      </c>
      <c r="K46" s="784">
        <v>0</v>
      </c>
      <c r="L46" s="784">
        <f t="shared" si="1"/>
        <v>0</v>
      </c>
      <c r="M46" s="882">
        <v>0.17</v>
      </c>
      <c r="N46" s="785">
        <f>'Phan tich don gia'!Q300</f>
        <v>173936.85111923999</v>
      </c>
      <c r="O46" s="785">
        <f t="shared" si="2"/>
        <v>0</v>
      </c>
      <c r="P46" s="785">
        <f>'Phan tich don gia'!Q302</f>
        <v>8501.945099999999</v>
      </c>
      <c r="Q46" s="785">
        <f>'Phan tich don gia'!Q304</f>
        <v>7382.8303799999994</v>
      </c>
      <c r="R46" s="785">
        <f t="shared" si="3"/>
        <v>29569.2646902708</v>
      </c>
      <c r="S46" s="785">
        <f t="shared" si="4"/>
        <v>0</v>
      </c>
      <c r="T46" s="785">
        <f t="shared" si="5"/>
        <v>1445.3306669999999</v>
      </c>
      <c r="U46" s="785">
        <f t="shared" si="6"/>
        <v>1255.0811646</v>
      </c>
      <c r="V46" s="781">
        <v>1</v>
      </c>
      <c r="W46" s="781">
        <v>1</v>
      </c>
      <c r="X46" s="781">
        <v>1</v>
      </c>
      <c r="Y46" s="774"/>
      <c r="Z46" s="774"/>
      <c r="AA46" s="774"/>
      <c r="AB46" s="770" t="s">
        <v>493</v>
      </c>
    </row>
    <row r="47" spans="1:28" x14ac:dyDescent="0.25">
      <c r="A47" s="781"/>
      <c r="B47" s="782">
        <v>39</v>
      </c>
      <c r="C47" s="781" t="s">
        <v>928</v>
      </c>
      <c r="D47" s="783" t="s">
        <v>1365</v>
      </c>
      <c r="E47" s="782" t="s">
        <v>594</v>
      </c>
      <c r="F47" s="781"/>
      <c r="G47" s="784">
        <v>0</v>
      </c>
      <c r="H47" s="784">
        <v>0</v>
      </c>
      <c r="I47" s="784">
        <v>0</v>
      </c>
      <c r="J47" s="784">
        <v>0</v>
      </c>
      <c r="K47" s="784">
        <v>0</v>
      </c>
      <c r="L47" s="784">
        <f t="shared" si="1"/>
        <v>0</v>
      </c>
      <c r="M47" s="882">
        <v>3.3</v>
      </c>
      <c r="N47" s="785">
        <f>'Phan tich don gia'!Q308</f>
        <v>5610</v>
      </c>
      <c r="O47" s="785">
        <f t="shared" si="2"/>
        <v>0</v>
      </c>
      <c r="P47" s="785">
        <f>'Phan tich don gia'!Q311</f>
        <v>378.3</v>
      </c>
      <c r="Q47" s="785">
        <f>0*X47</f>
        <v>0</v>
      </c>
      <c r="R47" s="785">
        <f t="shared" si="3"/>
        <v>18513</v>
      </c>
      <c r="S47" s="785">
        <f t="shared" si="4"/>
        <v>0</v>
      </c>
      <c r="T47" s="785">
        <f t="shared" si="5"/>
        <v>1248.3899999999999</v>
      </c>
      <c r="U47" s="785">
        <f t="shared" si="6"/>
        <v>0</v>
      </c>
      <c r="V47" s="781">
        <v>1</v>
      </c>
      <c r="W47" s="781">
        <v>1</v>
      </c>
      <c r="X47" s="781">
        <v>1</v>
      </c>
      <c r="Y47" s="774"/>
      <c r="Z47" s="774"/>
      <c r="AA47" s="774"/>
      <c r="AB47" s="770" t="s">
        <v>493</v>
      </c>
    </row>
    <row r="48" spans="1:28" x14ac:dyDescent="0.25">
      <c r="A48" s="781"/>
      <c r="B48" s="782">
        <v>40</v>
      </c>
      <c r="C48" s="781" t="s">
        <v>1130</v>
      </c>
      <c r="D48" s="783" t="s">
        <v>1273</v>
      </c>
      <c r="E48" s="782" t="s">
        <v>594</v>
      </c>
      <c r="F48" s="781"/>
      <c r="G48" s="784">
        <v>0</v>
      </c>
      <c r="H48" s="784">
        <v>0</v>
      </c>
      <c r="I48" s="784">
        <v>0</v>
      </c>
      <c r="J48" s="784">
        <v>0</v>
      </c>
      <c r="K48" s="784">
        <v>0</v>
      </c>
      <c r="L48" s="784">
        <f t="shared" si="1"/>
        <v>0</v>
      </c>
      <c r="M48" s="882">
        <v>3.22</v>
      </c>
      <c r="N48" s="785">
        <f>'Phan tich don gia'!Q314</f>
        <v>6608.9745113801073</v>
      </c>
      <c r="O48" s="785">
        <f t="shared" si="2"/>
        <v>0</v>
      </c>
      <c r="P48" s="785">
        <f>'Phan tich don gia'!Q318</f>
        <v>31483.550000000003</v>
      </c>
      <c r="Q48" s="785">
        <f>'Phan tich don gia'!Q320</f>
        <v>2047.4392679999999</v>
      </c>
      <c r="R48" s="785">
        <f t="shared" si="3"/>
        <v>21280.897926643946</v>
      </c>
      <c r="S48" s="785">
        <f t="shared" si="4"/>
        <v>0</v>
      </c>
      <c r="T48" s="785">
        <f t="shared" si="5"/>
        <v>101377.03100000002</v>
      </c>
      <c r="U48" s="785">
        <f t="shared" si="6"/>
        <v>6592.7544429600002</v>
      </c>
      <c r="V48" s="781">
        <v>1</v>
      </c>
      <c r="W48" s="781">
        <v>1</v>
      </c>
      <c r="X48" s="781">
        <v>1</v>
      </c>
      <c r="Y48" s="774"/>
      <c r="Z48" s="774"/>
      <c r="AA48" s="774"/>
      <c r="AB48" s="770" t="s">
        <v>493</v>
      </c>
    </row>
    <row r="49" spans="1:28" ht="45" x14ac:dyDescent="0.25">
      <c r="A49" s="781"/>
      <c r="B49" s="787">
        <v>41</v>
      </c>
      <c r="C49" s="788" t="s">
        <v>544</v>
      </c>
      <c r="D49" s="789" t="s">
        <v>210</v>
      </c>
      <c r="E49" s="787" t="s">
        <v>594</v>
      </c>
      <c r="F49" s="788"/>
      <c r="G49" s="790">
        <v>0</v>
      </c>
      <c r="H49" s="790">
        <v>0</v>
      </c>
      <c r="I49" s="790">
        <v>0</v>
      </c>
      <c r="J49" s="790">
        <v>0</v>
      </c>
      <c r="K49" s="790">
        <v>0</v>
      </c>
      <c r="L49" s="790">
        <f t="shared" si="1"/>
        <v>0</v>
      </c>
      <c r="M49" s="883">
        <v>1.2</v>
      </c>
      <c r="N49" s="791">
        <f>'Phan tich don gia'!Q324</f>
        <v>222467.38400000002</v>
      </c>
      <c r="O49" s="791">
        <f t="shared" si="2"/>
        <v>0</v>
      </c>
      <c r="P49" s="791">
        <f>'Phan tich don gia'!Q327</f>
        <v>2017.6000000000001</v>
      </c>
      <c r="Q49" s="791">
        <f>'Phan tich don gia'!Q329</f>
        <v>3181.7172350000001</v>
      </c>
      <c r="R49" s="791">
        <f t="shared" si="3"/>
        <v>266960.86080000002</v>
      </c>
      <c r="S49" s="791">
        <f t="shared" si="4"/>
        <v>0</v>
      </c>
      <c r="T49" s="791">
        <f t="shared" si="5"/>
        <v>2421.12</v>
      </c>
      <c r="U49" s="791">
        <f t="shared" si="6"/>
        <v>3818.0606819999998</v>
      </c>
      <c r="V49" s="781">
        <v>1</v>
      </c>
      <c r="W49" s="781">
        <v>1</v>
      </c>
      <c r="X49" s="781">
        <v>1</v>
      </c>
      <c r="Y49" s="774"/>
      <c r="Z49" s="774"/>
      <c r="AA49" s="774"/>
      <c r="AB49" s="770" t="s">
        <v>493</v>
      </c>
    </row>
    <row r="50" spans="1:28" x14ac:dyDescent="0.25">
      <c r="B50" s="775"/>
      <c r="C50" s="775"/>
      <c r="D50" s="775"/>
      <c r="E50" s="775"/>
      <c r="F50" s="775"/>
      <c r="G50" s="775"/>
      <c r="H50" s="775"/>
      <c r="I50" s="775"/>
      <c r="J50" s="775"/>
      <c r="K50" s="775"/>
      <c r="L50" s="775"/>
      <c r="M50" s="884"/>
      <c r="N50" s="776"/>
      <c r="O50" s="776"/>
      <c r="P50" s="776"/>
      <c r="Q50" s="776"/>
      <c r="R50" s="776"/>
      <c r="S50" s="776"/>
      <c r="T50" s="776"/>
      <c r="U50" s="776"/>
      <c r="V50" s="775"/>
      <c r="W50" s="775"/>
      <c r="X50" s="775"/>
      <c r="Y50" s="775"/>
      <c r="Z50" s="775"/>
      <c r="AA50" s="775"/>
    </row>
    <row r="51" spans="1:28" x14ac:dyDescent="0.25">
      <c r="B51" s="775"/>
      <c r="C51" s="775"/>
      <c r="D51" s="775"/>
      <c r="E51" s="775"/>
      <c r="F51" s="775"/>
      <c r="G51" s="775"/>
      <c r="H51" s="775"/>
      <c r="I51" s="775"/>
      <c r="J51" s="775"/>
      <c r="K51" s="775"/>
      <c r="L51" s="775"/>
      <c r="M51" s="884"/>
      <c r="N51" s="775"/>
      <c r="O51" s="775"/>
      <c r="P51" s="775"/>
      <c r="Q51" s="775"/>
      <c r="R51" s="775"/>
      <c r="S51" s="775"/>
      <c r="T51" s="775"/>
      <c r="U51" s="775"/>
      <c r="V51" s="775"/>
      <c r="W51" s="775"/>
      <c r="X51" s="775"/>
      <c r="Y51" s="775"/>
      <c r="Z51" s="775"/>
      <c r="AA51" s="775"/>
    </row>
  </sheetData>
  <mergeCells count="14">
    <mergeCell ref="V5:X5"/>
    <mergeCell ref="B1:X1"/>
    <mergeCell ref="F5:K5"/>
    <mergeCell ref="L5:L6"/>
    <mergeCell ref="N5:Q5"/>
    <mergeCell ref="R5:U5"/>
    <mergeCell ref="M5:M6"/>
    <mergeCell ref="A2:X2"/>
    <mergeCell ref="A3:X3"/>
    <mergeCell ref="A5:A6"/>
    <mergeCell ref="B5:B6"/>
    <mergeCell ref="C5:C6"/>
    <mergeCell ref="D5:D6"/>
    <mergeCell ref="E5:E6"/>
  </mergeCells>
  <conditionalFormatting sqref="V7:X7">
    <cfRule type="cellIs" dxfId="40" priority="1" stopIfTrue="1" operator="equal">
      <formula>1</formula>
    </cfRule>
  </conditionalFormatting>
  <conditionalFormatting sqref="V8:X50">
    <cfRule type="cellIs" dxfId="39" priority="2" stopIfTrue="1" operator="equal">
      <formula>1</formula>
    </cfRule>
  </conditionalFormatting>
  <pageMargins left="0.59055118110236227" right="0.59055118110236227" top="0.98425196850393704" bottom="0.59055118110236227" header="0.31496062992125984" footer="0.31496062992125984"/>
  <pageSetup paperSize="9" scale="95" orientation="landscape" useFirstPageNumber="1" horizontalDpi="6553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333"/>
  <sheetViews>
    <sheetView showZeros="0" topLeftCell="B11" zoomScaleNormal="100" workbookViewId="0">
      <selection activeCell="AC27" sqref="AC27"/>
    </sheetView>
  </sheetViews>
  <sheetFormatPr defaultColWidth="9.140625" defaultRowHeight="15" customHeight="1" x14ac:dyDescent="0.25"/>
  <cols>
    <col min="1" max="1" width="9.140625" style="751" hidden="1" customWidth="1"/>
    <col min="2" max="2" width="4.85546875" style="751" bestFit="1" customWidth="1"/>
    <col min="3" max="3" width="11.7109375" style="316" customWidth="1"/>
    <col min="4" max="4" width="44.42578125" style="751" customWidth="1"/>
    <col min="5" max="5" width="8" style="751" customWidth="1"/>
    <col min="6" max="6" width="10.85546875" style="751" hidden="1" customWidth="1"/>
    <col min="7" max="7" width="12.42578125" style="751" customWidth="1"/>
    <col min="8" max="8" width="10" style="751" hidden="1" customWidth="1"/>
    <col min="9" max="9" width="10.42578125" style="751" hidden="1" customWidth="1"/>
    <col min="10" max="10" width="9.140625" style="751" hidden="1" customWidth="1"/>
    <col min="11" max="11" width="11" style="751" hidden="1" customWidth="1"/>
    <col min="12" max="12" width="8.85546875" style="751" hidden="1" customWidth="1"/>
    <col min="13" max="15" width="10.7109375" style="751" hidden="1" customWidth="1"/>
    <col min="16" max="16" width="11" style="751" customWidth="1"/>
    <col min="17" max="17" width="12.140625" style="751" customWidth="1"/>
    <col min="18" max="18" width="14.140625" style="751" hidden="1" customWidth="1"/>
    <col min="19" max="16384" width="9.140625" style="751"/>
  </cols>
  <sheetData>
    <row r="1" spans="1:18" ht="15" customHeight="1" x14ac:dyDescent="0.25">
      <c r="A1" s="967" t="s">
        <v>1276</v>
      </c>
      <c r="B1" s="967" t="s">
        <v>831</v>
      </c>
      <c r="C1" s="967" t="s">
        <v>831</v>
      </c>
      <c r="D1" s="967" t="s">
        <v>831</v>
      </c>
      <c r="E1" s="967" t="s">
        <v>831</v>
      </c>
      <c r="F1" s="967" t="s">
        <v>831</v>
      </c>
      <c r="G1" s="967" t="s">
        <v>831</v>
      </c>
      <c r="H1" s="967" t="s">
        <v>831</v>
      </c>
      <c r="I1" s="967" t="s">
        <v>831</v>
      </c>
      <c r="J1" s="967" t="s">
        <v>831</v>
      </c>
      <c r="K1" s="967" t="s">
        <v>831</v>
      </c>
      <c r="L1" s="967" t="s">
        <v>831</v>
      </c>
      <c r="M1" s="967" t="s">
        <v>831</v>
      </c>
      <c r="N1" s="967" t="s">
        <v>831</v>
      </c>
      <c r="O1" s="967" t="s">
        <v>831</v>
      </c>
      <c r="P1" s="967" t="s">
        <v>831</v>
      </c>
      <c r="Q1" s="967" t="s">
        <v>831</v>
      </c>
    </row>
    <row r="2" spans="1:18" ht="15" customHeight="1" x14ac:dyDescent="0.25">
      <c r="A2" s="968" t="str">
        <f>'Tong du toan'!A7:E7</f>
        <v>CÔNG TRÌNH : NÂNG CẤP, SỬA CHỮA ĐƯỜNG TRẦN QUANG DIỆM - HƯƠNG XUÂN</v>
      </c>
      <c r="B2" s="968" t="s">
        <v>315</v>
      </c>
      <c r="C2" s="968" t="s">
        <v>315</v>
      </c>
      <c r="D2" s="968" t="s">
        <v>315</v>
      </c>
      <c r="E2" s="968" t="s">
        <v>315</v>
      </c>
      <c r="F2" s="968" t="s">
        <v>315</v>
      </c>
      <c r="G2" s="968" t="s">
        <v>315</v>
      </c>
      <c r="H2" s="968" t="s">
        <v>315</v>
      </c>
      <c r="I2" s="968" t="s">
        <v>315</v>
      </c>
      <c r="J2" s="968" t="s">
        <v>315</v>
      </c>
      <c r="K2" s="968" t="s">
        <v>315</v>
      </c>
      <c r="L2" s="968" t="s">
        <v>315</v>
      </c>
      <c r="M2" s="968" t="s">
        <v>315</v>
      </c>
      <c r="N2" s="968" t="s">
        <v>315</v>
      </c>
      <c r="O2" s="968" t="s">
        <v>315</v>
      </c>
      <c r="P2" s="968" t="s">
        <v>315</v>
      </c>
      <c r="Q2" s="968" t="s">
        <v>315</v>
      </c>
    </row>
    <row r="3" spans="1:18" ht="15" customHeight="1" x14ac:dyDescent="0.25">
      <c r="A3" s="969" t="str">
        <f>'Tong du toan'!A8:E8</f>
        <v>ĐỊA ĐIỂM : PHƯỜNG HƯƠNG XUÂN - THỊ XÃ HƯƠNG TRÀ - TỈNH THỪA THIÊN HUẾ</v>
      </c>
      <c r="B3" s="969" t="s">
        <v>60</v>
      </c>
      <c r="C3" s="969" t="s">
        <v>60</v>
      </c>
      <c r="D3" s="969" t="s">
        <v>60</v>
      </c>
      <c r="E3" s="969" t="s">
        <v>60</v>
      </c>
      <c r="F3" s="969" t="s">
        <v>60</v>
      </c>
      <c r="G3" s="969" t="s">
        <v>60</v>
      </c>
      <c r="H3" s="969" t="s">
        <v>60</v>
      </c>
      <c r="I3" s="969" t="s">
        <v>60</v>
      </c>
      <c r="J3" s="969" t="s">
        <v>60</v>
      </c>
      <c r="K3" s="969" t="s">
        <v>60</v>
      </c>
      <c r="L3" s="969" t="s">
        <v>60</v>
      </c>
      <c r="M3" s="969" t="s">
        <v>60</v>
      </c>
      <c r="N3" s="969" t="s">
        <v>60</v>
      </c>
      <c r="O3" s="969" t="s">
        <v>60</v>
      </c>
      <c r="P3" s="969" t="s">
        <v>60</v>
      </c>
      <c r="Q3" s="969" t="s">
        <v>60</v>
      </c>
    </row>
    <row r="4" spans="1:18" ht="15" customHeight="1" x14ac:dyDescent="0.25">
      <c r="B4" s="970" t="s">
        <v>386</v>
      </c>
      <c r="C4" s="972" t="s">
        <v>752</v>
      </c>
      <c r="D4" s="970" t="s">
        <v>1148</v>
      </c>
      <c r="E4" s="970" t="s">
        <v>1136</v>
      </c>
      <c r="F4" s="756" t="s">
        <v>449</v>
      </c>
      <c r="G4" s="974" t="s">
        <v>1243</v>
      </c>
      <c r="H4" s="757"/>
      <c r="I4" s="970" t="s">
        <v>822</v>
      </c>
      <c r="J4" s="965" t="s">
        <v>899</v>
      </c>
      <c r="K4" s="966"/>
      <c r="L4" s="965" t="s">
        <v>313</v>
      </c>
      <c r="M4" s="966"/>
      <c r="N4" s="69"/>
      <c r="O4" s="69"/>
      <c r="P4" s="965" t="s">
        <v>1149</v>
      </c>
      <c r="Q4" s="966"/>
      <c r="R4" s="964" t="s">
        <v>120</v>
      </c>
    </row>
    <row r="5" spans="1:18" ht="15" customHeight="1" x14ac:dyDescent="0.25">
      <c r="B5" s="971"/>
      <c r="C5" s="973"/>
      <c r="D5" s="971"/>
      <c r="E5" s="971"/>
      <c r="F5" s="588" t="s">
        <v>12</v>
      </c>
      <c r="G5" s="975"/>
      <c r="H5" s="578" t="s">
        <v>972</v>
      </c>
      <c r="I5" s="971"/>
      <c r="J5" s="588" t="s">
        <v>915</v>
      </c>
      <c r="K5" s="588" t="s">
        <v>120</v>
      </c>
      <c r="L5" s="588" t="s">
        <v>57</v>
      </c>
      <c r="M5" s="588" t="s">
        <v>120</v>
      </c>
      <c r="N5" s="588"/>
      <c r="O5" s="588"/>
      <c r="P5" s="588" t="s">
        <v>848</v>
      </c>
      <c r="Q5" s="588" t="s">
        <v>120</v>
      </c>
      <c r="R5" s="964"/>
    </row>
    <row r="6" spans="1:18" ht="30" customHeight="1" x14ac:dyDescent="0.25">
      <c r="A6" s="421"/>
      <c r="B6" s="354">
        <v>1</v>
      </c>
      <c r="C6" s="208" t="s">
        <v>544</v>
      </c>
      <c r="D6" s="419" t="str">
        <f>'Du toan chi tiet'!D8</f>
        <v>Rải thảm mặt đường Carboncor Asphalt, bằng phương pháp thủ cơ giới, chiều dày mặt đường đã lèn ép 3cm</v>
      </c>
      <c r="E6" s="354" t="str">
        <f>'Du toan chi tiet'!E8</f>
        <v>m2</v>
      </c>
      <c r="F6" s="624">
        <f>'Du toan chi tiet'!M8</f>
        <v>1631.42</v>
      </c>
      <c r="G6" s="182">
        <v>0</v>
      </c>
      <c r="H6" s="182">
        <v>0</v>
      </c>
      <c r="I6" s="758">
        <v>0</v>
      </c>
      <c r="J6" s="259">
        <v>0</v>
      </c>
      <c r="K6" s="259">
        <v>0</v>
      </c>
      <c r="L6" s="259">
        <v>0</v>
      </c>
      <c r="M6" s="259">
        <v>0</v>
      </c>
      <c r="N6" s="259">
        <v>0</v>
      </c>
      <c r="O6" s="259">
        <v>0</v>
      </c>
      <c r="P6" s="259">
        <v>0</v>
      </c>
      <c r="Q6" s="259">
        <v>0</v>
      </c>
      <c r="R6" s="467">
        <v>0</v>
      </c>
    </row>
    <row r="7" spans="1:18" ht="15" customHeight="1" x14ac:dyDescent="0.25">
      <c r="A7" s="159"/>
      <c r="B7" s="80">
        <v>0</v>
      </c>
      <c r="C7" s="717"/>
      <c r="D7" s="156" t="s">
        <v>547</v>
      </c>
      <c r="E7" s="80"/>
      <c r="F7" s="372">
        <v>0</v>
      </c>
      <c r="G7" s="682">
        <v>0</v>
      </c>
      <c r="H7" s="682"/>
      <c r="I7" s="759">
        <v>0</v>
      </c>
      <c r="J7" s="744">
        <v>0</v>
      </c>
      <c r="K7" s="744">
        <f>SUM(K8:K9)</f>
        <v>220016</v>
      </c>
      <c r="L7" s="744">
        <v>0</v>
      </c>
      <c r="M7" s="744">
        <f>SUM(M8:M9)</f>
        <v>220016</v>
      </c>
      <c r="N7" s="744">
        <v>0</v>
      </c>
      <c r="O7" s="744">
        <v>0</v>
      </c>
      <c r="P7" s="744">
        <v>0</v>
      </c>
      <c r="Q7" s="744">
        <f>SUM(Q8:Q9)</f>
        <v>222467.38400000002</v>
      </c>
      <c r="R7" s="891">
        <f>ROUND(SUM(R8:R9),5)</f>
        <v>222467.38399999999</v>
      </c>
    </row>
    <row r="8" spans="1:18" ht="15" customHeight="1" x14ac:dyDescent="0.25">
      <c r="A8" s="159"/>
      <c r="B8" s="80">
        <v>0</v>
      </c>
      <c r="C8" s="717"/>
      <c r="D8" s="156" t="str">
        <f>" - " &amp; 'Giá VL'!E6</f>
        <v xml:space="preserve"> - Carboncor Asphalt (loại CA 9,5)</v>
      </c>
      <c r="E8" s="80" t="str">
        <f>'Giá VL'!F6</f>
        <v>tấn</v>
      </c>
      <c r="F8" s="372">
        <v>0</v>
      </c>
      <c r="G8" s="682">
        <v>5.8200000000000002E-2</v>
      </c>
      <c r="H8" s="682">
        <f>'Du toan chi tiet'!V8</f>
        <v>1</v>
      </c>
      <c r="I8" s="759">
        <f>'Giá VL'!V6</f>
        <v>3822120</v>
      </c>
      <c r="J8" s="744">
        <f>'Giá VL'!G6</f>
        <v>3780000</v>
      </c>
      <c r="K8" s="744">
        <f t="shared" ref="K8:K9" si="0">PRODUCT(G8, H8, J8)</f>
        <v>219996</v>
      </c>
      <c r="L8" s="744">
        <f>'Giá VL'!J6</f>
        <v>3780000</v>
      </c>
      <c r="M8" s="744">
        <f t="shared" ref="M8:M9" si="1">PRODUCT(G8, H8, L8)</f>
        <v>219996</v>
      </c>
      <c r="N8" s="744">
        <v>0</v>
      </c>
      <c r="O8" s="744">
        <v>0</v>
      </c>
      <c r="P8" s="744">
        <f>'Giá VL'!V6</f>
        <v>3822120</v>
      </c>
      <c r="Q8" s="744">
        <f t="shared" ref="Q8:Q9" si="2">PRODUCT(G8, H8, P8)</f>
        <v>222447.38400000002</v>
      </c>
      <c r="R8" s="892">
        <f>ROUND(G8*I8,5)</f>
        <v>222447.38399999999</v>
      </c>
    </row>
    <row r="9" spans="1:18" ht="15" customHeight="1" x14ac:dyDescent="0.25">
      <c r="A9" s="159"/>
      <c r="B9" s="80">
        <v>0</v>
      </c>
      <c r="C9" s="717"/>
      <c r="D9" s="156" t="str">
        <f>" - " &amp; 'Giá VL'!E23</f>
        <v xml:space="preserve"> - Nước</v>
      </c>
      <c r="E9" s="80" t="str">
        <f>'Giá VL'!F23</f>
        <v>lít</v>
      </c>
      <c r="F9" s="372">
        <v>0</v>
      </c>
      <c r="G9" s="682">
        <v>2</v>
      </c>
      <c r="H9" s="682">
        <f>'Du toan chi tiet'!V8</f>
        <v>1</v>
      </c>
      <c r="I9" s="759">
        <f>'Giá VL'!V23</f>
        <v>10</v>
      </c>
      <c r="J9" s="744">
        <f>'Giá VL'!G23</f>
        <v>10</v>
      </c>
      <c r="K9" s="744">
        <f t="shared" si="0"/>
        <v>20</v>
      </c>
      <c r="L9" s="744">
        <f>'Giá VL'!J23</f>
        <v>10</v>
      </c>
      <c r="M9" s="744">
        <f t="shared" si="1"/>
        <v>20</v>
      </c>
      <c r="N9" s="744">
        <v>0</v>
      </c>
      <c r="O9" s="744">
        <v>0</v>
      </c>
      <c r="P9" s="744">
        <f>'Giá VL'!V23</f>
        <v>10</v>
      </c>
      <c r="Q9" s="744">
        <f t="shared" si="2"/>
        <v>20</v>
      </c>
      <c r="R9" s="892">
        <f>ROUND(G9*I9,5)</f>
        <v>20</v>
      </c>
    </row>
    <row r="10" spans="1:18" ht="15" customHeight="1" x14ac:dyDescent="0.25">
      <c r="A10" s="159"/>
      <c r="B10" s="80">
        <v>0</v>
      </c>
      <c r="C10" s="717"/>
      <c r="D10" s="156" t="s">
        <v>301</v>
      </c>
      <c r="E10" s="80"/>
      <c r="F10" s="372">
        <v>0</v>
      </c>
      <c r="G10" s="682">
        <v>0</v>
      </c>
      <c r="H10" s="682"/>
      <c r="I10" s="759"/>
      <c r="J10" s="744">
        <v>0</v>
      </c>
      <c r="K10" s="744">
        <f>SUM(K11:K11)</f>
        <v>2017.6000000000001</v>
      </c>
      <c r="L10" s="744">
        <v>0</v>
      </c>
      <c r="M10" s="744">
        <f>SUM(M11:M11)</f>
        <v>2017.6000000000001</v>
      </c>
      <c r="N10" s="744">
        <v>0</v>
      </c>
      <c r="O10" s="744">
        <v>0</v>
      </c>
      <c r="P10" s="744">
        <v>0</v>
      </c>
      <c r="Q10" s="744">
        <f>SUM(Q11:Q11)</f>
        <v>2017.6000000000001</v>
      </c>
      <c r="R10" s="891">
        <f>ROUND(SUM(R11),5)</f>
        <v>2017.6</v>
      </c>
    </row>
    <row r="11" spans="1:18" ht="15" customHeight="1" x14ac:dyDescent="0.25">
      <c r="A11" s="159"/>
      <c r="B11" s="80">
        <v>0</v>
      </c>
      <c r="C11" s="717"/>
      <c r="D11" s="156" t="str">
        <f>" - " &amp; 'Giá NC'!E8</f>
        <v xml:space="preserve"> - Nhân công bậc 3,5/7 - Nhóm 2</v>
      </c>
      <c r="E11" s="80" t="str">
        <f>'Giá NC'!F8</f>
        <v>công</v>
      </c>
      <c r="F11" s="372">
        <v>0</v>
      </c>
      <c r="G11" s="682">
        <v>8.0000000000000002E-3</v>
      </c>
      <c r="H11" s="682">
        <f>'Du toan chi tiet'!W8</f>
        <v>1</v>
      </c>
      <c r="I11" s="759">
        <f>'Giá NC'!H8</f>
        <v>252200</v>
      </c>
      <c r="J11" s="744">
        <f>'Giá NC'!G8</f>
        <v>252200</v>
      </c>
      <c r="K11" s="744">
        <f>PRODUCT(G11, H11, J11)</f>
        <v>2017.6000000000001</v>
      </c>
      <c r="L11" s="744">
        <f>'Giá NC'!H8</f>
        <v>252200</v>
      </c>
      <c r="M11" s="744">
        <f>PRODUCT(G11, H11, L11)</f>
        <v>2017.6000000000001</v>
      </c>
      <c r="N11" s="744">
        <v>0</v>
      </c>
      <c r="O11" s="744">
        <v>0</v>
      </c>
      <c r="P11" s="744">
        <f>'Giá NC'!K8</f>
        <v>252200</v>
      </c>
      <c r="Q11" s="744">
        <f>PRODUCT(G11, H11, P11)</f>
        <v>2017.6000000000001</v>
      </c>
      <c r="R11" s="892">
        <f>ROUND(G11*I11,5)</f>
        <v>2017.6</v>
      </c>
    </row>
    <row r="12" spans="1:18" ht="15" customHeight="1" x14ac:dyDescent="0.25">
      <c r="A12" s="159"/>
      <c r="B12" s="80">
        <v>0</v>
      </c>
      <c r="C12" s="717"/>
      <c r="D12" s="156" t="s">
        <v>1175</v>
      </c>
      <c r="E12" s="80"/>
      <c r="F12" s="372">
        <v>0</v>
      </c>
      <c r="G12" s="682">
        <v>0</v>
      </c>
      <c r="H12" s="682"/>
      <c r="I12" s="759"/>
      <c r="J12" s="744">
        <v>0</v>
      </c>
      <c r="K12" s="744">
        <f>SUM(K13:K16)</f>
        <v>3181.7172350000001</v>
      </c>
      <c r="L12" s="744">
        <v>0</v>
      </c>
      <c r="M12" s="744">
        <f>SUM(M13:M16)</f>
        <v>3181.7172350000001</v>
      </c>
      <c r="N12" s="744">
        <v>0</v>
      </c>
      <c r="O12" s="744">
        <v>0</v>
      </c>
      <c r="P12" s="744">
        <v>0</v>
      </c>
      <c r="Q12" s="744">
        <f>SUM(Q13:Q16)</f>
        <v>3181.7172350000001</v>
      </c>
      <c r="R12" s="891">
        <f>ROUND(SUM(R13:R16),5)</f>
        <v>3181.7172399999999</v>
      </c>
    </row>
    <row r="13" spans="1:18" ht="15" customHeight="1" x14ac:dyDescent="0.25">
      <c r="A13" s="159"/>
      <c r="B13" s="80">
        <v>0</v>
      </c>
      <c r="C13" s="717"/>
      <c r="D13" s="156" t="str">
        <f>" - " &amp; 'Giá Máy'!E19</f>
        <v xml:space="preserve"> - Máy rải hỗn hợp bê tông nhựa 130 - 140CV</v>
      </c>
      <c r="E13" s="80" t="str">
        <f>'Giá Máy'!F19</f>
        <v>ca</v>
      </c>
      <c r="F13" s="372">
        <v>0</v>
      </c>
      <c r="G13" s="682">
        <v>3.3E-4</v>
      </c>
      <c r="H13" s="682">
        <f>'Du toan chi tiet'!X8</f>
        <v>1</v>
      </c>
      <c r="I13" s="759">
        <f>'Giá Máy'!G19</f>
        <v>5455372</v>
      </c>
      <c r="J13" s="744">
        <f>'Giá Máy'!G19</f>
        <v>5455372</v>
      </c>
      <c r="K13" s="744">
        <f t="shared" ref="K13:K16" si="3">PRODUCT(G13, H13, J13)</f>
        <v>1800.2727600000001</v>
      </c>
      <c r="L13" s="744">
        <f>'Giá Máy'!H19</f>
        <v>5455372</v>
      </c>
      <c r="M13" s="744">
        <f t="shared" ref="M13:M16" si="4">PRODUCT(G13, H13, L13)</f>
        <v>1800.2727600000001</v>
      </c>
      <c r="N13" s="744">
        <v>0</v>
      </c>
      <c r="O13" s="744">
        <v>0</v>
      </c>
      <c r="P13" s="744">
        <f>'Giá Máy'!O19</f>
        <v>5455372</v>
      </c>
      <c r="Q13" s="744">
        <f t="shared" ref="Q13:Q16" si="5">PRODUCT(G13, H13, P13)</f>
        <v>1800.2727600000001</v>
      </c>
      <c r="R13" s="892">
        <f>ROUND(G13*I13,5)</f>
        <v>1800.2727600000001</v>
      </c>
    </row>
    <row r="14" spans="1:18" ht="15" customHeight="1" x14ac:dyDescent="0.25">
      <c r="A14" s="159"/>
      <c r="B14" s="80">
        <v>0</v>
      </c>
      <c r="C14" s="717"/>
      <c r="D14" s="156" t="str">
        <f>" - " &amp; 'Giá Máy'!E25</f>
        <v xml:space="preserve"> - Máy lu bánh thép 6T</v>
      </c>
      <c r="E14" s="80" t="str">
        <f>'Giá Máy'!F25</f>
        <v>ca</v>
      </c>
      <c r="F14" s="372">
        <v>0</v>
      </c>
      <c r="G14" s="682">
        <v>6.3000000000000003E-4</v>
      </c>
      <c r="H14" s="682">
        <f>'Du toan chi tiet'!X8</f>
        <v>1</v>
      </c>
      <c r="I14" s="759">
        <f>'Giá Máy'!O25</f>
        <v>953819</v>
      </c>
      <c r="J14" s="744">
        <f>'Giá Máy'!G25</f>
        <v>953819</v>
      </c>
      <c r="K14" s="744">
        <f t="shared" si="3"/>
        <v>600.90597000000002</v>
      </c>
      <c r="L14" s="744">
        <f>'Giá Máy'!H25</f>
        <v>953819</v>
      </c>
      <c r="M14" s="744">
        <f t="shared" si="4"/>
        <v>600.90597000000002</v>
      </c>
      <c r="N14" s="744">
        <v>0</v>
      </c>
      <c r="O14" s="744">
        <v>0</v>
      </c>
      <c r="P14" s="744">
        <f>'Giá Máy'!O25</f>
        <v>953819</v>
      </c>
      <c r="Q14" s="744">
        <f t="shared" si="5"/>
        <v>600.90597000000002</v>
      </c>
      <c r="R14" s="892">
        <f>ROUND(G14*I14,5)</f>
        <v>600.90597000000002</v>
      </c>
    </row>
    <row r="15" spans="1:18" ht="15" customHeight="1" x14ac:dyDescent="0.25">
      <c r="A15" s="159"/>
      <c r="B15" s="80">
        <v>0</v>
      </c>
      <c r="C15" s="717"/>
      <c r="D15" s="156" t="str">
        <f>" - " &amp; 'Giá Máy'!E23</f>
        <v xml:space="preserve"> - Ô tô tưới nước 5m3</v>
      </c>
      <c r="E15" s="80" t="str">
        <f>'Giá Máy'!F23</f>
        <v>ca</v>
      </c>
      <c r="F15" s="372">
        <v>0</v>
      </c>
      <c r="G15" s="682">
        <v>2.1000000000000001E-4</v>
      </c>
      <c r="H15" s="682">
        <f>'Du toan chi tiet'!X8</f>
        <v>1</v>
      </c>
      <c r="I15" s="759">
        <f>'Giá Máy'!G23</f>
        <v>1202488</v>
      </c>
      <c r="J15" s="744">
        <f>'Giá Máy'!G23</f>
        <v>1202488</v>
      </c>
      <c r="K15" s="744">
        <f t="shared" si="3"/>
        <v>252.52248</v>
      </c>
      <c r="L15" s="744">
        <f>'Giá Máy'!H23</f>
        <v>1202488</v>
      </c>
      <c r="M15" s="744">
        <f t="shared" si="4"/>
        <v>252.52248</v>
      </c>
      <c r="N15" s="744">
        <v>0</v>
      </c>
      <c r="O15" s="744">
        <v>0</v>
      </c>
      <c r="P15" s="744">
        <f>'Giá Máy'!O23</f>
        <v>1202488</v>
      </c>
      <c r="Q15" s="744">
        <f t="shared" si="5"/>
        <v>252.52248</v>
      </c>
      <c r="R15" s="892">
        <f>ROUND(G15*I15,5)</f>
        <v>252.52248</v>
      </c>
    </row>
    <row r="16" spans="1:18" ht="15" customHeight="1" x14ac:dyDescent="0.25">
      <c r="A16" s="78"/>
      <c r="B16" s="19">
        <v>0</v>
      </c>
      <c r="C16" s="643"/>
      <c r="D16" s="77" t="str">
        <f>" - " &amp; 'Giá Máy'!E18</f>
        <v xml:space="preserve"> - Máy nén khí diezel 600m3/h</v>
      </c>
      <c r="E16" s="19" t="str">
        <f>'Giá Máy'!F18</f>
        <v>ca</v>
      </c>
      <c r="F16" s="313">
        <v>0</v>
      </c>
      <c r="G16" s="617">
        <v>3.1E-4</v>
      </c>
      <c r="H16" s="617">
        <f>'Du toan chi tiet'!X8</f>
        <v>1</v>
      </c>
      <c r="I16" s="760">
        <f>'Giá Máy'!G18</f>
        <v>1703277.5</v>
      </c>
      <c r="J16" s="678">
        <f>'Giá Máy'!G18</f>
        <v>1703277.5</v>
      </c>
      <c r="K16" s="678">
        <f t="shared" si="3"/>
        <v>528.01602500000001</v>
      </c>
      <c r="L16" s="678">
        <f>'Giá Máy'!H18</f>
        <v>1703277.5</v>
      </c>
      <c r="M16" s="678">
        <f t="shared" si="4"/>
        <v>528.01602500000001</v>
      </c>
      <c r="N16" s="678">
        <v>0</v>
      </c>
      <c r="O16" s="678">
        <v>0</v>
      </c>
      <c r="P16" s="678">
        <f>'Giá Máy'!O18</f>
        <v>1703277.5</v>
      </c>
      <c r="Q16" s="678">
        <f t="shared" si="5"/>
        <v>528.01602500000001</v>
      </c>
      <c r="R16" s="892">
        <f>ROUND(G16*I16,5)</f>
        <v>528.01603</v>
      </c>
    </row>
    <row r="17" spans="1:18" ht="30" customHeight="1" x14ac:dyDescent="0.25">
      <c r="A17" s="421"/>
      <c r="B17" s="354">
        <v>2</v>
      </c>
      <c r="C17" s="208" t="s">
        <v>343</v>
      </c>
      <c r="D17" s="419" t="str">
        <f>'Du toan chi tiet'!D9</f>
        <v>Rải thảm mặt đường Carboncor Asphalt, bằng phương pháp thủ cơ giới, chiều dày mặt đường đã lèn ép 1cm</v>
      </c>
      <c r="E17" s="354" t="str">
        <f>'Du toan chi tiet'!E9</f>
        <v>m2</v>
      </c>
      <c r="F17" s="624">
        <f>'Du toan chi tiet'!M9</f>
        <v>856.71</v>
      </c>
      <c r="G17" s="182">
        <v>0</v>
      </c>
      <c r="H17" s="182">
        <v>0</v>
      </c>
      <c r="I17" s="758"/>
      <c r="J17" s="259">
        <v>0</v>
      </c>
      <c r="K17" s="259">
        <v>0</v>
      </c>
      <c r="L17" s="259">
        <v>0</v>
      </c>
      <c r="M17" s="259">
        <v>0</v>
      </c>
      <c r="N17" s="259">
        <v>0</v>
      </c>
      <c r="O17" s="259">
        <v>0</v>
      </c>
      <c r="P17" s="259">
        <v>0</v>
      </c>
      <c r="Q17" s="259">
        <v>0</v>
      </c>
      <c r="R17" s="467">
        <v>0</v>
      </c>
    </row>
    <row r="18" spans="1:18" ht="15" customHeight="1" x14ac:dyDescent="0.25">
      <c r="A18" s="159"/>
      <c r="B18" s="80">
        <v>0</v>
      </c>
      <c r="C18" s="717"/>
      <c r="D18" s="156" t="s">
        <v>547</v>
      </c>
      <c r="E18" s="80"/>
      <c r="F18" s="372">
        <v>0</v>
      </c>
      <c r="G18" s="682">
        <v>0</v>
      </c>
      <c r="H18" s="682"/>
      <c r="I18" s="759"/>
      <c r="J18" s="744">
        <v>0</v>
      </c>
      <c r="K18" s="744">
        <f>SUM(K19:K20)</f>
        <v>74864</v>
      </c>
      <c r="L18" s="744">
        <v>0</v>
      </c>
      <c r="M18" s="744">
        <f>SUM(M19:M20)</f>
        <v>74864</v>
      </c>
      <c r="N18" s="744">
        <v>0</v>
      </c>
      <c r="O18" s="744">
        <v>0</v>
      </c>
      <c r="P18" s="744">
        <v>0</v>
      </c>
      <c r="Q18" s="744">
        <f>SUM(Q19:Q20)</f>
        <v>75697.97600000001</v>
      </c>
      <c r="R18" s="891">
        <f>ROUND(SUM(R19:R20),5)</f>
        <v>75697.975999999995</v>
      </c>
    </row>
    <row r="19" spans="1:18" ht="15" customHeight="1" x14ac:dyDescent="0.25">
      <c r="A19" s="159"/>
      <c r="B19" s="80">
        <v>0</v>
      </c>
      <c r="C19" s="717"/>
      <c r="D19" s="156" t="str">
        <f>" - " &amp; 'Giá VL'!E6</f>
        <v xml:space="preserve"> - Carboncor Asphalt (loại CA 9,5)</v>
      </c>
      <c r="E19" s="80" t="str">
        <f>'Giá VL'!F6</f>
        <v>tấn</v>
      </c>
      <c r="F19" s="372">
        <v>0</v>
      </c>
      <c r="G19" s="682">
        <f>0.0297*1/1.5</f>
        <v>1.9800000000000002E-2</v>
      </c>
      <c r="H19" s="682">
        <f>'Du toan chi tiet'!V9</f>
        <v>1</v>
      </c>
      <c r="I19" s="759">
        <f>'Giá VL'!V6</f>
        <v>3822120</v>
      </c>
      <c r="J19" s="744">
        <f>'Giá VL'!G6</f>
        <v>3780000</v>
      </c>
      <c r="K19" s="744">
        <f t="shared" ref="K19:K20" si="6">PRODUCT(G19, H19, J19)</f>
        <v>74844</v>
      </c>
      <c r="L19" s="744">
        <f>'Giá VL'!J6</f>
        <v>3780000</v>
      </c>
      <c r="M19" s="744">
        <f t="shared" ref="M19:M20" si="7">PRODUCT(G19, H19, L19)</f>
        <v>74844</v>
      </c>
      <c r="N19" s="744">
        <v>0</v>
      </c>
      <c r="O19" s="744">
        <v>0</v>
      </c>
      <c r="P19" s="744">
        <f>'Giá VL'!V6</f>
        <v>3822120</v>
      </c>
      <c r="Q19" s="744">
        <f t="shared" ref="Q19:Q20" si="8">PRODUCT(G19, H19, P19)</f>
        <v>75677.97600000001</v>
      </c>
      <c r="R19" s="892">
        <f>ROUND(G19*I19,5)</f>
        <v>75677.975999999995</v>
      </c>
    </row>
    <row r="20" spans="1:18" ht="15" customHeight="1" x14ac:dyDescent="0.25">
      <c r="A20" s="159"/>
      <c r="B20" s="80">
        <v>0</v>
      </c>
      <c r="C20" s="717"/>
      <c r="D20" s="156" t="str">
        <f>" - " &amp; 'Giá VL'!E23</f>
        <v xml:space="preserve"> - Nước</v>
      </c>
      <c r="E20" s="80" t="str">
        <f>'Giá VL'!F23</f>
        <v>lít</v>
      </c>
      <c r="F20" s="372">
        <v>0</v>
      </c>
      <c r="G20" s="682">
        <v>2</v>
      </c>
      <c r="H20" s="682">
        <f>'Du toan chi tiet'!V9</f>
        <v>1</v>
      </c>
      <c r="I20" s="759">
        <f>'Giá VL'!V23</f>
        <v>10</v>
      </c>
      <c r="J20" s="744">
        <f>'Giá VL'!G23</f>
        <v>10</v>
      </c>
      <c r="K20" s="744">
        <f t="shared" si="6"/>
        <v>20</v>
      </c>
      <c r="L20" s="744">
        <f>'Giá VL'!J23</f>
        <v>10</v>
      </c>
      <c r="M20" s="744">
        <f t="shared" si="7"/>
        <v>20</v>
      </c>
      <c r="N20" s="744">
        <v>0</v>
      </c>
      <c r="O20" s="744">
        <v>0</v>
      </c>
      <c r="P20" s="744">
        <f>'Giá VL'!V23</f>
        <v>10</v>
      </c>
      <c r="Q20" s="744">
        <f t="shared" si="8"/>
        <v>20</v>
      </c>
      <c r="R20" s="892">
        <f>ROUND(G20*I20,5)</f>
        <v>20</v>
      </c>
    </row>
    <row r="21" spans="1:18" ht="15" customHeight="1" x14ac:dyDescent="0.25">
      <c r="A21" s="159"/>
      <c r="B21" s="80">
        <v>0</v>
      </c>
      <c r="C21" s="717"/>
      <c r="D21" s="156" t="s">
        <v>301</v>
      </c>
      <c r="E21" s="80"/>
      <c r="F21" s="372">
        <v>0</v>
      </c>
      <c r="G21" s="682">
        <v>0</v>
      </c>
      <c r="H21" s="682"/>
      <c r="I21" s="759"/>
      <c r="J21" s="744">
        <v>0</v>
      </c>
      <c r="K21" s="744">
        <f>SUM(K22:K22)</f>
        <v>1092.8666666666666</v>
      </c>
      <c r="L21" s="744">
        <v>0</v>
      </c>
      <c r="M21" s="744">
        <f>SUM(M22:M22)</f>
        <v>1092.8666666666666</v>
      </c>
      <c r="N21" s="744">
        <v>0</v>
      </c>
      <c r="O21" s="744">
        <v>0</v>
      </c>
      <c r="P21" s="744">
        <v>0</v>
      </c>
      <c r="Q21" s="744">
        <f>SUM(Q22:Q22)</f>
        <v>1092.8666666666666</v>
      </c>
      <c r="R21" s="891">
        <f>ROUND(SUM(R22),5)</f>
        <v>1092.8666700000001</v>
      </c>
    </row>
    <row r="22" spans="1:18" ht="15" customHeight="1" x14ac:dyDescent="0.25">
      <c r="A22" s="159"/>
      <c r="B22" s="80">
        <v>0</v>
      </c>
      <c r="C22" s="717"/>
      <c r="D22" s="156" t="str">
        <f>" - " &amp; 'Giá NC'!E8</f>
        <v xml:space="preserve"> - Nhân công bậc 3,5/7 - Nhóm 2</v>
      </c>
      <c r="E22" s="80" t="str">
        <f>'Giá NC'!F8</f>
        <v>công</v>
      </c>
      <c r="F22" s="372">
        <v>0</v>
      </c>
      <c r="G22" s="682">
        <f>0.0065*1/1.5</f>
        <v>4.3333333333333331E-3</v>
      </c>
      <c r="H22" s="682">
        <f>'Du toan chi tiet'!W9</f>
        <v>1</v>
      </c>
      <c r="I22" s="759">
        <f>'Giá NC'!G8</f>
        <v>252200</v>
      </c>
      <c r="J22" s="744">
        <f>'Giá NC'!G8</f>
        <v>252200</v>
      </c>
      <c r="K22" s="744">
        <f>PRODUCT(G22, H22, J22)</f>
        <v>1092.8666666666666</v>
      </c>
      <c r="L22" s="744">
        <f>'Giá NC'!H8</f>
        <v>252200</v>
      </c>
      <c r="M22" s="744">
        <f>PRODUCT(G22, H22, L22)</f>
        <v>1092.8666666666666</v>
      </c>
      <c r="N22" s="744">
        <v>0</v>
      </c>
      <c r="O22" s="744">
        <v>0</v>
      </c>
      <c r="P22" s="744">
        <f>'Giá NC'!K8</f>
        <v>252200</v>
      </c>
      <c r="Q22" s="744">
        <f>PRODUCT(G22, H22, P22)</f>
        <v>1092.8666666666666</v>
      </c>
      <c r="R22" s="892">
        <f>ROUND(G22*I22,5)</f>
        <v>1092.8666700000001</v>
      </c>
    </row>
    <row r="23" spans="1:18" ht="15" customHeight="1" x14ac:dyDescent="0.25">
      <c r="A23" s="159"/>
      <c r="B23" s="80">
        <v>0</v>
      </c>
      <c r="C23" s="717"/>
      <c r="D23" s="156" t="s">
        <v>1175</v>
      </c>
      <c r="E23" s="80"/>
      <c r="F23" s="372">
        <v>0</v>
      </c>
      <c r="G23" s="682">
        <v>0</v>
      </c>
      <c r="H23" s="682"/>
      <c r="I23" s="759"/>
      <c r="J23" s="744">
        <v>0</v>
      </c>
      <c r="K23" s="744">
        <f>SUM(K24:K27)</f>
        <v>1798.3976833333336</v>
      </c>
      <c r="L23" s="744">
        <v>0</v>
      </c>
      <c r="M23" s="744">
        <f>SUM(M24:M27)</f>
        <v>1798.3976833333336</v>
      </c>
      <c r="N23" s="744">
        <v>0</v>
      </c>
      <c r="O23" s="744">
        <v>0</v>
      </c>
      <c r="P23" s="744">
        <v>0</v>
      </c>
      <c r="Q23" s="744">
        <f>SUM(Q24:Q27)</f>
        <v>1798.3976833333336</v>
      </c>
      <c r="R23" s="891">
        <f>ROUND(SUM(R24:R27),5)</f>
        <v>1798.39768</v>
      </c>
    </row>
    <row r="24" spans="1:18" ht="15" customHeight="1" x14ac:dyDescent="0.25">
      <c r="A24" s="159"/>
      <c r="B24" s="80">
        <v>0</v>
      </c>
      <c r="C24" s="717"/>
      <c r="D24" s="156" t="str">
        <f>" - " &amp; 'Giá Máy'!E19</f>
        <v xml:space="preserve"> - Máy rải hỗn hợp bê tông nhựa 130 - 140CV</v>
      </c>
      <c r="E24" s="80" t="str">
        <f>'Giá Máy'!F19</f>
        <v>ca</v>
      </c>
      <c r="F24" s="372">
        <v>0</v>
      </c>
      <c r="G24" s="682">
        <f>0.00025*1/1.5</f>
        <v>1.6666666666666666E-4</v>
      </c>
      <c r="H24" s="682">
        <f>'Du toan chi tiet'!X9</f>
        <v>1</v>
      </c>
      <c r="I24" s="759">
        <f>'Giá Máy'!G19</f>
        <v>5455372</v>
      </c>
      <c r="J24" s="744">
        <f>'Giá Máy'!G19</f>
        <v>5455372</v>
      </c>
      <c r="K24" s="744">
        <f t="shared" ref="K24:K27" si="9">PRODUCT(G24, H24, J24)</f>
        <v>909.22866666666664</v>
      </c>
      <c r="L24" s="744">
        <f>'Giá Máy'!H19</f>
        <v>5455372</v>
      </c>
      <c r="M24" s="744">
        <f t="shared" ref="M24:M27" si="10">PRODUCT(G24, H24, L24)</f>
        <v>909.22866666666664</v>
      </c>
      <c r="N24" s="744">
        <v>0</v>
      </c>
      <c r="O24" s="744">
        <v>0</v>
      </c>
      <c r="P24" s="744">
        <f>'Giá Máy'!O19</f>
        <v>5455372</v>
      </c>
      <c r="Q24" s="744">
        <f t="shared" ref="Q24:Q27" si="11">PRODUCT(G24, H24, P24)</f>
        <v>909.22866666666664</v>
      </c>
      <c r="R24" s="892">
        <f>ROUND(G24*I24,5)</f>
        <v>909.22866999999997</v>
      </c>
    </row>
    <row r="25" spans="1:18" ht="15" customHeight="1" x14ac:dyDescent="0.25">
      <c r="A25" s="159"/>
      <c r="B25" s="80">
        <v>0</v>
      </c>
      <c r="C25" s="717"/>
      <c r="D25" s="156" t="str">
        <f>" - " &amp; 'Giá Máy'!E25</f>
        <v xml:space="preserve"> - Máy lu bánh thép 6T</v>
      </c>
      <c r="E25" s="80" t="str">
        <f>'Giá Máy'!F25</f>
        <v>ca</v>
      </c>
      <c r="F25" s="372">
        <v>0</v>
      </c>
      <c r="G25" s="682">
        <f>0.00058*1/1.5</f>
        <v>3.8666666666666667E-4</v>
      </c>
      <c r="H25" s="682">
        <f>'Du toan chi tiet'!X9</f>
        <v>1</v>
      </c>
      <c r="I25" s="759">
        <f>'Giá Máy'!G25</f>
        <v>953819</v>
      </c>
      <c r="J25" s="744">
        <f>'Giá Máy'!G25</f>
        <v>953819</v>
      </c>
      <c r="K25" s="744">
        <f t="shared" si="9"/>
        <v>368.81001333333336</v>
      </c>
      <c r="L25" s="744">
        <f>'Giá Máy'!H25</f>
        <v>953819</v>
      </c>
      <c r="M25" s="744">
        <f t="shared" si="10"/>
        <v>368.81001333333336</v>
      </c>
      <c r="N25" s="744">
        <v>0</v>
      </c>
      <c r="O25" s="744">
        <v>0</v>
      </c>
      <c r="P25" s="744">
        <f>'Giá Máy'!O25</f>
        <v>953819</v>
      </c>
      <c r="Q25" s="744">
        <f t="shared" si="11"/>
        <v>368.81001333333336</v>
      </c>
      <c r="R25" s="892">
        <f>ROUND(G25*I25,5)</f>
        <v>368.81000999999998</v>
      </c>
    </row>
    <row r="26" spans="1:18" ht="15" customHeight="1" x14ac:dyDescent="0.25">
      <c r="A26" s="159"/>
      <c r="B26" s="80">
        <v>0</v>
      </c>
      <c r="C26" s="717"/>
      <c r="D26" s="156" t="str">
        <f>" - " &amp; 'Giá Máy'!E23</f>
        <v xml:space="preserve"> - Ô tô tưới nước 5m3</v>
      </c>
      <c r="E26" s="80" t="str">
        <f>'Giá Máy'!F23</f>
        <v>ca</v>
      </c>
      <c r="F26" s="372">
        <v>0</v>
      </c>
      <c r="G26" s="682">
        <f>0.00021*1/1.5</f>
        <v>1.4000000000000001E-4</v>
      </c>
      <c r="H26" s="682">
        <f>'Du toan chi tiet'!X9</f>
        <v>1</v>
      </c>
      <c r="I26" s="759">
        <f>'Giá Máy'!G23</f>
        <v>1202488</v>
      </c>
      <c r="J26" s="744">
        <f>'Giá Máy'!G23</f>
        <v>1202488</v>
      </c>
      <c r="K26" s="744">
        <f t="shared" si="9"/>
        <v>168.34832000000003</v>
      </c>
      <c r="L26" s="744">
        <f>'Giá Máy'!H23</f>
        <v>1202488</v>
      </c>
      <c r="M26" s="744">
        <f t="shared" si="10"/>
        <v>168.34832000000003</v>
      </c>
      <c r="N26" s="744">
        <v>0</v>
      </c>
      <c r="O26" s="744">
        <v>0</v>
      </c>
      <c r="P26" s="744">
        <f>'Giá Máy'!O23</f>
        <v>1202488</v>
      </c>
      <c r="Q26" s="744">
        <f t="shared" si="11"/>
        <v>168.34832000000003</v>
      </c>
      <c r="R26" s="892">
        <f>ROUND(G26*I26,5)</f>
        <v>168.34832</v>
      </c>
    </row>
    <row r="27" spans="1:18" ht="15" customHeight="1" x14ac:dyDescent="0.25">
      <c r="A27" s="78"/>
      <c r="B27" s="19">
        <v>0</v>
      </c>
      <c r="C27" s="643" t="s">
        <v>1089</v>
      </c>
      <c r="D27" s="77" t="str">
        <f>" - " &amp; 'Giá Máy'!E18</f>
        <v xml:space="preserve"> - Máy nén khí diezel 600m3/h</v>
      </c>
      <c r="E27" s="19" t="str">
        <f>'Giá Máy'!F18</f>
        <v>ca</v>
      </c>
      <c r="F27" s="313">
        <v>0</v>
      </c>
      <c r="G27" s="617">
        <f>0.00031*1/1.5</f>
        <v>2.0666666666666666E-4</v>
      </c>
      <c r="H27" s="617">
        <f>'Du toan chi tiet'!X9</f>
        <v>1</v>
      </c>
      <c r="I27" s="760">
        <f>'Giá Máy'!G18</f>
        <v>1703277.5</v>
      </c>
      <c r="J27" s="678">
        <f>'Giá Máy'!G18</f>
        <v>1703277.5</v>
      </c>
      <c r="K27" s="678">
        <f t="shared" si="9"/>
        <v>352.0106833333333</v>
      </c>
      <c r="L27" s="678">
        <f>'Giá Máy'!H18</f>
        <v>1703277.5</v>
      </c>
      <c r="M27" s="678">
        <f t="shared" si="10"/>
        <v>352.0106833333333</v>
      </c>
      <c r="N27" s="678">
        <v>0</v>
      </c>
      <c r="O27" s="678">
        <v>0</v>
      </c>
      <c r="P27" s="678">
        <f>'Giá Máy'!O18</f>
        <v>1703277.5</v>
      </c>
      <c r="Q27" s="678">
        <f t="shared" si="11"/>
        <v>352.0106833333333</v>
      </c>
      <c r="R27" s="892">
        <f>ROUND(G27*I27,5)</f>
        <v>352.01067999999998</v>
      </c>
    </row>
    <row r="28" spans="1:18" ht="30" customHeight="1" x14ac:dyDescent="0.25">
      <c r="A28" s="421"/>
      <c r="B28" s="354">
        <v>3</v>
      </c>
      <c r="C28" s="208" t="s">
        <v>1047</v>
      </c>
      <c r="D28" s="419" t="str">
        <f>'Du toan chi tiet'!D10</f>
        <v>Bê tông thương phẩm, bê tông mặt đường dày mặt đường ≤25cm, bê tông M300, đá 2x4</v>
      </c>
      <c r="E28" s="354" t="str">
        <f>'Du toan chi tiet'!E10</f>
        <v>m3</v>
      </c>
      <c r="F28" s="624">
        <f>'Du toan chi tiet'!M10</f>
        <v>133.84</v>
      </c>
      <c r="G28" s="182">
        <v>0</v>
      </c>
      <c r="H28" s="182">
        <v>0</v>
      </c>
      <c r="I28" s="758"/>
      <c r="J28" s="259">
        <v>0</v>
      </c>
      <c r="K28" s="259">
        <v>0</v>
      </c>
      <c r="L28" s="259">
        <v>0</v>
      </c>
      <c r="M28" s="259">
        <v>0</v>
      </c>
      <c r="N28" s="259">
        <v>0</v>
      </c>
      <c r="O28" s="259">
        <v>0</v>
      </c>
      <c r="P28" s="259">
        <v>0</v>
      </c>
      <c r="Q28" s="259">
        <v>0</v>
      </c>
      <c r="R28" s="467"/>
    </row>
    <row r="29" spans="1:18" ht="15" customHeight="1" x14ac:dyDescent="0.25">
      <c r="A29" s="159"/>
      <c r="B29" s="649">
        <v>0</v>
      </c>
      <c r="C29" s="515"/>
      <c r="D29" s="720" t="s">
        <v>547</v>
      </c>
      <c r="E29" s="649"/>
      <c r="F29" s="160">
        <v>0</v>
      </c>
      <c r="G29" s="485">
        <v>0</v>
      </c>
      <c r="H29" s="485"/>
      <c r="I29" s="761"/>
      <c r="J29" s="526">
        <v>0</v>
      </c>
      <c r="K29" s="526" t="e">
        <f>SUM(K30:K33)</f>
        <v>#REF!</v>
      </c>
      <c r="L29" s="526">
        <v>0</v>
      </c>
      <c r="M29" s="527" t="e">
        <f>SUM(M30:M33)</f>
        <v>#REF!</v>
      </c>
      <c r="N29" s="527">
        <v>0</v>
      </c>
      <c r="O29" s="527">
        <v>0</v>
      </c>
      <c r="P29" s="527">
        <v>0</v>
      </c>
      <c r="Q29" s="527">
        <f>SUM(Q30:Q33)</f>
        <v>1392741.5051997488</v>
      </c>
      <c r="R29" s="891">
        <f>ROUND(SUM(R30:R33),5)</f>
        <v>58949.284699999997</v>
      </c>
    </row>
    <row r="30" spans="1:18" ht="15" customHeight="1" x14ac:dyDescent="0.25">
      <c r="A30" s="159"/>
      <c r="B30" s="649">
        <v>0</v>
      </c>
      <c r="C30" s="515"/>
      <c r="D30" s="720" t="str">
        <f>" - " &amp; 'Giá VL'!E36</f>
        <v xml:space="preserve"> - Bê tông thương phẩm M300</v>
      </c>
      <c r="E30" s="649" t="str">
        <f>'Giá VL'!F34</f>
        <v>m3</v>
      </c>
      <c r="F30" s="160">
        <v>0</v>
      </c>
      <c r="G30" s="485">
        <v>1.0249999999999999</v>
      </c>
      <c r="H30" s="485">
        <f>'Du toan chi tiet'!V10</f>
        <v>1</v>
      </c>
      <c r="I30" s="761">
        <f>'Giá VL'!G23</f>
        <v>10</v>
      </c>
      <c r="J30" s="526">
        <f>'Giá VL'!G23</f>
        <v>10</v>
      </c>
      <c r="K30" s="526">
        <f t="shared" ref="K30:K33" si="12">PRODUCT(G30, H30, J30)</f>
        <v>10.25</v>
      </c>
      <c r="L30" s="526">
        <f>'Giá VL'!J23</f>
        <v>10</v>
      </c>
      <c r="M30" s="527">
        <f t="shared" ref="M30:M33" si="13">PRODUCT(G30, H30, L30)</f>
        <v>10.25</v>
      </c>
      <c r="N30" s="527">
        <v>0</v>
      </c>
      <c r="O30" s="527">
        <v>0</v>
      </c>
      <c r="P30" s="527">
        <f>'Giá VL'!V36</f>
        <v>1281818</v>
      </c>
      <c r="Q30" s="527">
        <f t="shared" ref="Q30:Q33" si="14">PRODUCT(G30, H30, P30)</f>
        <v>1313863.45</v>
      </c>
      <c r="R30" s="892">
        <f t="shared" ref="R30:R32" si="15">ROUND(G30*I30,5)</f>
        <v>10.25</v>
      </c>
    </row>
    <row r="31" spans="1:18" ht="15" customHeight="1" x14ac:dyDescent="0.25">
      <c r="A31" s="159"/>
      <c r="B31" s="649">
        <v>0</v>
      </c>
      <c r="C31" s="515"/>
      <c r="D31" s="720" t="str">
        <f>" - " &amp; 'Giá VL'!E17</f>
        <v xml:space="preserve"> - Gỗ làm khe co dãn</v>
      </c>
      <c r="E31" s="649" t="str">
        <f>'Giá VL'!F17</f>
        <v>m3</v>
      </c>
      <c r="F31" s="160">
        <v>0</v>
      </c>
      <c r="G31" s="485">
        <f>0.014*0.5</f>
        <v>7.0000000000000001E-3</v>
      </c>
      <c r="H31" s="485">
        <f>'Du toan chi tiet'!V10</f>
        <v>1</v>
      </c>
      <c r="I31" s="761">
        <f>'Giá VL'!G17</f>
        <v>4090909</v>
      </c>
      <c r="J31" s="526">
        <f>'Giá VL'!G17</f>
        <v>4090909</v>
      </c>
      <c r="K31" s="526">
        <f t="shared" si="12"/>
        <v>28636.363000000001</v>
      </c>
      <c r="L31" s="526">
        <f>'Giá VL'!J17</f>
        <v>4090909</v>
      </c>
      <c r="M31" s="527">
        <f t="shared" si="13"/>
        <v>28636.363000000001</v>
      </c>
      <c r="N31" s="527">
        <v>0</v>
      </c>
      <c r="O31" s="527">
        <v>0</v>
      </c>
      <c r="P31" s="527">
        <f>'Giá VL'!V17</f>
        <v>4123452.631914</v>
      </c>
      <c r="Q31" s="527">
        <f t="shared" si="14"/>
        <v>28864.168423398001</v>
      </c>
      <c r="R31" s="892">
        <f t="shared" si="15"/>
        <v>28636.363000000001</v>
      </c>
    </row>
    <row r="32" spans="1:18" ht="15" customHeight="1" x14ac:dyDescent="0.25">
      <c r="A32" s="159"/>
      <c r="B32" s="649">
        <v>0</v>
      </c>
      <c r="C32" s="515"/>
      <c r="D32" s="720" t="str">
        <f>" - " &amp; 'Giá VL'!E22</f>
        <v xml:space="preserve"> - Nhựa đường</v>
      </c>
      <c r="E32" s="649" t="str">
        <f>'Giá VL'!F22</f>
        <v>kg</v>
      </c>
      <c r="F32" s="160">
        <v>0</v>
      </c>
      <c r="G32" s="485">
        <f>3.5*0.5</f>
        <v>1.75</v>
      </c>
      <c r="H32" s="485">
        <f>'Du toan chi tiet'!V10</f>
        <v>1</v>
      </c>
      <c r="I32" s="761">
        <f>'Giá VL'!G22</f>
        <v>16818</v>
      </c>
      <c r="J32" s="526">
        <f>'Giá VL'!G22</f>
        <v>16818</v>
      </c>
      <c r="K32" s="526">
        <f t="shared" si="12"/>
        <v>29431.5</v>
      </c>
      <c r="L32" s="526">
        <f>'Giá VL'!J22</f>
        <v>16818</v>
      </c>
      <c r="M32" s="527">
        <f t="shared" si="13"/>
        <v>29431.5</v>
      </c>
      <c r="N32" s="527">
        <v>0</v>
      </c>
      <c r="O32" s="527">
        <v>0</v>
      </c>
      <c r="P32" s="527">
        <f>'Giá VL'!V22</f>
        <v>16818</v>
      </c>
      <c r="Q32" s="527">
        <f t="shared" si="14"/>
        <v>29431.5</v>
      </c>
      <c r="R32" s="892">
        <f t="shared" si="15"/>
        <v>29431.5</v>
      </c>
    </row>
    <row r="33" spans="1:18" ht="15" customHeight="1" x14ac:dyDescent="0.25">
      <c r="A33" s="159"/>
      <c r="B33" s="649">
        <v>0</v>
      </c>
      <c r="C33" s="515"/>
      <c r="D33" s="720" t="s">
        <v>238</v>
      </c>
      <c r="E33" s="649" t="s">
        <v>1113</v>
      </c>
      <c r="F33" s="160">
        <v>0</v>
      </c>
      <c r="G33" s="485">
        <v>1.5</v>
      </c>
      <c r="H33" s="485">
        <f>'Du toan chi tiet'!V10</f>
        <v>1</v>
      </c>
      <c r="I33" s="761"/>
      <c r="J33" s="526" t="e">
        <f>(#REF!*#REF!+#REF!*#REF!+#REF!*#REF!+G30*J30+G31*J31+G32*J32)/100</f>
        <v>#REF!</v>
      </c>
      <c r="K33" s="526" t="e">
        <f t="shared" si="12"/>
        <v>#REF!</v>
      </c>
      <c r="L33" s="526" t="e">
        <f>(#REF!*#REF!+#REF!*#REF!+#REF!*#REF!+G30*L30+G31*L31+G32*L32)/100</f>
        <v>#REF!</v>
      </c>
      <c r="M33" s="527" t="e">
        <f t="shared" si="13"/>
        <v>#REF!</v>
      </c>
      <c r="N33" s="527">
        <v>0</v>
      </c>
      <c r="O33" s="527">
        <v>0</v>
      </c>
      <c r="P33" s="527">
        <f>(G30*P30+G31*P31+G32*P32)/100</f>
        <v>13721.591184233979</v>
      </c>
      <c r="Q33" s="527">
        <f t="shared" si="14"/>
        <v>20582.38677635097</v>
      </c>
      <c r="R33" s="893">
        <f>ROUND(SUM(R30:R32)*G33/100,5)</f>
        <v>871.17169999999999</v>
      </c>
    </row>
    <row r="34" spans="1:18" ht="15" customHeight="1" x14ac:dyDescent="0.25">
      <c r="A34" s="159"/>
      <c r="B34" s="649">
        <v>0</v>
      </c>
      <c r="C34" s="515"/>
      <c r="D34" s="720" t="s">
        <v>301</v>
      </c>
      <c r="E34" s="649"/>
      <c r="F34" s="160">
        <v>0</v>
      </c>
      <c r="G34" s="485">
        <v>0</v>
      </c>
      <c r="H34" s="485"/>
      <c r="I34" s="761"/>
      <c r="J34" s="526">
        <v>0</v>
      </c>
      <c r="K34" s="526">
        <f>SUM(K35:K35)</f>
        <v>172757</v>
      </c>
      <c r="L34" s="526">
        <v>0</v>
      </c>
      <c r="M34" s="527">
        <f>SUM(M35:M35)</f>
        <v>172757</v>
      </c>
      <c r="N34" s="527">
        <v>0</v>
      </c>
      <c r="O34" s="527">
        <v>0</v>
      </c>
      <c r="P34" s="527">
        <v>0</v>
      </c>
      <c r="Q34" s="527">
        <f>SUM(Q35:Q35)</f>
        <v>172757</v>
      </c>
      <c r="R34" s="891">
        <f>ROUND(SUM(R35),5)</f>
        <v>172757</v>
      </c>
    </row>
    <row r="35" spans="1:18" ht="15" customHeight="1" x14ac:dyDescent="0.25">
      <c r="A35" s="159"/>
      <c r="B35" s="649">
        <v>0</v>
      </c>
      <c r="C35" s="515"/>
      <c r="D35" s="720" t="str">
        <f>" - " &amp; 'Giá NC'!E8</f>
        <v xml:space="preserve"> - Nhân công bậc 3,5/7 - Nhóm 2</v>
      </c>
      <c r="E35" s="649" t="str">
        <f>'Giá NC'!F8</f>
        <v>công</v>
      </c>
      <c r="F35" s="160">
        <v>0</v>
      </c>
      <c r="G35" s="485">
        <f>1.37/2</f>
        <v>0.68500000000000005</v>
      </c>
      <c r="H35" s="485">
        <f>'Du toan chi tiet'!W10</f>
        <v>1</v>
      </c>
      <c r="I35" s="761">
        <f>'Giá NC'!G8</f>
        <v>252200</v>
      </c>
      <c r="J35" s="526">
        <f>'Giá NC'!G8</f>
        <v>252200</v>
      </c>
      <c r="K35" s="526">
        <f>PRODUCT(G35, H35, J35)</f>
        <v>172757</v>
      </c>
      <c r="L35" s="526">
        <f>'Giá NC'!H8</f>
        <v>252200</v>
      </c>
      <c r="M35" s="527">
        <f>PRODUCT(G35, H35, L35)</f>
        <v>172757</v>
      </c>
      <c r="N35" s="527">
        <v>0</v>
      </c>
      <c r="O35" s="527">
        <v>0</v>
      </c>
      <c r="P35" s="527">
        <f>'Giá NC'!K8</f>
        <v>252200</v>
      </c>
      <c r="Q35" s="527">
        <f>PRODUCT(G35, H35, P35)</f>
        <v>172757</v>
      </c>
      <c r="R35" s="892">
        <f t="shared" ref="R35" si="16">ROUND(G35*I35,5)</f>
        <v>172757</v>
      </c>
    </row>
    <row r="36" spans="1:18" ht="15" customHeight="1" x14ac:dyDescent="0.25">
      <c r="A36" s="159"/>
      <c r="B36" s="649">
        <v>0</v>
      </c>
      <c r="C36" s="515"/>
      <c r="D36" s="720" t="s">
        <v>1175</v>
      </c>
      <c r="E36" s="649"/>
      <c r="F36" s="160">
        <v>0</v>
      </c>
      <c r="G36" s="485">
        <v>0</v>
      </c>
      <c r="H36" s="485"/>
      <c r="I36" s="761"/>
      <c r="J36" s="526">
        <v>0</v>
      </c>
      <c r="K36" s="526" t="e">
        <f>SUM(K37:K39)</f>
        <v>#REF!</v>
      </c>
      <c r="L36" s="526">
        <v>0</v>
      </c>
      <c r="M36" s="527" t="e">
        <f>SUM(M37:M39)</f>
        <v>#REF!</v>
      </c>
      <c r="N36" s="527">
        <v>0</v>
      </c>
      <c r="O36" s="527">
        <v>0</v>
      </c>
      <c r="P36" s="527">
        <v>0</v>
      </c>
      <c r="Q36" s="527">
        <f>SUM(Q37:Q39)</f>
        <v>47420.294699999999</v>
      </c>
      <c r="R36" s="891">
        <f>ROUND(SUM(R37:R39),5)</f>
        <v>47420.294699999999</v>
      </c>
    </row>
    <row r="37" spans="1:18" ht="15" customHeight="1" x14ac:dyDescent="0.25">
      <c r="A37" s="159"/>
      <c r="B37" s="649">
        <v>0</v>
      </c>
      <c r="C37" s="515"/>
      <c r="D37" s="720" t="str">
        <f>" - " &amp; 'Giá Máy'!E10</f>
        <v xml:space="preserve"> - Máy đầm bàn 1kW</v>
      </c>
      <c r="E37" s="649" t="str">
        <f>'Giá Máy'!F10</f>
        <v>ca</v>
      </c>
      <c r="F37" s="160">
        <v>0</v>
      </c>
      <c r="G37" s="485">
        <v>8.8999999999999996E-2</v>
      </c>
      <c r="H37" s="485">
        <f>'Du toan chi tiet'!X10</f>
        <v>1</v>
      </c>
      <c r="I37" s="761">
        <f>'Giá Máy'!G10</f>
        <v>257212</v>
      </c>
      <c r="J37" s="526">
        <f>'Giá Máy'!G10</f>
        <v>257212</v>
      </c>
      <c r="K37" s="526">
        <f t="shared" ref="K37:K39" si="17">PRODUCT(G37, H37, J37)</f>
        <v>22891.867999999999</v>
      </c>
      <c r="L37" s="526">
        <f>'Giá Máy'!H10</f>
        <v>257212</v>
      </c>
      <c r="M37" s="527">
        <f t="shared" ref="M37:M39" si="18">PRODUCT(G37, H37, L37)</f>
        <v>22891.867999999999</v>
      </c>
      <c r="N37" s="527">
        <v>0</v>
      </c>
      <c r="O37" s="527">
        <v>0</v>
      </c>
      <c r="P37" s="527">
        <f>'Giá Máy'!O10</f>
        <v>257212</v>
      </c>
      <c r="Q37" s="527">
        <f t="shared" ref="Q37:Q39" si="19">PRODUCT(G37, H37, P37)</f>
        <v>22891.867999999999</v>
      </c>
      <c r="R37" s="892">
        <f t="shared" ref="R37:R38" si="20">ROUND(G37*I37,5)</f>
        <v>22891.867999999999</v>
      </c>
    </row>
    <row r="38" spans="1:18" ht="15" customHeight="1" x14ac:dyDescent="0.25">
      <c r="A38" s="159"/>
      <c r="B38" s="649">
        <v>0</v>
      </c>
      <c r="C38" s="515"/>
      <c r="D38" s="720" t="str">
        <f>" - " &amp; 'Giá Máy'!E12</f>
        <v xml:space="preserve"> - Máy đầm dùi 1,5kW</v>
      </c>
      <c r="E38" s="649" t="str">
        <f>'Giá Máy'!F12</f>
        <v>ca</v>
      </c>
      <c r="F38" s="160">
        <v>0</v>
      </c>
      <c r="G38" s="485">
        <v>8.8999999999999996E-2</v>
      </c>
      <c r="H38" s="485">
        <f>'Du toan chi tiet'!X10</f>
        <v>1</v>
      </c>
      <c r="I38" s="761">
        <f>'Giá Máy'!G12</f>
        <v>265153</v>
      </c>
      <c r="J38" s="526">
        <f>'Giá Máy'!G12</f>
        <v>265153</v>
      </c>
      <c r="K38" s="526">
        <f t="shared" si="17"/>
        <v>23598.616999999998</v>
      </c>
      <c r="L38" s="526">
        <f>'Giá Máy'!H12</f>
        <v>265153</v>
      </c>
      <c r="M38" s="527">
        <f t="shared" si="18"/>
        <v>23598.616999999998</v>
      </c>
      <c r="N38" s="527">
        <v>0</v>
      </c>
      <c r="O38" s="527">
        <v>0</v>
      </c>
      <c r="P38" s="527">
        <f>'Giá Máy'!O12</f>
        <v>265153</v>
      </c>
      <c r="Q38" s="527">
        <f t="shared" si="19"/>
        <v>23598.616999999998</v>
      </c>
      <c r="R38" s="892">
        <f t="shared" si="20"/>
        <v>23598.616999999998</v>
      </c>
    </row>
    <row r="39" spans="1:18" ht="15" customHeight="1" x14ac:dyDescent="0.25">
      <c r="A39" s="78"/>
      <c r="B39" s="583">
        <v>0</v>
      </c>
      <c r="C39" s="442"/>
      <c r="D39" s="647" t="s">
        <v>1080</v>
      </c>
      <c r="E39" s="583" t="s">
        <v>1113</v>
      </c>
      <c r="F39" s="79">
        <v>0</v>
      </c>
      <c r="G39" s="412">
        <v>2</v>
      </c>
      <c r="H39" s="412">
        <f>'Du toan chi tiet'!X10</f>
        <v>1</v>
      </c>
      <c r="I39" s="762"/>
      <c r="J39" s="483" t="e">
        <f>(#REF!*#REF!+G37*J37+G38*J38)/100</f>
        <v>#REF!</v>
      </c>
      <c r="K39" s="483" t="e">
        <f t="shared" si="17"/>
        <v>#REF!</v>
      </c>
      <c r="L39" s="483" t="e">
        <f>(#REF!*#REF!+G37*L37+G38*L38)/100</f>
        <v>#REF!</v>
      </c>
      <c r="M39" s="487" t="e">
        <f t="shared" si="18"/>
        <v>#REF!</v>
      </c>
      <c r="N39" s="487">
        <v>0</v>
      </c>
      <c r="O39" s="487">
        <v>0</v>
      </c>
      <c r="P39" s="487">
        <f>(G37*P37+G38*P38)/100</f>
        <v>464.90485000000001</v>
      </c>
      <c r="Q39" s="487">
        <f t="shared" si="19"/>
        <v>929.80970000000002</v>
      </c>
      <c r="R39" s="893">
        <f>ROUND(SUM(R37:R38)*G39/100,5)</f>
        <v>929.80970000000002</v>
      </c>
    </row>
    <row r="40" spans="1:18" ht="15" customHeight="1" x14ac:dyDescent="0.25">
      <c r="A40" s="421"/>
      <c r="B40" s="140">
        <v>4</v>
      </c>
      <c r="C40" s="465" t="s">
        <v>131</v>
      </c>
      <c r="D40" s="227" t="str">
        <f>'Du toan chi tiet'!D11</f>
        <v>Đắp bột đá công trình dày 5cm</v>
      </c>
      <c r="E40" s="140" t="str">
        <f>'Du toan chi tiet'!E11</f>
        <v>m3</v>
      </c>
      <c r="F40" s="422">
        <f>'Du toan chi tiet'!M11</f>
        <v>39.97</v>
      </c>
      <c r="G40" s="731">
        <v>0</v>
      </c>
      <c r="H40" s="731">
        <v>0</v>
      </c>
      <c r="I40" s="763"/>
      <c r="J40" s="24">
        <v>0</v>
      </c>
      <c r="K40" s="24">
        <v>0</v>
      </c>
      <c r="L40" s="24">
        <v>0</v>
      </c>
      <c r="M40" s="28">
        <v>0</v>
      </c>
      <c r="N40" s="28">
        <v>0</v>
      </c>
      <c r="O40" s="28">
        <v>0</v>
      </c>
      <c r="P40" s="28">
        <v>0</v>
      </c>
      <c r="Q40" s="28">
        <v>0</v>
      </c>
      <c r="R40" s="467"/>
    </row>
    <row r="41" spans="1:18" ht="15" customHeight="1" x14ac:dyDescent="0.25">
      <c r="A41" s="159"/>
      <c r="B41" s="649">
        <v>0</v>
      </c>
      <c r="C41" s="515"/>
      <c r="D41" s="720" t="s">
        <v>547</v>
      </c>
      <c r="E41" s="649"/>
      <c r="F41" s="160">
        <v>0</v>
      </c>
      <c r="G41" s="485">
        <v>0</v>
      </c>
      <c r="H41" s="485"/>
      <c r="I41" s="761"/>
      <c r="J41" s="526">
        <v>0</v>
      </c>
      <c r="K41" s="526">
        <f>SUM(K42:K42)</f>
        <v>133091.01999999999</v>
      </c>
      <c r="L41" s="526">
        <v>0</v>
      </c>
      <c r="M41" s="527">
        <f>SUM(M42:M42)</f>
        <v>133091.01999999999</v>
      </c>
      <c r="N41" s="527">
        <v>0</v>
      </c>
      <c r="O41" s="527">
        <v>0</v>
      </c>
      <c r="P41" s="527">
        <v>0</v>
      </c>
      <c r="Q41" s="527">
        <f>SUM(Q42:Q42)</f>
        <v>173936.85111923999</v>
      </c>
      <c r="R41" s="891">
        <f>ROUND(SUM(R42),5)</f>
        <v>133091.01999999999</v>
      </c>
    </row>
    <row r="42" spans="1:18" ht="15" customHeight="1" x14ac:dyDescent="0.25">
      <c r="A42" s="159"/>
      <c r="B42" s="649">
        <v>0</v>
      </c>
      <c r="C42" s="515"/>
      <c r="D42" s="720" t="str">
        <f>" - " &amp; 'Giá VL'!E8</f>
        <v xml:space="preserve"> - Bột đá</v>
      </c>
      <c r="E42" s="649" t="str">
        <f>'Giá VL'!F8</f>
        <v>m3</v>
      </c>
      <c r="F42" s="160">
        <v>0</v>
      </c>
      <c r="G42" s="485">
        <v>1.22</v>
      </c>
      <c r="H42" s="485">
        <f>'Du toan chi tiet'!V11</f>
        <v>1</v>
      </c>
      <c r="I42" s="761">
        <f>'Giá VL'!G8</f>
        <v>109091</v>
      </c>
      <c r="J42" s="526">
        <f>'Giá VL'!G8</f>
        <v>109091</v>
      </c>
      <c r="K42" s="526">
        <f>PRODUCT(G42, H42, J42)</f>
        <v>133091.01999999999</v>
      </c>
      <c r="L42" s="526">
        <f>'Giá VL'!J8</f>
        <v>109091</v>
      </c>
      <c r="M42" s="527">
        <f>PRODUCT(G42, H42, L42)</f>
        <v>133091.01999999999</v>
      </c>
      <c r="N42" s="527">
        <v>0</v>
      </c>
      <c r="O42" s="527">
        <v>0</v>
      </c>
      <c r="P42" s="527">
        <f>'Giá VL'!V8</f>
        <v>142571.189442</v>
      </c>
      <c r="Q42" s="527">
        <f>PRODUCT(G42, H42, P42)</f>
        <v>173936.85111923999</v>
      </c>
      <c r="R42" s="892">
        <f t="shared" ref="R42" si="21">ROUND(G42*I42,5)</f>
        <v>133091.01999999999</v>
      </c>
    </row>
    <row r="43" spans="1:18" ht="15" customHeight="1" x14ac:dyDescent="0.25">
      <c r="A43" s="159"/>
      <c r="B43" s="649">
        <v>0</v>
      </c>
      <c r="C43" s="515"/>
      <c r="D43" s="720" t="s">
        <v>301</v>
      </c>
      <c r="E43" s="649"/>
      <c r="F43" s="160">
        <v>0</v>
      </c>
      <c r="G43" s="485">
        <v>0</v>
      </c>
      <c r="H43" s="485"/>
      <c r="I43" s="761"/>
      <c r="J43" s="526">
        <v>0</v>
      </c>
      <c r="K43" s="526">
        <f>SUM(K44:K44)</f>
        <v>8501.945099999999</v>
      </c>
      <c r="L43" s="526">
        <v>0</v>
      </c>
      <c r="M43" s="527">
        <f>SUM(M44:M44)</f>
        <v>8501.945099999999</v>
      </c>
      <c r="N43" s="527">
        <v>0</v>
      </c>
      <c r="O43" s="527">
        <v>0</v>
      </c>
      <c r="P43" s="527">
        <v>0</v>
      </c>
      <c r="Q43" s="527">
        <f>SUM(Q44:Q44)</f>
        <v>8501.945099999999</v>
      </c>
      <c r="R43" s="891">
        <f>ROUND(SUM(R44),5)</f>
        <v>8501.9451000000008</v>
      </c>
    </row>
    <row r="44" spans="1:18" ht="15" customHeight="1" x14ac:dyDescent="0.25">
      <c r="A44" s="159"/>
      <c r="B44" s="649">
        <v>0</v>
      </c>
      <c r="C44" s="515"/>
      <c r="D44" s="720" t="str">
        <f>" - " &amp; 'Giá NC'!E5</f>
        <v xml:space="preserve"> - Nhân công bậc 3,0/7 - Nhóm 1</v>
      </c>
      <c r="E44" s="649" t="str">
        <f>'Giá NC'!F5</f>
        <v>công</v>
      </c>
      <c r="F44" s="160">
        <v>0</v>
      </c>
      <c r="G44" s="485">
        <v>3.8899999999999997E-2</v>
      </c>
      <c r="H44" s="485">
        <f>'Du toan chi tiet'!W11</f>
        <v>1</v>
      </c>
      <c r="I44" s="761">
        <f>'Giá NC'!G5</f>
        <v>218559</v>
      </c>
      <c r="J44" s="526">
        <f>'Giá NC'!G5</f>
        <v>218559</v>
      </c>
      <c r="K44" s="526">
        <f>PRODUCT(G44, H44, J44)</f>
        <v>8501.945099999999</v>
      </c>
      <c r="L44" s="526">
        <f>'Giá NC'!H5</f>
        <v>218559</v>
      </c>
      <c r="M44" s="527">
        <f>PRODUCT(G44, H44, L44)</f>
        <v>8501.945099999999</v>
      </c>
      <c r="N44" s="527">
        <v>0</v>
      </c>
      <c r="O44" s="527">
        <v>0</v>
      </c>
      <c r="P44" s="527">
        <f>'Giá NC'!K5</f>
        <v>218559</v>
      </c>
      <c r="Q44" s="527">
        <f>PRODUCT(G44, H44, P44)</f>
        <v>8501.945099999999</v>
      </c>
      <c r="R44" s="892">
        <f t="shared" ref="R44" si="22">ROUND(G44*I44,5)</f>
        <v>8501.9451000000008</v>
      </c>
    </row>
    <row r="45" spans="1:18" ht="15" customHeight="1" x14ac:dyDescent="0.25">
      <c r="A45" s="159"/>
      <c r="B45" s="649">
        <v>0</v>
      </c>
      <c r="C45" s="515"/>
      <c r="D45" s="720" t="s">
        <v>1175</v>
      </c>
      <c r="E45" s="649"/>
      <c r="F45" s="160">
        <v>0</v>
      </c>
      <c r="G45" s="485">
        <v>0</v>
      </c>
      <c r="H45" s="485"/>
      <c r="I45" s="761"/>
      <c r="J45" s="526">
        <v>0</v>
      </c>
      <c r="K45" s="526">
        <f>SUM(K46:K47)</f>
        <v>7382.8303799999994</v>
      </c>
      <c r="L45" s="526">
        <v>0</v>
      </c>
      <c r="M45" s="527">
        <f>SUM(M46:M47)</f>
        <v>7382.8303799999994</v>
      </c>
      <c r="N45" s="527">
        <v>0</v>
      </c>
      <c r="O45" s="527">
        <v>0</v>
      </c>
      <c r="P45" s="527">
        <v>0</v>
      </c>
      <c r="Q45" s="527">
        <f>SUM(Q46:Q47)</f>
        <v>7382.8303799999994</v>
      </c>
      <c r="R45" s="891">
        <f>ROUND(SUM(R46),5)</f>
        <v>7238.0690000000004</v>
      </c>
    </row>
    <row r="46" spans="1:18" ht="15" customHeight="1" x14ac:dyDescent="0.25">
      <c r="A46" s="159"/>
      <c r="B46" s="649">
        <v>0</v>
      </c>
      <c r="C46" s="515"/>
      <c r="D46" s="720" t="str">
        <f>" - " &amp; 'Giá Máy'!E11</f>
        <v xml:space="preserve"> - Máy đầm đất cầm tay 70kg</v>
      </c>
      <c r="E46" s="649" t="str">
        <f>'Giá Máy'!F11</f>
        <v>ca</v>
      </c>
      <c r="F46" s="160">
        <v>0</v>
      </c>
      <c r="G46" s="485">
        <v>1.9E-2</v>
      </c>
      <c r="H46" s="485">
        <f>'Du toan chi tiet'!X11</f>
        <v>1</v>
      </c>
      <c r="I46" s="761">
        <f>'Giá Máy'!G11</f>
        <v>380951</v>
      </c>
      <c r="J46" s="526">
        <f>'Giá Máy'!G11</f>
        <v>380951</v>
      </c>
      <c r="K46" s="526">
        <f t="shared" ref="K46:K47" si="23">PRODUCT(G46, H46, J46)</f>
        <v>7238.0689999999995</v>
      </c>
      <c r="L46" s="526">
        <f>'Giá Máy'!H11</f>
        <v>380951</v>
      </c>
      <c r="M46" s="527">
        <f t="shared" ref="M46:M47" si="24">PRODUCT(G46, H46, L46)</f>
        <v>7238.0689999999995</v>
      </c>
      <c r="N46" s="527">
        <v>0</v>
      </c>
      <c r="O46" s="527">
        <v>0</v>
      </c>
      <c r="P46" s="527">
        <f>'Giá Máy'!O11</f>
        <v>380951</v>
      </c>
      <c r="Q46" s="527">
        <f t="shared" ref="Q46:Q47" si="25">PRODUCT(G46, H46, P46)</f>
        <v>7238.0689999999995</v>
      </c>
      <c r="R46" s="892">
        <f t="shared" ref="R46" si="26">ROUND(G46*I46,5)</f>
        <v>7238.0690000000004</v>
      </c>
    </row>
    <row r="47" spans="1:18" ht="15" customHeight="1" x14ac:dyDescent="0.25">
      <c r="A47" s="78"/>
      <c r="B47" s="583">
        <v>0</v>
      </c>
      <c r="C47" s="442"/>
      <c r="D47" s="647" t="s">
        <v>1080</v>
      </c>
      <c r="E47" s="583" t="s">
        <v>1113</v>
      </c>
      <c r="F47" s="79">
        <v>0</v>
      </c>
      <c r="G47" s="412">
        <v>2</v>
      </c>
      <c r="H47" s="412">
        <f>'Du toan chi tiet'!X11</f>
        <v>1</v>
      </c>
      <c r="I47" s="762"/>
      <c r="J47" s="483">
        <f>(G46*J46)/100</f>
        <v>72.380690000000001</v>
      </c>
      <c r="K47" s="483">
        <f t="shared" si="23"/>
        <v>144.76138</v>
      </c>
      <c r="L47" s="483">
        <f>(G46*L46)/100</f>
        <v>72.380690000000001</v>
      </c>
      <c r="M47" s="487">
        <f t="shared" si="24"/>
        <v>144.76138</v>
      </c>
      <c r="N47" s="487">
        <v>0</v>
      </c>
      <c r="O47" s="487">
        <v>0</v>
      </c>
      <c r="P47" s="487">
        <f>(G46*P46)/100</f>
        <v>72.380690000000001</v>
      </c>
      <c r="Q47" s="487">
        <f t="shared" si="25"/>
        <v>144.76138</v>
      </c>
      <c r="R47" s="893">
        <f>ROUND(SUM(R46)*G47/100,5)</f>
        <v>144.76138</v>
      </c>
    </row>
    <row r="48" spans="1:18" ht="15" customHeight="1" x14ac:dyDescent="0.25">
      <c r="A48" s="421"/>
      <c r="B48" s="140">
        <v>5</v>
      </c>
      <c r="C48" s="465" t="s">
        <v>928</v>
      </c>
      <c r="D48" s="227" t="str">
        <f>'Du toan chi tiet'!D12</f>
        <v>Lót bạc nilong sọc xanh đỏ</v>
      </c>
      <c r="E48" s="140" t="str">
        <f>'Du toan chi tiet'!E12</f>
        <v>m2</v>
      </c>
      <c r="F48" s="422">
        <f>'Du toan chi tiet'!M12</f>
        <v>763.11</v>
      </c>
      <c r="G48" s="731">
        <v>0</v>
      </c>
      <c r="H48" s="731">
        <v>0</v>
      </c>
      <c r="I48" s="763"/>
      <c r="J48" s="24">
        <v>0</v>
      </c>
      <c r="K48" s="24">
        <v>0</v>
      </c>
      <c r="L48" s="24">
        <v>0</v>
      </c>
      <c r="M48" s="28">
        <v>0</v>
      </c>
      <c r="N48" s="28">
        <v>0</v>
      </c>
      <c r="O48" s="28">
        <v>0</v>
      </c>
      <c r="P48" s="28">
        <v>0</v>
      </c>
      <c r="Q48" s="28">
        <v>0</v>
      </c>
      <c r="R48" s="467"/>
    </row>
    <row r="49" spans="1:18" ht="15" customHeight="1" x14ac:dyDescent="0.25">
      <c r="A49" s="159"/>
      <c r="B49" s="649">
        <v>0</v>
      </c>
      <c r="C49" s="515"/>
      <c r="D49" s="720" t="s">
        <v>547</v>
      </c>
      <c r="E49" s="649"/>
      <c r="F49" s="160">
        <v>0</v>
      </c>
      <c r="G49" s="485">
        <v>0</v>
      </c>
      <c r="H49" s="485"/>
      <c r="I49" s="761"/>
      <c r="J49" s="526">
        <v>0</v>
      </c>
      <c r="K49" s="526">
        <f>SUM(K50:K51)</f>
        <v>5610</v>
      </c>
      <c r="L49" s="526">
        <v>0</v>
      </c>
      <c r="M49" s="527">
        <f>SUM(M50:M51)</f>
        <v>5610</v>
      </c>
      <c r="N49" s="527">
        <v>0</v>
      </c>
      <c r="O49" s="527">
        <v>0</v>
      </c>
      <c r="P49" s="527">
        <v>0</v>
      </c>
      <c r="Q49" s="527">
        <f>SUM(Q50:Q51)</f>
        <v>5610</v>
      </c>
      <c r="R49" s="891">
        <f>ROUND(SUM(R50:R51),5)</f>
        <v>5610</v>
      </c>
    </row>
    <row r="50" spans="1:18" ht="15" customHeight="1" x14ac:dyDescent="0.25">
      <c r="A50" s="159"/>
      <c r="B50" s="649">
        <v>0</v>
      </c>
      <c r="C50" s="515"/>
      <c r="D50" s="720" t="str">
        <f>" - " &amp; 'Giá VL'!E16</f>
        <v xml:space="preserve"> - Bạc sọc xanh trắng</v>
      </c>
      <c r="E50" s="649" t="str">
        <f>'Giá VL'!F16</f>
        <v>m2</v>
      </c>
      <c r="F50" s="160">
        <v>0</v>
      </c>
      <c r="G50" s="485">
        <v>1.1000000000000001</v>
      </c>
      <c r="H50" s="485">
        <f>'Du toan chi tiet'!V12</f>
        <v>1</v>
      </c>
      <c r="I50" s="761">
        <f>'Giá VL'!G16</f>
        <v>5000</v>
      </c>
      <c r="J50" s="526">
        <f>'Giá VL'!G16</f>
        <v>5000</v>
      </c>
      <c r="K50" s="526">
        <f t="shared" ref="K50:K51" si="27">PRODUCT(G50, H50, J50)</f>
        <v>5500</v>
      </c>
      <c r="L50" s="526">
        <f>'Giá VL'!J16</f>
        <v>5000</v>
      </c>
      <c r="M50" s="527">
        <f t="shared" ref="M50:M51" si="28">PRODUCT(G50, H50, L50)</f>
        <v>5500</v>
      </c>
      <c r="N50" s="527">
        <v>0</v>
      </c>
      <c r="O50" s="527">
        <v>0</v>
      </c>
      <c r="P50" s="527">
        <f>'Giá VL'!V16</f>
        <v>5000</v>
      </c>
      <c r="Q50" s="527">
        <f t="shared" ref="Q50:Q51" si="29">PRODUCT(G50, H50, P50)</f>
        <v>5500</v>
      </c>
      <c r="R50" s="892">
        <f t="shared" ref="R50" si="30">ROUND(G50*I50,5)</f>
        <v>5500</v>
      </c>
    </row>
    <row r="51" spans="1:18" ht="15" customHeight="1" x14ac:dyDescent="0.25">
      <c r="A51" s="159"/>
      <c r="B51" s="649">
        <v>0</v>
      </c>
      <c r="C51" s="515"/>
      <c r="D51" s="720" t="s">
        <v>238</v>
      </c>
      <c r="E51" s="649" t="s">
        <v>1113</v>
      </c>
      <c r="F51" s="160">
        <v>0</v>
      </c>
      <c r="G51" s="485">
        <v>2</v>
      </c>
      <c r="H51" s="485">
        <f>'Du toan chi tiet'!V12</f>
        <v>1</v>
      </c>
      <c r="I51" s="761"/>
      <c r="J51" s="526">
        <f>(G50*J50)/100</f>
        <v>55</v>
      </c>
      <c r="K51" s="526">
        <f t="shared" si="27"/>
        <v>110</v>
      </c>
      <c r="L51" s="526">
        <f>(G50*L50)/100</f>
        <v>55</v>
      </c>
      <c r="M51" s="527">
        <f t="shared" si="28"/>
        <v>110</v>
      </c>
      <c r="N51" s="527">
        <v>0</v>
      </c>
      <c r="O51" s="527">
        <v>0</v>
      </c>
      <c r="P51" s="527">
        <f>(G50*P50)/100</f>
        <v>55</v>
      </c>
      <c r="Q51" s="527">
        <f t="shared" si="29"/>
        <v>110</v>
      </c>
      <c r="R51" s="893">
        <f>ROUND(SUM(R50)*G51/100,5)</f>
        <v>110</v>
      </c>
    </row>
    <row r="52" spans="1:18" ht="15" customHeight="1" x14ac:dyDescent="0.25">
      <c r="A52" s="159"/>
      <c r="B52" s="649">
        <v>0</v>
      </c>
      <c r="C52" s="515"/>
      <c r="D52" s="720" t="s">
        <v>301</v>
      </c>
      <c r="E52" s="649"/>
      <c r="F52" s="160">
        <v>0</v>
      </c>
      <c r="G52" s="485">
        <v>0</v>
      </c>
      <c r="H52" s="485"/>
      <c r="I52" s="761"/>
      <c r="J52" s="526">
        <v>0</v>
      </c>
      <c r="K52" s="526">
        <f>SUM(K53:K53)</f>
        <v>378.3</v>
      </c>
      <c r="L52" s="526">
        <v>0</v>
      </c>
      <c r="M52" s="527">
        <f>SUM(M53:M53)</f>
        <v>378.3</v>
      </c>
      <c r="N52" s="527">
        <v>0</v>
      </c>
      <c r="O52" s="527">
        <v>0</v>
      </c>
      <c r="P52" s="527">
        <v>0</v>
      </c>
      <c r="Q52" s="527">
        <f>SUM(Q53:Q53)</f>
        <v>378.3</v>
      </c>
      <c r="R52" s="891">
        <f>ROUND(SUM(R53),5)</f>
        <v>378.3</v>
      </c>
    </row>
    <row r="53" spans="1:18" ht="15" customHeight="1" x14ac:dyDescent="0.25">
      <c r="A53" s="78"/>
      <c r="B53" s="583">
        <v>0</v>
      </c>
      <c r="C53" s="442"/>
      <c r="D53" s="647" t="str">
        <f>" - " &amp; 'Giá NC'!E8</f>
        <v xml:space="preserve"> - Nhân công bậc 3,5/7 - Nhóm 2</v>
      </c>
      <c r="E53" s="583" t="str">
        <f>'Giá NC'!F8</f>
        <v>công</v>
      </c>
      <c r="F53" s="79">
        <v>0</v>
      </c>
      <c r="G53" s="412">
        <v>1.5E-3</v>
      </c>
      <c r="H53" s="412">
        <f>'Du toan chi tiet'!W12</f>
        <v>1</v>
      </c>
      <c r="I53" s="762">
        <f>'Giá NC'!G8</f>
        <v>252200</v>
      </c>
      <c r="J53" s="483">
        <f>'Giá NC'!G8</f>
        <v>252200</v>
      </c>
      <c r="K53" s="483">
        <f>PRODUCT(G53, H53, J53)</f>
        <v>378.3</v>
      </c>
      <c r="L53" s="483">
        <f>'Giá NC'!H8</f>
        <v>252200</v>
      </c>
      <c r="M53" s="487">
        <f>PRODUCT(G53, H53, L53)</f>
        <v>378.3</v>
      </c>
      <c r="N53" s="487">
        <v>0</v>
      </c>
      <c r="O53" s="487">
        <v>0</v>
      </c>
      <c r="P53" s="487">
        <f>'Giá NC'!K8</f>
        <v>252200</v>
      </c>
      <c r="Q53" s="487">
        <f>PRODUCT(G53, H53, P53)</f>
        <v>378.3</v>
      </c>
      <c r="R53" s="892">
        <f t="shared" ref="R53" si="31">ROUND(G53*I53,5)</f>
        <v>378.3</v>
      </c>
    </row>
    <row r="54" spans="1:18" ht="15" customHeight="1" x14ac:dyDescent="0.25">
      <c r="A54" s="421"/>
      <c r="B54" s="140">
        <v>6</v>
      </c>
      <c r="C54" s="465" t="s">
        <v>1130</v>
      </c>
      <c r="D54" s="227" t="str">
        <f>'Du toan chi tiet'!D13</f>
        <v>Ván khuôn thép mặt đường bê tông</v>
      </c>
      <c r="E54" s="140" t="str">
        <f>'Du toan chi tiet'!E13</f>
        <v>m2</v>
      </c>
      <c r="F54" s="422">
        <f>'Du toan chi tiet'!M13</f>
        <v>105.49</v>
      </c>
      <c r="G54" s="731">
        <v>0</v>
      </c>
      <c r="H54" s="731">
        <v>0</v>
      </c>
      <c r="I54" s="763"/>
      <c r="J54" s="24">
        <v>0</v>
      </c>
      <c r="K54" s="24">
        <v>0</v>
      </c>
      <c r="L54" s="24">
        <v>0</v>
      </c>
      <c r="M54" s="28">
        <v>0</v>
      </c>
      <c r="N54" s="28">
        <v>0</v>
      </c>
      <c r="O54" s="28">
        <v>0</v>
      </c>
      <c r="P54" s="28">
        <v>0</v>
      </c>
      <c r="Q54" s="28">
        <v>0</v>
      </c>
      <c r="R54" s="467"/>
    </row>
    <row r="55" spans="1:18" ht="15" customHeight="1" x14ac:dyDescent="0.25">
      <c r="A55" s="159"/>
      <c r="B55" s="649">
        <v>0</v>
      </c>
      <c r="C55" s="515"/>
      <c r="D55" s="720" t="s">
        <v>547</v>
      </c>
      <c r="E55" s="649"/>
      <c r="F55" s="160">
        <v>0</v>
      </c>
      <c r="G55" s="485">
        <v>0</v>
      </c>
      <c r="H55" s="485"/>
      <c r="I55" s="761"/>
      <c r="J55" s="526">
        <v>0</v>
      </c>
      <c r="K55" s="526">
        <f>SUM(K56:K58)</f>
        <v>6590.5011119999999</v>
      </c>
      <c r="L55" s="526">
        <v>0</v>
      </c>
      <c r="M55" s="527">
        <f>SUM(M56:M58)</f>
        <v>6590.5011119999999</v>
      </c>
      <c r="N55" s="527">
        <v>0</v>
      </c>
      <c r="O55" s="527">
        <v>0</v>
      </c>
      <c r="P55" s="527">
        <v>0</v>
      </c>
      <c r="Q55" s="527">
        <f>SUM(Q56:Q58)</f>
        <v>6608.9745113801073</v>
      </c>
      <c r="R55" s="891">
        <f>ROUND(SUM(R56:R58),5)</f>
        <v>6590.5011100000002</v>
      </c>
    </row>
    <row r="56" spans="1:18" ht="15" customHeight="1" x14ac:dyDescent="0.25">
      <c r="A56" s="159"/>
      <c r="B56" s="649">
        <v>0</v>
      </c>
      <c r="C56" s="515"/>
      <c r="D56" s="720" t="str">
        <f>" - " &amp; 'Giá VL'!E30</f>
        <v xml:space="preserve"> - Thép hình, thép tấm</v>
      </c>
      <c r="E56" s="649" t="str">
        <f>'Giá VL'!F30</f>
        <v>kg</v>
      </c>
      <c r="F56" s="160">
        <v>0</v>
      </c>
      <c r="G56" s="485">
        <v>0.315</v>
      </c>
      <c r="H56" s="485">
        <f>'Du toan chi tiet'!V13</f>
        <v>1</v>
      </c>
      <c r="I56" s="761">
        <f>'Giá VL'!G30</f>
        <v>19600</v>
      </c>
      <c r="J56" s="526">
        <f>'Giá VL'!G30</f>
        <v>19600</v>
      </c>
      <c r="K56" s="526">
        <f t="shared" ref="K56:K58" si="32">PRODUCT(G56, H56, J56)</f>
        <v>6174</v>
      </c>
      <c r="L56" s="526">
        <f>'Giá VL'!J30</f>
        <v>19600</v>
      </c>
      <c r="M56" s="527">
        <f t="shared" ref="M56:M58" si="33">PRODUCT(G56, H56, L56)</f>
        <v>6174</v>
      </c>
      <c r="N56" s="527">
        <v>0</v>
      </c>
      <c r="O56" s="527">
        <v>0</v>
      </c>
      <c r="P56" s="527">
        <f>'Giá VL'!V30</f>
        <v>19657.495796390001</v>
      </c>
      <c r="Q56" s="527">
        <f t="shared" ref="Q56:Q58" si="34">PRODUCT(G56, H56, P56)</f>
        <v>6192.1111758628504</v>
      </c>
      <c r="R56" s="892">
        <f t="shared" ref="R56:R57" si="35">ROUND(G56*I56,5)</f>
        <v>6174</v>
      </c>
    </row>
    <row r="57" spans="1:18" ht="15" customHeight="1" x14ac:dyDescent="0.25">
      <c r="A57" s="159"/>
      <c r="B57" s="649">
        <v>0</v>
      </c>
      <c r="C57" s="515"/>
      <c r="D57" s="720" t="str">
        <f>" - " &amp; 'Giá VL'!E25</f>
        <v xml:space="preserve"> - Que hàn</v>
      </c>
      <c r="E57" s="649" t="str">
        <f>'Giá VL'!F25</f>
        <v>kg</v>
      </c>
      <c r="F57" s="160">
        <v>0</v>
      </c>
      <c r="G57" s="485">
        <v>1.5800000000000002E-2</v>
      </c>
      <c r="H57" s="485">
        <f>'Du toan chi tiet'!V13</f>
        <v>1</v>
      </c>
      <c r="I57" s="761">
        <f>'Giá VL'!G25</f>
        <v>18182</v>
      </c>
      <c r="J57" s="526">
        <f>'Giá VL'!G25</f>
        <v>18182</v>
      </c>
      <c r="K57" s="526">
        <f t="shared" si="32"/>
        <v>287.27560000000005</v>
      </c>
      <c r="L57" s="526">
        <f>'Giá VL'!J25</f>
        <v>18182</v>
      </c>
      <c r="M57" s="527">
        <f t="shared" si="33"/>
        <v>287.27560000000005</v>
      </c>
      <c r="N57" s="527">
        <v>0</v>
      </c>
      <c r="O57" s="527">
        <v>0</v>
      </c>
      <c r="P57" s="527">
        <f>'Giá VL'!V25</f>
        <v>18182</v>
      </c>
      <c r="Q57" s="527">
        <f t="shared" si="34"/>
        <v>287.27560000000005</v>
      </c>
      <c r="R57" s="892">
        <f t="shared" si="35"/>
        <v>287.2756</v>
      </c>
    </row>
    <row r="58" spans="1:18" ht="15" customHeight="1" x14ac:dyDescent="0.25">
      <c r="A58" s="159"/>
      <c r="B58" s="649">
        <v>0</v>
      </c>
      <c r="C58" s="515"/>
      <c r="D58" s="720" t="s">
        <v>238</v>
      </c>
      <c r="E58" s="649" t="s">
        <v>1113</v>
      </c>
      <c r="F58" s="160">
        <v>0</v>
      </c>
      <c r="G58" s="485">
        <v>2</v>
      </c>
      <c r="H58" s="485">
        <f>'Du toan chi tiet'!V13</f>
        <v>1</v>
      </c>
      <c r="I58" s="761"/>
      <c r="J58" s="526">
        <f>(G56*J56+G57*J57)/100</f>
        <v>64.612756000000005</v>
      </c>
      <c r="K58" s="526">
        <f t="shared" si="32"/>
        <v>129.22551200000001</v>
      </c>
      <c r="L58" s="526">
        <f>(G56*L56+G57*L57)/100</f>
        <v>64.612756000000005</v>
      </c>
      <c r="M58" s="527">
        <f t="shared" si="33"/>
        <v>129.22551200000001</v>
      </c>
      <c r="N58" s="527">
        <v>0</v>
      </c>
      <c r="O58" s="527">
        <v>0</v>
      </c>
      <c r="P58" s="527">
        <f>(G56*P56+G57*P57)/100</f>
        <v>64.793867758628508</v>
      </c>
      <c r="Q58" s="527">
        <f t="shared" si="34"/>
        <v>129.58773551725702</v>
      </c>
      <c r="R58" s="893">
        <f>ROUND(SUM(R56:R57)*G58/100,5)</f>
        <v>129.22551000000001</v>
      </c>
    </row>
    <row r="59" spans="1:18" ht="15" customHeight="1" x14ac:dyDescent="0.25">
      <c r="A59" s="159"/>
      <c r="B59" s="649">
        <v>0</v>
      </c>
      <c r="C59" s="515"/>
      <c r="D59" s="720" t="s">
        <v>301</v>
      </c>
      <c r="E59" s="649"/>
      <c r="F59" s="160">
        <v>0</v>
      </c>
      <c r="G59" s="485">
        <v>0</v>
      </c>
      <c r="H59" s="485"/>
      <c r="I59" s="761"/>
      <c r="J59" s="526">
        <v>0</v>
      </c>
      <c r="K59" s="526">
        <f>SUM(K60:K60)</f>
        <v>31483.550000000003</v>
      </c>
      <c r="L59" s="526">
        <v>0</v>
      </c>
      <c r="M59" s="527">
        <f>SUM(M60:M60)</f>
        <v>31483.550000000003</v>
      </c>
      <c r="N59" s="527">
        <v>0</v>
      </c>
      <c r="O59" s="527">
        <v>0</v>
      </c>
      <c r="P59" s="527">
        <v>0</v>
      </c>
      <c r="Q59" s="527">
        <f>SUM(Q60:Q60)</f>
        <v>31483.550000000003</v>
      </c>
      <c r="R59" s="891">
        <f>ROUND(SUM(R60),5)</f>
        <v>31483.55</v>
      </c>
    </row>
    <row r="60" spans="1:18" ht="15" customHeight="1" x14ac:dyDescent="0.25">
      <c r="A60" s="159"/>
      <c r="B60" s="649">
        <v>0</v>
      </c>
      <c r="C60" s="515"/>
      <c r="D60" s="720" t="str">
        <f>" - " &amp; 'Giá NC'!E9</f>
        <v xml:space="preserve"> - Nhân công bậc 4,0/7 - Nhóm 2</v>
      </c>
      <c r="E60" s="649" t="str">
        <f>'Giá NC'!F9</f>
        <v>công</v>
      </c>
      <c r="F60" s="160">
        <v>0</v>
      </c>
      <c r="G60" s="485">
        <v>0.115</v>
      </c>
      <c r="H60" s="485">
        <f>'Du toan chi tiet'!W13</f>
        <v>1</v>
      </c>
      <c r="I60" s="761">
        <f>'Giá NC'!G9</f>
        <v>273770</v>
      </c>
      <c r="J60" s="526">
        <f>'Giá NC'!G9</f>
        <v>273770</v>
      </c>
      <c r="K60" s="526">
        <f>PRODUCT(G60, H60, J60)</f>
        <v>31483.550000000003</v>
      </c>
      <c r="L60" s="526">
        <f>'Giá NC'!H9</f>
        <v>273770</v>
      </c>
      <c r="M60" s="527">
        <f>PRODUCT(G60, H60, L60)</f>
        <v>31483.550000000003</v>
      </c>
      <c r="N60" s="527">
        <v>0</v>
      </c>
      <c r="O60" s="527">
        <v>0</v>
      </c>
      <c r="P60" s="527">
        <f>'Giá NC'!K9</f>
        <v>273770</v>
      </c>
      <c r="Q60" s="527">
        <f>PRODUCT(G60, H60, P60)</f>
        <v>31483.550000000003</v>
      </c>
      <c r="R60" s="892">
        <f t="shared" ref="R60" si="36">ROUND(G60*I60,5)</f>
        <v>31483.55</v>
      </c>
    </row>
    <row r="61" spans="1:18" ht="15" customHeight="1" x14ac:dyDescent="0.25">
      <c r="A61" s="159"/>
      <c r="B61" s="649">
        <v>0</v>
      </c>
      <c r="C61" s="515"/>
      <c r="D61" s="720" t="s">
        <v>1175</v>
      </c>
      <c r="E61" s="649"/>
      <c r="F61" s="160">
        <v>0</v>
      </c>
      <c r="G61" s="485">
        <v>0</v>
      </c>
      <c r="H61" s="485"/>
      <c r="I61" s="761"/>
      <c r="J61" s="526">
        <v>0</v>
      </c>
      <c r="K61" s="526">
        <f>SUM(K62:K63)</f>
        <v>2047.4392679999999</v>
      </c>
      <c r="L61" s="526">
        <v>0</v>
      </c>
      <c r="M61" s="527">
        <f>SUM(M62:M63)</f>
        <v>2047.4392679999999</v>
      </c>
      <c r="N61" s="527">
        <v>0</v>
      </c>
      <c r="O61" s="527">
        <v>0</v>
      </c>
      <c r="P61" s="527">
        <v>0</v>
      </c>
      <c r="Q61" s="527">
        <f>SUM(Q62:Q63)</f>
        <v>2047.4392679999999</v>
      </c>
      <c r="R61" s="891">
        <f>ROUND(SUM(R62:R63),5)</f>
        <v>2047.4392700000001</v>
      </c>
    </row>
    <row r="62" spans="1:18" ht="15" customHeight="1" x14ac:dyDescent="0.25">
      <c r="A62" s="159"/>
      <c r="B62" s="649">
        <v>0</v>
      </c>
      <c r="C62" s="515"/>
      <c r="D62" s="720" t="str">
        <f>" - " &amp; 'Giá Máy'!E15</f>
        <v xml:space="preserve"> - Máy hàn điện 23kW</v>
      </c>
      <c r="E62" s="649" t="str">
        <f>'Giá Máy'!F15</f>
        <v>ca</v>
      </c>
      <c r="F62" s="160">
        <v>0</v>
      </c>
      <c r="G62" s="485">
        <v>4.1999999999999997E-3</v>
      </c>
      <c r="H62" s="485">
        <f>'Du toan chi tiet'!X13</f>
        <v>1</v>
      </c>
      <c r="I62" s="761">
        <f>'Giá Máy'!G15</f>
        <v>477927</v>
      </c>
      <c r="J62" s="526">
        <f>'Giá Máy'!G15</f>
        <v>477927</v>
      </c>
      <c r="K62" s="526">
        <f t="shared" ref="K62:K63" si="37">PRODUCT(G62, H62, J62)</f>
        <v>2007.2933999999998</v>
      </c>
      <c r="L62" s="526">
        <f>'Giá Máy'!H15</f>
        <v>477927</v>
      </c>
      <c r="M62" s="527">
        <f t="shared" ref="M62:M63" si="38">PRODUCT(G62, H62, L62)</f>
        <v>2007.2933999999998</v>
      </c>
      <c r="N62" s="527">
        <v>0</v>
      </c>
      <c r="O62" s="527">
        <v>0</v>
      </c>
      <c r="P62" s="527">
        <f>'Giá Máy'!O15</f>
        <v>477927</v>
      </c>
      <c r="Q62" s="527">
        <f t="shared" ref="Q62:Q63" si="39">PRODUCT(G62, H62, P62)</f>
        <v>2007.2933999999998</v>
      </c>
      <c r="R62" s="892">
        <f t="shared" ref="R62" si="40">ROUND(G62*I62,5)</f>
        <v>2007.2934</v>
      </c>
    </row>
    <row r="63" spans="1:18" ht="15" customHeight="1" x14ac:dyDescent="0.25">
      <c r="A63" s="78"/>
      <c r="B63" s="583">
        <v>0</v>
      </c>
      <c r="C63" s="442"/>
      <c r="D63" s="647" t="s">
        <v>1080</v>
      </c>
      <c r="E63" s="583" t="s">
        <v>1113</v>
      </c>
      <c r="F63" s="79">
        <v>0</v>
      </c>
      <c r="G63" s="412">
        <v>2</v>
      </c>
      <c r="H63" s="412">
        <f>'Du toan chi tiet'!X13</f>
        <v>1</v>
      </c>
      <c r="I63" s="762"/>
      <c r="J63" s="483">
        <f>(G62*J62)/100</f>
        <v>20.072933999999997</v>
      </c>
      <c r="K63" s="483">
        <f t="shared" si="37"/>
        <v>40.145867999999993</v>
      </c>
      <c r="L63" s="483">
        <f>(G62*L62)/100</f>
        <v>20.072933999999997</v>
      </c>
      <c r="M63" s="487">
        <f t="shared" si="38"/>
        <v>40.145867999999993</v>
      </c>
      <c r="N63" s="487">
        <v>0</v>
      </c>
      <c r="O63" s="487">
        <v>0</v>
      </c>
      <c r="P63" s="487">
        <f>(G62*P62)/100</f>
        <v>20.072933999999997</v>
      </c>
      <c r="Q63" s="487">
        <f t="shared" si="39"/>
        <v>40.145867999999993</v>
      </c>
      <c r="R63" s="893">
        <f>ROUND(SUM(R62)*G63/100,5)</f>
        <v>40.145870000000002</v>
      </c>
    </row>
    <row r="64" spans="1:18" ht="30" customHeight="1" x14ac:dyDescent="0.25">
      <c r="A64" s="421"/>
      <c r="B64" s="354">
        <v>7</v>
      </c>
      <c r="C64" s="208" t="s">
        <v>369</v>
      </c>
      <c r="D64" s="419" t="str">
        <f>'Du toan chi tiet'!D14</f>
        <v>Cắt mặt đường bê tông Asphalt chiều dày lớp cắt ≤ 5cm</v>
      </c>
      <c r="E64" s="354" t="str">
        <f>'Du toan chi tiet'!E14</f>
        <v>m</v>
      </c>
      <c r="F64" s="624">
        <f>'Du toan chi tiet'!M14</f>
        <v>25</v>
      </c>
      <c r="G64" s="182">
        <v>0</v>
      </c>
      <c r="H64" s="182">
        <v>0</v>
      </c>
      <c r="I64" s="758"/>
      <c r="J64" s="259">
        <v>0</v>
      </c>
      <c r="K64" s="259">
        <v>0</v>
      </c>
      <c r="L64" s="259">
        <v>0</v>
      </c>
      <c r="M64" s="259">
        <v>0</v>
      </c>
      <c r="N64" s="259">
        <v>0</v>
      </c>
      <c r="O64" s="259">
        <v>0</v>
      </c>
      <c r="P64" s="259">
        <v>0</v>
      </c>
      <c r="Q64" s="259">
        <v>0</v>
      </c>
      <c r="R64" s="467"/>
    </row>
    <row r="65" spans="1:18" ht="15" customHeight="1" x14ac:dyDescent="0.25">
      <c r="A65" s="159"/>
      <c r="B65" s="649">
        <v>0</v>
      </c>
      <c r="C65" s="515"/>
      <c r="D65" s="720" t="s">
        <v>547</v>
      </c>
      <c r="E65" s="649"/>
      <c r="F65" s="160">
        <v>0</v>
      </c>
      <c r="G65" s="485">
        <v>0</v>
      </c>
      <c r="H65" s="485"/>
      <c r="I65" s="761"/>
      <c r="J65" s="526">
        <v>0</v>
      </c>
      <c r="K65" s="526">
        <f>SUM(K66:K67)</f>
        <v>3371.1</v>
      </c>
      <c r="L65" s="526">
        <v>0</v>
      </c>
      <c r="M65" s="527">
        <f>SUM(M66:M67)</f>
        <v>3371.1</v>
      </c>
      <c r="N65" s="527">
        <v>0</v>
      </c>
      <c r="O65" s="527">
        <v>0</v>
      </c>
      <c r="P65" s="527">
        <v>0</v>
      </c>
      <c r="Q65" s="527">
        <f>SUM(Q66:Q67)</f>
        <v>3371.1</v>
      </c>
      <c r="R65" s="891">
        <f>ROUND(SUM(R66:R67),5)</f>
        <v>3371.1</v>
      </c>
    </row>
    <row r="66" spans="1:18" ht="15" customHeight="1" x14ac:dyDescent="0.25">
      <c r="A66" s="159"/>
      <c r="B66" s="649">
        <v>0</v>
      </c>
      <c r="C66" s="515"/>
      <c r="D66" s="720" t="str">
        <f>" - " &amp; 'Giá VL'!E18</f>
        <v xml:space="preserve"> - Lưỡi cắt bê tông loại 356mm</v>
      </c>
      <c r="E66" s="649" t="str">
        <f>'Giá VL'!F18</f>
        <v>cái</v>
      </c>
      <c r="F66" s="160">
        <v>0</v>
      </c>
      <c r="G66" s="485">
        <v>2.5000000000000001E-3</v>
      </c>
      <c r="H66" s="485">
        <f>'Du toan chi tiet'!V14</f>
        <v>1</v>
      </c>
      <c r="I66" s="761">
        <f>'Giá VL'!G18</f>
        <v>1322000</v>
      </c>
      <c r="J66" s="526">
        <f>'Giá VL'!G18</f>
        <v>1322000</v>
      </c>
      <c r="K66" s="526">
        <f t="shared" ref="K66:K67" si="41">PRODUCT(G66, H66, J66)</f>
        <v>3305</v>
      </c>
      <c r="L66" s="526">
        <f>'Giá VL'!J18</f>
        <v>1322000</v>
      </c>
      <c r="M66" s="527">
        <f t="shared" ref="M66:M67" si="42">PRODUCT(G66, H66, L66)</f>
        <v>3305</v>
      </c>
      <c r="N66" s="527">
        <v>0</v>
      </c>
      <c r="O66" s="527">
        <v>0</v>
      </c>
      <c r="P66" s="527">
        <f>'Giá VL'!V18</f>
        <v>1322000</v>
      </c>
      <c r="Q66" s="527">
        <f t="shared" ref="Q66:Q67" si="43">PRODUCT(G66, H66, P66)</f>
        <v>3305</v>
      </c>
      <c r="R66" s="892">
        <f t="shared" ref="R66" si="44">ROUND(G66*I66,5)</f>
        <v>3305</v>
      </c>
    </row>
    <row r="67" spans="1:18" ht="15" customHeight="1" x14ac:dyDescent="0.25">
      <c r="A67" s="159"/>
      <c r="B67" s="649">
        <v>0</v>
      </c>
      <c r="C67" s="515"/>
      <c r="D67" s="720" t="s">
        <v>238</v>
      </c>
      <c r="E67" s="649" t="s">
        <v>1113</v>
      </c>
      <c r="F67" s="160">
        <v>0</v>
      </c>
      <c r="G67" s="485">
        <v>2</v>
      </c>
      <c r="H67" s="485">
        <f>'Du toan chi tiet'!V14</f>
        <v>1</v>
      </c>
      <c r="I67" s="761"/>
      <c r="J67" s="526">
        <f>(G66*J66)/100</f>
        <v>33.049999999999997</v>
      </c>
      <c r="K67" s="526">
        <f t="shared" si="41"/>
        <v>66.099999999999994</v>
      </c>
      <c r="L67" s="526">
        <f>(G66*L66)/100</f>
        <v>33.049999999999997</v>
      </c>
      <c r="M67" s="527">
        <f t="shared" si="42"/>
        <v>66.099999999999994</v>
      </c>
      <c r="N67" s="527">
        <v>0</v>
      </c>
      <c r="O67" s="527">
        <v>0</v>
      </c>
      <c r="P67" s="527">
        <f>(G66*P66)/100</f>
        <v>33.049999999999997</v>
      </c>
      <c r="Q67" s="527">
        <f t="shared" si="43"/>
        <v>66.099999999999994</v>
      </c>
      <c r="R67" s="893">
        <f>ROUND(SUM(R66)*G67/100,5)</f>
        <v>66.099999999999994</v>
      </c>
    </row>
    <row r="68" spans="1:18" ht="15" customHeight="1" x14ac:dyDescent="0.25">
      <c r="A68" s="159"/>
      <c r="B68" s="649">
        <v>0</v>
      </c>
      <c r="C68" s="515"/>
      <c r="D68" s="720" t="s">
        <v>301</v>
      </c>
      <c r="E68" s="649"/>
      <c r="F68" s="160">
        <v>0</v>
      </c>
      <c r="G68" s="485">
        <v>0</v>
      </c>
      <c r="H68" s="485"/>
      <c r="I68" s="761"/>
      <c r="J68" s="526">
        <v>0</v>
      </c>
      <c r="K68" s="526">
        <f>SUM(K69:K69)</f>
        <v>4818.3519999999999</v>
      </c>
      <c r="L68" s="526">
        <v>0</v>
      </c>
      <c r="M68" s="527">
        <f>SUM(M69:M69)</f>
        <v>4818.3519999999999</v>
      </c>
      <c r="N68" s="527">
        <v>0</v>
      </c>
      <c r="O68" s="527">
        <v>0</v>
      </c>
      <c r="P68" s="527">
        <v>0</v>
      </c>
      <c r="Q68" s="527">
        <f>SUM(Q69:Q69)</f>
        <v>4818.3519999999999</v>
      </c>
      <c r="R68" s="891">
        <f>ROUND(SUM(R69),5)</f>
        <v>4818.3519999999999</v>
      </c>
    </row>
    <row r="69" spans="1:18" ht="15" customHeight="1" x14ac:dyDescent="0.25">
      <c r="A69" s="159"/>
      <c r="B69" s="649">
        <v>0</v>
      </c>
      <c r="C69" s="515"/>
      <c r="D69" s="720" t="str">
        <f>" - " &amp; 'Giá NC'!E9</f>
        <v xml:space="preserve"> - Nhân công bậc 4,0/7 - Nhóm 2</v>
      </c>
      <c r="E69" s="649" t="str">
        <f>'Giá NC'!F9</f>
        <v>công</v>
      </c>
      <c r="F69" s="160">
        <v>0</v>
      </c>
      <c r="G69" s="485">
        <v>1.7600000000000001E-2</v>
      </c>
      <c r="H69" s="485">
        <f>'Du toan chi tiet'!W14</f>
        <v>1</v>
      </c>
      <c r="I69" s="761">
        <f>'Giá NC'!G9</f>
        <v>273770</v>
      </c>
      <c r="J69" s="526">
        <f>'Giá NC'!G9</f>
        <v>273770</v>
      </c>
      <c r="K69" s="526">
        <f>PRODUCT(G69, H69, J69)</f>
        <v>4818.3519999999999</v>
      </c>
      <c r="L69" s="526">
        <f>'Giá NC'!H9</f>
        <v>273770</v>
      </c>
      <c r="M69" s="527">
        <f>PRODUCT(G69, H69, L69)</f>
        <v>4818.3519999999999</v>
      </c>
      <c r="N69" s="527">
        <v>0</v>
      </c>
      <c r="O69" s="527">
        <v>0</v>
      </c>
      <c r="P69" s="527">
        <f>'Giá NC'!K9</f>
        <v>273770</v>
      </c>
      <c r="Q69" s="527">
        <f>PRODUCT(G69, H69, P69)</f>
        <v>4818.3519999999999</v>
      </c>
      <c r="R69" s="892">
        <f t="shared" ref="R69" si="45">ROUND(G69*I69,5)</f>
        <v>4818.3519999999999</v>
      </c>
    </row>
    <row r="70" spans="1:18" ht="15" customHeight="1" x14ac:dyDescent="0.25">
      <c r="A70" s="159"/>
      <c r="B70" s="649">
        <v>0</v>
      </c>
      <c r="C70" s="515"/>
      <c r="D70" s="720" t="s">
        <v>1175</v>
      </c>
      <c r="E70" s="649"/>
      <c r="F70" s="160">
        <v>0</v>
      </c>
      <c r="G70" s="485">
        <v>0</v>
      </c>
      <c r="H70" s="485"/>
      <c r="I70" s="761"/>
      <c r="J70" s="526">
        <v>0</v>
      </c>
      <c r="K70" s="526">
        <f>SUM(K71:K71)</f>
        <v>1115.6875400000001</v>
      </c>
      <c r="L70" s="526">
        <v>0</v>
      </c>
      <c r="M70" s="527">
        <f>SUM(M71:M71)</f>
        <v>1115.6875400000001</v>
      </c>
      <c r="N70" s="527">
        <v>0</v>
      </c>
      <c r="O70" s="527">
        <v>0</v>
      </c>
      <c r="P70" s="527">
        <v>0</v>
      </c>
      <c r="Q70" s="527">
        <f>SUM(Q71:Q71)</f>
        <v>1115.6875400000001</v>
      </c>
      <c r="R70" s="891">
        <f>ROUND(SUM(R71),5)</f>
        <v>1115.6875399999999</v>
      </c>
    </row>
    <row r="71" spans="1:18" ht="15" customHeight="1" x14ac:dyDescent="0.25">
      <c r="A71" s="78"/>
      <c r="B71" s="583">
        <v>0</v>
      </c>
      <c r="C71" s="442"/>
      <c r="D71" s="647" t="str">
        <f>" - " &amp; 'Giá Máy'!E8</f>
        <v xml:space="preserve"> - Máy cắt bê tông 12CV (MCD 218)</v>
      </c>
      <c r="E71" s="583" t="str">
        <f>'Giá Máy'!F8</f>
        <v>ca</v>
      </c>
      <c r="F71" s="79">
        <v>0</v>
      </c>
      <c r="G71" s="412">
        <v>2.2000000000000001E-3</v>
      </c>
      <c r="H71" s="412">
        <f>'Du toan chi tiet'!X14</f>
        <v>1</v>
      </c>
      <c r="I71" s="762">
        <f>'Giá Máy'!G8</f>
        <v>507130.7</v>
      </c>
      <c r="J71" s="483">
        <f>'Giá Máy'!G8</f>
        <v>507130.7</v>
      </c>
      <c r="K71" s="483">
        <f>PRODUCT(G71, H71, J71)</f>
        <v>1115.6875400000001</v>
      </c>
      <c r="L71" s="483">
        <f>'Giá Máy'!H8</f>
        <v>507130.7</v>
      </c>
      <c r="M71" s="487">
        <f>PRODUCT(G71, H71, L71)</f>
        <v>1115.6875400000001</v>
      </c>
      <c r="N71" s="487">
        <v>0</v>
      </c>
      <c r="O71" s="487">
        <v>0</v>
      </c>
      <c r="P71" s="487">
        <f>'Giá Máy'!O8</f>
        <v>507130.7</v>
      </c>
      <c r="Q71" s="487">
        <f>PRODUCT(G71, H71, P71)</f>
        <v>1115.6875400000001</v>
      </c>
      <c r="R71" s="892">
        <f t="shared" ref="R71" si="46">ROUND(G71*I71,5)</f>
        <v>1115.6875399999999</v>
      </c>
    </row>
    <row r="72" spans="1:18" ht="15" customHeight="1" x14ac:dyDescent="0.25">
      <c r="A72" s="421"/>
      <c r="B72" s="140">
        <v>8</v>
      </c>
      <c r="C72" s="465" t="s">
        <v>1182</v>
      </c>
      <c r="D72" s="227" t="str">
        <f>'Du toan chi tiet'!D15</f>
        <v>Cắt mặt đường bê tông hiện có</v>
      </c>
      <c r="E72" s="140" t="str">
        <f>'Du toan chi tiet'!E15</f>
        <v>10m</v>
      </c>
      <c r="F72" s="422">
        <f>'Du toan chi tiet'!M15</f>
        <v>0.6</v>
      </c>
      <c r="G72" s="731">
        <v>0</v>
      </c>
      <c r="H72" s="731">
        <v>0</v>
      </c>
      <c r="I72" s="763"/>
      <c r="J72" s="24">
        <v>0</v>
      </c>
      <c r="K72" s="24">
        <v>0</v>
      </c>
      <c r="L72" s="24">
        <v>0</v>
      </c>
      <c r="M72" s="28">
        <v>0</v>
      </c>
      <c r="N72" s="28">
        <v>0</v>
      </c>
      <c r="O72" s="28">
        <v>0</v>
      </c>
      <c r="P72" s="28">
        <v>0</v>
      </c>
      <c r="Q72" s="28">
        <v>0</v>
      </c>
      <c r="R72" s="467"/>
    </row>
    <row r="73" spans="1:18" ht="15" customHeight="1" x14ac:dyDescent="0.25">
      <c r="A73" s="159"/>
      <c r="B73" s="649">
        <v>0</v>
      </c>
      <c r="C73" s="515"/>
      <c r="D73" s="720" t="s">
        <v>547</v>
      </c>
      <c r="E73" s="649"/>
      <c r="F73" s="160">
        <v>0</v>
      </c>
      <c r="G73" s="485">
        <v>0</v>
      </c>
      <c r="H73" s="485"/>
      <c r="I73" s="761"/>
      <c r="J73" s="526">
        <v>0</v>
      </c>
      <c r="K73" s="526">
        <f>SUM(K74:K75)</f>
        <v>239181.84</v>
      </c>
      <c r="L73" s="526">
        <v>0</v>
      </c>
      <c r="M73" s="527">
        <f>SUM(M74:M75)</f>
        <v>239181.84</v>
      </c>
      <c r="N73" s="527">
        <v>0</v>
      </c>
      <c r="O73" s="527">
        <v>0</v>
      </c>
      <c r="P73" s="527">
        <v>0</v>
      </c>
      <c r="Q73" s="527">
        <f>SUM(Q74:Q75)</f>
        <v>239181.84</v>
      </c>
      <c r="R73" s="891">
        <f>ROUND(SUM(R74:R75),5)</f>
        <v>239181.84</v>
      </c>
    </row>
    <row r="74" spans="1:18" ht="15" customHeight="1" x14ac:dyDescent="0.25">
      <c r="A74" s="159"/>
      <c r="B74" s="649">
        <v>0</v>
      </c>
      <c r="C74" s="515"/>
      <c r="D74" s="720" t="str">
        <f>" - " &amp; 'Giá VL'!E19</f>
        <v xml:space="preserve"> - Lưỡi cắt D350mm</v>
      </c>
      <c r="E74" s="649" t="str">
        <f>'Giá VL'!F19</f>
        <v>cái</v>
      </c>
      <c r="F74" s="160">
        <v>0</v>
      </c>
      <c r="G74" s="485">
        <v>0.18</v>
      </c>
      <c r="H74" s="485">
        <f>'Du toan chi tiet'!V15</f>
        <v>1</v>
      </c>
      <c r="I74" s="761">
        <f>'Giá VL'!G19</f>
        <v>1322000</v>
      </c>
      <c r="J74" s="526">
        <f>'Giá VL'!G19</f>
        <v>1322000</v>
      </c>
      <c r="K74" s="526">
        <f t="shared" ref="K74:K75" si="47">PRODUCT(G74, H74, J74)</f>
        <v>237960</v>
      </c>
      <c r="L74" s="526">
        <f>'Giá VL'!J19</f>
        <v>1322000</v>
      </c>
      <c r="M74" s="527">
        <f t="shared" ref="M74:M75" si="48">PRODUCT(G74, H74, L74)</f>
        <v>237960</v>
      </c>
      <c r="N74" s="527">
        <v>0</v>
      </c>
      <c r="O74" s="527">
        <v>0</v>
      </c>
      <c r="P74" s="527">
        <f>'Giá VL'!V19</f>
        <v>1322000</v>
      </c>
      <c r="Q74" s="527">
        <f t="shared" ref="Q74:Q75" si="49">PRODUCT(G74, H74, P74)</f>
        <v>237960</v>
      </c>
      <c r="R74" s="892">
        <f t="shared" ref="R74:R75" si="50">ROUND(G74*I74,5)</f>
        <v>237960</v>
      </c>
    </row>
    <row r="75" spans="1:18" ht="15" customHeight="1" x14ac:dyDescent="0.25">
      <c r="A75" s="159"/>
      <c r="B75" s="649">
        <v>0</v>
      </c>
      <c r="C75" s="515"/>
      <c r="D75" s="720" t="str">
        <f>" - " &amp; 'Giá VL'!E24</f>
        <v xml:space="preserve"> - Nước</v>
      </c>
      <c r="E75" s="649" t="str">
        <f>'Giá VL'!F24</f>
        <v>m3</v>
      </c>
      <c r="F75" s="160">
        <v>0</v>
      </c>
      <c r="G75" s="485">
        <v>0.12</v>
      </c>
      <c r="H75" s="485">
        <f>'Du toan chi tiet'!V15</f>
        <v>1</v>
      </c>
      <c r="I75" s="761">
        <f>'Giá VL'!G24</f>
        <v>10182</v>
      </c>
      <c r="J75" s="526">
        <f>'Giá VL'!G24</f>
        <v>10182</v>
      </c>
      <c r="K75" s="526">
        <f t="shared" si="47"/>
        <v>1221.8399999999999</v>
      </c>
      <c r="L75" s="526">
        <f>'Giá VL'!J24</f>
        <v>10182</v>
      </c>
      <c r="M75" s="527">
        <f t="shared" si="48"/>
        <v>1221.8399999999999</v>
      </c>
      <c r="N75" s="527">
        <v>0</v>
      </c>
      <c r="O75" s="527">
        <v>0</v>
      </c>
      <c r="P75" s="527">
        <f>'Giá VL'!V24</f>
        <v>10182</v>
      </c>
      <c r="Q75" s="527">
        <f t="shared" si="49"/>
        <v>1221.8399999999999</v>
      </c>
      <c r="R75" s="892">
        <f t="shared" si="50"/>
        <v>1221.8399999999999</v>
      </c>
    </row>
    <row r="76" spans="1:18" ht="15" customHeight="1" x14ac:dyDescent="0.25">
      <c r="A76" s="159"/>
      <c r="B76" s="649">
        <v>0</v>
      </c>
      <c r="C76" s="515"/>
      <c r="D76" s="720" t="s">
        <v>301</v>
      </c>
      <c r="E76" s="649"/>
      <c r="F76" s="160">
        <v>0</v>
      </c>
      <c r="G76" s="485">
        <v>0</v>
      </c>
      <c r="H76" s="485"/>
      <c r="I76" s="761"/>
      <c r="J76" s="526">
        <v>0</v>
      </c>
      <c r="K76" s="526">
        <f>SUM(K77:K77)</f>
        <v>138710</v>
      </c>
      <c r="L76" s="526">
        <v>0</v>
      </c>
      <c r="M76" s="527">
        <f>SUM(M77:M77)</f>
        <v>138710</v>
      </c>
      <c r="N76" s="527">
        <v>0</v>
      </c>
      <c r="O76" s="527">
        <v>0</v>
      </c>
      <c r="P76" s="527">
        <v>0</v>
      </c>
      <c r="Q76" s="527">
        <f>SUM(Q77:Q77)</f>
        <v>138710</v>
      </c>
      <c r="R76" s="891">
        <f>ROUND(SUM(R77),5)</f>
        <v>138710</v>
      </c>
    </row>
    <row r="77" spans="1:18" ht="15" customHeight="1" x14ac:dyDescent="0.25">
      <c r="A77" s="159"/>
      <c r="B77" s="649">
        <v>0</v>
      </c>
      <c r="C77" s="515"/>
      <c r="D77" s="720" t="str">
        <f>" - " &amp; 'Giá NC'!E8</f>
        <v xml:space="preserve"> - Nhân công bậc 3,5/7 - Nhóm 2</v>
      </c>
      <c r="E77" s="649" t="str">
        <f>'Giá NC'!F8</f>
        <v>công</v>
      </c>
      <c r="F77" s="160">
        <v>0</v>
      </c>
      <c r="G77" s="485">
        <v>0.55000000000000004</v>
      </c>
      <c r="H77" s="485">
        <f>'Du toan chi tiet'!W15</f>
        <v>1</v>
      </c>
      <c r="I77" s="761">
        <f>'Giá NC'!G8</f>
        <v>252200</v>
      </c>
      <c r="J77" s="526">
        <f>'Giá NC'!G8</f>
        <v>252200</v>
      </c>
      <c r="K77" s="526">
        <f>PRODUCT(G77, H77, J77)</f>
        <v>138710</v>
      </c>
      <c r="L77" s="526">
        <f>'Giá NC'!H8</f>
        <v>252200</v>
      </c>
      <c r="M77" s="527">
        <f>PRODUCT(G77, H77, L77)</f>
        <v>138710</v>
      </c>
      <c r="N77" s="527">
        <v>0</v>
      </c>
      <c r="O77" s="527">
        <v>0</v>
      </c>
      <c r="P77" s="527">
        <f>'Giá NC'!K8</f>
        <v>252200</v>
      </c>
      <c r="Q77" s="527">
        <f>PRODUCT(G77, H77, P77)</f>
        <v>138710</v>
      </c>
      <c r="R77" s="892">
        <f t="shared" ref="R77" si="51">ROUND(G77*I77,5)</f>
        <v>138710</v>
      </c>
    </row>
    <row r="78" spans="1:18" ht="15" customHeight="1" x14ac:dyDescent="0.25">
      <c r="A78" s="159"/>
      <c r="B78" s="649">
        <v>0</v>
      </c>
      <c r="C78" s="515"/>
      <c r="D78" s="720" t="s">
        <v>1175</v>
      </c>
      <c r="E78" s="649"/>
      <c r="F78" s="160">
        <v>0</v>
      </c>
      <c r="G78" s="485">
        <v>0</v>
      </c>
      <c r="H78" s="485"/>
      <c r="I78" s="761"/>
      <c r="J78" s="526">
        <v>0</v>
      </c>
      <c r="K78" s="526">
        <f>SUM(K79:K79)</f>
        <v>67683.66</v>
      </c>
      <c r="L78" s="526">
        <v>0</v>
      </c>
      <c r="M78" s="527">
        <f>SUM(M79:M79)</f>
        <v>67683.66</v>
      </c>
      <c r="N78" s="527">
        <v>0</v>
      </c>
      <c r="O78" s="527">
        <v>0</v>
      </c>
      <c r="P78" s="527">
        <v>0</v>
      </c>
      <c r="Q78" s="527">
        <f>SUM(Q79:Q79)</f>
        <v>67683.66</v>
      </c>
      <c r="R78" s="891">
        <f>ROUND(SUM(R79),5)</f>
        <v>67683.66</v>
      </c>
    </row>
    <row r="79" spans="1:18" ht="15" customHeight="1" x14ac:dyDescent="0.25">
      <c r="A79" s="78"/>
      <c r="B79" s="583">
        <v>0</v>
      </c>
      <c r="C79" s="442"/>
      <c r="D79" s="647" t="str">
        <f>" - " &amp; 'Giá Máy'!E7</f>
        <v xml:space="preserve"> - Máy cắt bê tông 7,5kW</v>
      </c>
      <c r="E79" s="583" t="str">
        <f>'Giá Máy'!F7</f>
        <v>ca</v>
      </c>
      <c r="F79" s="79">
        <v>0</v>
      </c>
      <c r="G79" s="412">
        <v>0.22</v>
      </c>
      <c r="H79" s="412">
        <f>'Du toan chi tiet'!X15</f>
        <v>1</v>
      </c>
      <c r="I79" s="762">
        <f>'Giá Máy'!G7</f>
        <v>307653</v>
      </c>
      <c r="J79" s="483">
        <f>'Giá Máy'!G7</f>
        <v>307653</v>
      </c>
      <c r="K79" s="483">
        <f>PRODUCT(G79, H79, J79)</f>
        <v>67683.66</v>
      </c>
      <c r="L79" s="483">
        <f>'Giá Máy'!H7</f>
        <v>307653</v>
      </c>
      <c r="M79" s="487">
        <f>PRODUCT(G79, H79, L79)</f>
        <v>67683.66</v>
      </c>
      <c r="N79" s="487">
        <v>0</v>
      </c>
      <c r="O79" s="487">
        <v>0</v>
      </c>
      <c r="P79" s="487">
        <f>'Giá Máy'!O7</f>
        <v>307653</v>
      </c>
      <c r="Q79" s="487">
        <f>PRODUCT(G79, H79, P79)</f>
        <v>67683.66</v>
      </c>
      <c r="R79" s="892">
        <f t="shared" ref="R79" si="52">ROUND(G79*I79,5)</f>
        <v>67683.66</v>
      </c>
    </row>
    <row r="80" spans="1:18" ht="30" customHeight="1" x14ac:dyDescent="0.25">
      <c r="A80" s="421"/>
      <c r="B80" s="354">
        <v>9</v>
      </c>
      <c r="C80" s="208" t="s">
        <v>880</v>
      </c>
      <c r="D80" s="419" t="str">
        <f>'Du toan chi tiet'!D16</f>
        <v>Bảo dưỡng khe co dãn mặt đường bê tông xi măng - Chiều dày mặt đường 25cm</v>
      </c>
      <c r="E80" s="354" t="str">
        <f>'Du toan chi tiet'!E16</f>
        <v>1m</v>
      </c>
      <c r="F80" s="624">
        <f>'Du toan chi tiet'!M16</f>
        <v>52.2</v>
      </c>
      <c r="G80" s="182">
        <v>0</v>
      </c>
      <c r="H80" s="182">
        <v>0</v>
      </c>
      <c r="I80" s="758"/>
      <c r="J80" s="259">
        <v>0</v>
      </c>
      <c r="K80" s="259">
        <v>0</v>
      </c>
      <c r="L80" s="259">
        <v>0</v>
      </c>
      <c r="M80" s="259">
        <v>0</v>
      </c>
      <c r="N80" s="259">
        <v>0</v>
      </c>
      <c r="O80" s="259">
        <v>0</v>
      </c>
      <c r="P80" s="259">
        <v>0</v>
      </c>
      <c r="Q80" s="259">
        <v>0</v>
      </c>
      <c r="R80" s="467"/>
    </row>
    <row r="81" spans="1:18" ht="15" customHeight="1" x14ac:dyDescent="0.25">
      <c r="A81" s="159"/>
      <c r="B81" s="649">
        <v>0</v>
      </c>
      <c r="C81" s="515"/>
      <c r="D81" s="720" t="s">
        <v>547</v>
      </c>
      <c r="E81" s="649"/>
      <c r="F81" s="160">
        <v>0</v>
      </c>
      <c r="G81" s="485">
        <v>0</v>
      </c>
      <c r="H81" s="485"/>
      <c r="I81" s="761"/>
      <c r="J81" s="526">
        <v>0</v>
      </c>
      <c r="K81" s="526">
        <f>SUM(K82:K82)</f>
        <v>71896.950000000012</v>
      </c>
      <c r="L81" s="526">
        <v>0</v>
      </c>
      <c r="M81" s="527">
        <f>SUM(M82:M82)</f>
        <v>71896.950000000012</v>
      </c>
      <c r="N81" s="527">
        <v>0</v>
      </c>
      <c r="O81" s="527">
        <v>0</v>
      </c>
      <c r="P81" s="527">
        <v>0</v>
      </c>
      <c r="Q81" s="527">
        <f>SUM(Q82:Q82)</f>
        <v>71896.950000000012</v>
      </c>
      <c r="R81" s="891">
        <f>ROUND(SUM(R82),5)</f>
        <v>71896.95</v>
      </c>
    </row>
    <row r="82" spans="1:18" ht="15" customHeight="1" x14ac:dyDescent="0.25">
      <c r="A82" s="159"/>
      <c r="B82" s="649">
        <v>0</v>
      </c>
      <c r="C82" s="515"/>
      <c r="D82" s="720" t="str">
        <f>" - " &amp; 'Giá VL'!E20</f>
        <v xml:space="preserve"> - Matit</v>
      </c>
      <c r="E82" s="649" t="str">
        <f>'Giá VL'!F20</f>
        <v>kg</v>
      </c>
      <c r="F82" s="160">
        <v>0</v>
      </c>
      <c r="G82" s="485">
        <f>8.55*0.5</f>
        <v>4.2750000000000004</v>
      </c>
      <c r="H82" s="485">
        <f>'Du toan chi tiet'!V16</f>
        <v>1</v>
      </c>
      <c r="I82" s="761">
        <f>'Giá VL'!G20</f>
        <v>16818</v>
      </c>
      <c r="J82" s="526">
        <f>'Giá VL'!G20</f>
        <v>16818</v>
      </c>
      <c r="K82" s="526">
        <f>PRODUCT(G82, H82, J82)</f>
        <v>71896.950000000012</v>
      </c>
      <c r="L82" s="526">
        <f>'Giá VL'!J20</f>
        <v>16818</v>
      </c>
      <c r="M82" s="527">
        <f>PRODUCT(G82, H82, L82)</f>
        <v>71896.950000000012</v>
      </c>
      <c r="N82" s="527">
        <v>0</v>
      </c>
      <c r="O82" s="527">
        <v>0</v>
      </c>
      <c r="P82" s="527">
        <f>'Giá VL'!V20</f>
        <v>16818</v>
      </c>
      <c r="Q82" s="527">
        <f>PRODUCT(G82, H82, P82)</f>
        <v>71896.950000000012</v>
      </c>
      <c r="R82" s="892">
        <f t="shared" ref="R82" si="53">ROUND(G82*I82,5)</f>
        <v>71896.95</v>
      </c>
    </row>
    <row r="83" spans="1:18" ht="15" customHeight="1" x14ac:dyDescent="0.25">
      <c r="A83" s="159"/>
      <c r="B83" s="649">
        <v>0</v>
      </c>
      <c r="C83" s="515"/>
      <c r="D83" s="720" t="s">
        <v>301</v>
      </c>
      <c r="E83" s="649"/>
      <c r="F83" s="160">
        <v>0</v>
      </c>
      <c r="G83" s="485">
        <v>0</v>
      </c>
      <c r="H83" s="485"/>
      <c r="I83" s="761"/>
      <c r="J83" s="526">
        <v>0</v>
      </c>
      <c r="K83" s="526">
        <f>SUM(K84:K84)</f>
        <v>38240</v>
      </c>
      <c r="L83" s="526">
        <v>0</v>
      </c>
      <c r="M83" s="527">
        <f>SUM(M84:M84)</f>
        <v>38240</v>
      </c>
      <c r="N83" s="527">
        <v>0</v>
      </c>
      <c r="O83" s="527">
        <v>0</v>
      </c>
      <c r="P83" s="527">
        <v>0</v>
      </c>
      <c r="Q83" s="527">
        <f>SUM(Q84:Q84)</f>
        <v>38240</v>
      </c>
      <c r="R83" s="891">
        <f>ROUND(SUM(R84),5)</f>
        <v>40352</v>
      </c>
    </row>
    <row r="84" spans="1:18" ht="15" customHeight="1" x14ac:dyDescent="0.25">
      <c r="A84" s="159"/>
      <c r="B84" s="649">
        <v>0</v>
      </c>
      <c r="C84" s="515"/>
      <c r="D84" s="720" t="str">
        <f>" - " &amp; 'Giá NC'!E6</f>
        <v xml:space="preserve"> - Nhân công bậc 3,5/7 - Nhóm 1</v>
      </c>
      <c r="E84" s="649" t="str">
        <f>'Giá NC'!F6</f>
        <v>công</v>
      </c>
      <c r="F84" s="160">
        <v>0</v>
      </c>
      <c r="G84" s="485">
        <f>0.32*0.5</f>
        <v>0.16</v>
      </c>
      <c r="H84" s="485">
        <f>'Du toan chi tiet'!W16</f>
        <v>1</v>
      </c>
      <c r="I84" s="761">
        <f>'Giá NC'!G8</f>
        <v>252200</v>
      </c>
      <c r="J84" s="526">
        <f>'Giá NC'!G6</f>
        <v>239000</v>
      </c>
      <c r="K84" s="526">
        <f>PRODUCT(G84, H84, J84)</f>
        <v>38240</v>
      </c>
      <c r="L84" s="526">
        <f>'Giá NC'!H6</f>
        <v>239000</v>
      </c>
      <c r="M84" s="527">
        <f>PRODUCT(G84, H84, L84)</f>
        <v>38240</v>
      </c>
      <c r="N84" s="527">
        <v>0</v>
      </c>
      <c r="O84" s="527">
        <v>0</v>
      </c>
      <c r="P84" s="527">
        <f>'Giá NC'!K6</f>
        <v>239000</v>
      </c>
      <c r="Q84" s="527">
        <f>PRODUCT(G84, H84, P84)</f>
        <v>38240</v>
      </c>
      <c r="R84" s="892">
        <f t="shared" ref="R84" si="54">ROUND(G84*I84,5)</f>
        <v>40352</v>
      </c>
    </row>
    <row r="85" spans="1:18" ht="15" customHeight="1" x14ac:dyDescent="0.25">
      <c r="A85" s="159"/>
      <c r="B85" s="649">
        <v>0</v>
      </c>
      <c r="C85" s="515"/>
      <c r="D85" s="720" t="s">
        <v>1175</v>
      </c>
      <c r="E85" s="649"/>
      <c r="F85" s="160">
        <v>0</v>
      </c>
      <c r="G85" s="485">
        <v>0</v>
      </c>
      <c r="H85" s="485"/>
      <c r="I85" s="761"/>
      <c r="J85" s="526">
        <v>0</v>
      </c>
      <c r="K85" s="526">
        <f>SUM(K86:K86)</f>
        <v>22761.1728</v>
      </c>
      <c r="L85" s="526">
        <v>0</v>
      </c>
      <c r="M85" s="527">
        <f>SUM(M86:M86)</f>
        <v>22761.1728</v>
      </c>
      <c r="N85" s="527">
        <v>0</v>
      </c>
      <c r="O85" s="527">
        <v>0</v>
      </c>
      <c r="P85" s="527">
        <v>0</v>
      </c>
      <c r="Q85" s="527">
        <f>SUM(Q86:Q86)</f>
        <v>22761.1728</v>
      </c>
      <c r="R85" s="891">
        <f>ROUND(SUM(R86),5)</f>
        <v>22761.1728</v>
      </c>
    </row>
    <row r="86" spans="1:18" ht="15" customHeight="1" x14ac:dyDescent="0.25">
      <c r="A86" s="78"/>
      <c r="B86" s="583">
        <v>0</v>
      </c>
      <c r="C86" s="442"/>
      <c r="D86" s="647" t="str">
        <f>" - " &amp; 'Giá Máy'!E17</f>
        <v xml:space="preserve"> - Máy nén khí diezel 360m3/h</v>
      </c>
      <c r="E86" s="583" t="str">
        <f>'Giá Máy'!F17</f>
        <v>ca</v>
      </c>
      <c r="F86" s="79">
        <v>0</v>
      </c>
      <c r="G86" s="412">
        <f>0.036*0.5</f>
        <v>1.7999999999999999E-2</v>
      </c>
      <c r="H86" s="412">
        <f>'Du toan chi tiet'!X16</f>
        <v>1</v>
      </c>
      <c r="I86" s="762">
        <f>'Giá Máy'!G17</f>
        <v>1264509.6000000001</v>
      </c>
      <c r="J86" s="483">
        <f>'Giá Máy'!G17</f>
        <v>1264509.6000000001</v>
      </c>
      <c r="K86" s="483">
        <f>PRODUCT(G86, H86, J86)</f>
        <v>22761.1728</v>
      </c>
      <c r="L86" s="483">
        <f>'Giá Máy'!H17</f>
        <v>1264509.6000000001</v>
      </c>
      <c r="M86" s="487">
        <f>PRODUCT(G86, H86, L86)</f>
        <v>22761.1728</v>
      </c>
      <c r="N86" s="487">
        <v>0</v>
      </c>
      <c r="O86" s="487">
        <v>0</v>
      </c>
      <c r="P86" s="487">
        <f>'Giá Máy'!O17</f>
        <v>1264509.6000000001</v>
      </c>
      <c r="Q86" s="487">
        <f>PRODUCT(G86, H86, P86)</f>
        <v>22761.1728</v>
      </c>
      <c r="R86" s="892">
        <f t="shared" ref="R86" si="55">ROUND(G86*I86,5)</f>
        <v>22761.1728</v>
      </c>
    </row>
    <row r="87" spans="1:18" ht="15" customHeight="1" x14ac:dyDescent="0.25">
      <c r="A87" s="421"/>
      <c r="B87" s="140">
        <v>10</v>
      </c>
      <c r="C87" s="465" t="s">
        <v>908</v>
      </c>
      <c r="D87" s="227" t="str">
        <f>'Du toan chi tiet'!D17</f>
        <v>Đào kết cấu mặt đường hiện có</v>
      </c>
      <c r="E87" s="140" t="str">
        <f>'Du toan chi tiet'!E17</f>
        <v>m3</v>
      </c>
      <c r="F87" s="422">
        <f>'Du toan chi tiet'!M17</f>
        <v>5.92</v>
      </c>
      <c r="G87" s="731">
        <v>0</v>
      </c>
      <c r="H87" s="731">
        <v>0</v>
      </c>
      <c r="I87" s="763"/>
      <c r="J87" s="24">
        <v>0</v>
      </c>
      <c r="K87" s="24">
        <v>0</v>
      </c>
      <c r="L87" s="24">
        <v>0</v>
      </c>
      <c r="M87" s="28">
        <v>0</v>
      </c>
      <c r="N87" s="28">
        <v>0</v>
      </c>
      <c r="O87" s="28">
        <v>0</v>
      </c>
      <c r="P87" s="28">
        <v>0</v>
      </c>
      <c r="Q87" s="28">
        <v>0</v>
      </c>
      <c r="R87" s="467"/>
    </row>
    <row r="88" spans="1:18" ht="15" customHeight="1" x14ac:dyDescent="0.25">
      <c r="A88" s="159"/>
      <c r="B88" s="649">
        <v>0</v>
      </c>
      <c r="C88" s="515"/>
      <c r="D88" s="720" t="s">
        <v>301</v>
      </c>
      <c r="E88" s="649"/>
      <c r="F88" s="160">
        <v>0</v>
      </c>
      <c r="G88" s="485">
        <v>0</v>
      </c>
      <c r="H88" s="485"/>
      <c r="I88" s="761"/>
      <c r="J88" s="526">
        <v>0</v>
      </c>
      <c r="K88" s="526">
        <f>SUM(K89:K89)</f>
        <v>10512.687899999999</v>
      </c>
      <c r="L88" s="526">
        <v>0</v>
      </c>
      <c r="M88" s="527">
        <f>SUM(M89:M89)</f>
        <v>10512.687899999999</v>
      </c>
      <c r="N88" s="527">
        <v>0</v>
      </c>
      <c r="O88" s="527">
        <v>0</v>
      </c>
      <c r="P88" s="527">
        <v>0</v>
      </c>
      <c r="Q88" s="527">
        <f>SUM(Q89:Q89)</f>
        <v>10512.687899999999</v>
      </c>
      <c r="R88" s="891">
        <f>ROUND(SUM(R89),5)</f>
        <v>10512.687900000001</v>
      </c>
    </row>
    <row r="89" spans="1:18" ht="15" customHeight="1" x14ac:dyDescent="0.25">
      <c r="A89" s="159"/>
      <c r="B89" s="649">
        <v>0</v>
      </c>
      <c r="C89" s="515"/>
      <c r="D89" s="720" t="str">
        <f>" - " &amp; 'Giá NC'!E5</f>
        <v xml:space="preserve"> - Nhân công bậc 3,0/7 - Nhóm 1</v>
      </c>
      <c r="E89" s="649" t="str">
        <f>'Giá NC'!F5</f>
        <v>công</v>
      </c>
      <c r="F89" s="160">
        <v>0</v>
      </c>
      <c r="G89" s="485">
        <v>4.8099999999999997E-2</v>
      </c>
      <c r="H89" s="485">
        <f>'Du toan chi tiet'!W17</f>
        <v>1</v>
      </c>
      <c r="I89" s="761">
        <f>'Giá NC'!G5</f>
        <v>218559</v>
      </c>
      <c r="J89" s="526">
        <f>'Giá NC'!G5</f>
        <v>218559</v>
      </c>
      <c r="K89" s="526">
        <f>PRODUCT(G89, H89, J89)</f>
        <v>10512.687899999999</v>
      </c>
      <c r="L89" s="526">
        <f>'Giá NC'!H5</f>
        <v>218559</v>
      </c>
      <c r="M89" s="527">
        <f>PRODUCT(G89, H89, L89)</f>
        <v>10512.687899999999</v>
      </c>
      <c r="N89" s="527">
        <v>0</v>
      </c>
      <c r="O89" s="527">
        <v>0</v>
      </c>
      <c r="P89" s="527">
        <f>'Giá NC'!K5</f>
        <v>218559</v>
      </c>
      <c r="Q89" s="527">
        <f>PRODUCT(G89, H89, P89)</f>
        <v>10512.687899999999</v>
      </c>
      <c r="R89" s="892">
        <f t="shared" ref="R89" si="56">ROUND(G89*I89,5)</f>
        <v>10512.687900000001</v>
      </c>
    </row>
    <row r="90" spans="1:18" ht="15" customHeight="1" x14ac:dyDescent="0.25">
      <c r="A90" s="159"/>
      <c r="B90" s="649">
        <v>0</v>
      </c>
      <c r="C90" s="515"/>
      <c r="D90" s="720" t="s">
        <v>1175</v>
      </c>
      <c r="E90" s="649"/>
      <c r="F90" s="160">
        <v>0</v>
      </c>
      <c r="G90" s="485">
        <v>0</v>
      </c>
      <c r="H90" s="485"/>
      <c r="I90" s="761"/>
      <c r="J90" s="526">
        <v>0</v>
      </c>
      <c r="K90" s="526">
        <f>SUM(K91:K92)</f>
        <v>17065.195302</v>
      </c>
      <c r="L90" s="526">
        <v>0</v>
      </c>
      <c r="M90" s="527">
        <f>SUM(M91:M92)</f>
        <v>17065.195302</v>
      </c>
      <c r="N90" s="527">
        <v>0</v>
      </c>
      <c r="O90" s="527">
        <v>0</v>
      </c>
      <c r="P90" s="527">
        <v>0</v>
      </c>
      <c r="Q90" s="527">
        <f>SUM(Q91:Q92)</f>
        <v>17065.195302</v>
      </c>
      <c r="R90" s="891">
        <f>ROUND(SUM(R91:R92),5)</f>
        <v>17065.195299999999</v>
      </c>
    </row>
    <row r="91" spans="1:18" ht="15" customHeight="1" x14ac:dyDescent="0.25">
      <c r="A91" s="159"/>
      <c r="B91" s="649">
        <v>0</v>
      </c>
      <c r="C91" s="515"/>
      <c r="D91" s="720" t="str">
        <f>" - " &amp; 'Giá Máy'!E14</f>
        <v xml:space="preserve"> - Máy đào 1,25m3</v>
      </c>
      <c r="E91" s="649" t="str">
        <f>'Giá Máy'!F14</f>
        <v>ca</v>
      </c>
      <c r="F91" s="160">
        <v>0</v>
      </c>
      <c r="G91" s="485">
        <v>4.2399999999999998E-3</v>
      </c>
      <c r="H91" s="485">
        <f>'Du toan chi tiet'!X17</f>
        <v>1</v>
      </c>
      <c r="I91" s="761">
        <f>'Giá Máy'!G14</f>
        <v>3756595.3</v>
      </c>
      <c r="J91" s="526">
        <f>'Giá Máy'!G14</f>
        <v>3756595.3</v>
      </c>
      <c r="K91" s="526">
        <f t="shared" ref="K91:K92" si="57">PRODUCT(G91, H91, J91)</f>
        <v>15927.964071999999</v>
      </c>
      <c r="L91" s="526">
        <f>'Giá Máy'!H14</f>
        <v>3756595.3</v>
      </c>
      <c r="M91" s="527">
        <f t="shared" ref="M91:M92" si="58">PRODUCT(G91, H91, L91)</f>
        <v>15927.964071999999</v>
      </c>
      <c r="N91" s="527">
        <v>0</v>
      </c>
      <c r="O91" s="527">
        <v>0</v>
      </c>
      <c r="P91" s="527">
        <f>'Giá Máy'!O14</f>
        <v>3756595.3</v>
      </c>
      <c r="Q91" s="527">
        <f t="shared" ref="Q91:Q92" si="59">PRODUCT(G91, H91, P91)</f>
        <v>15927.964071999999</v>
      </c>
      <c r="R91" s="892">
        <f t="shared" ref="R91:R92" si="60">ROUND(G91*I91,5)</f>
        <v>15927.96407</v>
      </c>
    </row>
    <row r="92" spans="1:18" ht="15" customHeight="1" x14ac:dyDescent="0.25">
      <c r="A92" s="78"/>
      <c r="B92" s="583">
        <v>0</v>
      </c>
      <c r="C92" s="442"/>
      <c r="D92" s="647" t="str">
        <f>" - " &amp; 'Giá Máy'!E21</f>
        <v xml:space="preserve"> - Máy ủi 110CV</v>
      </c>
      <c r="E92" s="583" t="str">
        <f>'Giá Máy'!F21</f>
        <v>ca</v>
      </c>
      <c r="F92" s="79">
        <v>0</v>
      </c>
      <c r="G92" s="412">
        <v>5.8E-4</v>
      </c>
      <c r="H92" s="412">
        <f>'Du toan chi tiet'!X17</f>
        <v>1</v>
      </c>
      <c r="I92" s="762">
        <f>'Giá Máy'!G21</f>
        <v>1960743.5</v>
      </c>
      <c r="J92" s="483">
        <f>'Giá Máy'!G21</f>
        <v>1960743.5</v>
      </c>
      <c r="K92" s="483">
        <f t="shared" si="57"/>
        <v>1137.2312300000001</v>
      </c>
      <c r="L92" s="483">
        <f>'Giá Máy'!H21</f>
        <v>1960743.5</v>
      </c>
      <c r="M92" s="487">
        <f t="shared" si="58"/>
        <v>1137.2312300000001</v>
      </c>
      <c r="N92" s="487">
        <v>0</v>
      </c>
      <c r="O92" s="487">
        <v>0</v>
      </c>
      <c r="P92" s="487">
        <f>'Giá Máy'!O21</f>
        <v>1960743.5</v>
      </c>
      <c r="Q92" s="487">
        <f t="shared" si="59"/>
        <v>1137.2312300000001</v>
      </c>
      <c r="R92" s="892">
        <f t="shared" si="60"/>
        <v>1137.2312300000001</v>
      </c>
    </row>
    <row r="93" spans="1:18" ht="15" customHeight="1" x14ac:dyDescent="0.25">
      <c r="A93" s="159"/>
      <c r="B93" s="649">
        <v>11</v>
      </c>
      <c r="C93" s="515" t="s">
        <v>528</v>
      </c>
      <c r="D93" s="720" t="str">
        <f>'Du toan chi tiet'!D18</f>
        <v>Đào đất hữu cơ bằng máy đào 1,25m3 - Cấp đất II</v>
      </c>
      <c r="E93" s="649" t="str">
        <f>'Du toan chi tiet'!E18</f>
        <v>m3</v>
      </c>
      <c r="F93" s="160">
        <f>'Du toan chi tiet'!M18</f>
        <v>185.83</v>
      </c>
      <c r="G93" s="485">
        <v>0</v>
      </c>
      <c r="H93" s="485">
        <v>0</v>
      </c>
      <c r="I93" s="761"/>
      <c r="J93" s="526">
        <v>0</v>
      </c>
      <c r="K93" s="526">
        <v>0</v>
      </c>
      <c r="L93" s="526">
        <v>0</v>
      </c>
      <c r="M93" s="527">
        <v>0</v>
      </c>
      <c r="N93" s="527">
        <v>0</v>
      </c>
      <c r="O93" s="527">
        <v>0</v>
      </c>
      <c r="P93" s="527">
        <v>0</v>
      </c>
      <c r="Q93" s="527">
        <v>0</v>
      </c>
      <c r="R93" s="891"/>
    </row>
    <row r="94" spans="1:18" ht="15" customHeight="1" x14ac:dyDescent="0.25">
      <c r="A94" s="159"/>
      <c r="B94" s="649">
        <v>0</v>
      </c>
      <c r="C94" s="515"/>
      <c r="D94" s="720" t="s">
        <v>301</v>
      </c>
      <c r="E94" s="649"/>
      <c r="F94" s="160">
        <v>0</v>
      </c>
      <c r="G94" s="485">
        <v>0</v>
      </c>
      <c r="H94" s="485"/>
      <c r="I94" s="761"/>
      <c r="J94" s="526">
        <v>0</v>
      </c>
      <c r="K94" s="526">
        <f>SUM(K95:K95)</f>
        <v>1114.6509000000001</v>
      </c>
      <c r="L94" s="526">
        <v>0</v>
      </c>
      <c r="M94" s="527">
        <f>SUM(M95:M95)</f>
        <v>1114.6509000000001</v>
      </c>
      <c r="N94" s="527">
        <v>0</v>
      </c>
      <c r="O94" s="527">
        <v>0</v>
      </c>
      <c r="P94" s="527">
        <v>0</v>
      </c>
      <c r="Q94" s="527">
        <f>SUM(Q95:Q95)</f>
        <v>1114.6509000000001</v>
      </c>
      <c r="R94" s="891">
        <f>ROUND(SUM(R95),5)</f>
        <v>1114.6509000000001</v>
      </c>
    </row>
    <row r="95" spans="1:18" ht="15" customHeight="1" x14ac:dyDescent="0.25">
      <c r="A95" s="159"/>
      <c r="B95" s="649">
        <v>0</v>
      </c>
      <c r="C95" s="515"/>
      <c r="D95" s="720" t="str">
        <f>" - " &amp; 'Giá NC'!E5</f>
        <v xml:space="preserve"> - Nhân công bậc 3,0/7 - Nhóm 1</v>
      </c>
      <c r="E95" s="649" t="str">
        <f>'Giá NC'!F5</f>
        <v>công</v>
      </c>
      <c r="F95" s="160">
        <v>0</v>
      </c>
      <c r="G95" s="485">
        <v>5.1000000000000004E-3</v>
      </c>
      <c r="H95" s="485">
        <f>'Du toan chi tiet'!W18</f>
        <v>1</v>
      </c>
      <c r="I95" s="761">
        <f>'Giá NC'!G5</f>
        <v>218559</v>
      </c>
      <c r="J95" s="526">
        <f>'Giá NC'!G5</f>
        <v>218559</v>
      </c>
      <c r="K95" s="526">
        <f>PRODUCT(G95, H95, J95)</f>
        <v>1114.6509000000001</v>
      </c>
      <c r="L95" s="526">
        <f>'Giá NC'!H5</f>
        <v>218559</v>
      </c>
      <c r="M95" s="527">
        <f>PRODUCT(G95, H95, L95)</f>
        <v>1114.6509000000001</v>
      </c>
      <c r="N95" s="527">
        <v>0</v>
      </c>
      <c r="O95" s="527">
        <v>0</v>
      </c>
      <c r="P95" s="527">
        <f>'Giá NC'!K5</f>
        <v>218559</v>
      </c>
      <c r="Q95" s="527">
        <f>PRODUCT(G95, H95, P95)</f>
        <v>1114.6509000000001</v>
      </c>
      <c r="R95" s="892">
        <f t="shared" ref="R95" si="61">ROUND(G95*I95,5)</f>
        <v>1114.6509000000001</v>
      </c>
    </row>
    <row r="96" spans="1:18" ht="15" customHeight="1" x14ac:dyDescent="0.25">
      <c r="A96" s="159"/>
      <c r="B96" s="649">
        <v>0</v>
      </c>
      <c r="C96" s="515"/>
      <c r="D96" s="720" t="s">
        <v>1175</v>
      </c>
      <c r="E96" s="649"/>
      <c r="F96" s="160">
        <v>0</v>
      </c>
      <c r="G96" s="485">
        <v>0</v>
      </c>
      <c r="H96" s="485"/>
      <c r="I96" s="761"/>
      <c r="J96" s="526">
        <v>0</v>
      </c>
      <c r="K96" s="526">
        <f>SUM(K97:K98)</f>
        <v>8757.9933689999998</v>
      </c>
      <c r="L96" s="526">
        <v>0</v>
      </c>
      <c r="M96" s="527">
        <f>SUM(M97:M98)</f>
        <v>8757.9933689999998</v>
      </c>
      <c r="N96" s="527">
        <v>0</v>
      </c>
      <c r="O96" s="527">
        <v>0</v>
      </c>
      <c r="P96" s="527">
        <v>0</v>
      </c>
      <c r="Q96" s="527">
        <f>SUM(Q97:Q98)</f>
        <v>8757.9933689999998</v>
      </c>
      <c r="R96" s="891">
        <f>ROUND(SUM(R97:R98),5)</f>
        <v>8757.9933700000001</v>
      </c>
    </row>
    <row r="97" spans="1:18" ht="15" customHeight="1" x14ac:dyDescent="0.25">
      <c r="A97" s="159"/>
      <c r="B97" s="649">
        <v>0</v>
      </c>
      <c r="C97" s="515"/>
      <c r="D97" s="720" t="str">
        <f>" - " &amp; 'Giá Máy'!E14</f>
        <v xml:space="preserve"> - Máy đào 1,25m3</v>
      </c>
      <c r="E97" s="649" t="str">
        <f>'Giá Máy'!F14</f>
        <v>ca</v>
      </c>
      <c r="F97" s="160">
        <v>0</v>
      </c>
      <c r="G97" s="485">
        <v>2.1800000000000001E-3</v>
      </c>
      <c r="H97" s="485">
        <f>'Du toan chi tiet'!X18</f>
        <v>1</v>
      </c>
      <c r="I97" s="761">
        <f>'Giá Máy'!G14</f>
        <v>3756595.3</v>
      </c>
      <c r="J97" s="526">
        <f>'Giá Máy'!G14</f>
        <v>3756595.3</v>
      </c>
      <c r="K97" s="526">
        <f t="shared" ref="K97:K98" si="62">PRODUCT(G97, H97, J97)</f>
        <v>8189.3777540000001</v>
      </c>
      <c r="L97" s="526">
        <f>'Giá Máy'!H14</f>
        <v>3756595.3</v>
      </c>
      <c r="M97" s="527">
        <f t="shared" ref="M97:M98" si="63">PRODUCT(G97, H97, L97)</f>
        <v>8189.3777540000001</v>
      </c>
      <c r="N97" s="527">
        <v>0</v>
      </c>
      <c r="O97" s="527">
        <v>0</v>
      </c>
      <c r="P97" s="527">
        <f>'Giá Máy'!O14</f>
        <v>3756595.3</v>
      </c>
      <c r="Q97" s="527">
        <f t="shared" ref="Q97:Q98" si="64">PRODUCT(G97, H97, P97)</f>
        <v>8189.3777540000001</v>
      </c>
      <c r="R97" s="892">
        <f t="shared" ref="R97:R98" si="65">ROUND(G97*I97,5)</f>
        <v>8189.3777499999997</v>
      </c>
    </row>
    <row r="98" spans="1:18" ht="15" customHeight="1" x14ac:dyDescent="0.25">
      <c r="A98" s="78"/>
      <c r="B98" s="583">
        <v>0</v>
      </c>
      <c r="C98" s="442"/>
      <c r="D98" s="647" t="str">
        <f>" - " &amp; 'Giá Máy'!E21</f>
        <v xml:space="preserve"> - Máy ủi 110CV</v>
      </c>
      <c r="E98" s="583" t="str">
        <f>'Giá Máy'!F21</f>
        <v>ca</v>
      </c>
      <c r="F98" s="79">
        <v>0</v>
      </c>
      <c r="G98" s="412">
        <v>2.9E-4</v>
      </c>
      <c r="H98" s="412">
        <f>'Du toan chi tiet'!X18</f>
        <v>1</v>
      </c>
      <c r="I98" s="762">
        <f>'Giá Máy'!G21</f>
        <v>1960743.5</v>
      </c>
      <c r="J98" s="483">
        <f>'Giá Máy'!G21</f>
        <v>1960743.5</v>
      </c>
      <c r="K98" s="483">
        <f t="shared" si="62"/>
        <v>568.61561500000005</v>
      </c>
      <c r="L98" s="483">
        <f>'Giá Máy'!H21</f>
        <v>1960743.5</v>
      </c>
      <c r="M98" s="487">
        <f t="shared" si="63"/>
        <v>568.61561500000005</v>
      </c>
      <c r="N98" s="487">
        <v>0</v>
      </c>
      <c r="O98" s="487">
        <v>0</v>
      </c>
      <c r="P98" s="487">
        <f>'Giá Máy'!O21</f>
        <v>1960743.5</v>
      </c>
      <c r="Q98" s="487">
        <f t="shared" si="64"/>
        <v>568.61561500000005</v>
      </c>
      <c r="R98" s="892">
        <f t="shared" si="65"/>
        <v>568.61562000000004</v>
      </c>
    </row>
    <row r="99" spans="1:18" ht="15" customHeight="1" x14ac:dyDescent="0.25">
      <c r="A99" s="159"/>
      <c r="B99" s="649">
        <v>12</v>
      </c>
      <c r="C99" s="515" t="s">
        <v>190</v>
      </c>
      <c r="D99" s="720" t="str">
        <f>'Du toan chi tiet'!D19</f>
        <v>Đào đánh cấp bằng máy đào 1,25m3 - Cấp đất II</v>
      </c>
      <c r="E99" s="649" t="str">
        <f>'Du toan chi tiet'!E19</f>
        <v>m3</v>
      </c>
      <c r="F99" s="160">
        <f>'Du toan chi tiet'!M19</f>
        <v>18.11</v>
      </c>
      <c r="G99" s="485">
        <v>0</v>
      </c>
      <c r="H99" s="485">
        <v>0</v>
      </c>
      <c r="I99" s="761"/>
      <c r="J99" s="526">
        <v>0</v>
      </c>
      <c r="K99" s="526">
        <v>0</v>
      </c>
      <c r="L99" s="526">
        <v>0</v>
      </c>
      <c r="M99" s="527">
        <v>0</v>
      </c>
      <c r="N99" s="527">
        <v>0</v>
      </c>
      <c r="O99" s="527">
        <v>0</v>
      </c>
      <c r="P99" s="527">
        <v>0</v>
      </c>
      <c r="Q99" s="527">
        <v>0</v>
      </c>
      <c r="R99" s="891"/>
    </row>
    <row r="100" spans="1:18" ht="15" customHeight="1" x14ac:dyDescent="0.25">
      <c r="A100" s="159"/>
      <c r="B100" s="649">
        <v>0</v>
      </c>
      <c r="C100" s="515"/>
      <c r="D100" s="720" t="s">
        <v>301</v>
      </c>
      <c r="E100" s="649"/>
      <c r="F100" s="160">
        <v>0</v>
      </c>
      <c r="G100" s="485">
        <v>0</v>
      </c>
      <c r="H100" s="485"/>
      <c r="I100" s="761"/>
      <c r="J100" s="526">
        <v>0</v>
      </c>
      <c r="K100" s="526">
        <f>SUM(K101:K101)</f>
        <v>7409.1500999999998</v>
      </c>
      <c r="L100" s="526">
        <v>0</v>
      </c>
      <c r="M100" s="527">
        <f>SUM(M101:M101)</f>
        <v>7409.1500999999998</v>
      </c>
      <c r="N100" s="527">
        <v>0</v>
      </c>
      <c r="O100" s="527">
        <v>0</v>
      </c>
      <c r="P100" s="527">
        <v>0</v>
      </c>
      <c r="Q100" s="527">
        <f>SUM(Q101:Q101)</f>
        <v>7409.1500999999998</v>
      </c>
      <c r="R100" s="891">
        <f>ROUND(SUM(R101),5)</f>
        <v>7409.1500999999998</v>
      </c>
    </row>
    <row r="101" spans="1:18" ht="15" customHeight="1" x14ac:dyDescent="0.25">
      <c r="A101" s="159"/>
      <c r="B101" s="649">
        <v>0</v>
      </c>
      <c r="C101" s="515"/>
      <c r="D101" s="720" t="str">
        <f>" - " &amp; 'Giá NC'!E5</f>
        <v xml:space="preserve"> - Nhân công bậc 3,0/7 - Nhóm 1</v>
      </c>
      <c r="E101" s="649" t="str">
        <f>'Giá NC'!F5</f>
        <v>công</v>
      </c>
      <c r="F101" s="160">
        <v>0</v>
      </c>
      <c r="G101" s="485">
        <v>3.39E-2</v>
      </c>
      <c r="H101" s="485">
        <f>'Du toan chi tiet'!W19</f>
        <v>1</v>
      </c>
      <c r="I101" s="761">
        <f>'Giá NC'!G5</f>
        <v>218559</v>
      </c>
      <c r="J101" s="526">
        <f>'Giá NC'!G5</f>
        <v>218559</v>
      </c>
      <c r="K101" s="526">
        <f>PRODUCT(G101, H101, J101)</f>
        <v>7409.1500999999998</v>
      </c>
      <c r="L101" s="526">
        <f>'Giá NC'!H5</f>
        <v>218559</v>
      </c>
      <c r="M101" s="527">
        <f>PRODUCT(G101, H101, L101)</f>
        <v>7409.1500999999998</v>
      </c>
      <c r="N101" s="527">
        <v>0</v>
      </c>
      <c r="O101" s="527">
        <v>0</v>
      </c>
      <c r="P101" s="527">
        <f>'Giá NC'!K5</f>
        <v>218559</v>
      </c>
      <c r="Q101" s="527">
        <f>PRODUCT(G101, H101, P101)</f>
        <v>7409.1500999999998</v>
      </c>
      <c r="R101" s="892">
        <f t="shared" ref="R101" si="66">ROUND(G101*I101,5)</f>
        <v>7409.1500999999998</v>
      </c>
    </row>
    <row r="102" spans="1:18" ht="15" customHeight="1" x14ac:dyDescent="0.25">
      <c r="A102" s="159"/>
      <c r="B102" s="649">
        <v>0</v>
      </c>
      <c r="C102" s="515"/>
      <c r="D102" s="720" t="s">
        <v>1175</v>
      </c>
      <c r="E102" s="649"/>
      <c r="F102" s="160">
        <v>0</v>
      </c>
      <c r="G102" s="485">
        <v>0</v>
      </c>
      <c r="H102" s="485"/>
      <c r="I102" s="761"/>
      <c r="J102" s="526">
        <v>0</v>
      </c>
      <c r="K102" s="526">
        <f>SUM(K103:K104)</f>
        <v>10603.671816999999</v>
      </c>
      <c r="L102" s="526">
        <v>0</v>
      </c>
      <c r="M102" s="527">
        <f>SUM(M103:M104)</f>
        <v>10603.671816999999</v>
      </c>
      <c r="N102" s="527">
        <v>0</v>
      </c>
      <c r="O102" s="527">
        <v>0</v>
      </c>
      <c r="P102" s="527">
        <v>0</v>
      </c>
      <c r="Q102" s="527">
        <f>SUM(Q103:Q104)</f>
        <v>10603.671816999999</v>
      </c>
      <c r="R102" s="891">
        <f>ROUND(SUM(R103:R104),5)</f>
        <v>10603.67182</v>
      </c>
    </row>
    <row r="103" spans="1:18" ht="15" customHeight="1" x14ac:dyDescent="0.25">
      <c r="A103" s="159"/>
      <c r="B103" s="649">
        <v>0</v>
      </c>
      <c r="C103" s="515"/>
      <c r="D103" s="720" t="str">
        <f>" - " &amp; 'Giá Máy'!E14</f>
        <v xml:space="preserve"> - Máy đào 1,25m3</v>
      </c>
      <c r="E103" s="649" t="str">
        <f>'Giá Máy'!F14</f>
        <v>ca</v>
      </c>
      <c r="F103" s="160">
        <v>0</v>
      </c>
      <c r="G103" s="485">
        <v>2.64E-3</v>
      </c>
      <c r="H103" s="485">
        <f>'Du toan chi tiet'!X19</f>
        <v>1</v>
      </c>
      <c r="I103" s="761">
        <f>'Giá Máy'!G14</f>
        <v>3756595.3</v>
      </c>
      <c r="J103" s="526">
        <f>'Giá Máy'!G14</f>
        <v>3756595.3</v>
      </c>
      <c r="K103" s="526">
        <f t="shared" ref="K103:K104" si="67">PRODUCT(G103, H103, J103)</f>
        <v>9917.4115919999986</v>
      </c>
      <c r="L103" s="526">
        <f>'Giá Máy'!H14</f>
        <v>3756595.3</v>
      </c>
      <c r="M103" s="527">
        <f t="shared" ref="M103:M104" si="68">PRODUCT(G103, H103, L103)</f>
        <v>9917.4115919999986</v>
      </c>
      <c r="N103" s="527">
        <v>0</v>
      </c>
      <c r="O103" s="527">
        <v>0</v>
      </c>
      <c r="P103" s="527">
        <f>'Giá Máy'!O14</f>
        <v>3756595.3</v>
      </c>
      <c r="Q103" s="527">
        <f t="shared" ref="Q103:Q104" si="69">PRODUCT(G103, H103, P103)</f>
        <v>9917.4115919999986</v>
      </c>
      <c r="R103" s="892">
        <f t="shared" ref="R103:R104" si="70">ROUND(G103*I103,5)</f>
        <v>9917.4115899999997</v>
      </c>
    </row>
    <row r="104" spans="1:18" ht="15" customHeight="1" x14ac:dyDescent="0.25">
      <c r="A104" s="78"/>
      <c r="B104" s="583">
        <v>0</v>
      </c>
      <c r="C104" s="442"/>
      <c r="D104" s="647" t="str">
        <f>" - " &amp; 'Giá Máy'!E21</f>
        <v xml:space="preserve"> - Máy ủi 110CV</v>
      </c>
      <c r="E104" s="583" t="str">
        <f>'Giá Máy'!F21</f>
        <v>ca</v>
      </c>
      <c r="F104" s="79">
        <v>0</v>
      </c>
      <c r="G104" s="412">
        <v>3.5E-4</v>
      </c>
      <c r="H104" s="412">
        <f>'Du toan chi tiet'!X19</f>
        <v>1</v>
      </c>
      <c r="I104" s="762">
        <f>'Giá Máy'!G21</f>
        <v>1960743.5</v>
      </c>
      <c r="J104" s="483">
        <f>'Giá Máy'!G21</f>
        <v>1960743.5</v>
      </c>
      <c r="K104" s="483">
        <f t="shared" si="67"/>
        <v>686.26022499999999</v>
      </c>
      <c r="L104" s="483">
        <f>'Giá Máy'!H21</f>
        <v>1960743.5</v>
      </c>
      <c r="M104" s="487">
        <f t="shared" si="68"/>
        <v>686.26022499999999</v>
      </c>
      <c r="N104" s="487">
        <v>0</v>
      </c>
      <c r="O104" s="487">
        <v>0</v>
      </c>
      <c r="P104" s="487">
        <f>'Giá Máy'!O21</f>
        <v>1960743.5</v>
      </c>
      <c r="Q104" s="487">
        <f t="shared" si="69"/>
        <v>686.26022499999999</v>
      </c>
      <c r="R104" s="892">
        <f t="shared" si="70"/>
        <v>686.26022999999998</v>
      </c>
    </row>
    <row r="105" spans="1:18" ht="30" customHeight="1" x14ac:dyDescent="0.25">
      <c r="A105" s="421"/>
      <c r="B105" s="354">
        <v>13</v>
      </c>
      <c r="C105" s="208" t="s">
        <v>1261</v>
      </c>
      <c r="D105" s="419" t="str">
        <f>'Du toan chi tiet'!D20</f>
        <v>Phá dỡ kết cấu bê tông không cốt thép bằng búa căn khí nén 3m3/ph</v>
      </c>
      <c r="E105" s="354" t="str">
        <f>'Du toan chi tiet'!E20</f>
        <v>m3</v>
      </c>
      <c r="F105" s="624">
        <f>'Du toan chi tiet'!M20</f>
        <v>33.17</v>
      </c>
      <c r="G105" s="182">
        <v>0</v>
      </c>
      <c r="H105" s="182">
        <v>0</v>
      </c>
      <c r="I105" s="758"/>
      <c r="J105" s="259">
        <v>0</v>
      </c>
      <c r="K105" s="259">
        <v>0</v>
      </c>
      <c r="L105" s="259">
        <v>0</v>
      </c>
      <c r="M105" s="259">
        <v>0</v>
      </c>
      <c r="N105" s="259">
        <v>0</v>
      </c>
      <c r="O105" s="259">
        <v>0</v>
      </c>
      <c r="P105" s="259">
        <v>0</v>
      </c>
      <c r="Q105" s="259">
        <v>0</v>
      </c>
      <c r="R105" s="467"/>
    </row>
    <row r="106" spans="1:18" ht="15" customHeight="1" x14ac:dyDescent="0.25">
      <c r="A106" s="159"/>
      <c r="B106" s="649">
        <v>0</v>
      </c>
      <c r="C106" s="515"/>
      <c r="D106" s="720" t="s">
        <v>301</v>
      </c>
      <c r="E106" s="649"/>
      <c r="F106" s="160">
        <v>0</v>
      </c>
      <c r="G106" s="485">
        <v>0</v>
      </c>
      <c r="H106" s="485"/>
      <c r="I106" s="761"/>
      <c r="J106" s="526">
        <v>0</v>
      </c>
      <c r="K106" s="526">
        <f>SUM(K107:K107)</f>
        <v>109279.5</v>
      </c>
      <c r="L106" s="526">
        <v>0</v>
      </c>
      <c r="M106" s="527">
        <f>SUM(M107:M107)</f>
        <v>109279.5</v>
      </c>
      <c r="N106" s="527">
        <v>0</v>
      </c>
      <c r="O106" s="527">
        <v>0</v>
      </c>
      <c r="P106" s="527">
        <v>0</v>
      </c>
      <c r="Q106" s="527">
        <f>SUM(Q107:Q107)</f>
        <v>109279.5</v>
      </c>
      <c r="R106" s="891">
        <f>ROUND(SUM(R107),5)</f>
        <v>109279.5</v>
      </c>
    </row>
    <row r="107" spans="1:18" ht="15" customHeight="1" x14ac:dyDescent="0.25">
      <c r="A107" s="159"/>
      <c r="B107" s="649">
        <v>0</v>
      </c>
      <c r="C107" s="515"/>
      <c r="D107" s="720" t="str">
        <f>" - " &amp; 'Giá NC'!E5</f>
        <v xml:space="preserve"> - Nhân công bậc 3,0/7 - Nhóm 1</v>
      </c>
      <c r="E107" s="649" t="str">
        <f>'Giá NC'!F5</f>
        <v>công</v>
      </c>
      <c r="F107" s="160">
        <v>0</v>
      </c>
      <c r="G107" s="485">
        <v>0.5</v>
      </c>
      <c r="H107" s="485">
        <f>'Du toan chi tiet'!W20</f>
        <v>1</v>
      </c>
      <c r="I107" s="761">
        <f>'Giá NC'!G5</f>
        <v>218559</v>
      </c>
      <c r="J107" s="526">
        <f>'Giá NC'!G5</f>
        <v>218559</v>
      </c>
      <c r="K107" s="526">
        <f>PRODUCT(G107, H107, J107)</f>
        <v>109279.5</v>
      </c>
      <c r="L107" s="526">
        <f>'Giá NC'!H5</f>
        <v>218559</v>
      </c>
      <c r="M107" s="527">
        <f>PRODUCT(G107, H107, L107)</f>
        <v>109279.5</v>
      </c>
      <c r="N107" s="527">
        <v>0</v>
      </c>
      <c r="O107" s="527">
        <v>0</v>
      </c>
      <c r="P107" s="527">
        <f>'Giá NC'!K5</f>
        <v>218559</v>
      </c>
      <c r="Q107" s="527">
        <f>PRODUCT(G107, H107, P107)</f>
        <v>109279.5</v>
      </c>
      <c r="R107" s="892">
        <f t="shared" ref="R107" si="71">ROUND(G107*I107,5)</f>
        <v>109279.5</v>
      </c>
    </row>
    <row r="108" spans="1:18" ht="15" customHeight="1" x14ac:dyDescent="0.25">
      <c r="A108" s="159"/>
      <c r="B108" s="649">
        <v>0</v>
      </c>
      <c r="C108" s="515"/>
      <c r="D108" s="720" t="s">
        <v>1175</v>
      </c>
      <c r="E108" s="649"/>
      <c r="F108" s="160">
        <v>0</v>
      </c>
      <c r="G108" s="485">
        <v>0</v>
      </c>
      <c r="H108" s="485"/>
      <c r="I108" s="761"/>
      <c r="J108" s="526">
        <v>0</v>
      </c>
      <c r="K108" s="526">
        <f>SUM(K109:K110)</f>
        <v>163350.45000000001</v>
      </c>
      <c r="L108" s="526">
        <v>0</v>
      </c>
      <c r="M108" s="527">
        <f>SUM(M109:M110)</f>
        <v>163350.45000000001</v>
      </c>
      <c r="N108" s="527">
        <v>0</v>
      </c>
      <c r="O108" s="527">
        <v>0</v>
      </c>
      <c r="P108" s="527">
        <v>0</v>
      </c>
      <c r="Q108" s="527">
        <f>SUM(Q109:Q110)</f>
        <v>163350.45000000001</v>
      </c>
      <c r="R108" s="891">
        <f>ROUND(SUM(R109:R110),5)</f>
        <v>163350.45000000001</v>
      </c>
    </row>
    <row r="109" spans="1:18" ht="15" customHeight="1" x14ac:dyDescent="0.25">
      <c r="A109" s="159"/>
      <c r="B109" s="649">
        <v>0</v>
      </c>
      <c r="C109" s="515"/>
      <c r="D109" s="720" t="str">
        <f>" - " &amp; 'Giá Máy'!E5</f>
        <v xml:space="preserve"> - Búa căn khí nén 3m3/ph</v>
      </c>
      <c r="E109" s="649" t="str">
        <f>'Giá Máy'!F5</f>
        <v>ca</v>
      </c>
      <c r="F109" s="160">
        <v>0</v>
      </c>
      <c r="G109" s="485">
        <v>0.25</v>
      </c>
      <c r="H109" s="485">
        <f>'Du toan chi tiet'!X20</f>
        <v>1</v>
      </c>
      <c r="I109" s="761">
        <f>'Giá Máy'!G5</f>
        <v>21147</v>
      </c>
      <c r="J109" s="526">
        <f>'Giá Máy'!G5</f>
        <v>21147</v>
      </c>
      <c r="K109" s="526">
        <f t="shared" ref="K109:K110" si="72">PRODUCT(G109, H109, J109)</f>
        <v>5286.75</v>
      </c>
      <c r="L109" s="526">
        <f>'Giá Máy'!H5</f>
        <v>21147</v>
      </c>
      <c r="M109" s="527">
        <f t="shared" ref="M109:M110" si="73">PRODUCT(G109, H109, L109)</f>
        <v>5286.75</v>
      </c>
      <c r="N109" s="527">
        <v>0</v>
      </c>
      <c r="O109" s="527">
        <v>0</v>
      </c>
      <c r="P109" s="527">
        <f>'Giá Máy'!O5</f>
        <v>21147</v>
      </c>
      <c r="Q109" s="527">
        <f t="shared" ref="Q109:Q110" si="74">PRODUCT(G109, H109, P109)</f>
        <v>5286.75</v>
      </c>
      <c r="R109" s="892">
        <f t="shared" ref="R109:R110" si="75">ROUND(G109*I109,5)</f>
        <v>5286.75</v>
      </c>
    </row>
    <row r="110" spans="1:18" ht="15" customHeight="1" x14ac:dyDescent="0.25">
      <c r="A110" s="78"/>
      <c r="B110" s="583">
        <v>0</v>
      </c>
      <c r="C110" s="442"/>
      <c r="D110" s="647" t="str">
        <f>" - " &amp; 'Giá Máy'!E17</f>
        <v xml:space="preserve"> - Máy nén khí diezel 360m3/h</v>
      </c>
      <c r="E110" s="583" t="str">
        <f>'Giá Máy'!F17</f>
        <v>ca</v>
      </c>
      <c r="F110" s="79">
        <v>0</v>
      </c>
      <c r="G110" s="412">
        <v>0.125</v>
      </c>
      <c r="H110" s="412">
        <f>'Du toan chi tiet'!X20</f>
        <v>1</v>
      </c>
      <c r="I110" s="762">
        <f>'Giá Máy'!G17</f>
        <v>1264509.6000000001</v>
      </c>
      <c r="J110" s="483">
        <f>'Giá Máy'!G17</f>
        <v>1264509.6000000001</v>
      </c>
      <c r="K110" s="483">
        <f t="shared" si="72"/>
        <v>158063.70000000001</v>
      </c>
      <c r="L110" s="483">
        <f>'Giá Máy'!H17</f>
        <v>1264509.6000000001</v>
      </c>
      <c r="M110" s="487">
        <f t="shared" si="73"/>
        <v>158063.70000000001</v>
      </c>
      <c r="N110" s="487">
        <v>0</v>
      </c>
      <c r="O110" s="487">
        <v>0</v>
      </c>
      <c r="P110" s="487">
        <f>'Giá Máy'!O17</f>
        <v>1264509.6000000001</v>
      </c>
      <c r="Q110" s="487">
        <f t="shared" si="74"/>
        <v>158063.70000000001</v>
      </c>
      <c r="R110" s="892">
        <f t="shared" si="75"/>
        <v>158063.70000000001</v>
      </c>
    </row>
    <row r="111" spans="1:18" ht="30" customHeight="1" x14ac:dyDescent="0.25">
      <c r="A111" s="421"/>
      <c r="B111" s="354">
        <v>14</v>
      </c>
      <c r="C111" s="208" t="s">
        <v>980</v>
      </c>
      <c r="D111" s="419" t="str">
        <f>'Du toan chi tiet'!D21</f>
        <v>Đào bụi tre, đường kính bụi tre ≤50cm bằng thủ công</v>
      </c>
      <c r="E111" s="354" t="str">
        <f>'Du toan chi tiet'!E21</f>
        <v>bụi</v>
      </c>
      <c r="F111" s="624">
        <f>'Du toan chi tiet'!M21</f>
        <v>7</v>
      </c>
      <c r="G111" s="182">
        <v>0</v>
      </c>
      <c r="H111" s="182">
        <v>0</v>
      </c>
      <c r="I111" s="758"/>
      <c r="J111" s="259">
        <v>0</v>
      </c>
      <c r="K111" s="259">
        <v>0</v>
      </c>
      <c r="L111" s="259">
        <v>0</v>
      </c>
      <c r="M111" s="259">
        <v>0</v>
      </c>
      <c r="N111" s="259">
        <v>0</v>
      </c>
      <c r="O111" s="259">
        <v>0</v>
      </c>
      <c r="P111" s="259">
        <v>0</v>
      </c>
      <c r="Q111" s="259">
        <v>0</v>
      </c>
      <c r="R111" s="467"/>
    </row>
    <row r="112" spans="1:18" ht="15" customHeight="1" x14ac:dyDescent="0.25">
      <c r="A112" s="159"/>
      <c r="B112" s="649">
        <v>0</v>
      </c>
      <c r="C112" s="515"/>
      <c r="D112" s="720" t="s">
        <v>301</v>
      </c>
      <c r="E112" s="649"/>
      <c r="F112" s="160">
        <v>0</v>
      </c>
      <c r="G112" s="485">
        <v>0</v>
      </c>
      <c r="H112" s="485"/>
      <c r="I112" s="761"/>
      <c r="J112" s="526">
        <v>0</v>
      </c>
      <c r="K112" s="526">
        <f>SUM(K113:K113)</f>
        <v>172661.61000000002</v>
      </c>
      <c r="L112" s="526">
        <v>0</v>
      </c>
      <c r="M112" s="527">
        <f>SUM(M113:M113)</f>
        <v>172661.61000000002</v>
      </c>
      <c r="N112" s="527">
        <v>0</v>
      </c>
      <c r="O112" s="527">
        <v>0</v>
      </c>
      <c r="P112" s="527">
        <v>0</v>
      </c>
      <c r="Q112" s="527">
        <f>SUM(Q113:Q113)</f>
        <v>172661.61000000002</v>
      </c>
      <c r="R112" s="891">
        <f>ROUND(SUM(R113),5)</f>
        <v>172661.61</v>
      </c>
    </row>
    <row r="113" spans="1:18" ht="15" customHeight="1" x14ac:dyDescent="0.25">
      <c r="A113" s="78"/>
      <c r="B113" s="583">
        <v>0</v>
      </c>
      <c r="C113" s="442"/>
      <c r="D113" s="647" t="str">
        <f>" - " &amp; 'Giá NC'!E5</f>
        <v xml:space="preserve"> - Nhân công bậc 3,0/7 - Nhóm 1</v>
      </c>
      <c r="E113" s="583" t="str">
        <f>'Giá NC'!F5</f>
        <v>công</v>
      </c>
      <c r="F113" s="79">
        <v>0</v>
      </c>
      <c r="G113" s="412">
        <v>0.79</v>
      </c>
      <c r="H113" s="412">
        <f>'Du toan chi tiet'!W21</f>
        <v>1</v>
      </c>
      <c r="I113" s="762">
        <f>'Giá NC'!G5</f>
        <v>218559</v>
      </c>
      <c r="J113" s="483">
        <f>'Giá NC'!G5</f>
        <v>218559</v>
      </c>
      <c r="K113" s="483">
        <f>PRODUCT(G113, H113, J113)</f>
        <v>172661.61000000002</v>
      </c>
      <c r="L113" s="483">
        <f>'Giá NC'!H5</f>
        <v>218559</v>
      </c>
      <c r="M113" s="487">
        <f>PRODUCT(G113, H113, L113)</f>
        <v>172661.61000000002</v>
      </c>
      <c r="N113" s="487">
        <v>0</v>
      </c>
      <c r="O113" s="487">
        <v>0</v>
      </c>
      <c r="P113" s="487">
        <f>'Giá NC'!K5</f>
        <v>218559</v>
      </c>
      <c r="Q113" s="487">
        <f>PRODUCT(G113, H113, P113)</f>
        <v>172661.61000000002</v>
      </c>
      <c r="R113" s="892">
        <f t="shared" ref="R113" si="76">ROUND(G113*I113,5)</f>
        <v>172661.61</v>
      </c>
    </row>
    <row r="114" spans="1:18" ht="30" customHeight="1" x14ac:dyDescent="0.25">
      <c r="A114" s="421"/>
      <c r="B114" s="354">
        <v>15</v>
      </c>
      <c r="C114" s="208" t="str">
        <f>'Du toan chi tiet'!C22</f>
        <v>AB.64123</v>
      </c>
      <c r="D114" s="419" t="str">
        <f>'Du toan chi tiet'!D22</f>
        <v>Đắp đất nền đường bằng máy lu bánh thép 16T, độ chặt yêu cầu K=95</v>
      </c>
      <c r="E114" s="354" t="str">
        <f>'Du toan chi tiet'!E22</f>
        <v>1m3</v>
      </c>
      <c r="F114" s="624">
        <v>170.29</v>
      </c>
      <c r="G114" s="182">
        <v>0</v>
      </c>
      <c r="H114" s="182">
        <v>0</v>
      </c>
      <c r="I114" s="758"/>
      <c r="J114" s="259">
        <v>0</v>
      </c>
      <c r="K114" s="259">
        <v>0</v>
      </c>
      <c r="L114" s="259">
        <v>0</v>
      </c>
      <c r="M114" s="259">
        <v>0</v>
      </c>
      <c r="N114" s="259">
        <v>0</v>
      </c>
      <c r="O114" s="259">
        <v>0</v>
      </c>
      <c r="P114" s="259">
        <v>0</v>
      </c>
      <c r="Q114" s="259">
        <v>0</v>
      </c>
      <c r="R114" s="467"/>
    </row>
    <row r="115" spans="1:18" ht="15" customHeight="1" x14ac:dyDescent="0.25">
      <c r="A115" s="159"/>
      <c r="B115" s="649">
        <v>0</v>
      </c>
      <c r="C115" s="515"/>
      <c r="D115" s="720" t="s">
        <v>547</v>
      </c>
      <c r="E115" s="649"/>
      <c r="F115" s="160">
        <v>0</v>
      </c>
      <c r="G115" s="485">
        <v>0</v>
      </c>
      <c r="H115" s="485"/>
      <c r="I115" s="761"/>
      <c r="J115" s="526">
        <v>0</v>
      </c>
      <c r="K115" s="526" t="e">
        <f>SUM(K116:K116)</f>
        <v>#REF!</v>
      </c>
      <c r="L115" s="526">
        <v>0</v>
      </c>
      <c r="M115" s="527" t="e">
        <f>SUM(M116:M116)</f>
        <v>#REF!</v>
      </c>
      <c r="N115" s="527">
        <v>0</v>
      </c>
      <c r="O115" s="527">
        <v>0</v>
      </c>
      <c r="P115" s="527">
        <v>0</v>
      </c>
      <c r="Q115" s="527">
        <f>SUM(Q116:Q116)</f>
        <v>106005.978</v>
      </c>
      <c r="R115" s="891">
        <f>ROUND(SUM(R116:R116),5)</f>
        <v>1.6594599999999999</v>
      </c>
    </row>
    <row r="116" spans="1:18" ht="15" customHeight="1" x14ac:dyDescent="0.25">
      <c r="A116" s="159"/>
      <c r="B116" s="649">
        <v>0</v>
      </c>
      <c r="C116" s="515"/>
      <c r="D116" s="720" t="str">
        <f>" - " &amp; 'Giá VL'!E34</f>
        <v xml:space="preserve"> - Đất cấp phối để đắp K=95 </v>
      </c>
      <c r="E116" s="649" t="str">
        <f>'Giá VL'!F34</f>
        <v>m3</v>
      </c>
      <c r="F116" s="160">
        <v>0</v>
      </c>
      <c r="G116" s="485">
        <v>1.2882</v>
      </c>
      <c r="H116" s="485" t="e">
        <f>'Du toan chi tiet'!#REF!</f>
        <v>#REF!</v>
      </c>
      <c r="I116" s="485">
        <v>1.2882</v>
      </c>
      <c r="J116" s="526" t="e">
        <f>'Giá VL'!#REF!</f>
        <v>#REF!</v>
      </c>
      <c r="K116" s="526" t="e">
        <f t="shared" ref="K116" si="77">PRODUCT(G116, H116, J116)</f>
        <v>#REF!</v>
      </c>
      <c r="L116" s="526" t="e">
        <f>'Giá VL'!#REF!</f>
        <v>#REF!</v>
      </c>
      <c r="M116" s="527" t="e">
        <f t="shared" ref="M116" si="78">PRODUCT(G116, H116, L116)</f>
        <v>#REF!</v>
      </c>
      <c r="N116" s="527">
        <v>0</v>
      </c>
      <c r="O116" s="527">
        <v>0</v>
      </c>
      <c r="P116" s="527">
        <f>'Giá VL'!V34</f>
        <v>82290</v>
      </c>
      <c r="Q116" s="527">
        <f>PRODUCT(G116, P116)</f>
        <v>106005.978</v>
      </c>
      <c r="R116" s="892">
        <f t="shared" ref="R116" si="79">ROUND(G116*I116,5)</f>
        <v>1.6594599999999999</v>
      </c>
    </row>
    <row r="117" spans="1:18" ht="15" customHeight="1" x14ac:dyDescent="0.25">
      <c r="A117" s="159"/>
      <c r="B117" s="649">
        <v>0</v>
      </c>
      <c r="C117" s="515"/>
      <c r="D117" s="720" t="s">
        <v>301</v>
      </c>
      <c r="E117" s="649"/>
      <c r="F117" s="160">
        <v>0</v>
      </c>
      <c r="G117" s="485">
        <v>0</v>
      </c>
      <c r="H117" s="485"/>
      <c r="I117" s="485"/>
      <c r="J117" s="526">
        <v>0</v>
      </c>
      <c r="K117" s="526" t="e">
        <f>SUM(K118:K118)</f>
        <v>#REF!</v>
      </c>
      <c r="L117" s="526">
        <v>0</v>
      </c>
      <c r="M117" s="527" t="e">
        <f>SUM(M118:M118)</f>
        <v>#REF!</v>
      </c>
      <c r="N117" s="527">
        <v>0</v>
      </c>
      <c r="O117" s="527">
        <v>0</v>
      </c>
      <c r="P117" s="527">
        <v>0</v>
      </c>
      <c r="Q117" s="527">
        <f>SUM(Q118:Q118)</f>
        <v>3169.1055000000001</v>
      </c>
      <c r="R117" s="891">
        <f>ROUND(SUM(R118),5)</f>
        <v>2.1000000000000001E-4</v>
      </c>
    </row>
    <row r="118" spans="1:18" ht="15" customHeight="1" x14ac:dyDescent="0.25">
      <c r="A118" s="159"/>
      <c r="B118" s="649">
        <v>0</v>
      </c>
      <c r="C118" s="515"/>
      <c r="D118" s="720" t="str">
        <f>" - " &amp; 'Giá NC'!E5</f>
        <v xml:space="preserve"> - Nhân công bậc 3,0/7 - Nhóm 1</v>
      </c>
      <c r="E118" s="649" t="str">
        <f>'Giá NC'!F5</f>
        <v>công</v>
      </c>
      <c r="F118" s="160">
        <v>0</v>
      </c>
      <c r="G118" s="485">
        <v>1.4500000000000001E-2</v>
      </c>
      <c r="H118" s="485" t="e">
        <f>'Du toan chi tiet'!#REF!</f>
        <v>#REF!</v>
      </c>
      <c r="I118" s="485">
        <v>1.4500000000000001E-2</v>
      </c>
      <c r="J118" s="526" t="e">
        <f>'Giá NC'!#REF!</f>
        <v>#REF!</v>
      </c>
      <c r="K118" s="526" t="e">
        <f>PRODUCT(G118, H118, J118)</f>
        <v>#REF!</v>
      </c>
      <c r="L118" s="526" t="e">
        <f>'Giá NC'!#REF!</f>
        <v>#REF!</v>
      </c>
      <c r="M118" s="527" t="e">
        <f>PRODUCT(G118, H118, L118)</f>
        <v>#REF!</v>
      </c>
      <c r="N118" s="527">
        <v>0</v>
      </c>
      <c r="O118" s="527">
        <v>0</v>
      </c>
      <c r="P118" s="527">
        <f>'Giá NC'!K5</f>
        <v>218559</v>
      </c>
      <c r="Q118" s="527">
        <f>PRODUCT(G118,P118)</f>
        <v>3169.1055000000001</v>
      </c>
      <c r="R118" s="892">
        <f t="shared" ref="R118" si="80">ROUND(G118*I118,5)</f>
        <v>2.1000000000000001E-4</v>
      </c>
    </row>
    <row r="119" spans="1:18" ht="15" customHeight="1" x14ac:dyDescent="0.25">
      <c r="A119" s="159"/>
      <c r="B119" s="649">
        <v>0</v>
      </c>
      <c r="C119" s="515"/>
      <c r="D119" s="720" t="s">
        <v>1175</v>
      </c>
      <c r="E119" s="649"/>
      <c r="F119" s="160">
        <v>0</v>
      </c>
      <c r="G119" s="485">
        <v>0</v>
      </c>
      <c r="H119" s="485"/>
      <c r="I119" s="485"/>
      <c r="J119" s="526">
        <v>0</v>
      </c>
      <c r="K119" s="526" t="e">
        <f>SUM(K120:K122)</f>
        <v>#REF!</v>
      </c>
      <c r="L119" s="526">
        <v>0</v>
      </c>
      <c r="M119" s="527" t="e">
        <f>SUM(M120:M122)</f>
        <v>#REF!</v>
      </c>
      <c r="N119" s="527">
        <v>0</v>
      </c>
      <c r="O119" s="527">
        <v>0</v>
      </c>
      <c r="P119" s="527">
        <v>0</v>
      </c>
      <c r="Q119" s="527">
        <f>SUM(Q120:Q122)</f>
        <v>8509.0263072500002</v>
      </c>
      <c r="R119" s="891">
        <f>ROUND(SUM(R120:R122),5)</f>
        <v>1.0000000000000001E-5</v>
      </c>
    </row>
    <row r="120" spans="1:18" ht="15" customHeight="1" x14ac:dyDescent="0.25">
      <c r="A120" s="159"/>
      <c r="B120" s="649">
        <v>0</v>
      </c>
      <c r="C120" s="515"/>
      <c r="D120" s="720" t="str">
        <f>" - " &amp; 'Giá Máy'!E26</f>
        <v xml:space="preserve"> - Máy lu bánh thép 16T</v>
      </c>
      <c r="E120" s="649" t="str">
        <f>'Giá Máy'!F26</f>
        <v>ca</v>
      </c>
      <c r="F120" s="160">
        <v>0</v>
      </c>
      <c r="G120" s="485">
        <v>3.3999999999999998E-3</v>
      </c>
      <c r="H120" s="485" t="e">
        <f>'Du toan chi tiet'!#REF!</f>
        <v>#REF!</v>
      </c>
      <c r="I120" s="485">
        <v>3.3999999999999998E-3</v>
      </c>
      <c r="J120" s="526" t="e">
        <f>'Giá Máy'!#REF!</f>
        <v>#REF!</v>
      </c>
      <c r="K120" s="526" t="e">
        <f t="shared" ref="K120:K122" si="81">PRODUCT(G120, H120, J120)</f>
        <v>#REF!</v>
      </c>
      <c r="L120" s="526" t="e">
        <f>'Giá Máy'!#REF!</f>
        <v>#REF!</v>
      </c>
      <c r="M120" s="527" t="e">
        <f t="shared" ref="M120:M122" si="82">PRODUCT(G120, H120, L120)</f>
        <v>#REF!</v>
      </c>
      <c r="N120" s="527">
        <v>0</v>
      </c>
      <c r="O120" s="527">
        <v>0</v>
      </c>
      <c r="P120" s="527">
        <f>'Giá Máy'!O26</f>
        <v>1485298</v>
      </c>
      <c r="Q120" s="527">
        <f>PRODUCT(G120, P120)</f>
        <v>5050.0131999999994</v>
      </c>
      <c r="R120" s="892">
        <f t="shared" ref="R120:R121" si="83">ROUND(G120*I120,5)</f>
        <v>1.0000000000000001E-5</v>
      </c>
    </row>
    <row r="121" spans="1:18" ht="15" customHeight="1" x14ac:dyDescent="0.25">
      <c r="A121" s="159"/>
      <c r="B121" s="649">
        <v>0</v>
      </c>
      <c r="C121" s="515"/>
      <c r="D121" s="720" t="str">
        <f>" - " &amp; 'Giá Máy'!E21</f>
        <v xml:space="preserve"> - Máy ủi 110CV</v>
      </c>
      <c r="E121" s="649" t="str">
        <f>'Giá Máy'!F21</f>
        <v>ca</v>
      </c>
      <c r="F121" s="160">
        <v>0</v>
      </c>
      <c r="G121" s="485">
        <v>1.6999999999999999E-3</v>
      </c>
      <c r="H121" s="485" t="e">
        <f>'Du toan chi tiet'!#REF!</f>
        <v>#REF!</v>
      </c>
      <c r="I121" s="485">
        <v>1.6999999999999999E-3</v>
      </c>
      <c r="J121" s="526" t="e">
        <f>'Giá Máy'!#REF!</f>
        <v>#REF!</v>
      </c>
      <c r="K121" s="526" t="e">
        <f t="shared" si="81"/>
        <v>#REF!</v>
      </c>
      <c r="L121" s="526" t="e">
        <f>'Giá Máy'!#REF!</f>
        <v>#REF!</v>
      </c>
      <c r="M121" s="527" t="e">
        <f t="shared" si="82"/>
        <v>#REF!</v>
      </c>
      <c r="N121" s="527">
        <v>0</v>
      </c>
      <c r="O121" s="527">
        <v>0</v>
      </c>
      <c r="P121" s="527">
        <f>'Giá Máy'!O21</f>
        <v>1960743.5</v>
      </c>
      <c r="Q121" s="527">
        <f>PRODUCT(G121, P121)</f>
        <v>3333.26395</v>
      </c>
      <c r="R121" s="892">
        <f t="shared" si="83"/>
        <v>0</v>
      </c>
    </row>
    <row r="122" spans="1:18" ht="15" customHeight="1" x14ac:dyDescent="0.25">
      <c r="A122" s="78"/>
      <c r="B122" s="583">
        <v>0</v>
      </c>
      <c r="C122" s="442"/>
      <c r="D122" s="647" t="s">
        <v>1080</v>
      </c>
      <c r="E122" s="583" t="s">
        <v>1113</v>
      </c>
      <c r="F122" s="79">
        <v>0</v>
      </c>
      <c r="G122" s="412">
        <v>1.5</v>
      </c>
      <c r="H122" s="412" t="e">
        <f>'Du toan chi tiet'!#REF!</f>
        <v>#REF!</v>
      </c>
      <c r="I122" s="762">
        <v>1.5</v>
      </c>
      <c r="J122" s="483" t="e">
        <f>(G120*J120+G121*J121+#REF!*#REF!)/100</f>
        <v>#REF!</v>
      </c>
      <c r="K122" s="483" t="e">
        <f t="shared" si="81"/>
        <v>#REF!</v>
      </c>
      <c r="L122" s="483" t="e">
        <f>(G120*L120+G121*L121+#REF!*#REF!)/100</f>
        <v>#REF!</v>
      </c>
      <c r="M122" s="487" t="e">
        <f t="shared" si="82"/>
        <v>#REF!</v>
      </c>
      <c r="N122" s="487">
        <v>0</v>
      </c>
      <c r="O122" s="487">
        <v>0</v>
      </c>
      <c r="P122" s="487">
        <f>(G120*P120+G121*P121)/100</f>
        <v>83.832771499999993</v>
      </c>
      <c r="Q122" s="487">
        <f>PRODUCT(G122,P122)</f>
        <v>125.74915725</v>
      </c>
      <c r="R122" s="893">
        <f>ROUND(SUM(R120:R121)*G122/100,5)</f>
        <v>0</v>
      </c>
    </row>
    <row r="123" spans="1:18" ht="15" customHeight="1" x14ac:dyDescent="0.25">
      <c r="A123" s="421"/>
      <c r="B123" s="140">
        <v>16</v>
      </c>
      <c r="C123" s="465" t="str">
        <f>'Du toan chi tiet'!C23</f>
        <v>TT.LUNEN</v>
      </c>
      <c r="D123" s="227" t="str">
        <f>'Du toan chi tiet'!D23</f>
        <v>Lu nền đường cũ đạt K=95 sâu 30cm</v>
      </c>
      <c r="E123" s="140" t="str">
        <f>'Du toan chi tiet'!E23</f>
        <v>1m2</v>
      </c>
      <c r="F123" s="422">
        <f>'Du toan chi tiet'!M11</f>
        <v>39.97</v>
      </c>
      <c r="G123" s="731">
        <v>0</v>
      </c>
      <c r="H123" s="731">
        <v>0</v>
      </c>
      <c r="I123" s="763"/>
      <c r="J123" s="24">
        <v>0</v>
      </c>
      <c r="K123" s="24">
        <v>0</v>
      </c>
      <c r="L123" s="24">
        <v>0</v>
      </c>
      <c r="M123" s="28">
        <v>0</v>
      </c>
      <c r="N123" s="28">
        <v>0</v>
      </c>
      <c r="O123" s="28">
        <v>0</v>
      </c>
      <c r="P123" s="28">
        <v>0</v>
      </c>
      <c r="Q123" s="28">
        <v>0</v>
      </c>
      <c r="R123" s="467"/>
    </row>
    <row r="124" spans="1:18" ht="15" customHeight="1" x14ac:dyDescent="0.25">
      <c r="A124" s="159"/>
      <c r="B124" s="649">
        <v>0</v>
      </c>
      <c r="C124" s="515"/>
      <c r="D124" s="720" t="s">
        <v>1175</v>
      </c>
      <c r="E124" s="649"/>
      <c r="F124" s="160">
        <v>0</v>
      </c>
      <c r="G124" s="485">
        <v>0</v>
      </c>
      <c r="H124" s="485"/>
      <c r="I124" s="761"/>
      <c r="J124" s="526">
        <v>0</v>
      </c>
      <c r="K124" s="526">
        <f>SUM(K125:K125)</f>
        <v>265.15300000000002</v>
      </c>
      <c r="L124" s="526">
        <v>0</v>
      </c>
      <c r="M124" s="527">
        <f>SUM(M125:M125)</f>
        <v>265.15300000000002</v>
      </c>
      <c r="N124" s="527">
        <v>0</v>
      </c>
      <c r="O124" s="527">
        <v>0</v>
      </c>
      <c r="P124" s="527">
        <v>0</v>
      </c>
      <c r="Q124" s="527">
        <f>SUM(Q125:Q125)</f>
        <v>1485.298</v>
      </c>
      <c r="R124" s="891">
        <f>ROUND(SUM(R125:R125),5)</f>
        <v>265.15300000000002</v>
      </c>
    </row>
    <row r="125" spans="1:18" ht="15" customHeight="1" x14ac:dyDescent="0.25">
      <c r="A125" s="159"/>
      <c r="B125" s="649">
        <v>0</v>
      </c>
      <c r="C125" s="515"/>
      <c r="D125" s="720" t="str">
        <f>" - " &amp; 'Giá Máy'!E26</f>
        <v xml:space="preserve"> - Máy lu bánh thép 16T</v>
      </c>
      <c r="E125" s="649" t="str">
        <f>'Giá Máy'!F26</f>
        <v>ca</v>
      </c>
      <c r="F125" s="160">
        <v>0</v>
      </c>
      <c r="G125" s="485">
        <v>1E-3</v>
      </c>
      <c r="H125" s="485">
        <f>'Du toan chi tiet'!X11</f>
        <v>1</v>
      </c>
      <c r="I125" s="761">
        <f>'Giá Máy'!G12</f>
        <v>265153</v>
      </c>
      <c r="J125" s="526">
        <f>'Giá Máy'!G12</f>
        <v>265153</v>
      </c>
      <c r="K125" s="526">
        <f t="shared" ref="K125" si="84">PRODUCT(G125, H125, J125)</f>
        <v>265.15300000000002</v>
      </c>
      <c r="L125" s="526">
        <f>'Giá Máy'!H12</f>
        <v>265153</v>
      </c>
      <c r="M125" s="527">
        <f t="shared" ref="M125" si="85">PRODUCT(G125, H125, L125)</f>
        <v>265.15300000000002</v>
      </c>
      <c r="N125" s="527">
        <v>0</v>
      </c>
      <c r="O125" s="527">
        <v>0</v>
      </c>
      <c r="P125" s="527">
        <f>'Giá Máy'!O26</f>
        <v>1485298</v>
      </c>
      <c r="Q125" s="527">
        <f t="shared" ref="Q125" si="86">PRODUCT(G125, H125, P125)</f>
        <v>1485.298</v>
      </c>
      <c r="R125" s="892">
        <f t="shared" ref="R125" si="87">ROUND(G125*I125,5)</f>
        <v>265.15300000000002</v>
      </c>
    </row>
    <row r="126" spans="1:18" ht="30" customHeight="1" x14ac:dyDescent="0.25">
      <c r="A126" s="421"/>
      <c r="B126" s="354">
        <v>17</v>
      </c>
      <c r="C126" s="208" t="s">
        <v>1369</v>
      </c>
      <c r="D126" s="419" t="str">
        <f>'Du toan chi tiet'!D24</f>
        <v>Sơn kẻ đường bằng sơn dẻo nhiệt phản quang, dày sơn 6mm</v>
      </c>
      <c r="E126" s="354" t="str">
        <f>'Du toan chi tiet'!E24</f>
        <v>m2</v>
      </c>
      <c r="F126" s="624">
        <f>'Du toan chi tiet'!M24</f>
        <v>6.6</v>
      </c>
      <c r="G126" s="182">
        <v>0</v>
      </c>
      <c r="H126" s="182">
        <v>0</v>
      </c>
      <c r="I126" s="758"/>
      <c r="J126" s="259">
        <v>0</v>
      </c>
      <c r="K126" s="259">
        <v>0</v>
      </c>
      <c r="L126" s="259">
        <v>0</v>
      </c>
      <c r="M126" s="259">
        <v>0</v>
      </c>
      <c r="N126" s="259">
        <v>0</v>
      </c>
      <c r="O126" s="259">
        <v>0</v>
      </c>
      <c r="P126" s="259">
        <v>0</v>
      </c>
      <c r="Q126" s="259">
        <v>0</v>
      </c>
      <c r="R126" s="467"/>
    </row>
    <row r="127" spans="1:18" ht="15" customHeight="1" x14ac:dyDescent="0.25">
      <c r="A127" s="159"/>
      <c r="B127" s="649">
        <v>0</v>
      </c>
      <c r="C127" s="515"/>
      <c r="D127" s="720" t="s">
        <v>547</v>
      </c>
      <c r="E127" s="649"/>
      <c r="F127" s="160">
        <v>0</v>
      </c>
      <c r="G127" s="485">
        <v>0</v>
      </c>
      <c r="H127" s="485"/>
      <c r="I127" s="761"/>
      <c r="J127" s="526">
        <v>0</v>
      </c>
      <c r="K127" s="526">
        <f>SUM(K128:K131)</f>
        <v>482371.54560000001</v>
      </c>
      <c r="L127" s="526">
        <v>0</v>
      </c>
      <c r="M127" s="527">
        <f>SUM(M128:M131)</f>
        <v>482371.54560000001</v>
      </c>
      <c r="N127" s="527">
        <v>0</v>
      </c>
      <c r="O127" s="527">
        <v>0</v>
      </c>
      <c r="P127" s="527">
        <v>0</v>
      </c>
      <c r="Q127" s="527">
        <f>SUM(Q128:Q131)</f>
        <v>482371.54560000001</v>
      </c>
      <c r="R127" s="891">
        <f>ROUND(SUM(R128:R131),5)</f>
        <v>482371.54560000001</v>
      </c>
    </row>
    <row r="128" spans="1:18" ht="15" customHeight="1" x14ac:dyDescent="0.25">
      <c r="A128" s="159"/>
      <c r="B128" s="649">
        <v>0</v>
      </c>
      <c r="C128" s="515"/>
      <c r="D128" s="720" t="str">
        <f>" - " &amp; 'Giá VL'!E26</f>
        <v xml:space="preserve"> - Sơn dẻo nhiệt màu vàng</v>
      </c>
      <c r="E128" s="649" t="str">
        <f>'Giá VL'!F26</f>
        <v>kg</v>
      </c>
      <c r="F128" s="160">
        <v>0</v>
      </c>
      <c r="G128" s="485">
        <f>7.87*2</f>
        <v>15.74</v>
      </c>
      <c r="H128" s="485">
        <f>'Du toan chi tiet'!V24</f>
        <v>1</v>
      </c>
      <c r="I128" s="761">
        <f>'Giá VL'!G26</f>
        <v>28000</v>
      </c>
      <c r="J128" s="526">
        <f>'Giá VL'!G26</f>
        <v>28000</v>
      </c>
      <c r="K128" s="526">
        <f t="shared" ref="K128:K131" si="88">PRODUCT(G128, H128, J128)</f>
        <v>440720</v>
      </c>
      <c r="L128" s="526">
        <f>'Giá VL'!J26</f>
        <v>28000</v>
      </c>
      <c r="M128" s="527">
        <f t="shared" ref="M128:M131" si="89">PRODUCT(G128, H128, L128)</f>
        <v>440720</v>
      </c>
      <c r="N128" s="527">
        <v>0</v>
      </c>
      <c r="O128" s="527">
        <v>0</v>
      </c>
      <c r="P128" s="527">
        <f>'Giá VL'!V26</f>
        <v>28000</v>
      </c>
      <c r="Q128" s="527">
        <f t="shared" ref="Q128:Q131" si="90">PRODUCT(G128, H128, P128)</f>
        <v>440720</v>
      </c>
      <c r="R128" s="892">
        <f t="shared" ref="R128:R130" si="91">ROUND(G128*I128,5)</f>
        <v>440720</v>
      </c>
    </row>
    <row r="129" spans="1:18" ht="15" customHeight="1" x14ac:dyDescent="0.25">
      <c r="A129" s="159"/>
      <c r="B129" s="649">
        <v>0</v>
      </c>
      <c r="C129" s="515"/>
      <c r="D129" s="720" t="str">
        <f>" - " &amp; 'Giá VL'!E27</f>
        <v xml:space="preserve"> - Sơn lót</v>
      </c>
      <c r="E129" s="649" t="str">
        <f>'Giá VL'!F27</f>
        <v>kg</v>
      </c>
      <c r="F129" s="160">
        <v>0</v>
      </c>
      <c r="G129" s="485">
        <v>0.25</v>
      </c>
      <c r="H129" s="485">
        <f>'Du toan chi tiet'!V24</f>
        <v>1</v>
      </c>
      <c r="I129" s="761">
        <f>'Giá VL'!G27</f>
        <v>89500</v>
      </c>
      <c r="J129" s="526">
        <f>'Giá VL'!G27</f>
        <v>89500</v>
      </c>
      <c r="K129" s="526">
        <f t="shared" si="88"/>
        <v>22375</v>
      </c>
      <c r="L129" s="526">
        <f>'Giá VL'!J27</f>
        <v>89500</v>
      </c>
      <c r="M129" s="527">
        <f t="shared" si="89"/>
        <v>22375</v>
      </c>
      <c r="N129" s="527">
        <v>0</v>
      </c>
      <c r="O129" s="527">
        <v>0</v>
      </c>
      <c r="P129" s="527">
        <f>'Giá VL'!V27</f>
        <v>89500</v>
      </c>
      <c r="Q129" s="527">
        <f t="shared" si="90"/>
        <v>22375</v>
      </c>
      <c r="R129" s="892">
        <f t="shared" si="91"/>
        <v>22375</v>
      </c>
    </row>
    <row r="130" spans="1:18" ht="15" customHeight="1" x14ac:dyDescent="0.25">
      <c r="A130" s="159"/>
      <c r="B130" s="649">
        <v>0</v>
      </c>
      <c r="C130" s="515"/>
      <c r="D130" s="720" t="str">
        <f>" - " &amp; 'Giá VL'!E15</f>
        <v xml:space="preserve"> - Khí gas</v>
      </c>
      <c r="E130" s="649" t="str">
        <f>'Giá VL'!F15</f>
        <v>kg</v>
      </c>
      <c r="F130" s="160">
        <v>0</v>
      </c>
      <c r="G130" s="485">
        <f>0.18*2</f>
        <v>0.36</v>
      </c>
      <c r="H130" s="485">
        <f>'Du toan chi tiet'!V24</f>
        <v>1</v>
      </c>
      <c r="I130" s="761">
        <f>'Giá VL'!G15</f>
        <v>27273</v>
      </c>
      <c r="J130" s="526">
        <f>'Giá VL'!G15</f>
        <v>27273</v>
      </c>
      <c r="K130" s="526">
        <f t="shared" si="88"/>
        <v>9818.2799999999988</v>
      </c>
      <c r="L130" s="526">
        <f>'Giá VL'!J15</f>
        <v>27273</v>
      </c>
      <c r="M130" s="527">
        <f t="shared" si="89"/>
        <v>9818.2799999999988</v>
      </c>
      <c r="N130" s="527">
        <v>0</v>
      </c>
      <c r="O130" s="527">
        <v>0</v>
      </c>
      <c r="P130" s="527">
        <f>'Giá VL'!V15</f>
        <v>27273</v>
      </c>
      <c r="Q130" s="527">
        <f t="shared" si="90"/>
        <v>9818.2799999999988</v>
      </c>
      <c r="R130" s="892">
        <f t="shared" si="91"/>
        <v>9818.2800000000007</v>
      </c>
    </row>
    <row r="131" spans="1:18" ht="15" customHeight="1" x14ac:dyDescent="0.25">
      <c r="A131" s="159"/>
      <c r="B131" s="649">
        <v>0</v>
      </c>
      <c r="C131" s="515"/>
      <c r="D131" s="720" t="s">
        <v>238</v>
      </c>
      <c r="E131" s="649" t="s">
        <v>1113</v>
      </c>
      <c r="F131" s="160">
        <v>0</v>
      </c>
      <c r="G131" s="485">
        <v>2</v>
      </c>
      <c r="H131" s="485">
        <f>'Du toan chi tiet'!V24</f>
        <v>1</v>
      </c>
      <c r="I131" s="761"/>
      <c r="J131" s="526">
        <f>(G128*J128+G129*J129+G130*J130)/100</f>
        <v>4729.1328000000003</v>
      </c>
      <c r="K131" s="526">
        <f t="shared" si="88"/>
        <v>9458.2656000000006</v>
      </c>
      <c r="L131" s="526">
        <f>(G128*L128+G129*L129+G130*L130)/100</f>
        <v>4729.1328000000003</v>
      </c>
      <c r="M131" s="527">
        <f t="shared" si="89"/>
        <v>9458.2656000000006</v>
      </c>
      <c r="N131" s="527">
        <v>0</v>
      </c>
      <c r="O131" s="527">
        <v>0</v>
      </c>
      <c r="P131" s="527">
        <f>(G128*P128+G129*P129+G130*P130)/100</f>
        <v>4729.1328000000003</v>
      </c>
      <c r="Q131" s="527">
        <f t="shared" si="90"/>
        <v>9458.2656000000006</v>
      </c>
      <c r="R131" s="893">
        <f>ROUND(SUM(R128:R130)*G131/100,5)</f>
        <v>9458.2656000000006</v>
      </c>
    </row>
    <row r="132" spans="1:18" ht="15" customHeight="1" x14ac:dyDescent="0.25">
      <c r="A132" s="159"/>
      <c r="B132" s="649">
        <v>0</v>
      </c>
      <c r="C132" s="515"/>
      <c r="D132" s="720" t="s">
        <v>301</v>
      </c>
      <c r="E132" s="649"/>
      <c r="F132" s="160">
        <v>0</v>
      </c>
      <c r="G132" s="485">
        <v>0</v>
      </c>
      <c r="H132" s="485"/>
      <c r="I132" s="761"/>
      <c r="J132" s="526">
        <v>0</v>
      </c>
      <c r="K132" s="526">
        <f>SUM(K133:K133)</f>
        <v>65572</v>
      </c>
      <c r="L132" s="526">
        <v>0</v>
      </c>
      <c r="M132" s="527">
        <f>SUM(M133:M133)</f>
        <v>65572</v>
      </c>
      <c r="N132" s="527">
        <v>0</v>
      </c>
      <c r="O132" s="527">
        <v>0</v>
      </c>
      <c r="P132" s="527">
        <v>0</v>
      </c>
      <c r="Q132" s="527">
        <f>SUM(Q133:Q133)</f>
        <v>65572</v>
      </c>
      <c r="R132" s="891">
        <f>ROUND(SUM(R133),5)</f>
        <v>65572</v>
      </c>
    </row>
    <row r="133" spans="1:18" ht="15" customHeight="1" x14ac:dyDescent="0.25">
      <c r="A133" s="159"/>
      <c r="B133" s="649">
        <v>0</v>
      </c>
      <c r="C133" s="515"/>
      <c r="D133" s="720" t="str">
        <f>" - " &amp; 'Giá NC'!E8</f>
        <v xml:space="preserve"> - Nhân công bậc 3,5/7 - Nhóm 2</v>
      </c>
      <c r="E133" s="649" t="str">
        <f>'Giá NC'!F8</f>
        <v>công</v>
      </c>
      <c r="F133" s="160">
        <v>0</v>
      </c>
      <c r="G133" s="485">
        <f>0.13*2</f>
        <v>0.26</v>
      </c>
      <c r="H133" s="485">
        <f>'Du toan chi tiet'!W24</f>
        <v>1</v>
      </c>
      <c r="I133" s="761">
        <f>'Giá NC'!G8</f>
        <v>252200</v>
      </c>
      <c r="J133" s="526">
        <f>'Giá NC'!G8</f>
        <v>252200</v>
      </c>
      <c r="K133" s="526">
        <f>PRODUCT(G133, H133, J133)</f>
        <v>65572</v>
      </c>
      <c r="L133" s="526">
        <f>'Giá NC'!H8</f>
        <v>252200</v>
      </c>
      <c r="M133" s="527">
        <f>PRODUCT(G133, H133, L133)</f>
        <v>65572</v>
      </c>
      <c r="N133" s="527">
        <v>0</v>
      </c>
      <c r="O133" s="527">
        <v>0</v>
      </c>
      <c r="P133" s="527">
        <f>'Giá NC'!K8</f>
        <v>252200</v>
      </c>
      <c r="Q133" s="527">
        <f>PRODUCT(G133, H133, P133)</f>
        <v>65572</v>
      </c>
      <c r="R133" s="892">
        <f t="shared" ref="R133" si="92">ROUND(G133*I133,5)</f>
        <v>65572</v>
      </c>
    </row>
    <row r="134" spans="1:18" ht="15" customHeight="1" x14ac:dyDescent="0.25">
      <c r="A134" s="159"/>
      <c r="B134" s="649">
        <v>0</v>
      </c>
      <c r="C134" s="515"/>
      <c r="D134" s="720" t="s">
        <v>1175</v>
      </c>
      <c r="E134" s="649"/>
      <c r="F134" s="160">
        <v>0</v>
      </c>
      <c r="G134" s="485">
        <v>0</v>
      </c>
      <c r="H134" s="485"/>
      <c r="I134" s="761"/>
      <c r="J134" s="526">
        <v>0</v>
      </c>
      <c r="K134" s="526">
        <f>SUM(K135:K138)</f>
        <v>153139.42992</v>
      </c>
      <c r="L134" s="526">
        <v>0</v>
      </c>
      <c r="M134" s="527">
        <f>SUM(M135:M138)</f>
        <v>153139.42992</v>
      </c>
      <c r="N134" s="527">
        <v>0</v>
      </c>
      <c r="O134" s="527">
        <v>0</v>
      </c>
      <c r="P134" s="527">
        <v>0</v>
      </c>
      <c r="Q134" s="527">
        <f>SUM(Q135:Q138)</f>
        <v>153139.42992</v>
      </c>
      <c r="R134" s="891">
        <f>ROUND(SUM(R135:R138),5)</f>
        <v>153139.42992</v>
      </c>
    </row>
    <row r="135" spans="1:18" ht="15" customHeight="1" x14ac:dyDescent="0.25">
      <c r="A135" s="159"/>
      <c r="B135" s="649">
        <v>0</v>
      </c>
      <c r="C135" s="515"/>
      <c r="D135" s="720" t="str">
        <f>" - " &amp; 'Giá Máy'!E24</f>
        <v xml:space="preserve"> - Thiết bị sơn kẻ vạch YHK 10A</v>
      </c>
      <c r="E135" s="649" t="str">
        <f>'Giá Máy'!F24</f>
        <v>ca</v>
      </c>
      <c r="F135" s="160">
        <v>0</v>
      </c>
      <c r="G135" s="485">
        <f>0.04*2</f>
        <v>0.08</v>
      </c>
      <c r="H135" s="485">
        <f>'Du toan chi tiet'!X24</f>
        <v>1</v>
      </c>
      <c r="I135" s="761">
        <f>'Giá Máy'!G24</f>
        <v>366617</v>
      </c>
      <c r="J135" s="526">
        <f>'Giá Máy'!G24</f>
        <v>366617</v>
      </c>
      <c r="K135" s="526">
        <f t="shared" ref="K135:K138" si="93">PRODUCT(G135, H135, J135)</f>
        <v>29329.360000000001</v>
      </c>
      <c r="L135" s="526">
        <f>'Giá Máy'!H24</f>
        <v>366617</v>
      </c>
      <c r="M135" s="527">
        <f t="shared" ref="M135:M138" si="94">PRODUCT(G135, H135, L135)</f>
        <v>29329.360000000001</v>
      </c>
      <c r="N135" s="527">
        <v>0</v>
      </c>
      <c r="O135" s="527">
        <v>0</v>
      </c>
      <c r="P135" s="527">
        <f>'Giá Máy'!O24</f>
        <v>366617</v>
      </c>
      <c r="Q135" s="527">
        <f t="shared" ref="Q135:Q138" si="95">PRODUCT(G135, H135, P135)</f>
        <v>29329.360000000001</v>
      </c>
      <c r="R135" s="892">
        <f t="shared" ref="R135:R137" si="96">ROUND(G135*I135,5)</f>
        <v>29329.360000000001</v>
      </c>
    </row>
    <row r="136" spans="1:18" ht="15" customHeight="1" x14ac:dyDescent="0.25">
      <c r="A136" s="159"/>
      <c r="B136" s="649">
        <v>0</v>
      </c>
      <c r="C136" s="515"/>
      <c r="D136" s="720" t="str">
        <f>" - " &amp; 'Giá Máy'!E6</f>
        <v xml:space="preserve"> - Lò nấu sơn YHK 3A</v>
      </c>
      <c r="E136" s="649" t="str">
        <f>'Giá Máy'!F6</f>
        <v>ca</v>
      </c>
      <c r="F136" s="160">
        <v>0</v>
      </c>
      <c r="G136" s="485">
        <f>0.04*2</f>
        <v>0.08</v>
      </c>
      <c r="H136" s="485">
        <f>'Du toan chi tiet'!X24</f>
        <v>1</v>
      </c>
      <c r="I136" s="761">
        <f>'Giá Máy'!G6</f>
        <v>908184.5</v>
      </c>
      <c r="J136" s="526">
        <f>'Giá Máy'!G6</f>
        <v>908184.5</v>
      </c>
      <c r="K136" s="526">
        <f t="shared" si="93"/>
        <v>72654.759999999995</v>
      </c>
      <c r="L136" s="526">
        <f>'Giá Máy'!H6</f>
        <v>908184.5</v>
      </c>
      <c r="M136" s="527">
        <f t="shared" si="94"/>
        <v>72654.759999999995</v>
      </c>
      <c r="N136" s="527">
        <v>0</v>
      </c>
      <c r="O136" s="527">
        <v>0</v>
      </c>
      <c r="P136" s="527">
        <f>'Giá Máy'!O6</f>
        <v>908184.5</v>
      </c>
      <c r="Q136" s="527">
        <f t="shared" si="95"/>
        <v>72654.759999999995</v>
      </c>
      <c r="R136" s="892">
        <f t="shared" si="96"/>
        <v>72654.759999999995</v>
      </c>
    </row>
    <row r="137" spans="1:18" ht="15" customHeight="1" x14ac:dyDescent="0.25">
      <c r="A137" s="159"/>
      <c r="B137" s="649">
        <v>0</v>
      </c>
      <c r="C137" s="515"/>
      <c r="D137" s="720" t="str">
        <f>" - " &amp; 'Giá Máy'!E22</f>
        <v xml:space="preserve"> - Ô tô vận tải thùng 2,5T</v>
      </c>
      <c r="E137" s="649" t="str">
        <f>'Giá Máy'!F22</f>
        <v>ca</v>
      </c>
      <c r="F137" s="160">
        <v>0</v>
      </c>
      <c r="G137" s="485">
        <f>0.032*2</f>
        <v>6.4000000000000001E-2</v>
      </c>
      <c r="H137" s="485">
        <f>'Du toan chi tiet'!X24</f>
        <v>1</v>
      </c>
      <c r="I137" s="761">
        <f>'Giá Máy'!G22</f>
        <v>752384</v>
      </c>
      <c r="J137" s="526">
        <f>'Giá Máy'!G22</f>
        <v>752384</v>
      </c>
      <c r="K137" s="526">
        <f t="shared" si="93"/>
        <v>48152.576000000001</v>
      </c>
      <c r="L137" s="526">
        <f>'Giá Máy'!H22</f>
        <v>752384</v>
      </c>
      <c r="M137" s="527">
        <f t="shared" si="94"/>
        <v>48152.576000000001</v>
      </c>
      <c r="N137" s="527">
        <v>0</v>
      </c>
      <c r="O137" s="527">
        <v>0</v>
      </c>
      <c r="P137" s="527">
        <f>'Giá Máy'!O22</f>
        <v>752384</v>
      </c>
      <c r="Q137" s="527">
        <f t="shared" si="95"/>
        <v>48152.576000000001</v>
      </c>
      <c r="R137" s="892">
        <f t="shared" si="96"/>
        <v>48152.576000000001</v>
      </c>
    </row>
    <row r="138" spans="1:18" ht="15" customHeight="1" x14ac:dyDescent="0.25">
      <c r="A138" s="78"/>
      <c r="B138" s="583">
        <v>0</v>
      </c>
      <c r="C138" s="442"/>
      <c r="D138" s="647" t="s">
        <v>1080</v>
      </c>
      <c r="E138" s="583" t="s">
        <v>1113</v>
      </c>
      <c r="F138" s="79">
        <v>0</v>
      </c>
      <c r="G138" s="412">
        <v>2</v>
      </c>
      <c r="H138" s="412">
        <f>'Du toan chi tiet'!X24</f>
        <v>1</v>
      </c>
      <c r="I138" s="762"/>
      <c r="J138" s="483">
        <f>(G135*J135+G136*J136+G137*J137)/100</f>
        <v>1501.3669600000001</v>
      </c>
      <c r="K138" s="483">
        <f t="shared" si="93"/>
        <v>3002.7339200000001</v>
      </c>
      <c r="L138" s="483">
        <f>(G135*L135+G136*L136+G137*L137)/100</f>
        <v>1501.3669600000001</v>
      </c>
      <c r="M138" s="487">
        <f t="shared" si="94"/>
        <v>3002.7339200000001</v>
      </c>
      <c r="N138" s="487">
        <v>0</v>
      </c>
      <c r="O138" s="487">
        <v>0</v>
      </c>
      <c r="P138" s="487">
        <f>(G135*P135+G136*P136+G137*P137)/100</f>
        <v>1501.3669600000001</v>
      </c>
      <c r="Q138" s="487">
        <f t="shared" si="95"/>
        <v>3002.7339200000001</v>
      </c>
      <c r="R138" s="893">
        <f>ROUND(SUM(R135:R137)*G138/100,5)</f>
        <v>3002.7339200000001</v>
      </c>
    </row>
    <row r="139" spans="1:18" ht="30" customHeight="1" x14ac:dyDescent="0.25">
      <c r="A139" s="421"/>
      <c r="B139" s="354">
        <v>18</v>
      </c>
      <c r="C139" s="208" t="s">
        <v>279</v>
      </c>
      <c r="D139" s="419" t="str">
        <f>'Du toan chi tiet'!D25</f>
        <v>Phá dỡ kết cấu bê tông không cốt thép bằng máy khoan bê tông 1,5kw cột biển báo</v>
      </c>
      <c r="E139" s="354" t="str">
        <f>'Du toan chi tiet'!E25</f>
        <v>m3</v>
      </c>
      <c r="F139" s="624">
        <f>'Du toan chi tiet'!M25</f>
        <v>0.2</v>
      </c>
      <c r="G139" s="182">
        <v>0</v>
      </c>
      <c r="H139" s="182">
        <v>0</v>
      </c>
      <c r="I139" s="758"/>
      <c r="J139" s="259">
        <v>0</v>
      </c>
      <c r="K139" s="259">
        <v>0</v>
      </c>
      <c r="L139" s="259">
        <v>0</v>
      </c>
      <c r="M139" s="259">
        <v>0</v>
      </c>
      <c r="N139" s="259">
        <v>0</v>
      </c>
      <c r="O139" s="259">
        <v>0</v>
      </c>
      <c r="P139" s="259">
        <v>0</v>
      </c>
      <c r="Q139" s="259">
        <v>0</v>
      </c>
      <c r="R139" s="467"/>
    </row>
    <row r="140" spans="1:18" ht="15" customHeight="1" x14ac:dyDescent="0.25">
      <c r="A140" s="159"/>
      <c r="B140" s="649">
        <v>0</v>
      </c>
      <c r="C140" s="515"/>
      <c r="D140" s="720" t="s">
        <v>301</v>
      </c>
      <c r="E140" s="649"/>
      <c r="F140" s="160">
        <v>0</v>
      </c>
      <c r="G140" s="485">
        <v>0</v>
      </c>
      <c r="H140" s="485"/>
      <c r="I140" s="761"/>
      <c r="J140" s="526">
        <v>0</v>
      </c>
      <c r="K140" s="526">
        <f>SUM(K141:K141)</f>
        <v>410890.92</v>
      </c>
      <c r="L140" s="526">
        <v>0</v>
      </c>
      <c r="M140" s="527">
        <f>SUM(M141:M141)</f>
        <v>410890.92</v>
      </c>
      <c r="N140" s="527">
        <v>0</v>
      </c>
      <c r="O140" s="527">
        <v>0</v>
      </c>
      <c r="P140" s="527">
        <v>0</v>
      </c>
      <c r="Q140" s="527">
        <f>SUM(Q141:Q141)</f>
        <v>410890.92</v>
      </c>
      <c r="R140" s="891">
        <f>ROUND(SUM(R141),5)</f>
        <v>410890.92</v>
      </c>
    </row>
    <row r="141" spans="1:18" ht="15" customHeight="1" x14ac:dyDescent="0.25">
      <c r="A141" s="159"/>
      <c r="B141" s="649">
        <v>0</v>
      </c>
      <c r="C141" s="515"/>
      <c r="D141" s="720" t="str">
        <f>" - " &amp; 'Giá NC'!E5</f>
        <v xml:space="preserve"> - Nhân công bậc 3,0/7 - Nhóm 1</v>
      </c>
      <c r="E141" s="649" t="str">
        <f>'Giá NC'!F5</f>
        <v>công</v>
      </c>
      <c r="F141" s="160">
        <v>0</v>
      </c>
      <c r="G141" s="485">
        <v>1.88</v>
      </c>
      <c r="H141" s="485">
        <f>'Du toan chi tiet'!W25</f>
        <v>1</v>
      </c>
      <c r="I141" s="761">
        <f>'Giá NC'!G5</f>
        <v>218559</v>
      </c>
      <c r="J141" s="526">
        <f>'Giá NC'!G5</f>
        <v>218559</v>
      </c>
      <c r="K141" s="526">
        <f>PRODUCT(G141, H141, J141)</f>
        <v>410890.92</v>
      </c>
      <c r="L141" s="526">
        <f>'Giá NC'!H5</f>
        <v>218559</v>
      </c>
      <c r="M141" s="527">
        <f>PRODUCT(G141, H141, L141)</f>
        <v>410890.92</v>
      </c>
      <c r="N141" s="527">
        <v>0</v>
      </c>
      <c r="O141" s="527">
        <v>0</v>
      </c>
      <c r="P141" s="527">
        <f>'Giá NC'!K5</f>
        <v>218559</v>
      </c>
      <c r="Q141" s="527">
        <f>PRODUCT(G141, H141, P141)</f>
        <v>410890.92</v>
      </c>
      <c r="R141" s="892">
        <f t="shared" ref="R141" si="97">ROUND(G141*I141,5)</f>
        <v>410890.92</v>
      </c>
    </row>
    <row r="142" spans="1:18" ht="15" customHeight="1" x14ac:dyDescent="0.25">
      <c r="A142" s="159"/>
      <c r="B142" s="649">
        <v>0</v>
      </c>
      <c r="C142" s="515"/>
      <c r="D142" s="720" t="s">
        <v>1175</v>
      </c>
      <c r="E142" s="649"/>
      <c r="F142" s="160">
        <v>0</v>
      </c>
      <c r="G142" s="485">
        <v>0</v>
      </c>
      <c r="H142" s="485"/>
      <c r="J142" s="526">
        <v>0</v>
      </c>
      <c r="K142" s="526">
        <f>SUM(K143:K143)</f>
        <v>24685.200000000001</v>
      </c>
      <c r="L142" s="526">
        <v>0</v>
      </c>
      <c r="M142" s="527">
        <f>SUM(M143:M143)</f>
        <v>24685.200000000001</v>
      </c>
      <c r="N142" s="527">
        <v>0</v>
      </c>
      <c r="O142" s="527">
        <v>0</v>
      </c>
      <c r="P142" s="527">
        <v>0</v>
      </c>
      <c r="Q142" s="527">
        <f>SUM(Q143:Q143)</f>
        <v>24685.200000000001</v>
      </c>
      <c r="R142" s="891">
        <f>ROUND(SUM(R143),5)</f>
        <v>24685.200000000001</v>
      </c>
    </row>
    <row r="143" spans="1:18" ht="15" customHeight="1" x14ac:dyDescent="0.25">
      <c r="A143" s="78"/>
      <c r="B143" s="583">
        <v>0</v>
      </c>
      <c r="C143" s="442"/>
      <c r="D143" s="647" t="str">
        <f>" - " &amp; 'Giá Máy'!E16</f>
        <v xml:space="preserve"> - Máy khoan bê tông 1,5kW</v>
      </c>
      <c r="E143" s="583" t="str">
        <f>'Giá Máy'!F16</f>
        <v>ca</v>
      </c>
      <c r="F143" s="79">
        <v>0</v>
      </c>
      <c r="G143" s="412">
        <v>0.72</v>
      </c>
      <c r="H143" s="412">
        <f>'Du toan chi tiet'!X25</f>
        <v>1</v>
      </c>
      <c r="I143" s="761">
        <f>'Giá Máy'!G16</f>
        <v>34285</v>
      </c>
      <c r="J143" s="483">
        <f>'Giá Máy'!G16</f>
        <v>34285</v>
      </c>
      <c r="K143" s="483">
        <f>PRODUCT(G143, H143, J143)</f>
        <v>24685.200000000001</v>
      </c>
      <c r="L143" s="483">
        <f>'Giá Máy'!H16</f>
        <v>34285</v>
      </c>
      <c r="M143" s="487">
        <f>PRODUCT(G143, H143, L143)</f>
        <v>24685.200000000001</v>
      </c>
      <c r="N143" s="487">
        <v>0</v>
      </c>
      <c r="O143" s="487">
        <v>0</v>
      </c>
      <c r="P143" s="487">
        <f>'Giá Máy'!O16</f>
        <v>34285</v>
      </c>
      <c r="Q143" s="487">
        <f>PRODUCT(G143, H143, P143)</f>
        <v>24685.200000000001</v>
      </c>
      <c r="R143" s="892">
        <f t="shared" ref="R143" si="98">ROUND(G143*I143,5)</f>
        <v>24685.200000000001</v>
      </c>
    </row>
    <row r="144" spans="1:18" ht="15" customHeight="1" x14ac:dyDescent="0.25">
      <c r="A144" s="421"/>
      <c r="B144" s="140">
        <v>19</v>
      </c>
      <c r="C144" s="465" t="s">
        <v>11</v>
      </c>
      <c r="D144" s="227" t="str">
        <f>'Du toan chi tiet'!D26</f>
        <v>Sơn biển báo, cột biển báo bằng thép - 3 nước</v>
      </c>
      <c r="E144" s="140" t="str">
        <f>'Du toan chi tiet'!E26</f>
        <v>m2</v>
      </c>
      <c r="F144" s="422">
        <f>'Du toan chi tiet'!M26</f>
        <v>1.1200000000000001</v>
      </c>
      <c r="G144" s="731">
        <v>0</v>
      </c>
      <c r="H144" s="731">
        <v>0</v>
      </c>
      <c r="I144" s="763"/>
      <c r="J144" s="24">
        <v>0</v>
      </c>
      <c r="K144" s="24">
        <v>0</v>
      </c>
      <c r="L144" s="24">
        <v>0</v>
      </c>
      <c r="M144" s="28">
        <v>0</v>
      </c>
      <c r="N144" s="28">
        <v>0</v>
      </c>
      <c r="O144" s="28">
        <v>0</v>
      </c>
      <c r="P144" s="28">
        <v>0</v>
      </c>
      <c r="Q144" s="28">
        <v>0</v>
      </c>
      <c r="R144" s="467"/>
    </row>
    <row r="145" spans="1:18" ht="15" customHeight="1" x14ac:dyDescent="0.25">
      <c r="A145" s="159"/>
      <c r="B145" s="649">
        <v>0</v>
      </c>
      <c r="C145" s="515"/>
      <c r="D145" s="720" t="s">
        <v>547</v>
      </c>
      <c r="E145" s="649"/>
      <c r="F145" s="160">
        <v>0</v>
      </c>
      <c r="G145" s="485">
        <v>0</v>
      </c>
      <c r="H145" s="485"/>
      <c r="I145" s="761"/>
      <c r="J145" s="526">
        <v>0</v>
      </c>
      <c r="K145" s="526">
        <f>SUM(K146:K147)</f>
        <v>29192.397959999998</v>
      </c>
      <c r="L145" s="526">
        <v>0</v>
      </c>
      <c r="M145" s="527">
        <f>SUM(M146:M147)</f>
        <v>29192.397959999998</v>
      </c>
      <c r="N145" s="527">
        <v>0</v>
      </c>
      <c r="O145" s="527">
        <v>0</v>
      </c>
      <c r="P145" s="527">
        <v>0</v>
      </c>
      <c r="Q145" s="527">
        <f>SUM(Q146:Q147)</f>
        <v>29192.397959999998</v>
      </c>
      <c r="R145" s="891">
        <f>ROUND(SUM(R146:R147),5)</f>
        <v>29192.397959999998</v>
      </c>
    </row>
    <row r="146" spans="1:18" ht="15" customHeight="1" x14ac:dyDescent="0.25">
      <c r="A146" s="159"/>
      <c r="B146" s="649">
        <v>0</v>
      </c>
      <c r="C146" s="515"/>
      <c r="D146" s="720" t="str">
        <f>" - " &amp; 'Giá VL'!E28</f>
        <v xml:space="preserve"> - Sơn sắt thép</v>
      </c>
      <c r="E146" s="649" t="str">
        <f>'Giá VL'!F28</f>
        <v>kg</v>
      </c>
      <c r="F146" s="160">
        <v>0</v>
      </c>
      <c r="G146" s="485">
        <v>0.22</v>
      </c>
      <c r="H146" s="485">
        <f>'Du toan chi tiet'!V26</f>
        <v>1</v>
      </c>
      <c r="I146" s="761">
        <f>'Giá VL'!G28</f>
        <v>130090.9</v>
      </c>
      <c r="J146" s="526">
        <f>'Giá VL'!G28</f>
        <v>130090.9</v>
      </c>
      <c r="K146" s="526">
        <f t="shared" ref="K146:K147" si="99">PRODUCT(G146, H146, J146)</f>
        <v>28619.998</v>
      </c>
      <c r="L146" s="526">
        <f>'Giá VL'!J28</f>
        <v>130090.9</v>
      </c>
      <c r="M146" s="527">
        <f t="shared" ref="M146:M147" si="100">PRODUCT(G146, H146, L146)</f>
        <v>28619.998</v>
      </c>
      <c r="N146" s="527">
        <v>0</v>
      </c>
      <c r="O146" s="527">
        <v>0</v>
      </c>
      <c r="P146" s="527">
        <f>'Giá VL'!V28</f>
        <v>130090.9</v>
      </c>
      <c r="Q146" s="527">
        <f t="shared" ref="Q146:Q147" si="101">PRODUCT(G146, H146, P146)</f>
        <v>28619.998</v>
      </c>
      <c r="R146" s="892">
        <f t="shared" ref="R146" si="102">ROUND(G146*I146,5)</f>
        <v>28619.998</v>
      </c>
    </row>
    <row r="147" spans="1:18" ht="15" customHeight="1" x14ac:dyDescent="0.25">
      <c r="A147" s="159"/>
      <c r="B147" s="649">
        <v>0</v>
      </c>
      <c r="C147" s="515"/>
      <c r="D147" s="720" t="s">
        <v>238</v>
      </c>
      <c r="E147" s="649" t="s">
        <v>1113</v>
      </c>
      <c r="F147" s="160">
        <v>0</v>
      </c>
      <c r="G147" s="485">
        <v>2</v>
      </c>
      <c r="H147" s="485">
        <f>'Du toan chi tiet'!V26</f>
        <v>1</v>
      </c>
      <c r="I147" s="761"/>
      <c r="J147" s="526">
        <f>(G146*J146)/100</f>
        <v>286.19997999999998</v>
      </c>
      <c r="K147" s="526">
        <f t="shared" si="99"/>
        <v>572.39995999999996</v>
      </c>
      <c r="L147" s="526">
        <f>(G146*L146)/100</f>
        <v>286.19997999999998</v>
      </c>
      <c r="M147" s="527">
        <f t="shared" si="100"/>
        <v>572.39995999999996</v>
      </c>
      <c r="N147" s="527">
        <v>0</v>
      </c>
      <c r="O147" s="527">
        <v>0</v>
      </c>
      <c r="P147" s="527">
        <f>(G146*P146)/100</f>
        <v>286.19997999999998</v>
      </c>
      <c r="Q147" s="527">
        <f t="shared" si="101"/>
        <v>572.39995999999996</v>
      </c>
      <c r="R147" s="893">
        <f>ROUND(SUM(R146)*G147/100,5)</f>
        <v>572.39995999999996</v>
      </c>
    </row>
    <row r="148" spans="1:18" ht="15" customHeight="1" x14ac:dyDescent="0.25">
      <c r="A148" s="159"/>
      <c r="B148" s="649">
        <v>0</v>
      </c>
      <c r="C148" s="515"/>
      <c r="D148" s="720" t="s">
        <v>301</v>
      </c>
      <c r="E148" s="649"/>
      <c r="F148" s="160">
        <v>0</v>
      </c>
      <c r="G148" s="485">
        <v>0</v>
      </c>
      <c r="H148" s="485"/>
      <c r="I148" s="761"/>
      <c r="J148" s="526">
        <v>0</v>
      </c>
      <c r="K148" s="526">
        <f>SUM(K149:K149)</f>
        <v>40352</v>
      </c>
      <c r="L148" s="526">
        <v>0</v>
      </c>
      <c r="M148" s="527">
        <f>SUM(M149:M149)</f>
        <v>40352</v>
      </c>
      <c r="N148" s="527">
        <v>0</v>
      </c>
      <c r="O148" s="527">
        <v>0</v>
      </c>
      <c r="P148" s="527">
        <v>0</v>
      </c>
      <c r="Q148" s="527">
        <f>SUM(Q149:Q149)</f>
        <v>40352</v>
      </c>
      <c r="R148" s="891">
        <f>ROUND(SUM(R149),5)</f>
        <v>40352</v>
      </c>
    </row>
    <row r="149" spans="1:18" ht="15" customHeight="1" x14ac:dyDescent="0.25">
      <c r="A149" s="78"/>
      <c r="B149" s="583">
        <v>0</v>
      </c>
      <c r="C149" s="442"/>
      <c r="D149" s="647" t="str">
        <f>" - " &amp; 'Giá NC'!E8</f>
        <v xml:space="preserve"> - Nhân công bậc 3,5/7 - Nhóm 2</v>
      </c>
      <c r="E149" s="583" t="str">
        <f>'Giá NC'!F8</f>
        <v>công</v>
      </c>
      <c r="F149" s="79">
        <v>0</v>
      </c>
      <c r="G149" s="412">
        <v>0.16</v>
      </c>
      <c r="H149" s="412">
        <f>'Du toan chi tiet'!W26</f>
        <v>1</v>
      </c>
      <c r="I149" s="762">
        <f>'Giá NC'!G8</f>
        <v>252200</v>
      </c>
      <c r="J149" s="483">
        <f>'Giá NC'!G8</f>
        <v>252200</v>
      </c>
      <c r="K149" s="483">
        <f>PRODUCT(G149, H149, J149)</f>
        <v>40352</v>
      </c>
      <c r="L149" s="483">
        <f>'Giá NC'!H8</f>
        <v>252200</v>
      </c>
      <c r="M149" s="487">
        <f>PRODUCT(G149, H149, L149)</f>
        <v>40352</v>
      </c>
      <c r="N149" s="487">
        <v>0</v>
      </c>
      <c r="O149" s="487">
        <v>0</v>
      </c>
      <c r="P149" s="487">
        <f>'Giá NC'!K8</f>
        <v>252200</v>
      </c>
      <c r="Q149" s="487">
        <f>PRODUCT(G149, H149, P149)</f>
        <v>40352</v>
      </c>
      <c r="R149" s="892">
        <f t="shared" ref="R149" si="103">ROUND(G149*I149,5)</f>
        <v>40352</v>
      </c>
    </row>
    <row r="150" spans="1:18" ht="15" customHeight="1" x14ac:dyDescent="0.25">
      <c r="A150" s="421"/>
      <c r="B150" s="140">
        <v>20</v>
      </c>
      <c r="C150" s="465" t="s">
        <v>1041</v>
      </c>
      <c r="D150" s="227" t="str">
        <f>'Du toan chi tiet'!D27</f>
        <v>Dán màng phản quang đầu dải phân cách</v>
      </c>
      <c r="E150" s="140" t="str">
        <f>'Du toan chi tiet'!E27</f>
        <v>m2</v>
      </c>
      <c r="F150" s="422">
        <f>'Du toan chi tiet'!M27</f>
        <v>0.38</v>
      </c>
      <c r="G150" s="731">
        <v>0</v>
      </c>
      <c r="H150" s="731">
        <v>0</v>
      </c>
      <c r="I150" s="763"/>
      <c r="J150" s="24">
        <v>0</v>
      </c>
      <c r="K150" s="24">
        <v>0</v>
      </c>
      <c r="L150" s="24">
        <v>0</v>
      </c>
      <c r="M150" s="28">
        <v>0</v>
      </c>
      <c r="N150" s="28">
        <v>0</v>
      </c>
      <c r="O150" s="28">
        <v>0</v>
      </c>
      <c r="P150" s="28">
        <v>0</v>
      </c>
      <c r="Q150" s="28">
        <v>0</v>
      </c>
      <c r="R150" s="467"/>
    </row>
    <row r="151" spans="1:18" ht="15" customHeight="1" x14ac:dyDescent="0.25">
      <c r="A151" s="159"/>
      <c r="B151" s="649">
        <v>0</v>
      </c>
      <c r="C151" s="515"/>
      <c r="D151" s="720" t="s">
        <v>547</v>
      </c>
      <c r="E151" s="649"/>
      <c r="F151" s="160">
        <v>0</v>
      </c>
      <c r="G151" s="485">
        <v>0</v>
      </c>
      <c r="H151" s="485"/>
      <c r="I151" s="761"/>
      <c r="J151" s="526">
        <v>0</v>
      </c>
      <c r="K151" s="526">
        <f>SUM(K152:K152)</f>
        <v>451000.00000000006</v>
      </c>
      <c r="L151" s="526">
        <v>0</v>
      </c>
      <c r="M151" s="527">
        <f>SUM(M152:M152)</f>
        <v>451000.00000000006</v>
      </c>
      <c r="N151" s="527">
        <v>0</v>
      </c>
      <c r="O151" s="527">
        <v>0</v>
      </c>
      <c r="P151" s="527">
        <v>0</v>
      </c>
      <c r="Q151" s="527">
        <f>SUM(Q152:Q152)</f>
        <v>451000.00000000006</v>
      </c>
      <c r="R151" s="891">
        <f>ROUND(SUM(R152),5)</f>
        <v>451000</v>
      </c>
    </row>
    <row r="152" spans="1:18" ht="15" customHeight="1" x14ac:dyDescent="0.25">
      <c r="A152" s="159"/>
      <c r="B152" s="649">
        <v>0</v>
      </c>
      <c r="C152" s="515"/>
      <c r="D152" s="720" t="str">
        <f>" - " &amp; 'Giá VL'!E21</f>
        <v xml:space="preserve"> - Màng phản quang</v>
      </c>
      <c r="E152" s="649" t="str">
        <f>'Giá VL'!F21</f>
        <v>m2</v>
      </c>
      <c r="F152" s="160">
        <v>0</v>
      </c>
      <c r="G152" s="485">
        <v>1.1000000000000001</v>
      </c>
      <c r="H152" s="485">
        <f>'Du toan chi tiet'!V27</f>
        <v>1</v>
      </c>
      <c r="I152" s="761">
        <f>'Giá VL'!G21</f>
        <v>410000</v>
      </c>
      <c r="J152" s="526">
        <f>'Giá VL'!G21</f>
        <v>410000</v>
      </c>
      <c r="K152" s="526">
        <f>PRODUCT(G152, H152, J152)</f>
        <v>451000.00000000006</v>
      </c>
      <c r="L152" s="526">
        <f>'Giá VL'!J21</f>
        <v>410000</v>
      </c>
      <c r="M152" s="527">
        <f>PRODUCT(G152, H152, L152)</f>
        <v>451000.00000000006</v>
      </c>
      <c r="N152" s="527">
        <v>0</v>
      </c>
      <c r="O152" s="527">
        <v>0</v>
      </c>
      <c r="P152" s="527">
        <f>'Giá VL'!V21</f>
        <v>410000</v>
      </c>
      <c r="Q152" s="527">
        <f>PRODUCT(G152, H152, P152)</f>
        <v>451000.00000000006</v>
      </c>
      <c r="R152" s="892">
        <f t="shared" ref="R152" si="104">ROUND(G152*I152,5)</f>
        <v>451000</v>
      </c>
    </row>
    <row r="153" spans="1:18" ht="15" customHeight="1" x14ac:dyDescent="0.25">
      <c r="A153" s="159"/>
      <c r="B153" s="649">
        <v>0</v>
      </c>
      <c r="C153" s="515"/>
      <c r="D153" s="720" t="s">
        <v>301</v>
      </c>
      <c r="E153" s="649"/>
      <c r="F153" s="160">
        <v>0</v>
      </c>
      <c r="G153" s="485">
        <v>0</v>
      </c>
      <c r="H153" s="485"/>
      <c r="I153" s="761"/>
      <c r="J153" s="526">
        <v>0</v>
      </c>
      <c r="K153" s="526">
        <f>SUM(K154:K154)</f>
        <v>109508</v>
      </c>
      <c r="L153" s="526">
        <v>0</v>
      </c>
      <c r="M153" s="527">
        <f>SUM(M154:M154)</f>
        <v>109508</v>
      </c>
      <c r="N153" s="527">
        <v>0</v>
      </c>
      <c r="O153" s="527">
        <v>0</v>
      </c>
      <c r="P153" s="527">
        <v>0</v>
      </c>
      <c r="Q153" s="527">
        <f>SUM(Q154:Q154)</f>
        <v>109508</v>
      </c>
      <c r="R153" s="891">
        <f>ROUND(SUM(R154),5)</f>
        <v>109508</v>
      </c>
    </row>
    <row r="154" spans="1:18" ht="15" customHeight="1" x14ac:dyDescent="0.25">
      <c r="A154" s="78"/>
      <c r="B154" s="583">
        <v>0</v>
      </c>
      <c r="C154" s="442"/>
      <c r="D154" s="647" t="str">
        <f>" - " &amp; 'Giá NC'!E9</f>
        <v xml:space="preserve"> - Nhân công bậc 4,0/7 - Nhóm 2</v>
      </c>
      <c r="E154" s="583" t="str">
        <f>'Giá NC'!F9</f>
        <v>công</v>
      </c>
      <c r="F154" s="79">
        <v>0</v>
      </c>
      <c r="G154" s="412">
        <v>0.4</v>
      </c>
      <c r="H154" s="412">
        <f>'Du toan chi tiet'!W27</f>
        <v>1</v>
      </c>
      <c r="I154" s="762">
        <f>'Giá NC'!G9</f>
        <v>273770</v>
      </c>
      <c r="J154" s="483">
        <f>'Giá NC'!G9</f>
        <v>273770</v>
      </c>
      <c r="K154" s="483">
        <f>PRODUCT(G154, H154, J154)</f>
        <v>109508</v>
      </c>
      <c r="L154" s="483">
        <f>'Giá NC'!H9</f>
        <v>273770</v>
      </c>
      <c r="M154" s="487">
        <f>PRODUCT(G154, H154, L154)</f>
        <v>109508</v>
      </c>
      <c r="N154" s="487">
        <v>0</v>
      </c>
      <c r="O154" s="487">
        <v>0</v>
      </c>
      <c r="P154" s="487">
        <f>'Giá NC'!K9</f>
        <v>273770</v>
      </c>
      <c r="Q154" s="487">
        <f>PRODUCT(G154, H154, P154)</f>
        <v>109508</v>
      </c>
      <c r="R154" s="892">
        <f t="shared" ref="R154" si="105">ROUND(G154*I154,5)</f>
        <v>109508</v>
      </c>
    </row>
    <row r="155" spans="1:18" ht="30" customHeight="1" x14ac:dyDescent="0.25">
      <c r="A155" s="421"/>
      <c r="B155" s="354">
        <v>21</v>
      </c>
      <c r="C155" s="208" t="s">
        <v>1074</v>
      </c>
      <c r="D155" s="419" t="str">
        <f>'Du toan chi tiet'!D28</f>
        <v>Lắp đặt cột và biển báo phản quang - Loại biển báo phản quang: Biển tam giác cạnh 70cm</v>
      </c>
      <c r="E155" s="354" t="str">
        <f>'Du toan chi tiet'!E28</f>
        <v>cái</v>
      </c>
      <c r="F155" s="624">
        <f>'Du toan chi tiet'!M28</f>
        <v>1</v>
      </c>
      <c r="G155" s="182">
        <v>0</v>
      </c>
      <c r="H155" s="182">
        <v>0</v>
      </c>
      <c r="I155" s="758"/>
      <c r="J155" s="259">
        <v>0</v>
      </c>
      <c r="K155" s="259">
        <v>0</v>
      </c>
      <c r="L155" s="259">
        <v>0</v>
      </c>
      <c r="M155" s="259">
        <v>0</v>
      </c>
      <c r="N155" s="259">
        <v>0</v>
      </c>
      <c r="O155" s="259">
        <v>0</v>
      </c>
      <c r="P155" s="259">
        <v>0</v>
      </c>
      <c r="Q155" s="259">
        <v>0</v>
      </c>
      <c r="R155" s="467"/>
    </row>
    <row r="156" spans="1:18" ht="15" customHeight="1" x14ac:dyDescent="0.25">
      <c r="A156" s="159"/>
      <c r="B156" s="649">
        <v>0</v>
      </c>
      <c r="C156" s="515"/>
      <c r="D156" s="720" t="s">
        <v>547</v>
      </c>
      <c r="E156" s="649"/>
      <c r="F156" s="160">
        <v>0</v>
      </c>
      <c r="G156" s="485">
        <v>0</v>
      </c>
      <c r="H156" s="485"/>
      <c r="I156" s="761"/>
      <c r="J156" s="526">
        <v>0</v>
      </c>
      <c r="K156" s="526">
        <f>SUM(K157:K160)</f>
        <v>73711.255238999991</v>
      </c>
      <c r="L156" s="526">
        <v>0</v>
      </c>
      <c r="M156" s="527">
        <f>SUM(M157:M160)</f>
        <v>73711.255238999991</v>
      </c>
      <c r="N156" s="527">
        <v>0</v>
      </c>
      <c r="O156" s="527">
        <v>0</v>
      </c>
      <c r="P156" s="527">
        <v>0</v>
      </c>
      <c r="Q156" s="527">
        <f>SUM(Q157:Q160)</f>
        <v>78213.649980450224</v>
      </c>
      <c r="R156" s="891">
        <f>ROUND(SUM(R157:R160),5)</f>
        <v>73711.255229999995</v>
      </c>
    </row>
    <row r="157" spans="1:18" ht="15" customHeight="1" x14ac:dyDescent="0.25">
      <c r="A157" s="159"/>
      <c r="B157" s="649">
        <v>0</v>
      </c>
      <c r="C157" s="515"/>
      <c r="D157" s="720" t="str">
        <f>" - " &amp; 'Giá VL'!E37</f>
        <v xml:space="preserve"> - Xi măng PCB40</v>
      </c>
      <c r="E157" s="649" t="str">
        <f>'Giá VL'!F37</f>
        <v>kg</v>
      </c>
      <c r="F157" s="160">
        <v>0</v>
      </c>
      <c r="G157" s="485">
        <v>23.050999999999998</v>
      </c>
      <c r="H157" s="485">
        <f>'Du toan chi tiet'!V28</f>
        <v>1</v>
      </c>
      <c r="I157" s="761">
        <f>'Giá VL'!G37</f>
        <v>1563.7239999999999</v>
      </c>
      <c r="J157" s="526">
        <f>'Giá VL'!G37</f>
        <v>1563.7239999999999</v>
      </c>
      <c r="K157" s="526">
        <f t="shared" ref="K157:K160" si="106">PRODUCT(G157, H157, J157)</f>
        <v>36045.401923999998</v>
      </c>
      <c r="L157" s="526">
        <f>'Giá VL'!J37</f>
        <v>1563.7239999999999</v>
      </c>
      <c r="M157" s="527">
        <f t="shared" ref="M157:M160" si="107">PRODUCT(G157, H157, L157)</f>
        <v>36045.401923999998</v>
      </c>
      <c r="N157" s="527">
        <v>0</v>
      </c>
      <c r="O157" s="527">
        <v>0</v>
      </c>
      <c r="P157" s="527">
        <f>'Giá VL'!V37</f>
        <v>1587.7239999999999</v>
      </c>
      <c r="Q157" s="527">
        <f t="shared" ref="Q157:Q160" si="108">PRODUCT(G157, H157, P157)</f>
        <v>36598.625923999993</v>
      </c>
      <c r="R157" s="892">
        <f t="shared" ref="R157:R164" si="109">ROUND(G157*I157,5)</f>
        <v>36045.401919999997</v>
      </c>
    </row>
    <row r="158" spans="1:18" ht="15" customHeight="1" x14ac:dyDescent="0.25">
      <c r="A158" s="159"/>
      <c r="B158" s="649">
        <v>0</v>
      </c>
      <c r="C158" s="515"/>
      <c r="D158" s="720" t="str">
        <f>" - " &amp; 'Giá VL'!E9</f>
        <v xml:space="preserve"> - Cát vàng</v>
      </c>
      <c r="E158" s="649" t="str">
        <f>'Giá VL'!F9</f>
        <v>m3</v>
      </c>
      <c r="F158" s="160">
        <v>0</v>
      </c>
      <c r="G158" s="485">
        <v>4.6991999999999999E-2</v>
      </c>
      <c r="H158" s="485">
        <f>'Du toan chi tiet'!V28</f>
        <v>1</v>
      </c>
      <c r="I158" s="761">
        <f>'Giá VL'!G9</f>
        <v>318182</v>
      </c>
      <c r="J158" s="526">
        <f>'Giá VL'!G9</f>
        <v>318182</v>
      </c>
      <c r="K158" s="526">
        <f t="shared" si="106"/>
        <v>14952.008544</v>
      </c>
      <c r="L158" s="526">
        <f>'Giá VL'!J9</f>
        <v>318182</v>
      </c>
      <c r="M158" s="527">
        <f t="shared" si="107"/>
        <v>14952.008544</v>
      </c>
      <c r="N158" s="527">
        <v>0</v>
      </c>
      <c r="O158" s="527">
        <v>0</v>
      </c>
      <c r="P158" s="527">
        <f>'Giá VL'!V9</f>
        <v>345317.29174999997</v>
      </c>
      <c r="Q158" s="527">
        <f t="shared" si="108"/>
        <v>16227.150173915998</v>
      </c>
      <c r="R158" s="892">
        <f t="shared" si="109"/>
        <v>14952.008540000001</v>
      </c>
    </row>
    <row r="159" spans="1:18" ht="15" customHeight="1" x14ac:dyDescent="0.25">
      <c r="A159" s="159"/>
      <c r="B159" s="649">
        <v>0</v>
      </c>
      <c r="C159" s="515"/>
      <c r="D159" s="720" t="str">
        <f>" - " &amp; 'Giá VL'!E11</f>
        <v xml:space="preserve"> - Đá 1x2</v>
      </c>
      <c r="E159" s="649" t="str">
        <f>'Giá VL'!F11</f>
        <v>m3</v>
      </c>
      <c r="F159" s="160">
        <v>0</v>
      </c>
      <c r="G159" s="485">
        <v>7.7519000000000005E-2</v>
      </c>
      <c r="H159" s="485">
        <f>'Du toan chi tiet'!V28</f>
        <v>1</v>
      </c>
      <c r="I159" s="761">
        <f>'Giá VL'!G11</f>
        <v>290909</v>
      </c>
      <c r="J159" s="526">
        <f>'Giá VL'!G11</f>
        <v>290909</v>
      </c>
      <c r="K159" s="526">
        <f t="shared" si="106"/>
        <v>22550.974771000001</v>
      </c>
      <c r="L159" s="526">
        <f>'Giá VL'!J11</f>
        <v>290909</v>
      </c>
      <c r="M159" s="527">
        <f t="shared" si="107"/>
        <v>22550.974771000001</v>
      </c>
      <c r="N159" s="527">
        <v>0</v>
      </c>
      <c r="O159" s="527">
        <v>0</v>
      </c>
      <c r="P159" s="527">
        <f>'Giá VL'!V11</f>
        <v>325404.14456500002</v>
      </c>
      <c r="Q159" s="527">
        <f t="shared" si="108"/>
        <v>25225.003882534238</v>
      </c>
      <c r="R159" s="892">
        <f t="shared" si="109"/>
        <v>22550.974770000001</v>
      </c>
    </row>
    <row r="160" spans="1:18" ht="15" customHeight="1" x14ac:dyDescent="0.25">
      <c r="A160" s="159"/>
      <c r="B160" s="649">
        <v>0</v>
      </c>
      <c r="C160" s="515"/>
      <c r="D160" s="720" t="str">
        <f>" - " &amp; 'Giá VL'!E23</f>
        <v xml:space="preserve"> - Nước</v>
      </c>
      <c r="E160" s="649" t="str">
        <f>'Giá VL'!F23</f>
        <v>lít</v>
      </c>
      <c r="F160" s="160">
        <v>0</v>
      </c>
      <c r="G160" s="485">
        <v>16.286999999999999</v>
      </c>
      <c r="H160" s="485">
        <f>'Du toan chi tiet'!V28</f>
        <v>1</v>
      </c>
      <c r="I160" s="761">
        <f>'Giá VL'!G23</f>
        <v>10</v>
      </c>
      <c r="J160" s="526">
        <f>'Giá VL'!G23</f>
        <v>10</v>
      </c>
      <c r="K160" s="526">
        <f t="shared" si="106"/>
        <v>162.87</v>
      </c>
      <c r="L160" s="526">
        <f>'Giá VL'!J23</f>
        <v>10</v>
      </c>
      <c r="M160" s="527">
        <f t="shared" si="107"/>
        <v>162.87</v>
      </c>
      <c r="N160" s="527">
        <v>0</v>
      </c>
      <c r="O160" s="527">
        <v>0</v>
      </c>
      <c r="P160" s="527">
        <f>'Giá VL'!V23</f>
        <v>10</v>
      </c>
      <c r="Q160" s="527">
        <f t="shared" si="108"/>
        <v>162.87</v>
      </c>
      <c r="R160" s="892">
        <f t="shared" si="109"/>
        <v>162.87</v>
      </c>
    </row>
    <row r="161" spans="1:18" ht="15" customHeight="1" x14ac:dyDescent="0.25">
      <c r="A161" s="159"/>
      <c r="B161" s="649">
        <v>0</v>
      </c>
      <c r="C161" s="515"/>
      <c r="D161" s="720" t="s">
        <v>301</v>
      </c>
      <c r="E161" s="649"/>
      <c r="F161" s="160">
        <v>0</v>
      </c>
      <c r="G161" s="485">
        <v>0</v>
      </c>
      <c r="H161" s="485"/>
      <c r="I161" s="761"/>
      <c r="J161" s="526">
        <v>0</v>
      </c>
      <c r="K161" s="526">
        <f>SUM(K162:K162)</f>
        <v>156364</v>
      </c>
      <c r="L161" s="526">
        <v>0</v>
      </c>
      <c r="M161" s="527">
        <f>SUM(M162:M162)</f>
        <v>156364</v>
      </c>
      <c r="N161" s="527">
        <v>0</v>
      </c>
      <c r="O161" s="527">
        <v>0</v>
      </c>
      <c r="P161" s="527">
        <v>0</v>
      </c>
      <c r="Q161" s="527">
        <f>SUM(Q162:Q162)</f>
        <v>156364</v>
      </c>
      <c r="R161" s="891">
        <f>ROUND(SUM(R162),5)</f>
        <v>156364</v>
      </c>
    </row>
    <row r="162" spans="1:18" ht="15" customHeight="1" x14ac:dyDescent="0.25">
      <c r="A162" s="159"/>
      <c r="B162" s="649">
        <v>0</v>
      </c>
      <c r="C162" s="515"/>
      <c r="D162" s="720" t="str">
        <f>" - " &amp; 'Giá NC'!E8</f>
        <v xml:space="preserve"> - Nhân công bậc 3,5/7 - Nhóm 2</v>
      </c>
      <c r="E162" s="649" t="str">
        <f>'Giá NC'!F8</f>
        <v>công</v>
      </c>
      <c r="F162" s="160">
        <v>0</v>
      </c>
      <c r="G162" s="485">
        <v>0.62</v>
      </c>
      <c r="H162" s="485">
        <f>'Du toan chi tiet'!W28</f>
        <v>1</v>
      </c>
      <c r="I162" s="761">
        <f>'Giá NC'!G8</f>
        <v>252200</v>
      </c>
      <c r="J162" s="526">
        <f>'Giá NC'!G8</f>
        <v>252200</v>
      </c>
      <c r="K162" s="526">
        <f>PRODUCT(G162, H162, J162)</f>
        <v>156364</v>
      </c>
      <c r="L162" s="526">
        <f>'Giá NC'!H8</f>
        <v>252200</v>
      </c>
      <c r="M162" s="527">
        <f>PRODUCT(G162, H162, L162)</f>
        <v>156364</v>
      </c>
      <c r="N162" s="527">
        <v>0</v>
      </c>
      <c r="O162" s="527">
        <v>0</v>
      </c>
      <c r="P162" s="527">
        <f>'Giá NC'!K8</f>
        <v>252200</v>
      </c>
      <c r="Q162" s="527">
        <f>PRODUCT(G162, H162, P162)</f>
        <v>156364</v>
      </c>
      <c r="R162" s="892">
        <f t="shared" si="109"/>
        <v>156364</v>
      </c>
    </row>
    <row r="163" spans="1:18" ht="15" customHeight="1" x14ac:dyDescent="0.25">
      <c r="A163" s="159"/>
      <c r="B163" s="649">
        <v>0</v>
      </c>
      <c r="C163" s="515"/>
      <c r="D163" s="720" t="s">
        <v>1175</v>
      </c>
      <c r="E163" s="649"/>
      <c r="F163" s="160">
        <v>0</v>
      </c>
      <c r="G163" s="485">
        <v>0</v>
      </c>
      <c r="H163" s="485"/>
      <c r="I163" s="761"/>
      <c r="J163" s="526">
        <v>0</v>
      </c>
      <c r="K163" s="526">
        <f>SUM(K164:K164)</f>
        <v>26333.440000000002</v>
      </c>
      <c r="L163" s="526">
        <v>0</v>
      </c>
      <c r="M163" s="527">
        <f>SUM(M164:M164)</f>
        <v>26333.440000000002</v>
      </c>
      <c r="N163" s="527">
        <v>0</v>
      </c>
      <c r="O163" s="527">
        <v>0</v>
      </c>
      <c r="P163" s="527">
        <v>0</v>
      </c>
      <c r="Q163" s="527">
        <f>SUM(Q164:Q164)</f>
        <v>26333.440000000002</v>
      </c>
      <c r="R163" s="891">
        <f>ROUND(SUM(R164),5)</f>
        <v>26333.439999999999</v>
      </c>
    </row>
    <row r="164" spans="1:18" ht="15" customHeight="1" x14ac:dyDescent="0.25">
      <c r="A164" s="78"/>
      <c r="B164" s="583">
        <v>0</v>
      </c>
      <c r="C164" s="442"/>
      <c r="D164" s="647" t="str">
        <f>" - " &amp; 'Giá Máy'!E22</f>
        <v xml:space="preserve"> - Ô tô vận tải thùng 2,5T</v>
      </c>
      <c r="E164" s="583" t="str">
        <f>'Giá Máy'!F22</f>
        <v>ca</v>
      </c>
      <c r="F164" s="79">
        <v>0</v>
      </c>
      <c r="G164" s="412">
        <v>3.5000000000000003E-2</v>
      </c>
      <c r="H164" s="412">
        <f>'Du toan chi tiet'!X28</f>
        <v>1</v>
      </c>
      <c r="I164" s="762">
        <f>'Giá Máy'!G22</f>
        <v>752384</v>
      </c>
      <c r="J164" s="483">
        <f>'Giá Máy'!G22</f>
        <v>752384</v>
      </c>
      <c r="K164" s="483">
        <f>PRODUCT(G164, H164, J164)</f>
        <v>26333.440000000002</v>
      </c>
      <c r="L164" s="483">
        <f>'Giá Máy'!H22</f>
        <v>752384</v>
      </c>
      <c r="M164" s="487">
        <f>PRODUCT(G164, H164, L164)</f>
        <v>26333.440000000002</v>
      </c>
      <c r="N164" s="487">
        <v>0</v>
      </c>
      <c r="O164" s="487">
        <v>0</v>
      </c>
      <c r="P164" s="487">
        <f>'Giá Máy'!O22</f>
        <v>752384</v>
      </c>
      <c r="Q164" s="487">
        <f>PRODUCT(G164, H164, P164)</f>
        <v>26333.440000000002</v>
      </c>
      <c r="R164" s="892">
        <f t="shared" si="109"/>
        <v>26333.439999999999</v>
      </c>
    </row>
    <row r="165" spans="1:18" ht="30" customHeight="1" x14ac:dyDescent="0.25">
      <c r="A165" s="421"/>
      <c r="B165" s="354">
        <v>22</v>
      </c>
      <c r="C165" s="208" t="s">
        <v>994</v>
      </c>
      <c r="D165" s="419" t="str">
        <f>'Du toan chi tiet'!D29</f>
        <v>Đào móng cột, trụ, hố kiểm tra bằng thủ công, rộng ≤1m, sâu ≤1m - Cấp đất III</v>
      </c>
      <c r="E165" s="354" t="str">
        <f>'Du toan chi tiet'!E29</f>
        <v>1m3</v>
      </c>
      <c r="F165" s="624">
        <f>'Du toan chi tiet'!M29</f>
        <v>0.44</v>
      </c>
      <c r="G165" s="182">
        <v>0</v>
      </c>
      <c r="H165" s="182">
        <v>0</v>
      </c>
      <c r="I165" s="758"/>
      <c r="J165" s="259">
        <v>0</v>
      </c>
      <c r="K165" s="259">
        <v>0</v>
      </c>
      <c r="L165" s="259">
        <v>0</v>
      </c>
      <c r="M165" s="259">
        <v>0</v>
      </c>
      <c r="N165" s="259">
        <v>0</v>
      </c>
      <c r="O165" s="259">
        <v>0</v>
      </c>
      <c r="P165" s="259">
        <v>0</v>
      </c>
      <c r="Q165" s="259">
        <v>0</v>
      </c>
      <c r="R165" s="467"/>
    </row>
    <row r="166" spans="1:18" ht="15" customHeight="1" x14ac:dyDescent="0.25">
      <c r="A166" s="159"/>
      <c r="B166" s="649">
        <v>0</v>
      </c>
      <c r="C166" s="515"/>
      <c r="D166" s="720" t="s">
        <v>301</v>
      </c>
      <c r="E166" s="649"/>
      <c r="F166" s="160">
        <v>0</v>
      </c>
      <c r="G166" s="485">
        <v>0</v>
      </c>
      <c r="H166" s="485"/>
      <c r="I166" s="761"/>
      <c r="J166" s="526">
        <v>0</v>
      </c>
      <c r="K166" s="526">
        <f>SUM(K167:K167)</f>
        <v>415262.1</v>
      </c>
      <c r="L166" s="526">
        <v>0</v>
      </c>
      <c r="M166" s="527">
        <f>SUM(M167:M167)</f>
        <v>415262.1</v>
      </c>
      <c r="N166" s="527">
        <v>0</v>
      </c>
      <c r="O166" s="527">
        <v>0</v>
      </c>
      <c r="P166" s="527">
        <v>0</v>
      </c>
      <c r="Q166" s="527">
        <f>SUM(Q167:Q167)</f>
        <v>415262.1</v>
      </c>
      <c r="R166" s="891">
        <f>ROUND(SUM(R167),5)</f>
        <v>415262.1</v>
      </c>
    </row>
    <row r="167" spans="1:18" ht="15" customHeight="1" x14ac:dyDescent="0.25">
      <c r="A167" s="78"/>
      <c r="B167" s="583">
        <v>0</v>
      </c>
      <c r="C167" s="442"/>
      <c r="D167" s="647" t="str">
        <f>" - " &amp; 'Giá NC'!E5</f>
        <v xml:space="preserve"> - Nhân công bậc 3,0/7 - Nhóm 1</v>
      </c>
      <c r="E167" s="583" t="str">
        <f>'Giá NC'!F5</f>
        <v>công</v>
      </c>
      <c r="F167" s="79">
        <v>0</v>
      </c>
      <c r="G167" s="412">
        <v>1.9</v>
      </c>
      <c r="H167" s="412">
        <f>'Du toan chi tiet'!W29</f>
        <v>1</v>
      </c>
      <c r="I167" s="762">
        <f>'Giá NC'!G5</f>
        <v>218559</v>
      </c>
      <c r="J167" s="483">
        <f>'Giá NC'!G5</f>
        <v>218559</v>
      </c>
      <c r="K167" s="483">
        <f>PRODUCT(G167, H167, J167)</f>
        <v>415262.1</v>
      </c>
      <c r="L167" s="483">
        <f>'Giá NC'!H5</f>
        <v>218559</v>
      </c>
      <c r="M167" s="487">
        <f>PRODUCT(G167, H167, L167)</f>
        <v>415262.1</v>
      </c>
      <c r="N167" s="487">
        <v>0</v>
      </c>
      <c r="O167" s="487">
        <v>0</v>
      </c>
      <c r="P167" s="487">
        <f>'Giá NC'!K5</f>
        <v>218559</v>
      </c>
      <c r="Q167" s="487">
        <f>PRODUCT(G167, H167, P167)</f>
        <v>415262.1</v>
      </c>
      <c r="R167" s="892">
        <f t="shared" ref="R167" si="110">ROUND(G167*I167,5)</f>
        <v>415262.1</v>
      </c>
    </row>
    <row r="168" spans="1:18" ht="30" customHeight="1" x14ac:dyDescent="0.25">
      <c r="A168" s="421"/>
      <c r="B168" s="354">
        <v>23</v>
      </c>
      <c r="C168" s="208" t="s">
        <v>418</v>
      </c>
      <c r="D168" s="419" t="str">
        <f>'Du toan chi tiet'!D30</f>
        <v>Đắp đất nền móng công trình, nền đường bằng thủ công</v>
      </c>
      <c r="E168" s="354" t="str">
        <f>'Du toan chi tiet'!E30</f>
        <v>m3</v>
      </c>
      <c r="F168" s="624">
        <f>'Du toan chi tiet'!M30</f>
        <v>0.25</v>
      </c>
      <c r="G168" s="182">
        <v>0</v>
      </c>
      <c r="H168" s="182">
        <v>0</v>
      </c>
      <c r="I168" s="758"/>
      <c r="J168" s="259">
        <v>0</v>
      </c>
      <c r="K168" s="259">
        <v>0</v>
      </c>
      <c r="L168" s="259">
        <v>0</v>
      </c>
      <c r="M168" s="259">
        <v>0</v>
      </c>
      <c r="N168" s="259">
        <v>0</v>
      </c>
      <c r="O168" s="259">
        <v>0</v>
      </c>
      <c r="P168" s="259">
        <v>0</v>
      </c>
      <c r="Q168" s="259">
        <v>0</v>
      </c>
      <c r="R168" s="467"/>
    </row>
    <row r="169" spans="1:18" ht="15" customHeight="1" x14ac:dyDescent="0.25">
      <c r="A169" s="159"/>
      <c r="B169" s="649">
        <v>0</v>
      </c>
      <c r="C169" s="515"/>
      <c r="D169" s="720" t="s">
        <v>301</v>
      </c>
      <c r="E169" s="649"/>
      <c r="F169" s="160">
        <v>0</v>
      </c>
      <c r="G169" s="485">
        <v>0</v>
      </c>
      <c r="H169" s="485"/>
      <c r="I169" s="761"/>
      <c r="J169" s="526">
        <v>0</v>
      </c>
      <c r="K169" s="526">
        <f>SUM(K170:K170)</f>
        <v>122393.04000000001</v>
      </c>
      <c r="L169" s="526">
        <v>0</v>
      </c>
      <c r="M169" s="527">
        <f>SUM(M170:M170)</f>
        <v>122393.04000000001</v>
      </c>
      <c r="N169" s="527">
        <v>0</v>
      </c>
      <c r="O169" s="527">
        <v>0</v>
      </c>
      <c r="P169" s="527">
        <v>0</v>
      </c>
      <c r="Q169" s="527">
        <f>SUM(Q170:Q170)</f>
        <v>122393.04000000001</v>
      </c>
      <c r="R169" s="891">
        <f>ROUND(SUM(R170),5)</f>
        <v>122393.04</v>
      </c>
    </row>
    <row r="170" spans="1:18" ht="15" customHeight="1" x14ac:dyDescent="0.25">
      <c r="A170" s="78"/>
      <c r="B170" s="583">
        <v>0</v>
      </c>
      <c r="C170" s="442"/>
      <c r="D170" s="647" t="str">
        <f>" - " &amp; 'Giá NC'!E5</f>
        <v xml:space="preserve"> - Nhân công bậc 3,0/7 - Nhóm 1</v>
      </c>
      <c r="E170" s="583" t="str">
        <f>'Giá NC'!F5</f>
        <v>công</v>
      </c>
      <c r="F170" s="79">
        <v>0</v>
      </c>
      <c r="G170" s="412">
        <v>0.56000000000000005</v>
      </c>
      <c r="H170" s="412">
        <f>'Du toan chi tiet'!W30</f>
        <v>1</v>
      </c>
      <c r="I170" s="762">
        <f>'Giá NC'!G5</f>
        <v>218559</v>
      </c>
      <c r="J170" s="483">
        <f>'Giá NC'!G5</f>
        <v>218559</v>
      </c>
      <c r="K170" s="483">
        <f>PRODUCT(G170, H170, J170)</f>
        <v>122393.04000000001</v>
      </c>
      <c r="L170" s="483">
        <f>'Giá NC'!H5</f>
        <v>218559</v>
      </c>
      <c r="M170" s="487">
        <f>PRODUCT(G170, H170, L170)</f>
        <v>122393.04000000001</v>
      </c>
      <c r="N170" s="487">
        <v>0</v>
      </c>
      <c r="O170" s="487">
        <v>0</v>
      </c>
      <c r="P170" s="487">
        <f>'Giá NC'!K5</f>
        <v>218559</v>
      </c>
      <c r="Q170" s="487">
        <f>PRODUCT(G170, H170, P170)</f>
        <v>122393.04000000001</v>
      </c>
      <c r="R170" s="892">
        <f t="shared" ref="R170" si="111">ROUND(G170*I170,5)</f>
        <v>122393.04</v>
      </c>
    </row>
    <row r="171" spans="1:18" ht="30" customHeight="1" x14ac:dyDescent="0.25">
      <c r="A171" s="421"/>
      <c r="B171" s="354">
        <v>24</v>
      </c>
      <c r="C171" s="208" t="s">
        <v>510</v>
      </c>
      <c r="D171" s="419" t="str">
        <f>'Du toan chi tiet'!D32</f>
        <v>Bê tông ống cống hình hộp SX bằng máy trộn, đổ bằng thủ công, bê tông M250, đá 1x2, PCB40</v>
      </c>
      <c r="E171" s="354" t="str">
        <f>'Du toan chi tiet'!E32</f>
        <v>m3</v>
      </c>
      <c r="F171" s="624">
        <f>'Du toan chi tiet'!M32</f>
        <v>2.63</v>
      </c>
      <c r="G171" s="182">
        <v>0</v>
      </c>
      <c r="H171" s="182">
        <v>0</v>
      </c>
      <c r="I171" s="758"/>
      <c r="J171" s="259">
        <v>0</v>
      </c>
      <c r="K171" s="259">
        <v>0</v>
      </c>
      <c r="L171" s="259">
        <v>0</v>
      </c>
      <c r="M171" s="259">
        <v>0</v>
      </c>
      <c r="N171" s="259">
        <v>0</v>
      </c>
      <c r="O171" s="259">
        <v>0</v>
      </c>
      <c r="P171" s="259">
        <v>0</v>
      </c>
      <c r="Q171" s="259">
        <v>0</v>
      </c>
      <c r="R171" s="467"/>
    </row>
    <row r="172" spans="1:18" ht="15" customHeight="1" x14ac:dyDescent="0.25">
      <c r="A172" s="159"/>
      <c r="B172" s="649">
        <v>0</v>
      </c>
      <c r="C172" s="515"/>
      <c r="D172" s="720" t="s">
        <v>547</v>
      </c>
      <c r="E172" s="649"/>
      <c r="F172" s="160">
        <v>0</v>
      </c>
      <c r="G172" s="485">
        <v>0</v>
      </c>
      <c r="H172" s="485"/>
      <c r="I172" s="761"/>
      <c r="J172" s="526">
        <v>0</v>
      </c>
      <c r="K172" s="526">
        <f>SUM(K173:K177)</f>
        <v>926704.62025349983</v>
      </c>
      <c r="L172" s="526">
        <v>0</v>
      </c>
      <c r="M172" s="527">
        <f>SUM(M173:M177)</f>
        <v>926704.62025349983</v>
      </c>
      <c r="N172" s="527">
        <v>0</v>
      </c>
      <c r="O172" s="527">
        <v>0</v>
      </c>
      <c r="P172" s="527">
        <v>0</v>
      </c>
      <c r="Q172" s="527">
        <f>SUM(Q173:Q177)</f>
        <v>979816.61098329537</v>
      </c>
      <c r="R172" s="891">
        <f>ROUND(SUM(R173:R177),5)</f>
        <v>926704.62026</v>
      </c>
    </row>
    <row r="173" spans="1:18" ht="15" customHeight="1" x14ac:dyDescent="0.25">
      <c r="A173" s="159"/>
      <c r="B173" s="649">
        <v>0</v>
      </c>
      <c r="C173" s="515"/>
      <c r="D173" s="720" t="str">
        <f>" - " &amp; 'Giá VL'!E37</f>
        <v xml:space="preserve"> - Xi măng PCB40</v>
      </c>
      <c r="E173" s="649" t="str">
        <f>'Giá VL'!F37</f>
        <v>kg</v>
      </c>
      <c r="F173" s="160">
        <v>0</v>
      </c>
      <c r="G173" s="485">
        <v>308.52499999999998</v>
      </c>
      <c r="H173" s="485">
        <f>'Du toan chi tiet'!V32</f>
        <v>1</v>
      </c>
      <c r="I173" s="761">
        <f>'Giá VL'!G37</f>
        <v>1563.7239999999999</v>
      </c>
      <c r="J173" s="526">
        <f>'Giá VL'!G37</f>
        <v>1563.7239999999999</v>
      </c>
      <c r="K173" s="526">
        <f t="shared" ref="K173:K177" si="112">PRODUCT(G173, H173, J173)</f>
        <v>482447.94709999993</v>
      </c>
      <c r="L173" s="526">
        <f>'Giá VL'!J37</f>
        <v>1563.7239999999999</v>
      </c>
      <c r="M173" s="527">
        <f t="shared" ref="M173:M177" si="113">PRODUCT(G173, H173, L173)</f>
        <v>482447.94709999993</v>
      </c>
      <c r="N173" s="527">
        <v>0</v>
      </c>
      <c r="O173" s="527">
        <v>0</v>
      </c>
      <c r="P173" s="527">
        <f>'Giá VL'!V37</f>
        <v>1587.7239999999999</v>
      </c>
      <c r="Q173" s="527">
        <f t="shared" ref="Q173:Q177" si="114">PRODUCT(G173, H173, P173)</f>
        <v>489852.54709999997</v>
      </c>
      <c r="R173" s="892">
        <f t="shared" ref="R173:R176" si="115">ROUND(G173*I173,5)</f>
        <v>482447.94709999999</v>
      </c>
    </row>
    <row r="174" spans="1:18" ht="15" customHeight="1" x14ac:dyDescent="0.25">
      <c r="A174" s="159"/>
      <c r="B174" s="649">
        <v>0</v>
      </c>
      <c r="C174" s="515"/>
      <c r="D174" s="720" t="str">
        <f>" - " &amp; 'Giá VL'!E9</f>
        <v xml:space="preserve"> - Cát vàng</v>
      </c>
      <c r="E174" s="649" t="str">
        <f>'Giá VL'!F9</f>
        <v>m3</v>
      </c>
      <c r="F174" s="160">
        <v>0</v>
      </c>
      <c r="G174" s="485">
        <v>0.53197499999999998</v>
      </c>
      <c r="H174" s="485">
        <f>'Du toan chi tiet'!V32</f>
        <v>1</v>
      </c>
      <c r="I174" s="761">
        <f>'Giá VL'!G9</f>
        <v>318182</v>
      </c>
      <c r="J174" s="526">
        <f>'Giá VL'!G9</f>
        <v>318182</v>
      </c>
      <c r="K174" s="526">
        <f t="shared" si="112"/>
        <v>169264.86945</v>
      </c>
      <c r="L174" s="526">
        <f>'Giá VL'!J9</f>
        <v>318182</v>
      </c>
      <c r="M174" s="527">
        <f t="shared" si="113"/>
        <v>169264.86945</v>
      </c>
      <c r="N174" s="527">
        <v>0</v>
      </c>
      <c r="O174" s="527">
        <v>0</v>
      </c>
      <c r="P174" s="527">
        <f>'Giá VL'!V9</f>
        <v>345317.29174999997</v>
      </c>
      <c r="Q174" s="527">
        <f t="shared" si="114"/>
        <v>183700.16627870622</v>
      </c>
      <c r="R174" s="892">
        <f t="shared" si="115"/>
        <v>169264.86945</v>
      </c>
    </row>
    <row r="175" spans="1:18" ht="15" customHeight="1" x14ac:dyDescent="0.25">
      <c r="A175" s="159"/>
      <c r="B175" s="649">
        <v>0</v>
      </c>
      <c r="C175" s="515"/>
      <c r="D175" s="720" t="str">
        <f>" - " &amp; 'Giá VL'!E11</f>
        <v xml:space="preserve"> - Đá 1x2</v>
      </c>
      <c r="E175" s="649" t="str">
        <f>'Giá VL'!F11</f>
        <v>m3</v>
      </c>
      <c r="F175" s="160">
        <v>0</v>
      </c>
      <c r="G175" s="485">
        <v>0.87637500000000002</v>
      </c>
      <c r="H175" s="485">
        <f>'Du toan chi tiet'!V32</f>
        <v>1</v>
      </c>
      <c r="I175" s="761">
        <f>'Giá VL'!G11</f>
        <v>290909</v>
      </c>
      <c r="J175" s="526">
        <f>'Giá VL'!G11</f>
        <v>290909</v>
      </c>
      <c r="K175" s="526">
        <f t="shared" si="112"/>
        <v>254945.37487500001</v>
      </c>
      <c r="L175" s="526">
        <f>'Giá VL'!J11</f>
        <v>290909</v>
      </c>
      <c r="M175" s="527">
        <f t="shared" si="113"/>
        <v>254945.37487500001</v>
      </c>
      <c r="N175" s="527">
        <v>0</v>
      </c>
      <c r="O175" s="527">
        <v>0</v>
      </c>
      <c r="P175" s="527">
        <f>'Giá VL'!V11</f>
        <v>325404.14456500002</v>
      </c>
      <c r="Q175" s="527">
        <f t="shared" si="114"/>
        <v>285176.05719315191</v>
      </c>
      <c r="R175" s="892">
        <f t="shared" si="115"/>
        <v>254945.37487999999</v>
      </c>
    </row>
    <row r="176" spans="1:18" ht="15" customHeight="1" x14ac:dyDescent="0.25">
      <c r="A176" s="159"/>
      <c r="B176" s="649">
        <v>0</v>
      </c>
      <c r="C176" s="515"/>
      <c r="D176" s="720" t="str">
        <f>" - " &amp; 'Giá VL'!E23</f>
        <v xml:space="preserve"> - Nước</v>
      </c>
      <c r="E176" s="649" t="str">
        <f>'Giá VL'!F23</f>
        <v>lít</v>
      </c>
      <c r="F176" s="160">
        <v>0</v>
      </c>
      <c r="G176" s="485">
        <v>187.57499999999999</v>
      </c>
      <c r="H176" s="485">
        <f>'Du toan chi tiet'!V32</f>
        <v>1</v>
      </c>
      <c r="I176" s="761">
        <f>'Giá VL'!G23</f>
        <v>10</v>
      </c>
      <c r="J176" s="526">
        <f>'Giá VL'!G23</f>
        <v>10</v>
      </c>
      <c r="K176" s="526">
        <f t="shared" si="112"/>
        <v>1875.75</v>
      </c>
      <c r="L176" s="526">
        <f>'Giá VL'!J23</f>
        <v>10</v>
      </c>
      <c r="M176" s="527">
        <f t="shared" si="113"/>
        <v>1875.75</v>
      </c>
      <c r="N176" s="527">
        <v>0</v>
      </c>
      <c r="O176" s="527">
        <v>0</v>
      </c>
      <c r="P176" s="527">
        <f>'Giá VL'!V23</f>
        <v>10</v>
      </c>
      <c r="Q176" s="527">
        <f t="shared" si="114"/>
        <v>1875.75</v>
      </c>
      <c r="R176" s="892">
        <f t="shared" si="115"/>
        <v>1875.75</v>
      </c>
    </row>
    <row r="177" spans="1:18" ht="15" customHeight="1" x14ac:dyDescent="0.25">
      <c r="A177" s="159"/>
      <c r="B177" s="649">
        <v>0</v>
      </c>
      <c r="C177" s="515"/>
      <c r="D177" s="720" t="s">
        <v>238</v>
      </c>
      <c r="E177" s="649" t="s">
        <v>1113</v>
      </c>
      <c r="F177" s="160">
        <v>0</v>
      </c>
      <c r="G177" s="485">
        <v>2</v>
      </c>
      <c r="H177" s="485">
        <f>'Du toan chi tiet'!V32</f>
        <v>1</v>
      </c>
      <c r="I177" s="761"/>
      <c r="J177" s="526">
        <f>(G173*J173+G174*J174+G175*J175+G176*J176)/100</f>
        <v>9085.3394142499983</v>
      </c>
      <c r="K177" s="526">
        <f t="shared" si="112"/>
        <v>18170.678828499997</v>
      </c>
      <c r="L177" s="526">
        <f>(G173*L173+G174*L174+G175*L175+G176*L176)/100</f>
        <v>9085.3394142499983</v>
      </c>
      <c r="M177" s="527">
        <f t="shared" si="113"/>
        <v>18170.678828499997</v>
      </c>
      <c r="N177" s="527">
        <v>0</v>
      </c>
      <c r="O177" s="527">
        <v>0</v>
      </c>
      <c r="P177" s="527">
        <f>(G173*P173+G174*P174+G175*P175+G176*P176)/100</f>
        <v>9606.0452057185812</v>
      </c>
      <c r="Q177" s="527">
        <f t="shared" si="114"/>
        <v>19212.090411437162</v>
      </c>
      <c r="R177" s="893">
        <f>ROUND(SUM(R173:R176)*G177/100,5)</f>
        <v>18170.678830000001</v>
      </c>
    </row>
    <row r="178" spans="1:18" ht="15" customHeight="1" x14ac:dyDescent="0.25">
      <c r="A178" s="159"/>
      <c r="B178" s="649">
        <v>0</v>
      </c>
      <c r="C178" s="515"/>
      <c r="D178" s="720" t="s">
        <v>301</v>
      </c>
      <c r="E178" s="649"/>
      <c r="F178" s="160">
        <v>0</v>
      </c>
      <c r="G178" s="485">
        <v>0</v>
      </c>
      <c r="H178" s="485"/>
      <c r="I178" s="761"/>
      <c r="J178" s="526">
        <v>0</v>
      </c>
      <c r="K178" s="526">
        <f>SUM(K179:K179)</f>
        <v>557362</v>
      </c>
      <c r="L178" s="526">
        <v>0</v>
      </c>
      <c r="M178" s="527">
        <f>SUM(M179:M179)</f>
        <v>557362</v>
      </c>
      <c r="N178" s="527">
        <v>0</v>
      </c>
      <c r="O178" s="527">
        <v>0</v>
      </c>
      <c r="P178" s="527">
        <v>0</v>
      </c>
      <c r="Q178" s="527">
        <f>SUM(Q179:Q179)</f>
        <v>557362</v>
      </c>
      <c r="R178" s="891">
        <f>ROUND(SUM(R179),5)</f>
        <v>557362</v>
      </c>
    </row>
    <row r="179" spans="1:18" ht="15" customHeight="1" x14ac:dyDescent="0.25">
      <c r="A179" s="159"/>
      <c r="B179" s="649">
        <v>0</v>
      </c>
      <c r="C179" s="515"/>
      <c r="D179" s="720" t="str">
        <f>" - " &amp; 'Giá NC'!E8</f>
        <v xml:space="preserve"> - Nhân công bậc 3,5/7 - Nhóm 2</v>
      </c>
      <c r="E179" s="649" t="str">
        <f>'Giá NC'!F8</f>
        <v>công</v>
      </c>
      <c r="F179" s="160">
        <v>0</v>
      </c>
      <c r="G179" s="485">
        <v>2.21</v>
      </c>
      <c r="H179" s="485">
        <f>'Du toan chi tiet'!W32</f>
        <v>1</v>
      </c>
      <c r="I179" s="761">
        <f>'Giá NC'!G8</f>
        <v>252200</v>
      </c>
      <c r="J179" s="526">
        <f>'Giá NC'!G8</f>
        <v>252200</v>
      </c>
      <c r="K179" s="526">
        <f>PRODUCT(G179, H179, J179)</f>
        <v>557362</v>
      </c>
      <c r="L179" s="526">
        <f>'Giá NC'!H8</f>
        <v>252200</v>
      </c>
      <c r="M179" s="527">
        <f>PRODUCT(G179, H179, L179)</f>
        <v>557362</v>
      </c>
      <c r="N179" s="527">
        <v>0</v>
      </c>
      <c r="O179" s="527">
        <v>0</v>
      </c>
      <c r="P179" s="527">
        <f>'Giá NC'!K8</f>
        <v>252200</v>
      </c>
      <c r="Q179" s="527">
        <f>PRODUCT(G179, H179, P179)</f>
        <v>557362</v>
      </c>
      <c r="R179" s="892">
        <f t="shared" ref="R179" si="116">ROUND(G179*I179,5)</f>
        <v>557362</v>
      </c>
    </row>
    <row r="180" spans="1:18" ht="15" customHeight="1" x14ac:dyDescent="0.25">
      <c r="A180" s="159"/>
      <c r="B180" s="649">
        <v>0</v>
      </c>
      <c r="C180" s="515"/>
      <c r="D180" s="720" t="s">
        <v>1175</v>
      </c>
      <c r="E180" s="649"/>
      <c r="F180" s="160">
        <v>0</v>
      </c>
      <c r="G180" s="485">
        <v>0</v>
      </c>
      <c r="H180" s="485"/>
      <c r="I180" s="761"/>
      <c r="J180" s="526">
        <v>0</v>
      </c>
      <c r="K180" s="526">
        <f>SUM(K181:K182)</f>
        <v>53736.607000000004</v>
      </c>
      <c r="L180" s="526">
        <v>0</v>
      </c>
      <c r="M180" s="527">
        <f>SUM(M181:M182)</f>
        <v>53736.607000000004</v>
      </c>
      <c r="N180" s="527">
        <v>0</v>
      </c>
      <c r="O180" s="527">
        <v>0</v>
      </c>
      <c r="P180" s="527">
        <v>0</v>
      </c>
      <c r="Q180" s="527">
        <f>SUM(Q181:Q182)</f>
        <v>53736.607000000004</v>
      </c>
      <c r="R180" s="891">
        <f>ROUND(SUM(R181),5)</f>
        <v>30137.99</v>
      </c>
    </row>
    <row r="181" spans="1:18" ht="15" customHeight="1" x14ac:dyDescent="0.25">
      <c r="A181" s="159"/>
      <c r="B181" s="649">
        <v>0</v>
      </c>
      <c r="C181" s="515"/>
      <c r="D181" s="720" t="str">
        <f>" - " &amp; 'Giá Máy'!E20</f>
        <v xml:space="preserve"> - Máy trộn bê tông 250 lít</v>
      </c>
      <c r="E181" s="649" t="str">
        <f>'Giá Máy'!F20</f>
        <v>ca</v>
      </c>
      <c r="F181" s="160">
        <v>0</v>
      </c>
      <c r="G181" s="485">
        <v>9.5000000000000001E-2</v>
      </c>
      <c r="H181" s="485">
        <f>'Du toan chi tiet'!X32</f>
        <v>1</v>
      </c>
      <c r="I181" s="761">
        <f>'Giá Máy'!G20</f>
        <v>317242</v>
      </c>
      <c r="J181" s="526">
        <f>'Giá Máy'!G20</f>
        <v>317242</v>
      </c>
      <c r="K181" s="526">
        <f t="shared" ref="K181:K182" si="117">PRODUCT(G181, H181, J181)</f>
        <v>30137.99</v>
      </c>
      <c r="L181" s="526">
        <f>'Giá Máy'!H20</f>
        <v>317242</v>
      </c>
      <c r="M181" s="527">
        <f t="shared" ref="M181:M182" si="118">PRODUCT(G181, H181, L181)</f>
        <v>30137.99</v>
      </c>
      <c r="N181" s="527">
        <v>0</v>
      </c>
      <c r="O181" s="527">
        <v>0</v>
      </c>
      <c r="P181" s="527">
        <f>'Giá Máy'!O20</f>
        <v>317242</v>
      </c>
      <c r="Q181" s="527">
        <f t="shared" ref="Q181:Q182" si="119">PRODUCT(G181, H181, P181)</f>
        <v>30137.99</v>
      </c>
      <c r="R181" s="892">
        <f t="shared" ref="R181:R182" si="120">ROUND(G181*I181,5)</f>
        <v>30137.99</v>
      </c>
    </row>
    <row r="182" spans="1:18" ht="15" customHeight="1" x14ac:dyDescent="0.25">
      <c r="A182" s="78"/>
      <c r="B182" s="583">
        <v>0</v>
      </c>
      <c r="C182" s="442"/>
      <c r="D182" s="647" t="str">
        <f>" - " &amp; 'Giá Máy'!E12</f>
        <v xml:space="preserve"> - Máy đầm dùi 1,5kW</v>
      </c>
      <c r="E182" s="583" t="str">
        <f>'Giá Máy'!F12</f>
        <v>ca</v>
      </c>
      <c r="F182" s="79">
        <v>0</v>
      </c>
      <c r="G182" s="412">
        <v>8.8999999999999996E-2</v>
      </c>
      <c r="H182" s="412">
        <f>'Du toan chi tiet'!X32</f>
        <v>1</v>
      </c>
      <c r="I182" s="762">
        <f>'Giá Máy'!G12</f>
        <v>265153</v>
      </c>
      <c r="J182" s="483">
        <f>'Giá Máy'!G12</f>
        <v>265153</v>
      </c>
      <c r="K182" s="483">
        <f t="shared" si="117"/>
        <v>23598.616999999998</v>
      </c>
      <c r="L182" s="483">
        <f>'Giá Máy'!H12</f>
        <v>265153</v>
      </c>
      <c r="M182" s="487">
        <f t="shared" si="118"/>
        <v>23598.616999999998</v>
      </c>
      <c r="N182" s="487">
        <v>0</v>
      </c>
      <c r="O182" s="487">
        <v>0</v>
      </c>
      <c r="P182" s="487">
        <f>'Giá Máy'!O12</f>
        <v>265153</v>
      </c>
      <c r="Q182" s="487">
        <f t="shared" si="119"/>
        <v>23598.616999999998</v>
      </c>
      <c r="R182" s="892">
        <f t="shared" si="120"/>
        <v>23598.616999999998</v>
      </c>
    </row>
    <row r="183" spans="1:18" ht="15" customHeight="1" x14ac:dyDescent="0.25">
      <c r="A183" s="421"/>
      <c r="B183" s="140">
        <v>25</v>
      </c>
      <c r="C183" s="465" t="s">
        <v>491</v>
      </c>
      <c r="D183" s="227" t="str">
        <f>'Du toan chi tiet'!D33</f>
        <v>Lắp dựng cốt thép cống, ĐK ≤10mm</v>
      </c>
      <c r="E183" s="140" t="str">
        <f>'Du toan chi tiet'!E33</f>
        <v>tấn</v>
      </c>
      <c r="F183" s="422">
        <f>'Du toan chi tiet'!M33</f>
        <v>0.23899999999999999</v>
      </c>
      <c r="G183" s="731">
        <v>0</v>
      </c>
      <c r="H183" s="731">
        <v>0</v>
      </c>
      <c r="I183" s="763"/>
      <c r="J183" s="24">
        <v>0</v>
      </c>
      <c r="K183" s="24">
        <v>0</v>
      </c>
      <c r="L183" s="24">
        <v>0</v>
      </c>
      <c r="M183" s="28">
        <v>0</v>
      </c>
      <c r="N183" s="28">
        <v>0</v>
      </c>
      <c r="O183" s="28">
        <v>0</v>
      </c>
      <c r="P183" s="28">
        <v>0</v>
      </c>
      <c r="Q183" s="28">
        <v>0</v>
      </c>
      <c r="R183" s="467"/>
    </row>
    <row r="184" spans="1:18" ht="15" customHeight="1" x14ac:dyDescent="0.25">
      <c r="A184" s="159"/>
      <c r="B184" s="649">
        <v>0</v>
      </c>
      <c r="C184" s="515"/>
      <c r="D184" s="720" t="s">
        <v>547</v>
      </c>
      <c r="E184" s="649"/>
      <c r="F184" s="160">
        <v>0</v>
      </c>
      <c r="G184" s="485">
        <v>0</v>
      </c>
      <c r="H184" s="485"/>
      <c r="I184" s="761"/>
      <c r="J184" s="526">
        <v>0</v>
      </c>
      <c r="K184" s="526">
        <f>SUM(K185:K186)</f>
        <v>14742986</v>
      </c>
      <c r="L184" s="526">
        <v>0</v>
      </c>
      <c r="M184" s="527">
        <f>SUM(M185:M186)</f>
        <v>14742986</v>
      </c>
      <c r="N184" s="527">
        <v>0</v>
      </c>
      <c r="O184" s="527">
        <v>0</v>
      </c>
      <c r="P184" s="527">
        <v>0</v>
      </c>
      <c r="Q184" s="527">
        <f>SUM(Q185:Q186)</f>
        <v>14800769.27537195</v>
      </c>
      <c r="R184" s="891">
        <f>ROUND(SUM(R185:R186),5)</f>
        <v>14742986</v>
      </c>
    </row>
    <row r="185" spans="1:18" ht="15" customHeight="1" x14ac:dyDescent="0.25">
      <c r="A185" s="159"/>
      <c r="B185" s="649">
        <v>0</v>
      </c>
      <c r="C185" s="515"/>
      <c r="D185" s="720" t="str">
        <f>" - " &amp; 'Giá VL'!E32</f>
        <v xml:space="preserve"> - Thép tròn Fi ≤10mm</v>
      </c>
      <c r="E185" s="649" t="str">
        <f>'Giá VL'!F32</f>
        <v>kg</v>
      </c>
      <c r="F185" s="160">
        <v>0</v>
      </c>
      <c r="G185" s="485">
        <v>1005</v>
      </c>
      <c r="H185" s="485">
        <f>'Du toan chi tiet'!V33</f>
        <v>1</v>
      </c>
      <c r="I185" s="761">
        <f>'Giá VL'!G32</f>
        <v>14409</v>
      </c>
      <c r="J185" s="526">
        <f>'Giá VL'!G32</f>
        <v>14409</v>
      </c>
      <c r="K185" s="526">
        <f t="shared" ref="K185:K186" si="121">PRODUCT(G185, H185, J185)</f>
        <v>14481045</v>
      </c>
      <c r="L185" s="526">
        <f>'Giá VL'!J32</f>
        <v>14409</v>
      </c>
      <c r="M185" s="527">
        <f t="shared" ref="M185:M186" si="122">PRODUCT(G185, H185, L185)</f>
        <v>14481045</v>
      </c>
      <c r="N185" s="527">
        <v>0</v>
      </c>
      <c r="O185" s="527">
        <v>0</v>
      </c>
      <c r="P185" s="527">
        <f>'Giá VL'!V32</f>
        <v>14466.49579639</v>
      </c>
      <c r="Q185" s="527">
        <f t="shared" ref="Q185:Q186" si="123">PRODUCT(G185, H185, P185)</f>
        <v>14538828.27537195</v>
      </c>
      <c r="R185" s="892">
        <f t="shared" ref="R185:R186" si="124">ROUND(G185*I185,5)</f>
        <v>14481045</v>
      </c>
    </row>
    <row r="186" spans="1:18" ht="15" customHeight="1" x14ac:dyDescent="0.25">
      <c r="A186" s="159"/>
      <c r="B186" s="649">
        <v>0</v>
      </c>
      <c r="C186" s="515"/>
      <c r="D186" s="720" t="str">
        <f>" - " &amp; 'Giá VL'!E14</f>
        <v xml:space="preserve"> - Dây thép</v>
      </c>
      <c r="E186" s="649" t="str">
        <f>'Giá VL'!F14</f>
        <v>kg</v>
      </c>
      <c r="F186" s="160">
        <v>0</v>
      </c>
      <c r="G186" s="485">
        <v>16.07</v>
      </c>
      <c r="H186" s="485">
        <f>'Du toan chi tiet'!V33</f>
        <v>1</v>
      </c>
      <c r="I186" s="761">
        <f>'Giá VL'!G14</f>
        <v>16300</v>
      </c>
      <c r="J186" s="526">
        <f>'Giá VL'!G14</f>
        <v>16300</v>
      </c>
      <c r="K186" s="526">
        <f t="shared" si="121"/>
        <v>261941</v>
      </c>
      <c r="L186" s="526">
        <f>'Giá VL'!J14</f>
        <v>16300</v>
      </c>
      <c r="M186" s="527">
        <f t="shared" si="122"/>
        <v>261941</v>
      </c>
      <c r="N186" s="527">
        <v>0</v>
      </c>
      <c r="O186" s="527">
        <v>0</v>
      </c>
      <c r="P186" s="527">
        <f>'Giá VL'!V14</f>
        <v>16300</v>
      </c>
      <c r="Q186" s="527">
        <f t="shared" si="123"/>
        <v>261941</v>
      </c>
      <c r="R186" s="892">
        <f t="shared" si="124"/>
        <v>261941</v>
      </c>
    </row>
    <row r="187" spans="1:18" ht="15" customHeight="1" x14ac:dyDescent="0.25">
      <c r="A187" s="159"/>
      <c r="B187" s="649">
        <v>0</v>
      </c>
      <c r="C187" s="515"/>
      <c r="D187" s="720" t="s">
        <v>301</v>
      </c>
      <c r="E187" s="649"/>
      <c r="F187" s="160">
        <v>0</v>
      </c>
      <c r="G187" s="485">
        <v>0</v>
      </c>
      <c r="H187" s="485"/>
      <c r="I187" s="761"/>
      <c r="J187" s="526">
        <v>0</v>
      </c>
      <c r="K187" s="526">
        <f>SUM(K188:K188)</f>
        <v>4673266</v>
      </c>
      <c r="L187" s="526">
        <v>0</v>
      </c>
      <c r="M187" s="527">
        <f>SUM(M188:M188)</f>
        <v>4673266</v>
      </c>
      <c r="N187" s="527">
        <v>0</v>
      </c>
      <c r="O187" s="527">
        <v>0</v>
      </c>
      <c r="P187" s="527">
        <v>0</v>
      </c>
      <c r="Q187" s="527">
        <f>SUM(Q188:Q188)</f>
        <v>4673266</v>
      </c>
      <c r="R187" s="891">
        <f>ROUND(SUM(R188),5)</f>
        <v>4673266</v>
      </c>
    </row>
    <row r="188" spans="1:18" ht="15" customHeight="1" x14ac:dyDescent="0.25">
      <c r="A188" s="159"/>
      <c r="B188" s="649">
        <v>0</v>
      </c>
      <c r="C188" s="515"/>
      <c r="D188" s="720" t="str">
        <f>" - " &amp; 'Giá NC'!E8</f>
        <v xml:space="preserve"> - Nhân công bậc 3,5/7 - Nhóm 2</v>
      </c>
      <c r="E188" s="649" t="str">
        <f>'Giá NC'!F8</f>
        <v>công</v>
      </c>
      <c r="F188" s="160">
        <v>0</v>
      </c>
      <c r="G188" s="485">
        <v>18.53</v>
      </c>
      <c r="H188" s="485">
        <f>'Du toan chi tiet'!W33</f>
        <v>1</v>
      </c>
      <c r="I188" s="761">
        <f>'Giá NC'!G8</f>
        <v>252200</v>
      </c>
      <c r="J188" s="526">
        <f>'Giá NC'!G8</f>
        <v>252200</v>
      </c>
      <c r="K188" s="526">
        <f>PRODUCT(G188, H188, J188)</f>
        <v>4673266</v>
      </c>
      <c r="L188" s="526">
        <f>'Giá NC'!H8</f>
        <v>252200</v>
      </c>
      <c r="M188" s="527">
        <f>PRODUCT(G188, H188, L188)</f>
        <v>4673266</v>
      </c>
      <c r="N188" s="527">
        <v>0</v>
      </c>
      <c r="O188" s="527">
        <v>0</v>
      </c>
      <c r="P188" s="527">
        <f>'Giá NC'!K8</f>
        <v>252200</v>
      </c>
      <c r="Q188" s="527">
        <f>PRODUCT(G188, H188, P188)</f>
        <v>4673266</v>
      </c>
      <c r="R188" s="892">
        <f t="shared" ref="R188" si="125">ROUND(G188*I188,5)</f>
        <v>4673266</v>
      </c>
    </row>
    <row r="189" spans="1:18" ht="15" customHeight="1" x14ac:dyDescent="0.25">
      <c r="A189" s="159"/>
      <c r="B189" s="649">
        <v>0</v>
      </c>
      <c r="C189" s="515"/>
      <c r="D189" s="720" t="s">
        <v>1175</v>
      </c>
      <c r="E189" s="649"/>
      <c r="F189" s="160">
        <v>0</v>
      </c>
      <c r="G189" s="485">
        <v>0</v>
      </c>
      <c r="H189" s="485"/>
      <c r="I189" s="761"/>
      <c r="J189" s="526">
        <v>0</v>
      </c>
      <c r="K189" s="526">
        <f>SUM(K190:K190)</f>
        <v>109490.40000000001</v>
      </c>
      <c r="L189" s="526">
        <v>0</v>
      </c>
      <c r="M189" s="527">
        <f>SUM(M190:M190)</f>
        <v>109490.40000000001</v>
      </c>
      <c r="N189" s="527">
        <v>0</v>
      </c>
      <c r="O189" s="527">
        <v>0</v>
      </c>
      <c r="P189" s="527">
        <v>0</v>
      </c>
      <c r="Q189" s="527">
        <f>SUM(Q190:Q190)</f>
        <v>109490.40000000001</v>
      </c>
      <c r="R189" s="891">
        <f>ROUND(SUM(R190),5)</f>
        <v>109490.4</v>
      </c>
    </row>
    <row r="190" spans="1:18" ht="15" customHeight="1" x14ac:dyDescent="0.25">
      <c r="A190" s="78"/>
      <c r="B190" s="583">
        <v>0</v>
      </c>
      <c r="C190" s="442"/>
      <c r="D190" s="647" t="str">
        <f>" - " &amp; 'Giá Máy'!E9</f>
        <v xml:space="preserve"> - Máy cắt uốn cốt thép 5kW</v>
      </c>
      <c r="E190" s="583" t="str">
        <f>'Giá Máy'!F9</f>
        <v>ca</v>
      </c>
      <c r="F190" s="79">
        <v>0</v>
      </c>
      <c r="G190" s="412">
        <v>0.4</v>
      </c>
      <c r="H190" s="412">
        <f>'Du toan chi tiet'!X33</f>
        <v>1</v>
      </c>
      <c r="I190" s="762">
        <f>'Giá Máy'!G9</f>
        <v>273726</v>
      </c>
      <c r="J190" s="483">
        <f>'Giá Máy'!G9</f>
        <v>273726</v>
      </c>
      <c r="K190" s="483">
        <f>PRODUCT(G190, H190, J190)</f>
        <v>109490.40000000001</v>
      </c>
      <c r="L190" s="483">
        <f>'Giá Máy'!H9</f>
        <v>273726</v>
      </c>
      <c r="M190" s="487">
        <f>PRODUCT(G190, H190, L190)</f>
        <v>109490.40000000001</v>
      </c>
      <c r="N190" s="487">
        <v>0</v>
      </c>
      <c r="O190" s="487">
        <v>0</v>
      </c>
      <c r="P190" s="487">
        <f>'Giá Máy'!O9</f>
        <v>273726</v>
      </c>
      <c r="Q190" s="487">
        <f>PRODUCT(G190, H190, P190)</f>
        <v>109490.40000000001</v>
      </c>
      <c r="R190" s="892">
        <f t="shared" ref="R190" si="126">ROUND(G190*I190,5)</f>
        <v>109490.4</v>
      </c>
    </row>
    <row r="191" spans="1:18" ht="15" customHeight="1" x14ac:dyDescent="0.25">
      <c r="A191" s="421"/>
      <c r="B191" s="140">
        <v>26</v>
      </c>
      <c r="C191" s="465" t="s">
        <v>558</v>
      </c>
      <c r="D191" s="227" t="str">
        <f>'Du toan chi tiet'!D34</f>
        <v>Lắp dựng cốt thép cống, ĐK ≤18mm</v>
      </c>
      <c r="E191" s="140" t="str">
        <f>'Du toan chi tiet'!E34</f>
        <v>tấn</v>
      </c>
      <c r="F191" s="422">
        <f>'Du toan chi tiet'!M34</f>
        <v>6.3E-2</v>
      </c>
      <c r="G191" s="731">
        <v>0</v>
      </c>
      <c r="H191" s="731">
        <v>0</v>
      </c>
      <c r="I191" s="763"/>
      <c r="J191" s="24">
        <v>0</v>
      </c>
      <c r="K191" s="24">
        <v>0</v>
      </c>
      <c r="L191" s="24">
        <v>0</v>
      </c>
      <c r="M191" s="28">
        <v>0</v>
      </c>
      <c r="N191" s="28">
        <v>0</v>
      </c>
      <c r="O191" s="28">
        <v>0</v>
      </c>
      <c r="P191" s="28">
        <v>0</v>
      </c>
      <c r="Q191" s="28">
        <v>0</v>
      </c>
      <c r="R191" s="467"/>
    </row>
    <row r="192" spans="1:18" ht="15" customHeight="1" x14ac:dyDescent="0.25">
      <c r="A192" s="159"/>
      <c r="B192" s="649">
        <v>0</v>
      </c>
      <c r="C192" s="515"/>
      <c r="D192" s="720" t="s">
        <v>547</v>
      </c>
      <c r="E192" s="649"/>
      <c r="F192" s="160">
        <v>0</v>
      </c>
      <c r="G192" s="485">
        <v>0</v>
      </c>
      <c r="H192" s="485"/>
      <c r="I192" s="761"/>
      <c r="J192" s="526">
        <v>0</v>
      </c>
      <c r="K192" s="526">
        <f>SUM(K193:K195)</f>
        <v>15021173</v>
      </c>
      <c r="L192" s="526">
        <v>0</v>
      </c>
      <c r="M192" s="527">
        <f>SUM(M193:M195)</f>
        <v>15021173</v>
      </c>
      <c r="N192" s="527">
        <v>0</v>
      </c>
      <c r="O192" s="527">
        <v>0</v>
      </c>
      <c r="P192" s="527">
        <v>0</v>
      </c>
      <c r="Q192" s="527">
        <f>SUM(Q193:Q195)</f>
        <v>15079818.7123178</v>
      </c>
      <c r="R192" s="891">
        <f>ROUND(SUM(R193:R195),5)</f>
        <v>15021173</v>
      </c>
    </row>
    <row r="193" spans="1:18" ht="15" customHeight="1" x14ac:dyDescent="0.25">
      <c r="A193" s="159"/>
      <c r="B193" s="649">
        <v>0</v>
      </c>
      <c r="C193" s="515"/>
      <c r="D193" s="720" t="str">
        <f>" - " &amp; 'Giá VL'!E33</f>
        <v xml:space="preserve"> - Thép tròn Fi ≤18mm</v>
      </c>
      <c r="E193" s="649" t="str">
        <f>'Giá VL'!F33</f>
        <v>kg</v>
      </c>
      <c r="F193" s="160">
        <v>0</v>
      </c>
      <c r="G193" s="485">
        <v>1020</v>
      </c>
      <c r="H193" s="485">
        <f>'Du toan chi tiet'!V34</f>
        <v>1</v>
      </c>
      <c r="I193" s="761">
        <f>'Giá VL'!G33</f>
        <v>14409</v>
      </c>
      <c r="J193" s="526">
        <f>'Giá VL'!G33</f>
        <v>14409</v>
      </c>
      <c r="K193" s="526">
        <f t="shared" ref="K193:K195" si="127">PRODUCT(G193, H193, J193)</f>
        <v>14697180</v>
      </c>
      <c r="L193" s="526">
        <f>'Giá VL'!J33</f>
        <v>14409</v>
      </c>
      <c r="M193" s="527">
        <f t="shared" ref="M193:M195" si="128">PRODUCT(G193, H193, L193)</f>
        <v>14697180</v>
      </c>
      <c r="N193" s="527">
        <v>0</v>
      </c>
      <c r="O193" s="527">
        <v>0</v>
      </c>
      <c r="P193" s="527">
        <f>'Giá VL'!V33</f>
        <v>14466.49579639</v>
      </c>
      <c r="Q193" s="527">
        <f t="shared" ref="Q193:Q195" si="129">PRODUCT(G193, H193, P193)</f>
        <v>14755825.7123178</v>
      </c>
      <c r="R193" s="892">
        <f t="shared" ref="R193:R195" si="130">ROUND(G193*I193,5)</f>
        <v>14697180</v>
      </c>
    </row>
    <row r="194" spans="1:18" ht="15" customHeight="1" x14ac:dyDescent="0.25">
      <c r="A194" s="159"/>
      <c r="B194" s="649">
        <v>0</v>
      </c>
      <c r="C194" s="515"/>
      <c r="D194" s="720" t="str">
        <f>" - " &amp; 'Giá VL'!E14</f>
        <v xml:space="preserve"> - Dây thép</v>
      </c>
      <c r="E194" s="649" t="str">
        <f>'Giá VL'!F14</f>
        <v>kg</v>
      </c>
      <c r="F194" s="160">
        <v>0</v>
      </c>
      <c r="G194" s="485">
        <v>9.2799999999999994</v>
      </c>
      <c r="H194" s="485">
        <f>'Du toan chi tiet'!V34</f>
        <v>1</v>
      </c>
      <c r="I194" s="761">
        <f>'Giá VL'!G14</f>
        <v>16300</v>
      </c>
      <c r="J194" s="526">
        <f>'Giá VL'!G14</f>
        <v>16300</v>
      </c>
      <c r="K194" s="526">
        <f t="shared" si="127"/>
        <v>151264</v>
      </c>
      <c r="L194" s="526">
        <f>'Giá VL'!J14</f>
        <v>16300</v>
      </c>
      <c r="M194" s="527">
        <f t="shared" si="128"/>
        <v>151264</v>
      </c>
      <c r="N194" s="527">
        <v>0</v>
      </c>
      <c r="O194" s="527">
        <v>0</v>
      </c>
      <c r="P194" s="527">
        <f>'Giá VL'!V14</f>
        <v>16300</v>
      </c>
      <c r="Q194" s="527">
        <f t="shared" si="129"/>
        <v>151264</v>
      </c>
      <c r="R194" s="892">
        <f t="shared" si="130"/>
        <v>151264</v>
      </c>
    </row>
    <row r="195" spans="1:18" ht="15" customHeight="1" x14ac:dyDescent="0.25">
      <c r="A195" s="159"/>
      <c r="B195" s="649">
        <v>0</v>
      </c>
      <c r="C195" s="515"/>
      <c r="D195" s="720" t="str">
        <f>" - " &amp; 'Giá VL'!E25</f>
        <v xml:space="preserve"> - Que hàn</v>
      </c>
      <c r="E195" s="649" t="str">
        <f>'Giá VL'!F25</f>
        <v>kg</v>
      </c>
      <c r="F195" s="160">
        <v>0</v>
      </c>
      <c r="G195" s="485">
        <v>9.5</v>
      </c>
      <c r="H195" s="485">
        <f>'Du toan chi tiet'!V34</f>
        <v>1</v>
      </c>
      <c r="I195" s="761">
        <f>'Giá VL'!G25</f>
        <v>18182</v>
      </c>
      <c r="J195" s="526">
        <f>'Giá VL'!G25</f>
        <v>18182</v>
      </c>
      <c r="K195" s="526">
        <f t="shared" si="127"/>
        <v>172729</v>
      </c>
      <c r="L195" s="526">
        <f>'Giá VL'!J25</f>
        <v>18182</v>
      </c>
      <c r="M195" s="527">
        <f t="shared" si="128"/>
        <v>172729</v>
      </c>
      <c r="N195" s="527">
        <v>0</v>
      </c>
      <c r="O195" s="527">
        <v>0</v>
      </c>
      <c r="P195" s="527">
        <f>'Giá VL'!V25</f>
        <v>18182</v>
      </c>
      <c r="Q195" s="527">
        <f t="shared" si="129"/>
        <v>172729</v>
      </c>
      <c r="R195" s="892">
        <f t="shared" si="130"/>
        <v>172729</v>
      </c>
    </row>
    <row r="196" spans="1:18" ht="15" customHeight="1" x14ac:dyDescent="0.25">
      <c r="A196" s="159"/>
      <c r="B196" s="649">
        <v>0</v>
      </c>
      <c r="C196" s="515"/>
      <c r="D196" s="720" t="s">
        <v>301</v>
      </c>
      <c r="E196" s="649"/>
      <c r="F196" s="160">
        <v>0</v>
      </c>
      <c r="G196" s="485">
        <v>0</v>
      </c>
      <c r="H196" s="485"/>
      <c r="I196" s="761"/>
      <c r="J196" s="526">
        <v>0</v>
      </c>
      <c r="K196" s="526">
        <f>SUM(K197:K197)</f>
        <v>3666988</v>
      </c>
      <c r="L196" s="526">
        <v>0</v>
      </c>
      <c r="M196" s="527">
        <f>SUM(M197:M197)</f>
        <v>3666988</v>
      </c>
      <c r="N196" s="527">
        <v>0</v>
      </c>
      <c r="O196" s="527">
        <v>0</v>
      </c>
      <c r="P196" s="527">
        <v>0</v>
      </c>
      <c r="Q196" s="527">
        <f>SUM(Q197:Q197)</f>
        <v>3666988</v>
      </c>
      <c r="R196" s="891">
        <f>ROUND(SUM(R197),5)</f>
        <v>3666988</v>
      </c>
    </row>
    <row r="197" spans="1:18" ht="15" customHeight="1" x14ac:dyDescent="0.25">
      <c r="A197" s="159"/>
      <c r="B197" s="649">
        <v>0</v>
      </c>
      <c r="C197" s="515"/>
      <c r="D197" s="720" t="str">
        <f>" - " &amp; 'Giá NC'!E8</f>
        <v xml:space="preserve"> - Nhân công bậc 3,5/7 - Nhóm 2</v>
      </c>
      <c r="E197" s="649" t="str">
        <f>'Giá NC'!F8</f>
        <v>công</v>
      </c>
      <c r="F197" s="160">
        <v>0</v>
      </c>
      <c r="G197" s="485">
        <v>14.54</v>
      </c>
      <c r="H197" s="485">
        <f>'Du toan chi tiet'!W34</f>
        <v>1</v>
      </c>
      <c r="I197" s="761">
        <f>'Giá NC'!G8</f>
        <v>252200</v>
      </c>
      <c r="J197" s="526">
        <f>'Giá NC'!G8</f>
        <v>252200</v>
      </c>
      <c r="K197" s="526">
        <f>PRODUCT(G197, H197, J197)</f>
        <v>3666988</v>
      </c>
      <c r="L197" s="526">
        <f>'Giá NC'!H8</f>
        <v>252200</v>
      </c>
      <c r="M197" s="527">
        <f>PRODUCT(G197, H197, L197)</f>
        <v>3666988</v>
      </c>
      <c r="N197" s="527">
        <v>0</v>
      </c>
      <c r="O197" s="527">
        <v>0</v>
      </c>
      <c r="P197" s="527">
        <f>'Giá NC'!K8</f>
        <v>252200</v>
      </c>
      <c r="Q197" s="527">
        <f>PRODUCT(G197, H197, P197)</f>
        <v>3666988</v>
      </c>
      <c r="R197" s="892">
        <f t="shared" ref="R197" si="131">ROUND(G197*I197,5)</f>
        <v>3666988</v>
      </c>
    </row>
    <row r="198" spans="1:18" ht="15" customHeight="1" x14ac:dyDescent="0.25">
      <c r="A198" s="159"/>
      <c r="B198" s="649">
        <v>0</v>
      </c>
      <c r="C198" s="515"/>
      <c r="D198" s="720" t="s">
        <v>1175</v>
      </c>
      <c r="E198" s="649"/>
      <c r="F198" s="160">
        <v>0</v>
      </c>
      <c r="G198" s="485">
        <v>0</v>
      </c>
      <c r="H198" s="485"/>
      <c r="I198" s="761"/>
      <c r="J198" s="526">
        <v>0</v>
      </c>
      <c r="K198" s="526">
        <f>SUM(K199:K200)</f>
        <v>1182045.1500000001</v>
      </c>
      <c r="L198" s="526">
        <v>0</v>
      </c>
      <c r="M198" s="527">
        <f>SUM(M199:M200)</f>
        <v>1182045.1500000001</v>
      </c>
      <c r="N198" s="527">
        <v>0</v>
      </c>
      <c r="O198" s="527">
        <v>0</v>
      </c>
      <c r="P198" s="527">
        <v>0</v>
      </c>
      <c r="Q198" s="527">
        <f>SUM(Q199:Q200)</f>
        <v>1182045.1500000001</v>
      </c>
      <c r="R198" s="891">
        <f>ROUND(SUM(R199:R200),5)</f>
        <v>1182045.1499999999</v>
      </c>
    </row>
    <row r="199" spans="1:18" ht="15" customHeight="1" x14ac:dyDescent="0.25">
      <c r="A199" s="159"/>
      <c r="B199" s="649">
        <v>0</v>
      </c>
      <c r="C199" s="515"/>
      <c r="D199" s="720" t="str">
        <f>" - " &amp; 'Giá Máy'!E15</f>
        <v xml:space="preserve"> - Máy hàn điện 23kW</v>
      </c>
      <c r="E199" s="649" t="str">
        <f>'Giá Máy'!F15</f>
        <v>ca</v>
      </c>
      <c r="F199" s="160">
        <v>0</v>
      </c>
      <c r="G199" s="485">
        <v>2.29</v>
      </c>
      <c r="H199" s="485">
        <f>'Du toan chi tiet'!X34</f>
        <v>1</v>
      </c>
      <c r="I199" s="761">
        <f>'Giá Máy'!G15</f>
        <v>477927</v>
      </c>
      <c r="J199" s="526">
        <f>'Giá Máy'!G15</f>
        <v>477927</v>
      </c>
      <c r="K199" s="526">
        <f t="shared" ref="K199:K200" si="132">PRODUCT(G199, H199, J199)</f>
        <v>1094452.83</v>
      </c>
      <c r="L199" s="526">
        <f>'Giá Máy'!H15</f>
        <v>477927</v>
      </c>
      <c r="M199" s="527">
        <f t="shared" ref="M199:M200" si="133">PRODUCT(G199, H199, L199)</f>
        <v>1094452.83</v>
      </c>
      <c r="N199" s="527">
        <v>0</v>
      </c>
      <c r="O199" s="527">
        <v>0</v>
      </c>
      <c r="P199" s="527">
        <f>'Giá Máy'!O15</f>
        <v>477927</v>
      </c>
      <c r="Q199" s="527">
        <f t="shared" ref="Q199:Q200" si="134">PRODUCT(G199, H199, P199)</f>
        <v>1094452.83</v>
      </c>
      <c r="R199" s="892">
        <f t="shared" ref="R199:R200" si="135">ROUND(G199*I199,5)</f>
        <v>1094452.83</v>
      </c>
    </row>
    <row r="200" spans="1:18" ht="15" customHeight="1" x14ac:dyDescent="0.25">
      <c r="A200" s="78"/>
      <c r="B200" s="583">
        <v>0</v>
      </c>
      <c r="C200" s="442"/>
      <c r="D200" s="647" t="str">
        <f>" - " &amp; 'Giá Máy'!E9</f>
        <v xml:space="preserve"> - Máy cắt uốn cốt thép 5kW</v>
      </c>
      <c r="E200" s="583" t="str">
        <f>'Giá Máy'!F9</f>
        <v>ca</v>
      </c>
      <c r="F200" s="79">
        <v>0</v>
      </c>
      <c r="G200" s="412">
        <v>0.32</v>
      </c>
      <c r="H200" s="412">
        <f>'Du toan chi tiet'!X34</f>
        <v>1</v>
      </c>
      <c r="I200" s="762">
        <f>'Giá Máy'!G9</f>
        <v>273726</v>
      </c>
      <c r="J200" s="483">
        <f>'Giá Máy'!G9</f>
        <v>273726</v>
      </c>
      <c r="K200" s="483">
        <f t="shared" si="132"/>
        <v>87592.320000000007</v>
      </c>
      <c r="L200" s="483">
        <f>'Giá Máy'!H9</f>
        <v>273726</v>
      </c>
      <c r="M200" s="487">
        <f t="shared" si="133"/>
        <v>87592.320000000007</v>
      </c>
      <c r="N200" s="487">
        <v>0</v>
      </c>
      <c r="O200" s="487">
        <v>0</v>
      </c>
      <c r="P200" s="487">
        <f>'Giá Máy'!O9</f>
        <v>273726</v>
      </c>
      <c r="Q200" s="487">
        <f t="shared" si="134"/>
        <v>87592.320000000007</v>
      </c>
      <c r="R200" s="892">
        <f t="shared" si="135"/>
        <v>87592.320000000007</v>
      </c>
    </row>
    <row r="201" spans="1:18" ht="30" customHeight="1" x14ac:dyDescent="0.25">
      <c r="A201" s="421"/>
      <c r="B201" s="354">
        <v>27</v>
      </c>
      <c r="C201" s="208" t="s">
        <v>1102</v>
      </c>
      <c r="D201" s="419" t="str">
        <f>'Du toan chi tiet'!D35</f>
        <v>Ván khuôn thép, khung xương, cột chống giáo ống, tường, chiều cao ≤28m</v>
      </c>
      <c r="E201" s="354" t="str">
        <f>'Du toan chi tiet'!E35</f>
        <v>m2</v>
      </c>
      <c r="F201" s="624">
        <f>'Du toan chi tiet'!M35</f>
        <v>21.33</v>
      </c>
      <c r="G201" s="182">
        <v>0</v>
      </c>
      <c r="H201" s="182">
        <v>0</v>
      </c>
      <c r="I201" s="758"/>
      <c r="J201" s="259">
        <v>0</v>
      </c>
      <c r="K201" s="259">
        <v>0</v>
      </c>
      <c r="L201" s="259">
        <v>0</v>
      </c>
      <c r="M201" s="259">
        <v>0</v>
      </c>
      <c r="N201" s="259">
        <v>0</v>
      </c>
      <c r="O201" s="259">
        <v>0</v>
      </c>
      <c r="P201" s="259">
        <v>0</v>
      </c>
      <c r="Q201" s="259">
        <v>0</v>
      </c>
      <c r="R201" s="467"/>
    </row>
    <row r="202" spans="1:18" ht="15" customHeight="1" x14ac:dyDescent="0.25">
      <c r="A202" s="159"/>
      <c r="B202" s="649">
        <v>0</v>
      </c>
      <c r="C202" s="515"/>
      <c r="D202" s="720" t="s">
        <v>547</v>
      </c>
      <c r="E202" s="649"/>
      <c r="F202" s="160">
        <v>0</v>
      </c>
      <c r="G202" s="485">
        <v>0</v>
      </c>
      <c r="H202" s="485"/>
      <c r="I202" s="761"/>
      <c r="J202" s="526">
        <v>0</v>
      </c>
      <c r="K202" s="526" t="e">
        <f>SUM(K203:K206)</f>
        <v>#REF!</v>
      </c>
      <c r="L202" s="526">
        <v>0</v>
      </c>
      <c r="M202" s="527" t="e">
        <f>SUM(M203:M206)</f>
        <v>#REF!</v>
      </c>
      <c r="N202" s="527">
        <v>0</v>
      </c>
      <c r="O202" s="527">
        <v>0</v>
      </c>
      <c r="P202" s="527">
        <v>0</v>
      </c>
      <c r="Q202" s="527">
        <f>SUM(Q203:Q206)</f>
        <v>21219.530749447866</v>
      </c>
      <c r="R202" s="891">
        <f>ROUND(SUM(R203:R206),5)</f>
        <v>21160.503840000001</v>
      </c>
    </row>
    <row r="203" spans="1:18" ht="15" customHeight="1" x14ac:dyDescent="0.25">
      <c r="A203" s="159"/>
      <c r="B203" s="649">
        <v>0</v>
      </c>
      <c r="C203" s="515"/>
      <c r="D203" s="720" t="str">
        <f>" - " &amp; 'Giá VL'!E31</f>
        <v xml:space="preserve"> - Thép tấm</v>
      </c>
      <c r="E203" s="649" t="str">
        <f>'Giá VL'!F31</f>
        <v>kg</v>
      </c>
      <c r="F203" s="160">
        <v>0</v>
      </c>
      <c r="G203" s="485">
        <v>0.5181</v>
      </c>
      <c r="H203" s="485">
        <f>'Du toan chi tiet'!V35</f>
        <v>1</v>
      </c>
      <c r="I203" s="761">
        <f>'Giá VL'!G31</f>
        <v>19600</v>
      </c>
      <c r="J203" s="526">
        <f>'Giá VL'!G31</f>
        <v>19600</v>
      </c>
      <c r="K203" s="526">
        <f t="shared" ref="K203:K206" si="136">PRODUCT(G203, H203, J203)</f>
        <v>10154.76</v>
      </c>
      <c r="L203" s="526">
        <f>'Giá VL'!J31</f>
        <v>19600</v>
      </c>
      <c r="M203" s="527">
        <f t="shared" ref="M203:M206" si="137">PRODUCT(G203, H203, L203)</f>
        <v>10154.76</v>
      </c>
      <c r="N203" s="527">
        <v>0</v>
      </c>
      <c r="O203" s="527">
        <v>0</v>
      </c>
      <c r="P203" s="527">
        <f>'Giá VL'!V31</f>
        <v>19657.495796390001</v>
      </c>
      <c r="Q203" s="527">
        <f t="shared" ref="Q203:Q206" si="138">PRODUCT(G203, H203, P203)</f>
        <v>10184.548572109659</v>
      </c>
      <c r="R203" s="892">
        <f t="shared" ref="R203:R205" si="139">ROUND(G203*I203,5)</f>
        <v>10154.76</v>
      </c>
    </row>
    <row r="204" spans="1:18" ht="15" customHeight="1" x14ac:dyDescent="0.25">
      <c r="A204" s="159"/>
      <c r="B204" s="649">
        <v>0</v>
      </c>
      <c r="C204" s="515"/>
      <c r="D204" s="720" t="str">
        <f>" - " &amp; 'Giá VL'!E29</f>
        <v xml:space="preserve"> - Thép hình</v>
      </c>
      <c r="E204" s="649" t="str">
        <f>'Giá VL'!F29</f>
        <v>kg</v>
      </c>
      <c r="F204" s="160">
        <v>0</v>
      </c>
      <c r="G204" s="485">
        <v>0.4884</v>
      </c>
      <c r="H204" s="485">
        <f>'Du toan chi tiet'!V35</f>
        <v>1</v>
      </c>
      <c r="I204" s="761">
        <f>'Giá VL'!G29</f>
        <v>19600</v>
      </c>
      <c r="J204" s="526">
        <f>'Giá VL'!G29</f>
        <v>19600</v>
      </c>
      <c r="K204" s="526">
        <f t="shared" si="136"/>
        <v>9572.64</v>
      </c>
      <c r="L204" s="526">
        <f>'Giá VL'!J29</f>
        <v>19600</v>
      </c>
      <c r="M204" s="527">
        <f t="shared" si="137"/>
        <v>9572.64</v>
      </c>
      <c r="N204" s="527">
        <v>0</v>
      </c>
      <c r="O204" s="527">
        <v>0</v>
      </c>
      <c r="P204" s="527">
        <f>'Giá VL'!V29</f>
        <v>19657.495796390001</v>
      </c>
      <c r="Q204" s="527">
        <f t="shared" si="138"/>
        <v>9600.720946956877</v>
      </c>
      <c r="R204" s="892">
        <f t="shared" si="139"/>
        <v>9572.64</v>
      </c>
    </row>
    <row r="205" spans="1:18" ht="15" customHeight="1" x14ac:dyDescent="0.25">
      <c r="A205" s="159"/>
      <c r="B205" s="649">
        <v>0</v>
      </c>
      <c r="C205" s="515"/>
      <c r="D205" s="720" t="str">
        <f>" - " &amp; 'Giá VL'!E25</f>
        <v xml:space="preserve"> - Que hàn</v>
      </c>
      <c r="E205" s="649" t="str">
        <f>'Giá VL'!F25</f>
        <v>kg</v>
      </c>
      <c r="F205" s="160">
        <v>0</v>
      </c>
      <c r="G205" s="485">
        <v>5.6000000000000001E-2</v>
      </c>
      <c r="H205" s="485">
        <f>'Du toan chi tiet'!V35</f>
        <v>1</v>
      </c>
      <c r="I205" s="761">
        <f>'Giá VL'!G25</f>
        <v>18182</v>
      </c>
      <c r="J205" s="526">
        <f>'Giá VL'!G25</f>
        <v>18182</v>
      </c>
      <c r="K205" s="526">
        <f t="shared" si="136"/>
        <v>1018.192</v>
      </c>
      <c r="L205" s="526">
        <f>'Giá VL'!J25</f>
        <v>18182</v>
      </c>
      <c r="M205" s="527">
        <f t="shared" si="137"/>
        <v>1018.192</v>
      </c>
      <c r="N205" s="527">
        <v>0</v>
      </c>
      <c r="O205" s="527">
        <v>0</v>
      </c>
      <c r="P205" s="527">
        <f>'Giá VL'!V25</f>
        <v>18182</v>
      </c>
      <c r="Q205" s="527">
        <f t="shared" si="138"/>
        <v>1018.192</v>
      </c>
      <c r="R205" s="892">
        <f t="shared" si="139"/>
        <v>1018.192</v>
      </c>
    </row>
    <row r="206" spans="1:18" ht="15" customHeight="1" x14ac:dyDescent="0.25">
      <c r="A206" s="159"/>
      <c r="B206" s="649">
        <v>0</v>
      </c>
      <c r="C206" s="515"/>
      <c r="D206" s="720" t="s">
        <v>238</v>
      </c>
      <c r="E206" s="649" t="s">
        <v>1113</v>
      </c>
      <c r="F206" s="160">
        <v>0</v>
      </c>
      <c r="G206" s="485">
        <v>2</v>
      </c>
      <c r="H206" s="485">
        <f>'Du toan chi tiet'!V35</f>
        <v>1</v>
      </c>
      <c r="I206" s="761"/>
      <c r="J206" s="526" t="e">
        <f>(G203*J203+G204*J204+#REF!*#REF!+G205*J205)/100</f>
        <v>#REF!</v>
      </c>
      <c r="K206" s="526" t="e">
        <f t="shared" si="136"/>
        <v>#REF!</v>
      </c>
      <c r="L206" s="526" t="e">
        <f>(G203*L203+G204*L204+#REF!*#REF!+G205*L205)/100</f>
        <v>#REF!</v>
      </c>
      <c r="M206" s="527" t="e">
        <f t="shared" si="137"/>
        <v>#REF!</v>
      </c>
      <c r="N206" s="527">
        <v>0</v>
      </c>
      <c r="O206" s="527">
        <v>0</v>
      </c>
      <c r="P206" s="527">
        <f>(G203*P203+G204*P204+G205*P205)/100</f>
        <v>208.03461519066536</v>
      </c>
      <c r="Q206" s="527">
        <f t="shared" si="138"/>
        <v>416.06923038133073</v>
      </c>
      <c r="R206" s="893">
        <f>ROUND(SUM(R203:R205)*G206/100,5)</f>
        <v>414.91183999999998</v>
      </c>
    </row>
    <row r="207" spans="1:18" ht="15" customHeight="1" x14ac:dyDescent="0.25">
      <c r="A207" s="159"/>
      <c r="B207" s="649">
        <v>0</v>
      </c>
      <c r="C207" s="515"/>
      <c r="D207" s="720" t="s">
        <v>301</v>
      </c>
      <c r="E207" s="649"/>
      <c r="F207" s="160">
        <v>0</v>
      </c>
      <c r="G207" s="485">
        <v>0</v>
      </c>
      <c r="H207" s="485"/>
      <c r="I207" s="761"/>
      <c r="J207" s="526">
        <v>0</v>
      </c>
      <c r="K207" s="526">
        <f>SUM(K208:K208)</f>
        <v>78024.45</v>
      </c>
      <c r="L207" s="526">
        <v>0</v>
      </c>
      <c r="M207" s="527">
        <f>SUM(M208:M208)</f>
        <v>78024.45</v>
      </c>
      <c r="N207" s="527">
        <v>0</v>
      </c>
      <c r="O207" s="527">
        <v>0</v>
      </c>
      <c r="P207" s="527">
        <v>0</v>
      </c>
      <c r="Q207" s="527">
        <f>SUM(Q208:Q208)</f>
        <v>78024.45</v>
      </c>
      <c r="R207" s="891">
        <f>ROUND(SUM(R208),5)</f>
        <v>78024.45</v>
      </c>
    </row>
    <row r="208" spans="1:18" ht="15" customHeight="1" x14ac:dyDescent="0.25">
      <c r="A208" s="159"/>
      <c r="B208" s="649">
        <v>0</v>
      </c>
      <c r="C208" s="515"/>
      <c r="D208" s="720" t="str">
        <f>" - " &amp; 'Giá NC'!E9</f>
        <v xml:space="preserve"> - Nhân công bậc 4,0/7 - Nhóm 2</v>
      </c>
      <c r="E208" s="649" t="str">
        <f>'Giá NC'!F9</f>
        <v>công</v>
      </c>
      <c r="F208" s="160">
        <v>0</v>
      </c>
      <c r="G208" s="485">
        <f>0.285</f>
        <v>0.28499999999999998</v>
      </c>
      <c r="H208" s="485">
        <f>'Du toan chi tiet'!W35</f>
        <v>1</v>
      </c>
      <c r="I208" s="761">
        <f>'Giá NC'!G9</f>
        <v>273770</v>
      </c>
      <c r="J208" s="526">
        <f>'Giá NC'!G9</f>
        <v>273770</v>
      </c>
      <c r="K208" s="526">
        <f>PRODUCT(G208, H208, J208)</f>
        <v>78024.45</v>
      </c>
      <c r="L208" s="526">
        <f>'Giá NC'!H9</f>
        <v>273770</v>
      </c>
      <c r="M208" s="527">
        <f>PRODUCT(G208, H208, L208)</f>
        <v>78024.45</v>
      </c>
      <c r="N208" s="527">
        <v>0</v>
      </c>
      <c r="O208" s="527">
        <v>0</v>
      </c>
      <c r="P208" s="527">
        <f>'Giá NC'!K9</f>
        <v>273770</v>
      </c>
      <c r="Q208" s="527">
        <f>PRODUCT(G208, H208, P208)</f>
        <v>78024.45</v>
      </c>
      <c r="R208" s="892">
        <f t="shared" ref="R208" si="140">ROUND(G208*I208,5)</f>
        <v>78024.45</v>
      </c>
    </row>
    <row r="209" spans="1:18" ht="15" customHeight="1" x14ac:dyDescent="0.25">
      <c r="A209" s="159"/>
      <c r="B209" s="649">
        <v>0</v>
      </c>
      <c r="C209" s="515"/>
      <c r="D209" s="720" t="s">
        <v>1175</v>
      </c>
      <c r="E209" s="649"/>
      <c r="F209" s="160">
        <v>0</v>
      </c>
      <c r="G209" s="485">
        <v>0</v>
      </c>
      <c r="H209" s="485"/>
      <c r="I209" s="761"/>
      <c r="J209" s="526">
        <v>0</v>
      </c>
      <c r="K209" s="526" t="e">
        <f>SUM(K210:K211)</f>
        <v>#REF!</v>
      </c>
      <c r="L209" s="526">
        <v>0</v>
      </c>
      <c r="M209" s="527" t="e">
        <f>SUM(M210:M211)</f>
        <v>#REF!</v>
      </c>
      <c r="N209" s="527">
        <v>0</v>
      </c>
      <c r="O209" s="527">
        <v>0</v>
      </c>
      <c r="P209" s="527">
        <v>0</v>
      </c>
      <c r="Q209" s="527">
        <f>SUM(Q210:Q211)</f>
        <v>7312.2830999999996</v>
      </c>
      <c r="R209" s="891">
        <f>ROUND(SUM(R210:R210),5)</f>
        <v>7168.9049999999997</v>
      </c>
    </row>
    <row r="210" spans="1:18" ht="15" customHeight="1" x14ac:dyDescent="0.25">
      <c r="A210" s="159"/>
      <c r="B210" s="649">
        <v>0</v>
      </c>
      <c r="C210" s="515"/>
      <c r="D210" s="720" t="str">
        <f>" - " &amp; 'Giá Máy'!E15</f>
        <v xml:space="preserve"> - Máy hàn điện 23kW</v>
      </c>
      <c r="E210" s="649" t="str">
        <f>'Giá Máy'!F15</f>
        <v>ca</v>
      </c>
      <c r="F210" s="160">
        <v>0</v>
      </c>
      <c r="G210" s="485">
        <v>1.4999999999999999E-2</v>
      </c>
      <c r="H210" s="485">
        <f>'Du toan chi tiet'!X35</f>
        <v>1</v>
      </c>
      <c r="I210" s="761">
        <f>'Giá Máy'!G15</f>
        <v>477927</v>
      </c>
      <c r="J210" s="526">
        <f>'Giá Máy'!G15</f>
        <v>477927</v>
      </c>
      <c r="K210" s="526">
        <f t="shared" ref="K210:K211" si="141">PRODUCT(G210, H210, J210)</f>
        <v>7168.9049999999997</v>
      </c>
      <c r="L210" s="526">
        <f>'Giá Máy'!H15</f>
        <v>477927</v>
      </c>
      <c r="M210" s="527">
        <f t="shared" ref="M210:M211" si="142">PRODUCT(G210, H210, L210)</f>
        <v>7168.9049999999997</v>
      </c>
      <c r="N210" s="527">
        <v>0</v>
      </c>
      <c r="O210" s="527">
        <v>0</v>
      </c>
      <c r="P210" s="527">
        <f>'Giá Máy'!O15</f>
        <v>477927</v>
      </c>
      <c r="Q210" s="527">
        <f t="shared" ref="Q210:Q211" si="143">PRODUCT(G210, H210, P210)</f>
        <v>7168.9049999999997</v>
      </c>
      <c r="R210" s="892">
        <f t="shared" ref="R210" si="144">ROUND(G210*I210,5)</f>
        <v>7168.9049999999997</v>
      </c>
    </row>
    <row r="211" spans="1:18" ht="15" customHeight="1" x14ac:dyDescent="0.25">
      <c r="A211" s="78"/>
      <c r="B211" s="583">
        <v>0</v>
      </c>
      <c r="C211" s="442"/>
      <c r="D211" s="647" t="s">
        <v>1080</v>
      </c>
      <c r="E211" s="583" t="s">
        <v>1113</v>
      </c>
      <c r="F211" s="79">
        <v>0</v>
      </c>
      <c r="G211" s="412">
        <v>2</v>
      </c>
      <c r="H211" s="412">
        <f>'Du toan chi tiet'!X35</f>
        <v>1</v>
      </c>
      <c r="I211" s="762"/>
      <c r="J211" s="483" t="e">
        <f>(G210*J210+#REF!*#REF!+#REF!*#REF!)/100</f>
        <v>#REF!</v>
      </c>
      <c r="K211" s="483" t="e">
        <f t="shared" si="141"/>
        <v>#REF!</v>
      </c>
      <c r="L211" s="483" t="e">
        <f>(G210*L210+#REF!*#REF!+#REF!*#REF!)/100</f>
        <v>#REF!</v>
      </c>
      <c r="M211" s="487" t="e">
        <f t="shared" si="142"/>
        <v>#REF!</v>
      </c>
      <c r="N211" s="487">
        <v>0</v>
      </c>
      <c r="O211" s="487">
        <v>0</v>
      </c>
      <c r="P211" s="487">
        <f>(G210*P210)/100</f>
        <v>71.689049999999995</v>
      </c>
      <c r="Q211" s="487">
        <f t="shared" si="143"/>
        <v>143.37809999999999</v>
      </c>
      <c r="R211" s="893">
        <f>ROUND(SUM(R210:R210)*G211/100,5)</f>
        <v>143.37809999999999</v>
      </c>
    </row>
    <row r="212" spans="1:18" ht="30" customHeight="1" x14ac:dyDescent="0.25">
      <c r="A212" s="421"/>
      <c r="B212" s="354">
        <v>28</v>
      </c>
      <c r="C212" s="208" t="s">
        <v>1067</v>
      </c>
      <c r="D212" s="419" t="str">
        <f>'Du toan chi tiet'!D36</f>
        <v>Bê tông móng tường cánh SX bằng máy trộn, đổ bằng thủ công, rộng ≤250cm, M150, đá 2x4, PCB40</v>
      </c>
      <c r="E212" s="354" t="str">
        <f>'Du toan chi tiet'!E36</f>
        <v>m3</v>
      </c>
      <c r="F212" s="624">
        <f>'Du toan chi tiet'!M36</f>
        <v>0.59</v>
      </c>
      <c r="G212" s="182">
        <v>0</v>
      </c>
      <c r="H212" s="182">
        <v>0</v>
      </c>
      <c r="I212" s="758"/>
      <c r="J212" s="259">
        <v>0</v>
      </c>
      <c r="K212" s="259">
        <v>0</v>
      </c>
      <c r="L212" s="259">
        <v>0</v>
      </c>
      <c r="M212" s="259">
        <v>0</v>
      </c>
      <c r="N212" s="259">
        <v>0</v>
      </c>
      <c r="O212" s="259">
        <v>0</v>
      </c>
      <c r="P212" s="259">
        <v>0</v>
      </c>
      <c r="Q212" s="259">
        <v>0</v>
      </c>
      <c r="R212" s="467"/>
    </row>
    <row r="213" spans="1:18" ht="15" customHeight="1" x14ac:dyDescent="0.25">
      <c r="A213" s="159"/>
      <c r="B213" s="649">
        <v>0</v>
      </c>
      <c r="C213" s="515"/>
      <c r="D213" s="720" t="s">
        <v>547</v>
      </c>
      <c r="E213" s="649"/>
      <c r="F213" s="160">
        <v>0</v>
      </c>
      <c r="G213" s="485">
        <v>0</v>
      </c>
      <c r="H213" s="485"/>
      <c r="I213" s="761"/>
      <c r="J213" s="526">
        <v>0</v>
      </c>
      <c r="K213" s="526">
        <f>SUM(K214:K218)</f>
        <v>781807.50078899984</v>
      </c>
      <c r="L213" s="526">
        <v>0</v>
      </c>
      <c r="M213" s="527">
        <f>SUM(M214:M218)</f>
        <v>781807.50078899984</v>
      </c>
      <c r="N213" s="527">
        <v>0</v>
      </c>
      <c r="O213" s="527">
        <v>0</v>
      </c>
      <c r="P213" s="527">
        <v>0</v>
      </c>
      <c r="Q213" s="527">
        <f>SUM(Q214:Q218)</f>
        <v>834624.02152202884</v>
      </c>
      <c r="R213" s="891">
        <f>ROUND(SUM(R214:R215),5)</f>
        <v>507626.47145000001</v>
      </c>
    </row>
    <row r="214" spans="1:18" ht="15" customHeight="1" x14ac:dyDescent="0.25">
      <c r="A214" s="159"/>
      <c r="B214" s="649">
        <v>0</v>
      </c>
      <c r="C214" s="515"/>
      <c r="D214" s="720" t="str">
        <f>" - " &amp; 'Giá VL'!E37</f>
        <v xml:space="preserve"> - Xi măng PCB40</v>
      </c>
      <c r="E214" s="649" t="str">
        <f>'Giá VL'!F37</f>
        <v>kg</v>
      </c>
      <c r="F214" s="160">
        <v>0</v>
      </c>
      <c r="G214" s="485">
        <v>210.125</v>
      </c>
      <c r="H214" s="485">
        <f>'Du toan chi tiet'!V36</f>
        <v>1</v>
      </c>
      <c r="I214" s="761">
        <f>'Giá VL'!G37</f>
        <v>1563.7239999999999</v>
      </c>
      <c r="J214" s="526">
        <f>'Giá VL'!G37</f>
        <v>1563.7239999999999</v>
      </c>
      <c r="K214" s="526">
        <f t="shared" ref="K214:K218" si="145">PRODUCT(G214, H214, J214)</f>
        <v>328577.50549999997</v>
      </c>
      <c r="L214" s="526">
        <f>'Giá VL'!J37</f>
        <v>1563.7239999999999</v>
      </c>
      <c r="M214" s="527">
        <f t="shared" ref="M214:M218" si="146">PRODUCT(G214, H214, L214)</f>
        <v>328577.50549999997</v>
      </c>
      <c r="N214" s="527">
        <v>0</v>
      </c>
      <c r="O214" s="527">
        <v>0</v>
      </c>
      <c r="P214" s="527">
        <f>'Giá VL'!V37</f>
        <v>1587.7239999999999</v>
      </c>
      <c r="Q214" s="527">
        <f t="shared" ref="Q214:Q218" si="147">PRODUCT(G214, H214, P214)</f>
        <v>333620.50549999997</v>
      </c>
      <c r="R214" s="892">
        <f t="shared" ref="R214:R215" si="148">ROUND(G214*I214,5)</f>
        <v>328577.50550000003</v>
      </c>
    </row>
    <row r="215" spans="1:18" ht="15" customHeight="1" x14ac:dyDescent="0.25">
      <c r="A215" s="159"/>
      <c r="B215" s="649">
        <v>0</v>
      </c>
      <c r="C215" s="515"/>
      <c r="D215" s="720" t="str">
        <f>" - " &amp; 'Giá VL'!E9</f>
        <v xml:space="preserve"> - Cát vàng</v>
      </c>
      <c r="E215" s="649" t="str">
        <f>'Giá VL'!F9</f>
        <v>m3</v>
      </c>
      <c r="F215" s="160">
        <v>0</v>
      </c>
      <c r="G215" s="485">
        <v>0.56272500000000003</v>
      </c>
      <c r="H215" s="485">
        <f>'Du toan chi tiet'!V36</f>
        <v>1</v>
      </c>
      <c r="I215" s="761">
        <f>'Giá VL'!G9</f>
        <v>318182</v>
      </c>
      <c r="J215" s="526">
        <f>'Giá VL'!G9</f>
        <v>318182</v>
      </c>
      <c r="K215" s="526">
        <f t="shared" si="145"/>
        <v>179048.96595000001</v>
      </c>
      <c r="L215" s="526">
        <f>'Giá VL'!J9</f>
        <v>318182</v>
      </c>
      <c r="M215" s="527">
        <f t="shared" si="146"/>
        <v>179048.96595000001</v>
      </c>
      <c r="N215" s="527">
        <v>0</v>
      </c>
      <c r="O215" s="527">
        <v>0</v>
      </c>
      <c r="P215" s="527">
        <f>'Giá VL'!V9</f>
        <v>345317.29174999997</v>
      </c>
      <c r="Q215" s="527">
        <f t="shared" si="147"/>
        <v>194318.67300001875</v>
      </c>
      <c r="R215" s="892">
        <f t="shared" si="148"/>
        <v>179048.96595000001</v>
      </c>
    </row>
    <row r="216" spans="1:18" ht="15" customHeight="1" x14ac:dyDescent="0.25">
      <c r="A216" s="159"/>
      <c r="B216" s="649">
        <v>0</v>
      </c>
      <c r="C216" s="515"/>
      <c r="D216" s="720" t="str">
        <f>" - " &amp; 'Giá VL'!E12</f>
        <v xml:space="preserve"> - Đá 2x4</v>
      </c>
      <c r="E216" s="649" t="str">
        <f>'Giá VL'!F12</f>
        <v>m3</v>
      </c>
      <c r="F216" s="160">
        <v>0</v>
      </c>
      <c r="G216" s="485">
        <v>0.91225000000000001</v>
      </c>
      <c r="H216" s="485">
        <f>'Du toan chi tiet'!V36</f>
        <v>1</v>
      </c>
      <c r="I216" s="761"/>
      <c r="J216" s="526">
        <f>'Giá VL'!G12</f>
        <v>281818</v>
      </c>
      <c r="K216" s="526">
        <f t="shared" si="145"/>
        <v>257088.4705</v>
      </c>
      <c r="L216" s="526">
        <f>'Giá VL'!J12</f>
        <v>281818</v>
      </c>
      <c r="M216" s="527">
        <f t="shared" si="146"/>
        <v>257088.4705</v>
      </c>
      <c r="N216" s="527">
        <v>0</v>
      </c>
      <c r="O216" s="527">
        <v>0</v>
      </c>
      <c r="P216" s="527">
        <f>'Giá VL'!V12</f>
        <v>316313.14456500002</v>
      </c>
      <c r="Q216" s="527">
        <f t="shared" si="147"/>
        <v>288556.66612942127</v>
      </c>
      <c r="R216" s="891">
        <f>ROUND(SUM(R217:R218),5)</f>
        <v>1798.26</v>
      </c>
    </row>
    <row r="217" spans="1:18" ht="15" customHeight="1" x14ac:dyDescent="0.25">
      <c r="A217" s="159"/>
      <c r="B217" s="649">
        <v>0</v>
      </c>
      <c r="C217" s="515"/>
      <c r="D217" s="720" t="str">
        <f>" - " &amp; 'Giá VL'!E23</f>
        <v xml:space="preserve"> - Nước</v>
      </c>
      <c r="E217" s="649" t="str">
        <f>'Giá VL'!F23</f>
        <v>lít</v>
      </c>
      <c r="F217" s="160">
        <v>0</v>
      </c>
      <c r="G217" s="485">
        <v>176.3</v>
      </c>
      <c r="H217" s="485">
        <f>'Du toan chi tiet'!V36</f>
        <v>1</v>
      </c>
      <c r="I217" s="761">
        <f>'Giá VL'!G23</f>
        <v>10</v>
      </c>
      <c r="J217" s="526">
        <f>'Giá VL'!G23</f>
        <v>10</v>
      </c>
      <c r="K217" s="526">
        <f t="shared" si="145"/>
        <v>1763</v>
      </c>
      <c r="L217" s="526">
        <f>'Giá VL'!J23</f>
        <v>10</v>
      </c>
      <c r="M217" s="527">
        <f t="shared" si="146"/>
        <v>1763</v>
      </c>
      <c r="N217" s="527">
        <v>0</v>
      </c>
      <c r="O217" s="527">
        <v>0</v>
      </c>
      <c r="P217" s="527">
        <f>'Giá VL'!V23</f>
        <v>10</v>
      </c>
      <c r="Q217" s="527">
        <f t="shared" si="147"/>
        <v>1763</v>
      </c>
      <c r="R217" s="892">
        <f t="shared" ref="R217" si="149">ROUND(G217*I217,5)</f>
        <v>1763</v>
      </c>
    </row>
    <row r="218" spans="1:18" ht="15" customHeight="1" x14ac:dyDescent="0.25">
      <c r="A218" s="159"/>
      <c r="B218" s="649">
        <v>0</v>
      </c>
      <c r="C218" s="515"/>
      <c r="D218" s="720" t="s">
        <v>238</v>
      </c>
      <c r="E218" s="649" t="s">
        <v>1113</v>
      </c>
      <c r="F218" s="160">
        <v>0</v>
      </c>
      <c r="G218" s="485">
        <v>2</v>
      </c>
      <c r="H218" s="485">
        <f>'Du toan chi tiet'!V36</f>
        <v>1</v>
      </c>
      <c r="I218" s="761"/>
      <c r="J218" s="526">
        <f>(G214*J214+G215*J215+G216*J216+G217*J217)/100</f>
        <v>7664.7794194999988</v>
      </c>
      <c r="K218" s="526">
        <f t="shared" si="145"/>
        <v>15329.558838999998</v>
      </c>
      <c r="L218" s="526">
        <f>(G214*L214+G215*L215+G216*L216+G217*L217)/100</f>
        <v>7664.7794194999988</v>
      </c>
      <c r="M218" s="527">
        <f t="shared" si="146"/>
        <v>15329.558838999998</v>
      </c>
      <c r="N218" s="527">
        <v>0</v>
      </c>
      <c r="O218" s="527">
        <v>0</v>
      </c>
      <c r="P218" s="527">
        <f>(G214*P214+G215*P215+G216*P216+G217*P217)/100</f>
        <v>8182.5884462943995</v>
      </c>
      <c r="Q218" s="527">
        <f t="shared" si="147"/>
        <v>16365.176892588799</v>
      </c>
      <c r="R218" s="893">
        <f>ROUND(SUM(R217)*G218/100,5)</f>
        <v>35.26</v>
      </c>
    </row>
    <row r="219" spans="1:18" ht="15" customHeight="1" x14ac:dyDescent="0.25">
      <c r="A219" s="159"/>
      <c r="B219" s="649">
        <v>0</v>
      </c>
      <c r="C219" s="515"/>
      <c r="D219" s="720" t="s">
        <v>301</v>
      </c>
      <c r="E219" s="649"/>
      <c r="F219" s="160">
        <v>0</v>
      </c>
      <c r="G219" s="485">
        <v>0</v>
      </c>
      <c r="H219" s="485"/>
      <c r="I219" s="761"/>
      <c r="J219" s="526">
        <v>0</v>
      </c>
      <c r="K219" s="526">
        <f>SUM(K220:K220)</f>
        <v>283674.90000000002</v>
      </c>
      <c r="L219" s="526">
        <v>0</v>
      </c>
      <c r="M219" s="527">
        <f>SUM(M220:M220)</f>
        <v>283674.90000000002</v>
      </c>
      <c r="N219" s="527">
        <v>0</v>
      </c>
      <c r="O219" s="527">
        <v>0</v>
      </c>
      <c r="P219" s="527">
        <v>0</v>
      </c>
      <c r="Q219" s="527">
        <f>SUM(Q220:Q220)</f>
        <v>283674.90000000002</v>
      </c>
      <c r="R219" s="891">
        <f>ROUND(SUM(R220),5)</f>
        <v>268827.57</v>
      </c>
    </row>
    <row r="220" spans="1:18" ht="15" customHeight="1" x14ac:dyDescent="0.25">
      <c r="A220" s="159"/>
      <c r="B220" s="649">
        <v>0</v>
      </c>
      <c r="C220" s="515"/>
      <c r="D220" s="720" t="str">
        <f>" - " &amp; 'Giá NC'!E7</f>
        <v xml:space="preserve"> - Nhân công bậc 3,0/7 - Nhóm 2</v>
      </c>
      <c r="E220" s="649" t="str">
        <f>'Giá NC'!F7</f>
        <v>công</v>
      </c>
      <c r="F220" s="160">
        <v>0</v>
      </c>
      <c r="G220" s="485">
        <v>1.23</v>
      </c>
      <c r="H220" s="485">
        <f>'Du toan chi tiet'!W36</f>
        <v>1</v>
      </c>
      <c r="I220" s="761">
        <f>'Giá NC'!G5</f>
        <v>218559</v>
      </c>
      <c r="J220" s="526">
        <f>'Giá NC'!G7</f>
        <v>230630</v>
      </c>
      <c r="K220" s="526">
        <f>PRODUCT(G220, H220, J220)</f>
        <v>283674.90000000002</v>
      </c>
      <c r="L220" s="526">
        <f>'Giá NC'!H7</f>
        <v>230630</v>
      </c>
      <c r="M220" s="527">
        <f>PRODUCT(G220, H220, L220)</f>
        <v>283674.90000000002</v>
      </c>
      <c r="N220" s="527">
        <v>0</v>
      </c>
      <c r="O220" s="527">
        <v>0</v>
      </c>
      <c r="P220" s="527">
        <f>'Giá NC'!K7</f>
        <v>230630</v>
      </c>
      <c r="Q220" s="527">
        <f>PRODUCT(G220, H220, P220)</f>
        <v>283674.90000000002</v>
      </c>
      <c r="R220" s="892">
        <f t="shared" ref="R220" si="150">ROUND(G220*I220,5)</f>
        <v>268827.57</v>
      </c>
    </row>
    <row r="221" spans="1:18" ht="15" customHeight="1" x14ac:dyDescent="0.25">
      <c r="A221" s="159"/>
      <c r="B221" s="649">
        <v>0</v>
      </c>
      <c r="C221" s="515"/>
      <c r="D221" s="720" t="s">
        <v>1175</v>
      </c>
      <c r="E221" s="649"/>
      <c r="F221" s="160">
        <v>0</v>
      </c>
      <c r="G221" s="485">
        <v>0</v>
      </c>
      <c r="H221" s="485"/>
      <c r="I221" s="761"/>
      <c r="J221" s="526">
        <v>0</v>
      </c>
      <c r="K221" s="526">
        <f>SUM(K222:K223)</f>
        <v>53736.607000000004</v>
      </c>
      <c r="L221" s="526">
        <v>0</v>
      </c>
      <c r="M221" s="527">
        <f>SUM(M222:M223)</f>
        <v>53736.607000000004</v>
      </c>
      <c r="N221" s="527">
        <v>0</v>
      </c>
      <c r="O221" s="527">
        <v>0</v>
      </c>
      <c r="P221" s="527">
        <v>0</v>
      </c>
      <c r="Q221" s="527">
        <f>SUM(Q222:Q223)</f>
        <v>53736.607000000004</v>
      </c>
      <c r="R221" s="891">
        <f>ROUND(SUM(R222:R223),5)</f>
        <v>53736.607000000004</v>
      </c>
    </row>
    <row r="222" spans="1:18" ht="15" customHeight="1" x14ac:dyDescent="0.25">
      <c r="A222" s="159"/>
      <c r="B222" s="649">
        <v>0</v>
      </c>
      <c r="C222" s="515"/>
      <c r="D222" s="720" t="str">
        <f>" - " &amp; 'Giá Máy'!E20</f>
        <v xml:space="preserve"> - Máy trộn bê tông 250 lít</v>
      </c>
      <c r="E222" s="649" t="str">
        <f>'Giá Máy'!F20</f>
        <v>ca</v>
      </c>
      <c r="F222" s="160">
        <v>0</v>
      </c>
      <c r="G222" s="485">
        <v>9.5000000000000001E-2</v>
      </c>
      <c r="H222" s="485">
        <f>'Du toan chi tiet'!X36</f>
        <v>1</v>
      </c>
      <c r="I222" s="761">
        <f>'Giá Máy'!G20</f>
        <v>317242</v>
      </c>
      <c r="J222" s="526">
        <f>'Giá Máy'!G20</f>
        <v>317242</v>
      </c>
      <c r="K222" s="526">
        <f t="shared" ref="K222:K223" si="151">PRODUCT(G222, H222, J222)</f>
        <v>30137.99</v>
      </c>
      <c r="L222" s="526">
        <f>'Giá Máy'!H20</f>
        <v>317242</v>
      </c>
      <c r="M222" s="527">
        <f t="shared" ref="M222:M223" si="152">PRODUCT(G222, H222, L222)</f>
        <v>30137.99</v>
      </c>
      <c r="N222" s="527">
        <v>0</v>
      </c>
      <c r="O222" s="527">
        <v>0</v>
      </c>
      <c r="P222" s="527">
        <f>'Giá Máy'!O20</f>
        <v>317242</v>
      </c>
      <c r="Q222" s="527">
        <f t="shared" ref="Q222:Q223" si="153">PRODUCT(G222, H222, P222)</f>
        <v>30137.99</v>
      </c>
      <c r="R222" s="892">
        <f t="shared" ref="R222:R223" si="154">ROUND(G222*I222,5)</f>
        <v>30137.99</v>
      </c>
    </row>
    <row r="223" spans="1:18" ht="15" customHeight="1" x14ac:dyDescent="0.25">
      <c r="A223" s="78"/>
      <c r="B223" s="583">
        <v>0</v>
      </c>
      <c r="C223" s="442"/>
      <c r="D223" s="647" t="str">
        <f>" - " &amp; 'Giá Máy'!E12</f>
        <v xml:space="preserve"> - Máy đầm dùi 1,5kW</v>
      </c>
      <c r="E223" s="583" t="str">
        <f>'Giá Máy'!F12</f>
        <v>ca</v>
      </c>
      <c r="F223" s="79">
        <v>0</v>
      </c>
      <c r="G223" s="412">
        <v>8.8999999999999996E-2</v>
      </c>
      <c r="H223" s="412">
        <f>'Du toan chi tiet'!X36</f>
        <v>1</v>
      </c>
      <c r="I223" s="762">
        <f>'Giá Máy'!G12</f>
        <v>265153</v>
      </c>
      <c r="J223" s="483">
        <f>'Giá Máy'!G12</f>
        <v>265153</v>
      </c>
      <c r="K223" s="483">
        <f t="shared" si="151"/>
        <v>23598.616999999998</v>
      </c>
      <c r="L223" s="483">
        <f>'Giá Máy'!H12</f>
        <v>265153</v>
      </c>
      <c r="M223" s="487">
        <f t="shared" si="152"/>
        <v>23598.616999999998</v>
      </c>
      <c r="N223" s="487">
        <v>0</v>
      </c>
      <c r="O223" s="487">
        <v>0</v>
      </c>
      <c r="P223" s="487">
        <f>'Giá Máy'!O12</f>
        <v>265153</v>
      </c>
      <c r="Q223" s="487">
        <f t="shared" si="153"/>
        <v>23598.616999999998</v>
      </c>
      <c r="R223" s="892">
        <f t="shared" si="154"/>
        <v>23598.616999999998</v>
      </c>
    </row>
    <row r="224" spans="1:18" ht="15" customHeight="1" x14ac:dyDescent="0.25">
      <c r="A224" s="421"/>
      <c r="B224" s="140">
        <v>29</v>
      </c>
      <c r="C224" s="465" t="s">
        <v>885</v>
      </c>
      <c r="D224" s="227" t="str">
        <f>'Du toan chi tiet'!D37</f>
        <v>Ván khuôn móng dài</v>
      </c>
      <c r="E224" s="140" t="str">
        <f>'Du toan chi tiet'!E37</f>
        <v>m2</v>
      </c>
      <c r="F224" s="422">
        <f>'Du toan chi tiet'!M37</f>
        <v>1.78</v>
      </c>
      <c r="G224" s="731">
        <v>0</v>
      </c>
      <c r="H224" s="731">
        <v>0</v>
      </c>
      <c r="I224" s="763"/>
      <c r="J224" s="24">
        <v>0</v>
      </c>
      <c r="K224" s="24">
        <v>0</v>
      </c>
      <c r="L224" s="24">
        <v>0</v>
      </c>
      <c r="M224" s="28">
        <v>0</v>
      </c>
      <c r="N224" s="28">
        <v>0</v>
      </c>
      <c r="O224" s="28">
        <v>0</v>
      </c>
      <c r="P224" s="28">
        <v>0</v>
      </c>
      <c r="Q224" s="28">
        <v>0</v>
      </c>
      <c r="R224" s="467"/>
    </row>
    <row r="225" spans="1:18" ht="15" customHeight="1" x14ac:dyDescent="0.25">
      <c r="A225" s="159"/>
      <c r="B225" s="649">
        <v>0</v>
      </c>
      <c r="C225" s="515"/>
      <c r="D225" s="720" t="s">
        <v>547</v>
      </c>
      <c r="E225" s="649"/>
      <c r="F225" s="160">
        <v>0</v>
      </c>
      <c r="G225" s="485">
        <v>0</v>
      </c>
      <c r="H225" s="485"/>
      <c r="I225" s="761"/>
      <c r="J225" s="526">
        <v>0</v>
      </c>
      <c r="K225" s="526">
        <f>SUM(K226:K229)</f>
        <v>17363.881463999998</v>
      </c>
      <c r="L225" s="526">
        <v>0</v>
      </c>
      <c r="M225" s="527">
        <f>SUM(M226:M229)</f>
        <v>17363.881463999998</v>
      </c>
      <c r="N225" s="527">
        <v>0</v>
      </c>
      <c r="O225" s="527">
        <v>0</v>
      </c>
      <c r="P225" s="527">
        <v>0</v>
      </c>
      <c r="Q225" s="527">
        <f>SUM(Q226:Q229)</f>
        <v>17413.044164636009</v>
      </c>
      <c r="R225" s="891">
        <f>ROUND(SUM(R226:R229),5)</f>
        <v>17363.881460000001</v>
      </c>
    </row>
    <row r="226" spans="1:18" ht="15" customHeight="1" x14ac:dyDescent="0.25">
      <c r="A226" s="159"/>
      <c r="B226" s="649">
        <v>0</v>
      </c>
      <c r="C226" s="515"/>
      <c r="D226" s="720" t="str">
        <f>" - " &amp; 'Giá VL'!E31</f>
        <v xml:space="preserve"> - Thép tấm</v>
      </c>
      <c r="E226" s="649" t="str">
        <f>'Giá VL'!F31</f>
        <v>kg</v>
      </c>
      <c r="F226" s="160">
        <v>0</v>
      </c>
      <c r="G226" s="485">
        <v>0.5181</v>
      </c>
      <c r="H226" s="485">
        <f>'Du toan chi tiet'!V37</f>
        <v>1</v>
      </c>
      <c r="I226" s="761">
        <f>'Giá VL'!G31</f>
        <v>19600</v>
      </c>
      <c r="J226" s="526">
        <f>'Giá VL'!G31</f>
        <v>19600</v>
      </c>
      <c r="K226" s="526">
        <f t="shared" ref="K226:K229" si="155">PRODUCT(G226, H226, J226)</f>
        <v>10154.76</v>
      </c>
      <c r="L226" s="526">
        <f>'Giá VL'!J31</f>
        <v>19600</v>
      </c>
      <c r="M226" s="527">
        <f t="shared" ref="M226:M229" si="156">PRODUCT(G226, H226, L226)</f>
        <v>10154.76</v>
      </c>
      <c r="N226" s="527">
        <v>0</v>
      </c>
      <c r="O226" s="527">
        <v>0</v>
      </c>
      <c r="P226" s="527">
        <f>'Giá VL'!V31</f>
        <v>19657.495796390001</v>
      </c>
      <c r="Q226" s="527">
        <f t="shared" ref="Q226:Q229" si="157">PRODUCT(G226, H226, P226)</f>
        <v>10184.548572109659</v>
      </c>
      <c r="R226" s="892">
        <f t="shared" ref="R226:R228" si="158">ROUND(G226*I226,5)</f>
        <v>10154.76</v>
      </c>
    </row>
    <row r="227" spans="1:18" ht="15" customHeight="1" x14ac:dyDescent="0.25">
      <c r="A227" s="159"/>
      <c r="B227" s="649">
        <v>0</v>
      </c>
      <c r="C227" s="515"/>
      <c r="D227" s="720" t="str">
        <f>" - " &amp; 'Giá VL'!E29</f>
        <v xml:space="preserve"> - Thép hình</v>
      </c>
      <c r="E227" s="649" t="str">
        <f>'Giá VL'!F29</f>
        <v>kg</v>
      </c>
      <c r="F227" s="160">
        <v>0</v>
      </c>
      <c r="G227" s="485">
        <v>0.32019999999999998</v>
      </c>
      <c r="H227" s="485">
        <f>'Du toan chi tiet'!V37</f>
        <v>1</v>
      </c>
      <c r="I227" s="761">
        <f>'Giá VL'!G29</f>
        <v>19600</v>
      </c>
      <c r="J227" s="526">
        <f>'Giá VL'!G29</f>
        <v>19600</v>
      </c>
      <c r="K227" s="526">
        <f t="shared" si="155"/>
        <v>6275.92</v>
      </c>
      <c r="L227" s="526">
        <f>'Giá VL'!J29</f>
        <v>19600</v>
      </c>
      <c r="M227" s="527">
        <f t="shared" si="156"/>
        <v>6275.92</v>
      </c>
      <c r="N227" s="527">
        <v>0</v>
      </c>
      <c r="O227" s="527">
        <v>0</v>
      </c>
      <c r="P227" s="527">
        <f>'Giá VL'!V29</f>
        <v>19657.495796390001</v>
      </c>
      <c r="Q227" s="527">
        <f t="shared" si="157"/>
        <v>6294.3301540040784</v>
      </c>
      <c r="R227" s="892">
        <f t="shared" si="158"/>
        <v>6275.92</v>
      </c>
    </row>
    <row r="228" spans="1:18" ht="15" customHeight="1" x14ac:dyDescent="0.25">
      <c r="A228" s="159"/>
      <c r="B228" s="649">
        <v>0</v>
      </c>
      <c r="C228" s="515"/>
      <c r="D228" s="720" t="str">
        <f>" - " &amp; 'Giá VL'!E25</f>
        <v xml:space="preserve"> - Que hàn</v>
      </c>
      <c r="E228" s="649" t="str">
        <f>'Giá VL'!F25</f>
        <v>kg</v>
      </c>
      <c r="F228" s="160">
        <v>0</v>
      </c>
      <c r="G228" s="485">
        <v>3.2599999999999997E-2</v>
      </c>
      <c r="H228" s="485">
        <f>'Du toan chi tiet'!V37</f>
        <v>1</v>
      </c>
      <c r="I228" s="761">
        <f>'Giá VL'!G25</f>
        <v>18182</v>
      </c>
      <c r="J228" s="526">
        <f>'Giá VL'!G25</f>
        <v>18182</v>
      </c>
      <c r="K228" s="526">
        <f t="shared" si="155"/>
        <v>592.7331999999999</v>
      </c>
      <c r="L228" s="526">
        <f>'Giá VL'!J25</f>
        <v>18182</v>
      </c>
      <c r="M228" s="527">
        <f t="shared" si="156"/>
        <v>592.7331999999999</v>
      </c>
      <c r="N228" s="527">
        <v>0</v>
      </c>
      <c r="O228" s="527">
        <v>0</v>
      </c>
      <c r="P228" s="527">
        <f>'Giá VL'!V25</f>
        <v>18182</v>
      </c>
      <c r="Q228" s="527">
        <f t="shared" si="157"/>
        <v>592.7331999999999</v>
      </c>
      <c r="R228" s="892">
        <f t="shared" si="158"/>
        <v>592.73320000000001</v>
      </c>
    </row>
    <row r="229" spans="1:18" ht="15" customHeight="1" x14ac:dyDescent="0.25">
      <c r="A229" s="159"/>
      <c r="B229" s="649">
        <v>0</v>
      </c>
      <c r="C229" s="515"/>
      <c r="D229" s="720" t="s">
        <v>238</v>
      </c>
      <c r="E229" s="649" t="s">
        <v>1113</v>
      </c>
      <c r="F229" s="160">
        <v>0</v>
      </c>
      <c r="G229" s="485">
        <v>2</v>
      </c>
      <c r="H229" s="485">
        <f>'Du toan chi tiet'!V37</f>
        <v>1</v>
      </c>
      <c r="I229" s="761"/>
      <c r="J229" s="526">
        <f>(G226*J226+G227*J227+G228*J228)/100</f>
        <v>170.23413199999999</v>
      </c>
      <c r="K229" s="526">
        <f t="shared" si="155"/>
        <v>340.46826399999998</v>
      </c>
      <c r="L229" s="526">
        <f>(G226*L226+G227*L227+G228*L228)/100</f>
        <v>170.23413199999999</v>
      </c>
      <c r="M229" s="527">
        <f t="shared" si="156"/>
        <v>340.46826399999998</v>
      </c>
      <c r="N229" s="527">
        <v>0</v>
      </c>
      <c r="O229" s="527">
        <v>0</v>
      </c>
      <c r="P229" s="527">
        <f>(G226*P226+G227*P227+G228*P228)/100</f>
        <v>170.71611926113735</v>
      </c>
      <c r="Q229" s="527">
        <f t="shared" si="157"/>
        <v>341.4322385222747</v>
      </c>
      <c r="R229" s="893">
        <f>ROUND(SUM(R226:R228)*G229/100,5)</f>
        <v>340.46825999999999</v>
      </c>
    </row>
    <row r="230" spans="1:18" ht="15" customHeight="1" x14ac:dyDescent="0.25">
      <c r="A230" s="159"/>
      <c r="B230" s="649">
        <v>0</v>
      </c>
      <c r="C230" s="515"/>
      <c r="D230" s="720" t="s">
        <v>301</v>
      </c>
      <c r="E230" s="649"/>
      <c r="F230" s="160">
        <v>0</v>
      </c>
      <c r="G230" s="485">
        <v>0</v>
      </c>
      <c r="H230" s="485"/>
      <c r="I230" s="761"/>
      <c r="J230" s="526">
        <v>0</v>
      </c>
      <c r="K230" s="526">
        <f>SUM(K231:K231)</f>
        <v>33536.824999999997</v>
      </c>
      <c r="L230" s="526">
        <v>0</v>
      </c>
      <c r="M230" s="527">
        <f>SUM(M231:M231)</f>
        <v>33536.824999999997</v>
      </c>
      <c r="N230" s="527">
        <v>0</v>
      </c>
      <c r="O230" s="527">
        <v>0</v>
      </c>
      <c r="P230" s="527">
        <v>0</v>
      </c>
      <c r="Q230" s="527">
        <f>SUM(Q231:Q231)</f>
        <v>33536.824999999997</v>
      </c>
      <c r="R230" s="891">
        <f>ROUND(SUM(R231),5)</f>
        <v>33536.824999999997</v>
      </c>
    </row>
    <row r="231" spans="1:18" ht="15" customHeight="1" x14ac:dyDescent="0.25">
      <c r="A231" s="159"/>
      <c r="B231" s="649">
        <v>0</v>
      </c>
      <c r="C231" s="515"/>
      <c r="D231" s="720" t="str">
        <f>" - " &amp; 'Giá NC'!E9</f>
        <v xml:space="preserve"> - Nhân công bậc 4,0/7 - Nhóm 2</v>
      </c>
      <c r="E231" s="649" t="str">
        <f>'Giá NC'!F9</f>
        <v>công</v>
      </c>
      <c r="F231" s="160">
        <v>0</v>
      </c>
      <c r="G231" s="485">
        <v>0.1225</v>
      </c>
      <c r="H231" s="485">
        <f>'Du toan chi tiet'!W37</f>
        <v>1</v>
      </c>
      <c r="I231" s="761">
        <f>'Giá NC'!G9</f>
        <v>273770</v>
      </c>
      <c r="J231" s="526">
        <f>'Giá NC'!G9</f>
        <v>273770</v>
      </c>
      <c r="K231" s="526">
        <f>PRODUCT(G231, H231, J231)</f>
        <v>33536.824999999997</v>
      </c>
      <c r="L231" s="526">
        <f>'Giá NC'!H9</f>
        <v>273770</v>
      </c>
      <c r="M231" s="527">
        <f>PRODUCT(G231, H231, L231)</f>
        <v>33536.824999999997</v>
      </c>
      <c r="N231" s="527">
        <v>0</v>
      </c>
      <c r="O231" s="527">
        <v>0</v>
      </c>
      <c r="P231" s="527">
        <f>'Giá NC'!K9</f>
        <v>273770</v>
      </c>
      <c r="Q231" s="527">
        <f>PRODUCT(G231, H231, P231)</f>
        <v>33536.824999999997</v>
      </c>
      <c r="R231" s="892">
        <f t="shared" ref="R231" si="159">ROUND(G231*I231,5)</f>
        <v>33536.824999999997</v>
      </c>
    </row>
    <row r="232" spans="1:18" ht="15" customHeight="1" x14ac:dyDescent="0.25">
      <c r="A232" s="159"/>
      <c r="B232" s="649">
        <v>0</v>
      </c>
      <c r="C232" s="515"/>
      <c r="D232" s="720" t="s">
        <v>1175</v>
      </c>
      <c r="E232" s="649"/>
      <c r="F232" s="160">
        <v>0</v>
      </c>
      <c r="G232" s="485">
        <v>0</v>
      </c>
      <c r="H232" s="485"/>
      <c r="I232" s="761"/>
      <c r="J232" s="526">
        <v>0</v>
      </c>
      <c r="K232" s="526">
        <f>SUM(K233:K234)</f>
        <v>3997.3814280000001</v>
      </c>
      <c r="L232" s="526">
        <v>0</v>
      </c>
      <c r="M232" s="527">
        <f>SUM(M233:M234)</f>
        <v>3997.3814280000001</v>
      </c>
      <c r="N232" s="527">
        <v>0</v>
      </c>
      <c r="O232" s="527">
        <v>0</v>
      </c>
      <c r="P232" s="527">
        <v>0</v>
      </c>
      <c r="Q232" s="527">
        <f>SUM(Q233:Q234)</f>
        <v>3997.3814280000001</v>
      </c>
      <c r="R232" s="891">
        <f>ROUND(SUM(R233:R234),5)</f>
        <v>3997.3814299999999</v>
      </c>
    </row>
    <row r="233" spans="1:18" ht="15" customHeight="1" x14ac:dyDescent="0.25">
      <c r="A233" s="159"/>
      <c r="B233" s="649">
        <v>0</v>
      </c>
      <c r="C233" s="515"/>
      <c r="D233" s="720" t="str">
        <f>" - " &amp; 'Giá Máy'!E15</f>
        <v xml:space="preserve"> - Máy hàn điện 23kW</v>
      </c>
      <c r="E233" s="649" t="str">
        <f>'Giá Máy'!F15</f>
        <v>ca</v>
      </c>
      <c r="F233" s="160">
        <v>0</v>
      </c>
      <c r="G233" s="485">
        <v>8.2000000000000007E-3</v>
      </c>
      <c r="H233" s="485">
        <f>'Du toan chi tiet'!X37</f>
        <v>1</v>
      </c>
      <c r="I233" s="761">
        <f>'Giá Máy'!G15</f>
        <v>477927</v>
      </c>
      <c r="J233" s="526">
        <f>'Giá Máy'!G15</f>
        <v>477927</v>
      </c>
      <c r="K233" s="526">
        <f t="shared" ref="K233:K234" si="160">PRODUCT(G233, H233, J233)</f>
        <v>3919.0014000000001</v>
      </c>
      <c r="L233" s="526">
        <f>'Giá Máy'!H15</f>
        <v>477927</v>
      </c>
      <c r="M233" s="527">
        <f t="shared" ref="M233:M234" si="161">PRODUCT(G233, H233, L233)</f>
        <v>3919.0014000000001</v>
      </c>
      <c r="N233" s="527">
        <v>0</v>
      </c>
      <c r="O233" s="527">
        <v>0</v>
      </c>
      <c r="P233" s="527">
        <f>'Giá Máy'!O15</f>
        <v>477927</v>
      </c>
      <c r="Q233" s="527">
        <f t="shared" ref="Q233:Q234" si="162">PRODUCT(G233, H233, P233)</f>
        <v>3919.0014000000001</v>
      </c>
      <c r="R233" s="892">
        <f t="shared" ref="R233" si="163">ROUND(G233*I233,5)</f>
        <v>3919.0014000000001</v>
      </c>
    </row>
    <row r="234" spans="1:18" ht="15" customHeight="1" x14ac:dyDescent="0.25">
      <c r="A234" s="78"/>
      <c r="B234" s="583">
        <v>0</v>
      </c>
      <c r="C234" s="442"/>
      <c r="D234" s="647" t="s">
        <v>1080</v>
      </c>
      <c r="E234" s="583" t="s">
        <v>1113</v>
      </c>
      <c r="F234" s="79">
        <v>0</v>
      </c>
      <c r="G234" s="412">
        <v>2</v>
      </c>
      <c r="H234" s="412">
        <f>'Du toan chi tiet'!X37</f>
        <v>1</v>
      </c>
      <c r="I234" s="762"/>
      <c r="J234" s="483">
        <f>(G233*J233)/100</f>
        <v>39.190013999999998</v>
      </c>
      <c r="K234" s="483">
        <f t="shared" si="160"/>
        <v>78.380027999999996</v>
      </c>
      <c r="L234" s="483">
        <f>(G233*L233)/100</f>
        <v>39.190013999999998</v>
      </c>
      <c r="M234" s="487">
        <f t="shared" si="161"/>
        <v>78.380027999999996</v>
      </c>
      <c r="N234" s="487">
        <v>0</v>
      </c>
      <c r="O234" s="487">
        <v>0</v>
      </c>
      <c r="P234" s="487">
        <f>(G233*P233)/100</f>
        <v>39.190013999999998</v>
      </c>
      <c r="Q234" s="487">
        <f t="shared" si="162"/>
        <v>78.380027999999996</v>
      </c>
      <c r="R234" s="893">
        <f>ROUND(SUM(R233)*G234/100,5)</f>
        <v>78.380030000000005</v>
      </c>
    </row>
    <row r="235" spans="1:18" ht="30" customHeight="1" x14ac:dyDescent="0.25">
      <c r="A235" s="421"/>
      <c r="B235" s="354">
        <v>30</v>
      </c>
      <c r="C235" s="208" t="s">
        <v>787</v>
      </c>
      <c r="D235" s="419" t="str">
        <f>'Du toan chi tiet'!D38</f>
        <v>Bê tông tường cánh SX bằng máy trộn, đổ bằng thủ công - Chiều dày ≤45cm, chiều cao ≤6m, M150, đá 2x4, PCB40</v>
      </c>
      <c r="E235" s="354" t="str">
        <f>'Du toan chi tiet'!E38</f>
        <v>m3</v>
      </c>
      <c r="F235" s="624">
        <f>'Du toan chi tiet'!M38</f>
        <v>0.15</v>
      </c>
      <c r="G235" s="182">
        <v>0</v>
      </c>
      <c r="H235" s="182">
        <v>0</v>
      </c>
      <c r="I235" s="758"/>
      <c r="J235" s="259">
        <v>0</v>
      </c>
      <c r="K235" s="259">
        <v>0</v>
      </c>
      <c r="L235" s="259">
        <v>0</v>
      </c>
      <c r="M235" s="259">
        <v>0</v>
      </c>
      <c r="N235" s="259">
        <v>0</v>
      </c>
      <c r="O235" s="259">
        <v>0</v>
      </c>
      <c r="P235" s="259">
        <v>0</v>
      </c>
      <c r="Q235" s="259">
        <v>0</v>
      </c>
      <c r="R235" s="467"/>
    </row>
    <row r="236" spans="1:18" ht="15" customHeight="1" x14ac:dyDescent="0.25">
      <c r="A236" s="159"/>
      <c r="B236" s="649">
        <v>0</v>
      </c>
      <c r="C236" s="515"/>
      <c r="D236" s="720" t="s">
        <v>547</v>
      </c>
      <c r="E236" s="649"/>
      <c r="F236" s="160">
        <v>0</v>
      </c>
      <c r="G236" s="485">
        <v>0</v>
      </c>
      <c r="H236" s="485"/>
      <c r="I236" s="761"/>
      <c r="J236" s="526">
        <v>0</v>
      </c>
      <c r="K236" s="526">
        <f>SUM(K237:K241)</f>
        <v>781807.50078899984</v>
      </c>
      <c r="L236" s="526">
        <v>0</v>
      </c>
      <c r="M236" s="527">
        <f>SUM(M237:M241)</f>
        <v>781807.50078899984</v>
      </c>
      <c r="N236" s="527">
        <v>0</v>
      </c>
      <c r="O236" s="527">
        <v>0</v>
      </c>
      <c r="P236" s="527">
        <v>0</v>
      </c>
      <c r="Q236" s="527">
        <f>SUM(Q237:Q241)</f>
        <v>834624.02152202884</v>
      </c>
      <c r="R236" s="891">
        <f>ROUND(SUM(R237:R241),5)</f>
        <v>781807.50078999996</v>
      </c>
    </row>
    <row r="237" spans="1:18" ht="15" customHeight="1" x14ac:dyDescent="0.25">
      <c r="A237" s="159"/>
      <c r="B237" s="649">
        <v>0</v>
      </c>
      <c r="C237" s="515"/>
      <c r="D237" s="720" t="str">
        <f>" - " &amp; 'Giá VL'!E37</f>
        <v xml:space="preserve"> - Xi măng PCB40</v>
      </c>
      <c r="E237" s="649" t="str">
        <f>'Giá VL'!F37</f>
        <v>kg</v>
      </c>
      <c r="F237" s="160">
        <v>0</v>
      </c>
      <c r="G237" s="485">
        <v>210.125</v>
      </c>
      <c r="H237" s="485">
        <f>'Du toan chi tiet'!V38</f>
        <v>1</v>
      </c>
      <c r="I237" s="761">
        <f>'Giá VL'!G37</f>
        <v>1563.7239999999999</v>
      </c>
      <c r="J237" s="526">
        <f>'Giá VL'!G37</f>
        <v>1563.7239999999999</v>
      </c>
      <c r="K237" s="526">
        <f t="shared" ref="K237:K241" si="164">PRODUCT(G237, H237, J237)</f>
        <v>328577.50549999997</v>
      </c>
      <c r="L237" s="526">
        <f>'Giá VL'!J37</f>
        <v>1563.7239999999999</v>
      </c>
      <c r="M237" s="527">
        <f t="shared" ref="M237:M241" si="165">PRODUCT(G237, H237, L237)</f>
        <v>328577.50549999997</v>
      </c>
      <c r="N237" s="527">
        <v>0</v>
      </c>
      <c r="O237" s="527">
        <v>0</v>
      </c>
      <c r="P237" s="527">
        <f>'Giá VL'!V37</f>
        <v>1587.7239999999999</v>
      </c>
      <c r="Q237" s="527">
        <f t="shared" ref="Q237:Q241" si="166">PRODUCT(G237, H237, P237)</f>
        <v>333620.50549999997</v>
      </c>
      <c r="R237" s="892">
        <f t="shared" ref="R237:R240" si="167">ROUND(G237*I237,5)</f>
        <v>328577.50550000003</v>
      </c>
    </row>
    <row r="238" spans="1:18" ht="15" customHeight="1" x14ac:dyDescent="0.25">
      <c r="A238" s="159"/>
      <c r="B238" s="649">
        <v>0</v>
      </c>
      <c r="C238" s="515"/>
      <c r="D238" s="720" t="str">
        <f>" - " &amp; 'Giá VL'!E9</f>
        <v xml:space="preserve"> - Cát vàng</v>
      </c>
      <c r="E238" s="649" t="str">
        <f>'Giá VL'!F9</f>
        <v>m3</v>
      </c>
      <c r="F238" s="160">
        <v>0</v>
      </c>
      <c r="G238" s="485">
        <v>0.56272500000000003</v>
      </c>
      <c r="H238" s="485">
        <f>'Du toan chi tiet'!V38</f>
        <v>1</v>
      </c>
      <c r="I238" s="761">
        <f>'Giá VL'!G9</f>
        <v>318182</v>
      </c>
      <c r="J238" s="526">
        <f>'Giá VL'!G9</f>
        <v>318182</v>
      </c>
      <c r="K238" s="526">
        <f t="shared" si="164"/>
        <v>179048.96595000001</v>
      </c>
      <c r="L238" s="526">
        <f>'Giá VL'!J9</f>
        <v>318182</v>
      </c>
      <c r="M238" s="527">
        <f t="shared" si="165"/>
        <v>179048.96595000001</v>
      </c>
      <c r="N238" s="527">
        <v>0</v>
      </c>
      <c r="O238" s="527">
        <v>0</v>
      </c>
      <c r="P238" s="527">
        <f>'Giá VL'!V9</f>
        <v>345317.29174999997</v>
      </c>
      <c r="Q238" s="527">
        <f t="shared" si="166"/>
        <v>194318.67300001875</v>
      </c>
      <c r="R238" s="892">
        <f t="shared" si="167"/>
        <v>179048.96595000001</v>
      </c>
    </row>
    <row r="239" spans="1:18" ht="15" customHeight="1" x14ac:dyDescent="0.25">
      <c r="A239" s="159"/>
      <c r="B239" s="649">
        <v>0</v>
      </c>
      <c r="C239" s="515"/>
      <c r="D239" s="720" t="str">
        <f>" - " &amp; 'Giá VL'!E12</f>
        <v xml:space="preserve"> - Đá 2x4</v>
      </c>
      <c r="E239" s="649" t="str">
        <f>'Giá VL'!F12</f>
        <v>m3</v>
      </c>
      <c r="F239" s="160">
        <v>0</v>
      </c>
      <c r="G239" s="485">
        <v>0.91225000000000001</v>
      </c>
      <c r="H239" s="485">
        <f>'Du toan chi tiet'!V38</f>
        <v>1</v>
      </c>
      <c r="I239" s="761">
        <f>'Giá VL'!G12</f>
        <v>281818</v>
      </c>
      <c r="J239" s="526">
        <f>'Giá VL'!G12</f>
        <v>281818</v>
      </c>
      <c r="K239" s="526">
        <f t="shared" si="164"/>
        <v>257088.4705</v>
      </c>
      <c r="L239" s="526">
        <f>'Giá VL'!J12</f>
        <v>281818</v>
      </c>
      <c r="M239" s="527">
        <f t="shared" si="165"/>
        <v>257088.4705</v>
      </c>
      <c r="N239" s="527">
        <v>0</v>
      </c>
      <c r="O239" s="527">
        <v>0</v>
      </c>
      <c r="P239" s="527">
        <f>'Giá VL'!V12</f>
        <v>316313.14456500002</v>
      </c>
      <c r="Q239" s="527">
        <f t="shared" si="166"/>
        <v>288556.66612942127</v>
      </c>
      <c r="R239" s="892">
        <f t="shared" si="167"/>
        <v>257088.4705</v>
      </c>
    </row>
    <row r="240" spans="1:18" ht="15" customHeight="1" x14ac:dyDescent="0.25">
      <c r="A240" s="159"/>
      <c r="B240" s="649">
        <v>0</v>
      </c>
      <c r="C240" s="515"/>
      <c r="D240" s="720" t="str">
        <f>" - " &amp; 'Giá VL'!E23</f>
        <v xml:space="preserve"> - Nước</v>
      </c>
      <c r="E240" s="649" t="str">
        <f>'Giá VL'!F23</f>
        <v>lít</v>
      </c>
      <c r="F240" s="160">
        <v>0</v>
      </c>
      <c r="G240" s="485">
        <v>176.3</v>
      </c>
      <c r="H240" s="485">
        <f>'Du toan chi tiet'!V38</f>
        <v>1</v>
      </c>
      <c r="I240" s="761">
        <f>'Giá VL'!G23</f>
        <v>10</v>
      </c>
      <c r="J240" s="526">
        <f>'Giá VL'!G23</f>
        <v>10</v>
      </c>
      <c r="K240" s="526">
        <f t="shared" si="164"/>
        <v>1763</v>
      </c>
      <c r="L240" s="526">
        <f>'Giá VL'!J23</f>
        <v>10</v>
      </c>
      <c r="M240" s="527">
        <f t="shared" si="165"/>
        <v>1763</v>
      </c>
      <c r="N240" s="527">
        <v>0</v>
      </c>
      <c r="O240" s="527">
        <v>0</v>
      </c>
      <c r="P240" s="527">
        <f>'Giá VL'!V23</f>
        <v>10</v>
      </c>
      <c r="Q240" s="527">
        <f t="shared" si="166"/>
        <v>1763</v>
      </c>
      <c r="R240" s="892">
        <f t="shared" si="167"/>
        <v>1763</v>
      </c>
    </row>
    <row r="241" spans="1:18" ht="15" customHeight="1" x14ac:dyDescent="0.25">
      <c r="A241" s="159"/>
      <c r="B241" s="649">
        <v>0</v>
      </c>
      <c r="C241" s="515"/>
      <c r="D241" s="720" t="s">
        <v>238</v>
      </c>
      <c r="E241" s="649" t="s">
        <v>1113</v>
      </c>
      <c r="F241" s="160">
        <v>0</v>
      </c>
      <c r="G241" s="485">
        <v>2</v>
      </c>
      <c r="H241" s="485">
        <f>'Du toan chi tiet'!V38</f>
        <v>1</v>
      </c>
      <c r="I241" s="761"/>
      <c r="J241" s="526">
        <f>(G237*J237+G238*J238+G239*J239+G240*J240)/100</f>
        <v>7664.7794194999988</v>
      </c>
      <c r="K241" s="526">
        <f t="shared" si="164"/>
        <v>15329.558838999998</v>
      </c>
      <c r="L241" s="526">
        <f>(G237*L237+G238*L238+G239*L239+G240*L240)/100</f>
        <v>7664.7794194999988</v>
      </c>
      <c r="M241" s="527">
        <f t="shared" si="165"/>
        <v>15329.558838999998</v>
      </c>
      <c r="N241" s="527">
        <v>0</v>
      </c>
      <c r="O241" s="527">
        <v>0</v>
      </c>
      <c r="P241" s="527">
        <f>(G237*P237+G238*P238+G239*P239+G240*P240)/100</f>
        <v>8182.5884462943995</v>
      </c>
      <c r="Q241" s="527">
        <f t="shared" si="166"/>
        <v>16365.176892588799</v>
      </c>
      <c r="R241" s="893">
        <f>ROUND(SUM(R237:R240)*G241/100,5)</f>
        <v>15329.55884</v>
      </c>
    </row>
    <row r="242" spans="1:18" ht="15" customHeight="1" x14ac:dyDescent="0.25">
      <c r="A242" s="159"/>
      <c r="B242" s="649">
        <v>0</v>
      </c>
      <c r="C242" s="515"/>
      <c r="D242" s="720" t="s">
        <v>301</v>
      </c>
      <c r="E242" s="649"/>
      <c r="F242" s="160">
        <v>0</v>
      </c>
      <c r="G242" s="485">
        <v>0</v>
      </c>
      <c r="H242" s="485"/>
      <c r="I242" s="761"/>
      <c r="J242" s="526">
        <v>0</v>
      </c>
      <c r="K242" s="526">
        <f>SUM(K243:K243)</f>
        <v>627978</v>
      </c>
      <c r="L242" s="526">
        <v>0</v>
      </c>
      <c r="M242" s="527">
        <f>SUM(M243:M243)</f>
        <v>627978</v>
      </c>
      <c r="N242" s="527">
        <v>0</v>
      </c>
      <c r="O242" s="527">
        <v>0</v>
      </c>
      <c r="P242" s="527">
        <v>0</v>
      </c>
      <c r="Q242" s="527">
        <f>SUM(Q243:Q243)</f>
        <v>627978</v>
      </c>
      <c r="R242" s="891">
        <f>ROUND(SUM(R243),5)</f>
        <v>627978</v>
      </c>
    </row>
    <row r="243" spans="1:18" ht="15" customHeight="1" x14ac:dyDescent="0.25">
      <c r="A243" s="159"/>
      <c r="B243" s="649">
        <v>0</v>
      </c>
      <c r="C243" s="515"/>
      <c r="D243" s="720" t="str">
        <f>" - " &amp; 'Giá NC'!E8</f>
        <v xml:space="preserve"> - Nhân công bậc 3,5/7 - Nhóm 2</v>
      </c>
      <c r="E243" s="649" t="str">
        <f>'Giá NC'!F8</f>
        <v>công</v>
      </c>
      <c r="F243" s="160">
        <v>0</v>
      </c>
      <c r="G243" s="485">
        <v>2.4900000000000002</v>
      </c>
      <c r="H243" s="485">
        <f>'Du toan chi tiet'!W38</f>
        <v>1</v>
      </c>
      <c r="I243" s="761">
        <f>'Giá NC'!G8</f>
        <v>252200</v>
      </c>
      <c r="J243" s="526">
        <f>'Giá NC'!G8</f>
        <v>252200</v>
      </c>
      <c r="K243" s="526">
        <f>PRODUCT(G243, H243, J243)</f>
        <v>627978</v>
      </c>
      <c r="L243" s="526">
        <f>'Giá NC'!H8</f>
        <v>252200</v>
      </c>
      <c r="M243" s="527">
        <f>PRODUCT(G243, H243, L243)</f>
        <v>627978</v>
      </c>
      <c r="N243" s="527">
        <v>0</v>
      </c>
      <c r="O243" s="527">
        <v>0</v>
      </c>
      <c r="P243" s="527">
        <f>'Giá NC'!K8</f>
        <v>252200</v>
      </c>
      <c r="Q243" s="527">
        <f>PRODUCT(G243, H243, P243)</f>
        <v>627978</v>
      </c>
      <c r="R243" s="892">
        <f t="shared" ref="R243" si="168">ROUND(G243*I243,5)</f>
        <v>627978</v>
      </c>
    </row>
    <row r="244" spans="1:18" ht="15" customHeight="1" x14ac:dyDescent="0.25">
      <c r="A244" s="159"/>
      <c r="B244" s="649">
        <v>0</v>
      </c>
      <c r="C244" s="515"/>
      <c r="D244" s="720" t="s">
        <v>1175</v>
      </c>
      <c r="E244" s="649"/>
      <c r="F244" s="160">
        <v>0</v>
      </c>
      <c r="G244" s="485">
        <v>0</v>
      </c>
      <c r="H244" s="485"/>
      <c r="I244" s="761"/>
      <c r="J244" s="526">
        <v>0</v>
      </c>
      <c r="K244" s="526">
        <f>SUM(K245:K246)</f>
        <v>77865.53</v>
      </c>
      <c r="L244" s="526">
        <v>0</v>
      </c>
      <c r="M244" s="527">
        <f>SUM(M245:M246)</f>
        <v>77865.53</v>
      </c>
      <c r="N244" s="527">
        <v>0</v>
      </c>
      <c r="O244" s="527">
        <v>0</v>
      </c>
      <c r="P244" s="527">
        <v>0</v>
      </c>
      <c r="Q244" s="527">
        <f>SUM(Q245:Q246)</f>
        <v>77865.53</v>
      </c>
      <c r="R244" s="891">
        <f>ROUND(SUM(R245:R246),5)</f>
        <v>77865.53</v>
      </c>
    </row>
    <row r="245" spans="1:18" ht="15" customHeight="1" x14ac:dyDescent="0.25">
      <c r="A245" s="159"/>
      <c r="B245" s="649">
        <v>0</v>
      </c>
      <c r="C245" s="515"/>
      <c r="D245" s="720" t="str">
        <f>" - " &amp; 'Giá Máy'!E20</f>
        <v xml:space="preserve"> - Máy trộn bê tông 250 lít</v>
      </c>
      <c r="E245" s="649" t="str">
        <f>'Giá Máy'!F20</f>
        <v>ca</v>
      </c>
      <c r="F245" s="160">
        <v>0</v>
      </c>
      <c r="G245" s="485">
        <v>9.5000000000000001E-2</v>
      </c>
      <c r="H245" s="485">
        <f>'Du toan chi tiet'!X38</f>
        <v>1</v>
      </c>
      <c r="I245" s="761">
        <f>'Giá Máy'!G20</f>
        <v>317242</v>
      </c>
      <c r="J245" s="526">
        <f>'Giá Máy'!G20</f>
        <v>317242</v>
      </c>
      <c r="K245" s="526">
        <f t="shared" ref="K245:K246" si="169">PRODUCT(G245, H245, J245)</f>
        <v>30137.99</v>
      </c>
      <c r="L245" s="526">
        <f>'Giá Máy'!H20</f>
        <v>317242</v>
      </c>
      <c r="M245" s="527">
        <f t="shared" ref="M245:M246" si="170">PRODUCT(G245, H245, L245)</f>
        <v>30137.99</v>
      </c>
      <c r="N245" s="527">
        <v>0</v>
      </c>
      <c r="O245" s="527">
        <v>0</v>
      </c>
      <c r="P245" s="527">
        <f>'Giá Máy'!O20</f>
        <v>317242</v>
      </c>
      <c r="Q245" s="527">
        <f t="shared" ref="Q245:Q246" si="171">PRODUCT(G245, H245, P245)</f>
        <v>30137.99</v>
      </c>
      <c r="R245" s="892">
        <f t="shared" ref="R245:R246" si="172">ROUND(G245*I245,5)</f>
        <v>30137.99</v>
      </c>
    </row>
    <row r="246" spans="1:18" ht="15" customHeight="1" x14ac:dyDescent="0.25">
      <c r="A246" s="78"/>
      <c r="B246" s="583">
        <v>0</v>
      </c>
      <c r="C246" s="442"/>
      <c r="D246" s="647" t="str">
        <f>" - " &amp; 'Giá Máy'!E12</f>
        <v xml:space="preserve"> - Máy đầm dùi 1,5kW</v>
      </c>
      <c r="E246" s="583" t="str">
        <f>'Giá Máy'!F12</f>
        <v>ca</v>
      </c>
      <c r="F246" s="79">
        <v>0</v>
      </c>
      <c r="G246" s="412">
        <v>0.18</v>
      </c>
      <c r="H246" s="412">
        <f>'Du toan chi tiet'!X38</f>
        <v>1</v>
      </c>
      <c r="I246" s="762">
        <f>'Giá Máy'!G12</f>
        <v>265153</v>
      </c>
      <c r="J246" s="483">
        <f>'Giá Máy'!G12</f>
        <v>265153</v>
      </c>
      <c r="K246" s="483">
        <f t="shared" si="169"/>
        <v>47727.54</v>
      </c>
      <c r="L246" s="483">
        <f>'Giá Máy'!H12</f>
        <v>265153</v>
      </c>
      <c r="M246" s="487">
        <f t="shared" si="170"/>
        <v>47727.54</v>
      </c>
      <c r="N246" s="487">
        <v>0</v>
      </c>
      <c r="O246" s="487">
        <v>0</v>
      </c>
      <c r="P246" s="487">
        <f>'Giá Máy'!O12</f>
        <v>265153</v>
      </c>
      <c r="Q246" s="487">
        <f t="shared" si="171"/>
        <v>47727.54</v>
      </c>
      <c r="R246" s="892">
        <f t="shared" si="172"/>
        <v>47727.54</v>
      </c>
    </row>
    <row r="247" spans="1:18" ht="30" customHeight="1" x14ac:dyDescent="0.25">
      <c r="A247" s="421"/>
      <c r="B247" s="354">
        <v>31</v>
      </c>
      <c r="C247" s="208" t="s">
        <v>1102</v>
      </c>
      <c r="D247" s="419" t="str">
        <f>'Du toan chi tiet'!D39</f>
        <v>Ván khuôn thép, khung xương, cột chống giáo ống, tường cánh chiều cao ≤28m</v>
      </c>
      <c r="E247" s="354" t="str">
        <f>'Du toan chi tiet'!E39</f>
        <v>m2</v>
      </c>
      <c r="F247" s="624">
        <f>'Du toan chi tiet'!M39</f>
        <v>0.81</v>
      </c>
      <c r="G247" s="182">
        <v>0</v>
      </c>
      <c r="H247" s="182">
        <v>0</v>
      </c>
      <c r="I247" s="758"/>
      <c r="J247" s="259">
        <v>0</v>
      </c>
      <c r="K247" s="259">
        <v>0</v>
      </c>
      <c r="L247" s="259">
        <v>0</v>
      </c>
      <c r="M247" s="259">
        <v>0</v>
      </c>
      <c r="N247" s="259">
        <v>0</v>
      </c>
      <c r="O247" s="259">
        <v>0</v>
      </c>
      <c r="P247" s="259">
        <v>0</v>
      </c>
      <c r="Q247" s="259">
        <v>0</v>
      </c>
      <c r="R247" s="467"/>
    </row>
    <row r="248" spans="1:18" ht="15" customHeight="1" x14ac:dyDescent="0.25">
      <c r="A248" s="159"/>
      <c r="B248" s="649">
        <v>0</v>
      </c>
      <c r="C248" s="515"/>
      <c r="D248" s="720" t="s">
        <v>547</v>
      </c>
      <c r="E248" s="649"/>
      <c r="F248" s="160">
        <v>0</v>
      </c>
      <c r="G248" s="485">
        <v>0</v>
      </c>
      <c r="H248" s="485"/>
      <c r="I248" s="761"/>
      <c r="J248" s="526">
        <v>0</v>
      </c>
      <c r="K248" s="526" t="e">
        <f>SUM(K249:K252)</f>
        <v>#REF!</v>
      </c>
      <c r="L248" s="526">
        <v>0</v>
      </c>
      <c r="M248" s="527" t="e">
        <f>SUM(M249:M252)</f>
        <v>#REF!</v>
      </c>
      <c r="N248" s="527">
        <v>0</v>
      </c>
      <c r="O248" s="527">
        <v>0</v>
      </c>
      <c r="P248" s="527">
        <v>0</v>
      </c>
      <c r="Q248" s="527">
        <f>SUM(Q249:Q252)</f>
        <v>21219.530749447866</v>
      </c>
      <c r="R248" s="891">
        <f>ROUND(SUM(R249:R252),5)</f>
        <v>21160.503840000001</v>
      </c>
    </row>
    <row r="249" spans="1:18" ht="15" customHeight="1" x14ac:dyDescent="0.25">
      <c r="A249" s="159"/>
      <c r="B249" s="649">
        <v>0</v>
      </c>
      <c r="C249" s="515"/>
      <c r="D249" s="720" t="str">
        <f>" - " &amp; 'Giá VL'!E31</f>
        <v xml:space="preserve"> - Thép tấm</v>
      </c>
      <c r="E249" s="649" t="str">
        <f>'Giá VL'!F31</f>
        <v>kg</v>
      </c>
      <c r="F249" s="160">
        <v>0</v>
      </c>
      <c r="G249" s="485">
        <v>0.5181</v>
      </c>
      <c r="H249" s="485">
        <f>'Du toan chi tiet'!V39</f>
        <v>1</v>
      </c>
      <c r="I249" s="761">
        <f>'Giá VL'!G31</f>
        <v>19600</v>
      </c>
      <c r="J249" s="526">
        <f>'Giá VL'!G31</f>
        <v>19600</v>
      </c>
      <c r="K249" s="526">
        <f t="shared" ref="K249:K252" si="173">PRODUCT(G249, H249, J249)</f>
        <v>10154.76</v>
      </c>
      <c r="L249" s="526">
        <f>'Giá VL'!J31</f>
        <v>19600</v>
      </c>
      <c r="M249" s="527">
        <f t="shared" ref="M249:M252" si="174">PRODUCT(G249, H249, L249)</f>
        <v>10154.76</v>
      </c>
      <c r="N249" s="527">
        <v>0</v>
      </c>
      <c r="O249" s="527">
        <v>0</v>
      </c>
      <c r="P249" s="527">
        <f>'Giá VL'!V31</f>
        <v>19657.495796390001</v>
      </c>
      <c r="Q249" s="527">
        <f t="shared" ref="Q249:Q252" si="175">PRODUCT(G249, H249, P249)</f>
        <v>10184.548572109659</v>
      </c>
      <c r="R249" s="892">
        <f t="shared" ref="R249:R251" si="176">ROUND(G249*I249,5)</f>
        <v>10154.76</v>
      </c>
    </row>
    <row r="250" spans="1:18" ht="15" customHeight="1" x14ac:dyDescent="0.25">
      <c r="A250" s="159"/>
      <c r="B250" s="649">
        <v>0</v>
      </c>
      <c r="C250" s="515"/>
      <c r="D250" s="720" t="str">
        <f>" - " &amp; 'Giá VL'!E29</f>
        <v xml:space="preserve"> - Thép hình</v>
      </c>
      <c r="E250" s="649" t="str">
        <f>'Giá VL'!F29</f>
        <v>kg</v>
      </c>
      <c r="F250" s="160">
        <v>0</v>
      </c>
      <c r="G250" s="485">
        <v>0.4884</v>
      </c>
      <c r="H250" s="485">
        <f>'Du toan chi tiet'!V39</f>
        <v>1</v>
      </c>
      <c r="I250" s="761">
        <f>'Giá VL'!G29</f>
        <v>19600</v>
      </c>
      <c r="J250" s="526">
        <f>'Giá VL'!G29</f>
        <v>19600</v>
      </c>
      <c r="K250" s="526">
        <f t="shared" si="173"/>
        <v>9572.64</v>
      </c>
      <c r="L250" s="526">
        <f>'Giá VL'!J29</f>
        <v>19600</v>
      </c>
      <c r="M250" s="527">
        <f t="shared" si="174"/>
        <v>9572.64</v>
      </c>
      <c r="N250" s="527">
        <v>0</v>
      </c>
      <c r="O250" s="527">
        <v>0</v>
      </c>
      <c r="P250" s="527">
        <f>'Giá VL'!V29</f>
        <v>19657.495796390001</v>
      </c>
      <c r="Q250" s="527">
        <f t="shared" si="175"/>
        <v>9600.720946956877</v>
      </c>
      <c r="R250" s="892">
        <f t="shared" si="176"/>
        <v>9572.64</v>
      </c>
    </row>
    <row r="251" spans="1:18" ht="15" customHeight="1" x14ac:dyDescent="0.25">
      <c r="A251" s="159"/>
      <c r="B251" s="649">
        <v>0</v>
      </c>
      <c r="C251" s="515"/>
      <c r="D251" s="720" t="str">
        <f>" - " &amp; 'Giá VL'!E25</f>
        <v xml:space="preserve"> - Que hàn</v>
      </c>
      <c r="E251" s="649" t="str">
        <f>'Giá VL'!F25</f>
        <v>kg</v>
      </c>
      <c r="F251" s="160">
        <v>0</v>
      </c>
      <c r="G251" s="485">
        <v>5.6000000000000001E-2</v>
      </c>
      <c r="H251" s="485">
        <f>'Du toan chi tiet'!V39</f>
        <v>1</v>
      </c>
      <c r="I251" s="761">
        <f>'Giá VL'!G25</f>
        <v>18182</v>
      </c>
      <c r="J251" s="526">
        <f>'Giá VL'!G25</f>
        <v>18182</v>
      </c>
      <c r="K251" s="526">
        <f t="shared" si="173"/>
        <v>1018.192</v>
      </c>
      <c r="L251" s="526">
        <f>'Giá VL'!J25</f>
        <v>18182</v>
      </c>
      <c r="M251" s="527">
        <f t="shared" si="174"/>
        <v>1018.192</v>
      </c>
      <c r="N251" s="527">
        <v>0</v>
      </c>
      <c r="O251" s="527">
        <v>0</v>
      </c>
      <c r="P251" s="527">
        <f>'Giá VL'!V25</f>
        <v>18182</v>
      </c>
      <c r="Q251" s="527">
        <f t="shared" si="175"/>
        <v>1018.192</v>
      </c>
      <c r="R251" s="892">
        <f t="shared" si="176"/>
        <v>1018.192</v>
      </c>
    </row>
    <row r="252" spans="1:18" ht="15" customHeight="1" x14ac:dyDescent="0.25">
      <c r="A252" s="159"/>
      <c r="B252" s="649">
        <v>0</v>
      </c>
      <c r="C252" s="515"/>
      <c r="D252" s="720" t="s">
        <v>238</v>
      </c>
      <c r="E252" s="649" t="s">
        <v>1113</v>
      </c>
      <c r="F252" s="160">
        <v>0</v>
      </c>
      <c r="G252" s="485">
        <v>2</v>
      </c>
      <c r="H252" s="485">
        <f>'Du toan chi tiet'!V39</f>
        <v>1</v>
      </c>
      <c r="I252" s="761"/>
      <c r="J252" s="526" t="e">
        <f>(G249*J249+G250*J250+#REF!*#REF!+G251*J251)/100</f>
        <v>#REF!</v>
      </c>
      <c r="K252" s="526" t="e">
        <f t="shared" si="173"/>
        <v>#REF!</v>
      </c>
      <c r="L252" s="526" t="e">
        <f>(G249*L249+G250*L250+#REF!*#REF!+G251*L251)/100</f>
        <v>#REF!</v>
      </c>
      <c r="M252" s="527" t="e">
        <f t="shared" si="174"/>
        <v>#REF!</v>
      </c>
      <c r="N252" s="527">
        <v>0</v>
      </c>
      <c r="O252" s="527">
        <v>0</v>
      </c>
      <c r="P252" s="527">
        <f>(G249*P249+G250*P250+G251*P251)/100</f>
        <v>208.03461519066536</v>
      </c>
      <c r="Q252" s="527">
        <f t="shared" si="175"/>
        <v>416.06923038133073</v>
      </c>
      <c r="R252" s="893">
        <f>ROUND(SUM(R249:R251)*G252/100,5)</f>
        <v>414.91183999999998</v>
      </c>
    </row>
    <row r="253" spans="1:18" ht="15" customHeight="1" x14ac:dyDescent="0.25">
      <c r="A253" s="159"/>
      <c r="B253" s="649">
        <v>0</v>
      </c>
      <c r="C253" s="515"/>
      <c r="D253" s="720" t="s">
        <v>301</v>
      </c>
      <c r="E253" s="649"/>
      <c r="F253" s="160">
        <v>0</v>
      </c>
      <c r="G253" s="485">
        <v>0</v>
      </c>
      <c r="H253" s="485"/>
      <c r="I253" s="761"/>
      <c r="J253" s="526">
        <v>0</v>
      </c>
      <c r="K253" s="526">
        <f>SUM(K254:K254)</f>
        <v>78024.45</v>
      </c>
      <c r="L253" s="526">
        <v>0</v>
      </c>
      <c r="M253" s="527">
        <f>SUM(M254:M254)</f>
        <v>78024.45</v>
      </c>
      <c r="N253" s="527">
        <v>0</v>
      </c>
      <c r="O253" s="527">
        <v>0</v>
      </c>
      <c r="P253" s="527">
        <v>0</v>
      </c>
      <c r="Q253" s="527">
        <f>SUM(Q254:Q254)</f>
        <v>78024.45</v>
      </c>
      <c r="R253" s="891">
        <f>ROUND(SUM(R254),5)</f>
        <v>78024.45</v>
      </c>
    </row>
    <row r="254" spans="1:18" ht="15" customHeight="1" x14ac:dyDescent="0.25">
      <c r="A254" s="159"/>
      <c r="B254" s="649">
        <v>0</v>
      </c>
      <c r="C254" s="515"/>
      <c r="D254" s="720" t="str">
        <f>" - " &amp; 'Giá NC'!E9</f>
        <v xml:space="preserve"> - Nhân công bậc 4,0/7 - Nhóm 2</v>
      </c>
      <c r="E254" s="649" t="str">
        <f>'Giá NC'!F9</f>
        <v>công</v>
      </c>
      <c r="F254" s="160">
        <v>0</v>
      </c>
      <c r="G254" s="485">
        <v>0.28499999999999998</v>
      </c>
      <c r="H254" s="485">
        <f>'Du toan chi tiet'!W39</f>
        <v>1</v>
      </c>
      <c r="I254" s="761">
        <f>'Giá NC'!G9</f>
        <v>273770</v>
      </c>
      <c r="J254" s="526">
        <f>'Giá NC'!G9</f>
        <v>273770</v>
      </c>
      <c r="K254" s="526">
        <f>PRODUCT(G254, H254, J254)</f>
        <v>78024.45</v>
      </c>
      <c r="L254" s="526">
        <f>'Giá NC'!H9</f>
        <v>273770</v>
      </c>
      <c r="M254" s="527">
        <f>PRODUCT(G254, H254, L254)</f>
        <v>78024.45</v>
      </c>
      <c r="N254" s="527">
        <v>0</v>
      </c>
      <c r="O254" s="527">
        <v>0</v>
      </c>
      <c r="P254" s="527">
        <f>'Giá NC'!K9</f>
        <v>273770</v>
      </c>
      <c r="Q254" s="527">
        <f>PRODUCT(G254, H254, P254)</f>
        <v>78024.45</v>
      </c>
      <c r="R254" s="892">
        <f t="shared" ref="R254" si="177">ROUND(G254*I254,5)</f>
        <v>78024.45</v>
      </c>
    </row>
    <row r="255" spans="1:18" ht="15" customHeight="1" x14ac:dyDescent="0.25">
      <c r="A255" s="159"/>
      <c r="B255" s="649">
        <v>0</v>
      </c>
      <c r="C255" s="515"/>
      <c r="D255" s="720" t="s">
        <v>1175</v>
      </c>
      <c r="E255" s="649"/>
      <c r="F255" s="160">
        <v>0</v>
      </c>
      <c r="G255" s="485">
        <v>0</v>
      </c>
      <c r="H255" s="485"/>
      <c r="I255" s="761"/>
      <c r="J255" s="526">
        <v>0</v>
      </c>
      <c r="K255" s="526" t="e">
        <f>SUM(K256:K257)</f>
        <v>#REF!</v>
      </c>
      <c r="L255" s="526">
        <v>0</v>
      </c>
      <c r="M255" s="527" t="e">
        <f>SUM(M256:M257)</f>
        <v>#REF!</v>
      </c>
      <c r="N255" s="527">
        <v>0</v>
      </c>
      <c r="O255" s="527">
        <v>0</v>
      </c>
      <c r="P255" s="527">
        <v>0</v>
      </c>
      <c r="Q255" s="527">
        <f>SUM(Q256:Q257)</f>
        <v>7312.2830999999996</v>
      </c>
      <c r="R255" s="891">
        <f>ROUND(SUM(R256:R257),5)</f>
        <v>7312.2830999999996</v>
      </c>
    </row>
    <row r="256" spans="1:18" ht="15" customHeight="1" x14ac:dyDescent="0.25">
      <c r="A256" s="159"/>
      <c r="B256" s="649">
        <v>0</v>
      </c>
      <c r="C256" s="515"/>
      <c r="D256" s="720" t="str">
        <f>" - " &amp; 'Giá Máy'!E15</f>
        <v xml:space="preserve"> - Máy hàn điện 23kW</v>
      </c>
      <c r="E256" s="649" t="str">
        <f>'Giá Máy'!F15</f>
        <v>ca</v>
      </c>
      <c r="F256" s="160">
        <v>0</v>
      </c>
      <c r="G256" s="485">
        <v>1.4999999999999999E-2</v>
      </c>
      <c r="H256" s="485">
        <f>'Du toan chi tiet'!X39</f>
        <v>1</v>
      </c>
      <c r="I256" s="761">
        <f>'Giá Máy'!G15</f>
        <v>477927</v>
      </c>
      <c r="J256" s="526">
        <f>'Giá Máy'!G15</f>
        <v>477927</v>
      </c>
      <c r="K256" s="526">
        <f t="shared" ref="K256:K257" si="178">PRODUCT(G256, H256, J256)</f>
        <v>7168.9049999999997</v>
      </c>
      <c r="L256" s="526">
        <f>'Giá Máy'!H15</f>
        <v>477927</v>
      </c>
      <c r="M256" s="527">
        <f t="shared" ref="M256:M257" si="179">PRODUCT(G256, H256, L256)</f>
        <v>7168.9049999999997</v>
      </c>
      <c r="N256" s="527">
        <v>0</v>
      </c>
      <c r="O256" s="527">
        <v>0</v>
      </c>
      <c r="P256" s="527">
        <f>'Giá Máy'!O15</f>
        <v>477927</v>
      </c>
      <c r="Q256" s="527">
        <f t="shared" ref="Q256:Q257" si="180">PRODUCT(G256, H256, P256)</f>
        <v>7168.9049999999997</v>
      </c>
      <c r="R256" s="892">
        <f t="shared" ref="R256" si="181">ROUND(G256*I256,5)</f>
        <v>7168.9049999999997</v>
      </c>
    </row>
    <row r="257" spans="1:18" ht="15" customHeight="1" x14ac:dyDescent="0.25">
      <c r="A257" s="78"/>
      <c r="B257" s="583">
        <v>0</v>
      </c>
      <c r="C257" s="442"/>
      <c r="D257" s="647" t="s">
        <v>1080</v>
      </c>
      <c r="E257" s="583" t="s">
        <v>1113</v>
      </c>
      <c r="F257" s="79">
        <v>0</v>
      </c>
      <c r="G257" s="412">
        <v>2</v>
      </c>
      <c r="H257" s="412">
        <f>'Du toan chi tiet'!X39</f>
        <v>1</v>
      </c>
      <c r="I257" s="762"/>
      <c r="J257" s="483" t="e">
        <f>(G256*J256+#REF!*#REF!+#REF!*#REF!)/100</f>
        <v>#REF!</v>
      </c>
      <c r="K257" s="483" t="e">
        <f t="shared" si="178"/>
        <v>#REF!</v>
      </c>
      <c r="L257" s="483" t="e">
        <f>(G256*L256+#REF!*#REF!+#REF!*#REF!)/100</f>
        <v>#REF!</v>
      </c>
      <c r="M257" s="487" t="e">
        <f t="shared" si="179"/>
        <v>#REF!</v>
      </c>
      <c r="N257" s="487">
        <v>0</v>
      </c>
      <c r="O257" s="487">
        <v>0</v>
      </c>
      <c r="P257" s="487">
        <f>(G256*P256)/100</f>
        <v>71.689049999999995</v>
      </c>
      <c r="Q257" s="487">
        <f t="shared" si="180"/>
        <v>143.37809999999999</v>
      </c>
      <c r="R257" s="893">
        <f>ROUND(SUM(R256:R256)*G257/100,5)</f>
        <v>143.37809999999999</v>
      </c>
    </row>
    <row r="258" spans="1:18" ht="15" customHeight="1" x14ac:dyDescent="0.25">
      <c r="A258" s="421"/>
      <c r="B258" s="140">
        <v>32</v>
      </c>
      <c r="C258" s="465" t="s">
        <v>684</v>
      </c>
      <c r="D258" s="227" t="str">
        <f>'Du toan chi tiet'!D40</f>
        <v>Thi công lớp đá đệm móng, đá dăm 2x4</v>
      </c>
      <c r="E258" s="140" t="str">
        <f>'Du toan chi tiet'!E40</f>
        <v>m3</v>
      </c>
      <c r="F258" s="422">
        <f>'Du toan chi tiet'!M40</f>
        <v>0.76</v>
      </c>
      <c r="G258" s="731">
        <v>0</v>
      </c>
      <c r="H258" s="731">
        <v>0</v>
      </c>
      <c r="I258" s="763"/>
      <c r="J258" s="24">
        <v>0</v>
      </c>
      <c r="K258" s="24">
        <v>0</v>
      </c>
      <c r="L258" s="24">
        <v>0</v>
      </c>
      <c r="M258" s="28">
        <v>0</v>
      </c>
      <c r="N258" s="28">
        <v>0</v>
      </c>
      <c r="O258" s="28">
        <v>0</v>
      </c>
      <c r="P258" s="28">
        <v>0</v>
      </c>
      <c r="Q258" s="28">
        <v>0</v>
      </c>
      <c r="R258" s="467"/>
    </row>
    <row r="259" spans="1:18" ht="15" customHeight="1" x14ac:dyDescent="0.25">
      <c r="A259" s="159"/>
      <c r="B259" s="649">
        <v>0</v>
      </c>
      <c r="C259" s="515"/>
      <c r="D259" s="720" t="s">
        <v>547</v>
      </c>
      <c r="E259" s="649"/>
      <c r="F259" s="160">
        <v>0</v>
      </c>
      <c r="G259" s="485">
        <v>0</v>
      </c>
      <c r="H259" s="485"/>
      <c r="I259" s="761"/>
      <c r="J259" s="526">
        <v>0</v>
      </c>
      <c r="K259" s="526">
        <f>SUM(K260:K260)</f>
        <v>338181.6</v>
      </c>
      <c r="L259" s="526">
        <v>0</v>
      </c>
      <c r="M259" s="527">
        <f>SUM(M260:M260)</f>
        <v>338181.6</v>
      </c>
      <c r="N259" s="527">
        <v>0</v>
      </c>
      <c r="O259" s="527">
        <v>0</v>
      </c>
      <c r="P259" s="527">
        <v>0</v>
      </c>
      <c r="Q259" s="527">
        <f>SUM(Q260:Q260)</f>
        <v>379575.77347800002</v>
      </c>
      <c r="R259" s="891">
        <f>ROUND(SUM(R260:R260),5)</f>
        <v>338181.6</v>
      </c>
    </row>
    <row r="260" spans="1:18" ht="15" customHeight="1" x14ac:dyDescent="0.25">
      <c r="A260" s="159"/>
      <c r="B260" s="649">
        <v>0</v>
      </c>
      <c r="C260" s="515"/>
      <c r="D260" s="720" t="str">
        <f>" - " &amp; 'Giá VL'!E13</f>
        <v xml:space="preserve"> - Đá dăm 2x4 </v>
      </c>
      <c r="E260" s="649" t="str">
        <f>'Giá VL'!F13</f>
        <v>m3</v>
      </c>
      <c r="F260" s="160">
        <v>0</v>
      </c>
      <c r="G260" s="485">
        <v>1.2</v>
      </c>
      <c r="H260" s="485">
        <f>'Du toan chi tiet'!V40</f>
        <v>1</v>
      </c>
      <c r="I260" s="761">
        <f>'Giá VL'!G13</f>
        <v>281818</v>
      </c>
      <c r="J260" s="526">
        <f>'Giá VL'!G13</f>
        <v>281818</v>
      </c>
      <c r="K260" s="526">
        <f t="shared" ref="K260" si="182">PRODUCT(G260, H260, J260)</f>
        <v>338181.6</v>
      </c>
      <c r="L260" s="526">
        <f>'Giá VL'!J13</f>
        <v>281818</v>
      </c>
      <c r="M260" s="527">
        <f t="shared" ref="M260" si="183">PRODUCT(G260, H260, L260)</f>
        <v>338181.6</v>
      </c>
      <c r="N260" s="527">
        <v>0</v>
      </c>
      <c r="O260" s="527">
        <v>0</v>
      </c>
      <c r="P260" s="527">
        <f>'Giá VL'!V13</f>
        <v>316313.14456500002</v>
      </c>
      <c r="Q260" s="527">
        <f t="shared" ref="Q260" si="184">PRODUCT(G260, H260, P260)</f>
        <v>379575.77347800002</v>
      </c>
      <c r="R260" s="892">
        <f t="shared" ref="R260" si="185">ROUND(G260*I260,5)</f>
        <v>338181.6</v>
      </c>
    </row>
    <row r="261" spans="1:18" ht="15" customHeight="1" x14ac:dyDescent="0.25">
      <c r="A261" s="159"/>
      <c r="B261" s="649">
        <v>0</v>
      </c>
      <c r="C261" s="515"/>
      <c r="D261" s="720" t="s">
        <v>301</v>
      </c>
      <c r="E261" s="649"/>
      <c r="F261" s="160">
        <v>0</v>
      </c>
      <c r="G261" s="485">
        <v>0</v>
      </c>
      <c r="H261" s="485"/>
      <c r="I261" s="761"/>
      <c r="J261" s="526">
        <v>0</v>
      </c>
      <c r="K261" s="526">
        <f>SUM(K262:K262)</f>
        <v>405179.6</v>
      </c>
      <c r="L261" s="526">
        <v>0</v>
      </c>
      <c r="M261" s="527">
        <f>SUM(M262:M262)</f>
        <v>405179.6</v>
      </c>
      <c r="N261" s="527">
        <v>0</v>
      </c>
      <c r="O261" s="527">
        <v>0</v>
      </c>
      <c r="P261" s="527">
        <v>0</v>
      </c>
      <c r="Q261" s="527">
        <f>SUM(Q262:Q262)</f>
        <v>405179.6</v>
      </c>
      <c r="R261" s="891">
        <f>ROUND(SUM(R262),5)</f>
        <v>405179.6</v>
      </c>
    </row>
    <row r="262" spans="1:18" ht="15" customHeight="1" x14ac:dyDescent="0.25">
      <c r="A262" s="78"/>
      <c r="B262" s="583">
        <v>0</v>
      </c>
      <c r="C262" s="442"/>
      <c r="D262" s="647" t="str">
        <f>" - " &amp; 'Giá NC'!E9</f>
        <v xml:space="preserve"> - Nhân công bậc 4,0/7 - Nhóm 2</v>
      </c>
      <c r="E262" s="583" t="str">
        <f>'Giá NC'!F9</f>
        <v>công</v>
      </c>
      <c r="F262" s="79">
        <v>0</v>
      </c>
      <c r="G262" s="412">
        <v>1.48</v>
      </c>
      <c r="H262" s="412">
        <f>'Du toan chi tiet'!W40</f>
        <v>1</v>
      </c>
      <c r="I262" s="762">
        <f>'Giá NC'!G9</f>
        <v>273770</v>
      </c>
      <c r="J262" s="483">
        <f>'Giá NC'!G9</f>
        <v>273770</v>
      </c>
      <c r="K262" s="483">
        <f>PRODUCT(G262, H262, J262)</f>
        <v>405179.6</v>
      </c>
      <c r="L262" s="483">
        <f>'Giá NC'!H9</f>
        <v>273770</v>
      </c>
      <c r="M262" s="487">
        <f>PRODUCT(G262, H262, L262)</f>
        <v>405179.6</v>
      </c>
      <c r="N262" s="487">
        <v>0</v>
      </c>
      <c r="O262" s="487">
        <v>0</v>
      </c>
      <c r="P262" s="487">
        <f>'Giá NC'!K9</f>
        <v>273770</v>
      </c>
      <c r="Q262" s="487">
        <f>PRODUCT(G262, H262, P262)</f>
        <v>405179.6</v>
      </c>
      <c r="R262" s="892">
        <f t="shared" ref="R262" si="186">ROUND(G262*I262,5)</f>
        <v>405179.6</v>
      </c>
    </row>
    <row r="263" spans="1:18" ht="15" customHeight="1" x14ac:dyDescent="0.25">
      <c r="A263" s="421"/>
      <c r="B263" s="140">
        <v>33</v>
      </c>
      <c r="C263" s="465" t="s">
        <v>1182</v>
      </c>
      <c r="D263" s="227" t="str">
        <f>'Du toan chi tiet'!D41</f>
        <v>Cắt mặt đường bê tông hiện có</v>
      </c>
      <c r="E263" s="140" t="str">
        <f>'Du toan chi tiet'!E41</f>
        <v>10m</v>
      </c>
      <c r="F263" s="422">
        <f>'Du toan chi tiet'!M41</f>
        <v>0.6</v>
      </c>
      <c r="G263" s="731">
        <v>0</v>
      </c>
      <c r="H263" s="731">
        <v>0</v>
      </c>
      <c r="I263" s="763"/>
      <c r="J263" s="24">
        <v>0</v>
      </c>
      <c r="K263" s="24">
        <v>0</v>
      </c>
      <c r="L263" s="24">
        <v>0</v>
      </c>
      <c r="M263" s="28">
        <v>0</v>
      </c>
      <c r="N263" s="28">
        <v>0</v>
      </c>
      <c r="O263" s="28">
        <v>0</v>
      </c>
      <c r="P263" s="28">
        <v>0</v>
      </c>
      <c r="Q263" s="28">
        <v>0</v>
      </c>
      <c r="R263" s="467"/>
    </row>
    <row r="264" spans="1:18" ht="15" customHeight="1" x14ac:dyDescent="0.25">
      <c r="A264" s="159"/>
      <c r="B264" s="649">
        <v>0</v>
      </c>
      <c r="C264" s="515"/>
      <c r="D264" s="720" t="s">
        <v>547</v>
      </c>
      <c r="E264" s="649"/>
      <c r="F264" s="160">
        <v>0</v>
      </c>
      <c r="G264" s="485">
        <v>0</v>
      </c>
      <c r="H264" s="485"/>
      <c r="I264" s="761"/>
      <c r="J264" s="526">
        <v>0</v>
      </c>
      <c r="K264" s="526">
        <f>SUM(K265:K266)</f>
        <v>239181.84</v>
      </c>
      <c r="L264" s="526">
        <v>0</v>
      </c>
      <c r="M264" s="527">
        <f>SUM(M265:M266)</f>
        <v>239181.84</v>
      </c>
      <c r="N264" s="527">
        <v>0</v>
      </c>
      <c r="O264" s="527">
        <v>0</v>
      </c>
      <c r="P264" s="527">
        <v>0</v>
      </c>
      <c r="Q264" s="527">
        <f>SUM(Q265:Q266)</f>
        <v>239181.84</v>
      </c>
      <c r="R264" s="891">
        <f>ROUND(SUM(R265:R266),5)</f>
        <v>239181.84</v>
      </c>
    </row>
    <row r="265" spans="1:18" ht="15" customHeight="1" x14ac:dyDescent="0.25">
      <c r="A265" s="159"/>
      <c r="B265" s="649">
        <v>0</v>
      </c>
      <c r="C265" s="515"/>
      <c r="D265" s="720" t="str">
        <f>" - " &amp; 'Giá VL'!E19</f>
        <v xml:space="preserve"> - Lưỡi cắt D350mm</v>
      </c>
      <c r="E265" s="649" t="str">
        <f>'Giá VL'!F19</f>
        <v>cái</v>
      </c>
      <c r="F265" s="160">
        <v>0</v>
      </c>
      <c r="G265" s="485">
        <v>0.18</v>
      </c>
      <c r="H265" s="485">
        <f>'Du toan chi tiet'!V41</f>
        <v>1</v>
      </c>
      <c r="I265" s="761">
        <f>'Giá VL'!G19</f>
        <v>1322000</v>
      </c>
      <c r="J265" s="526">
        <f>'Giá VL'!G19</f>
        <v>1322000</v>
      </c>
      <c r="K265" s="526">
        <f t="shared" ref="K265:K266" si="187">PRODUCT(G265, H265, J265)</f>
        <v>237960</v>
      </c>
      <c r="L265" s="526">
        <f>'Giá VL'!J19</f>
        <v>1322000</v>
      </c>
      <c r="M265" s="527">
        <f t="shared" ref="M265:M266" si="188">PRODUCT(G265, H265, L265)</f>
        <v>237960</v>
      </c>
      <c r="N265" s="527">
        <v>0</v>
      </c>
      <c r="O265" s="527">
        <v>0</v>
      </c>
      <c r="P265" s="527">
        <f>'Giá VL'!V19</f>
        <v>1322000</v>
      </c>
      <c r="Q265" s="527">
        <f t="shared" ref="Q265:Q266" si="189">PRODUCT(G265, H265, P265)</f>
        <v>237960</v>
      </c>
      <c r="R265" s="892">
        <f t="shared" ref="R265:R266" si="190">ROUND(G265*I265,5)</f>
        <v>237960</v>
      </c>
    </row>
    <row r="266" spans="1:18" ht="15" customHeight="1" x14ac:dyDescent="0.25">
      <c r="A266" s="159"/>
      <c r="B266" s="649">
        <v>0</v>
      </c>
      <c r="C266" s="515"/>
      <c r="D266" s="720" t="str">
        <f>" - " &amp; 'Giá VL'!E24</f>
        <v xml:space="preserve"> - Nước</v>
      </c>
      <c r="E266" s="649" t="str">
        <f>'Giá VL'!F24</f>
        <v>m3</v>
      </c>
      <c r="F266" s="160">
        <v>0</v>
      </c>
      <c r="G266" s="485">
        <v>0.12</v>
      </c>
      <c r="H266" s="485">
        <f>'Du toan chi tiet'!V41</f>
        <v>1</v>
      </c>
      <c r="I266" s="761">
        <f>'Giá VL'!J24</f>
        <v>10182</v>
      </c>
      <c r="J266" s="526">
        <f>'Giá VL'!G24</f>
        <v>10182</v>
      </c>
      <c r="K266" s="526">
        <f t="shared" si="187"/>
        <v>1221.8399999999999</v>
      </c>
      <c r="L266" s="526">
        <f>'Giá VL'!J24</f>
        <v>10182</v>
      </c>
      <c r="M266" s="527">
        <f t="shared" si="188"/>
        <v>1221.8399999999999</v>
      </c>
      <c r="N266" s="527">
        <v>0</v>
      </c>
      <c r="O266" s="527">
        <v>0</v>
      </c>
      <c r="P266" s="527">
        <f>'Giá VL'!V24</f>
        <v>10182</v>
      </c>
      <c r="Q266" s="527">
        <f t="shared" si="189"/>
        <v>1221.8399999999999</v>
      </c>
      <c r="R266" s="892">
        <f t="shared" si="190"/>
        <v>1221.8399999999999</v>
      </c>
    </row>
    <row r="267" spans="1:18" ht="15" customHeight="1" x14ac:dyDescent="0.25">
      <c r="A267" s="159"/>
      <c r="B267" s="649">
        <v>0</v>
      </c>
      <c r="C267" s="515"/>
      <c r="D267" s="720" t="s">
        <v>301</v>
      </c>
      <c r="E267" s="649"/>
      <c r="F267" s="160">
        <v>0</v>
      </c>
      <c r="G267" s="485">
        <v>0</v>
      </c>
      <c r="H267" s="485"/>
      <c r="I267" s="761"/>
      <c r="J267" s="526">
        <v>0</v>
      </c>
      <c r="K267" s="526">
        <f>SUM(K268:K268)</f>
        <v>138710</v>
      </c>
      <c r="L267" s="526">
        <v>0</v>
      </c>
      <c r="M267" s="527">
        <f>SUM(M268:M268)</f>
        <v>138710</v>
      </c>
      <c r="N267" s="527">
        <v>0</v>
      </c>
      <c r="O267" s="527">
        <v>0</v>
      </c>
      <c r="P267" s="527">
        <v>0</v>
      </c>
      <c r="Q267" s="527">
        <f>SUM(Q268:Q268)</f>
        <v>138710</v>
      </c>
      <c r="R267" s="891">
        <f>ROUND(SUM(R268),5)</f>
        <v>138710</v>
      </c>
    </row>
    <row r="268" spans="1:18" ht="15" customHeight="1" x14ac:dyDescent="0.25">
      <c r="A268" s="159"/>
      <c r="B268" s="649">
        <v>0</v>
      </c>
      <c r="C268" s="515"/>
      <c r="D268" s="720" t="str">
        <f>" - " &amp; 'Giá NC'!E8</f>
        <v xml:space="preserve"> - Nhân công bậc 3,5/7 - Nhóm 2</v>
      </c>
      <c r="E268" s="649" t="str">
        <f>'Giá NC'!F8</f>
        <v>công</v>
      </c>
      <c r="F268" s="160">
        <v>0</v>
      </c>
      <c r="G268" s="485">
        <v>0.55000000000000004</v>
      </c>
      <c r="H268" s="485">
        <f>'Du toan chi tiet'!W41</f>
        <v>1</v>
      </c>
      <c r="I268" s="761">
        <f>'Giá NC'!G8</f>
        <v>252200</v>
      </c>
      <c r="J268" s="526">
        <f>'Giá NC'!G8</f>
        <v>252200</v>
      </c>
      <c r="K268" s="526">
        <f>PRODUCT(G268, H268, J268)</f>
        <v>138710</v>
      </c>
      <c r="L268" s="526">
        <f>'Giá NC'!H8</f>
        <v>252200</v>
      </c>
      <c r="M268" s="527">
        <f>PRODUCT(G268, H268, L268)</f>
        <v>138710</v>
      </c>
      <c r="N268" s="527">
        <v>0</v>
      </c>
      <c r="O268" s="527">
        <v>0</v>
      </c>
      <c r="P268" s="527">
        <f>'Giá NC'!K8</f>
        <v>252200</v>
      </c>
      <c r="Q268" s="527">
        <f>PRODUCT(G268, H268, P268)</f>
        <v>138710</v>
      </c>
      <c r="R268" s="892">
        <f t="shared" ref="R268" si="191">ROUND(G268*I268,5)</f>
        <v>138710</v>
      </c>
    </row>
    <row r="269" spans="1:18" ht="15" customHeight="1" x14ac:dyDescent="0.25">
      <c r="A269" s="159"/>
      <c r="B269" s="649">
        <v>0</v>
      </c>
      <c r="C269" s="515"/>
      <c r="D269" s="720" t="s">
        <v>1175</v>
      </c>
      <c r="E269" s="649"/>
      <c r="F269" s="160">
        <v>0</v>
      </c>
      <c r="G269" s="485">
        <v>0</v>
      </c>
      <c r="H269" s="485"/>
      <c r="I269" s="761"/>
      <c r="J269" s="526">
        <v>0</v>
      </c>
      <c r="K269" s="526">
        <f>SUM(K270:K270)</f>
        <v>67683.66</v>
      </c>
      <c r="L269" s="526">
        <v>0</v>
      </c>
      <c r="M269" s="527">
        <f>SUM(M270:M270)</f>
        <v>67683.66</v>
      </c>
      <c r="N269" s="527">
        <v>0</v>
      </c>
      <c r="O269" s="527">
        <v>0</v>
      </c>
      <c r="P269" s="527">
        <v>0</v>
      </c>
      <c r="Q269" s="527">
        <f>SUM(Q270:Q270)</f>
        <v>67683.66</v>
      </c>
      <c r="R269" s="891">
        <f>ROUND(SUM(R270),5)</f>
        <v>67683.66</v>
      </c>
    </row>
    <row r="270" spans="1:18" ht="15" customHeight="1" x14ac:dyDescent="0.25">
      <c r="A270" s="78"/>
      <c r="B270" s="583">
        <v>0</v>
      </c>
      <c r="C270" s="442"/>
      <c r="D270" s="647" t="str">
        <f>" - " &amp; 'Giá Máy'!E7</f>
        <v xml:space="preserve"> - Máy cắt bê tông 7,5kW</v>
      </c>
      <c r="E270" s="583" t="str">
        <f>'Giá Máy'!F7</f>
        <v>ca</v>
      </c>
      <c r="F270" s="79">
        <v>0</v>
      </c>
      <c r="G270" s="412">
        <v>0.22</v>
      </c>
      <c r="H270" s="412">
        <f>'Du toan chi tiet'!X41</f>
        <v>1</v>
      </c>
      <c r="I270" s="762">
        <f>'Giá Máy'!G7</f>
        <v>307653</v>
      </c>
      <c r="J270" s="483">
        <f>'Giá Máy'!G7</f>
        <v>307653</v>
      </c>
      <c r="K270" s="483">
        <f>PRODUCT(G270, H270, J270)</f>
        <v>67683.66</v>
      </c>
      <c r="L270" s="483">
        <f>'Giá Máy'!H7</f>
        <v>307653</v>
      </c>
      <c r="M270" s="487">
        <f>PRODUCT(G270, H270, L270)</f>
        <v>67683.66</v>
      </c>
      <c r="N270" s="487">
        <v>0</v>
      </c>
      <c r="O270" s="487">
        <v>0</v>
      </c>
      <c r="P270" s="487">
        <f>'Giá Máy'!O7</f>
        <v>307653</v>
      </c>
      <c r="Q270" s="487">
        <f>PRODUCT(G270, H270, P270)</f>
        <v>67683.66</v>
      </c>
      <c r="R270" s="892">
        <f t="shared" ref="R270" si="192">ROUND(G270*I270,5)</f>
        <v>67683.66</v>
      </c>
    </row>
    <row r="271" spans="1:18" ht="15" customHeight="1" x14ac:dyDescent="0.25">
      <c r="A271" s="421"/>
      <c r="B271" s="140">
        <v>34</v>
      </c>
      <c r="C271" s="465" t="s">
        <v>908</v>
      </c>
      <c r="D271" s="227" t="str">
        <f>'Du toan chi tiet'!D42</f>
        <v xml:space="preserve">Đào kết cấu mặt đường hiện có </v>
      </c>
      <c r="E271" s="140" t="str">
        <f>'Du toan chi tiet'!E42</f>
        <v>m3</v>
      </c>
      <c r="F271" s="422">
        <f>'Du toan chi tiet'!M42</f>
        <v>0.76</v>
      </c>
      <c r="G271" s="731">
        <v>0</v>
      </c>
      <c r="H271" s="731">
        <v>0</v>
      </c>
      <c r="I271" s="763"/>
      <c r="J271" s="24">
        <v>0</v>
      </c>
      <c r="K271" s="24">
        <v>0</v>
      </c>
      <c r="L271" s="24">
        <v>0</v>
      </c>
      <c r="M271" s="28">
        <v>0</v>
      </c>
      <c r="N271" s="28">
        <v>0</v>
      </c>
      <c r="O271" s="28">
        <v>0</v>
      </c>
      <c r="P271" s="28">
        <v>0</v>
      </c>
      <c r="Q271" s="28">
        <v>0</v>
      </c>
      <c r="R271" s="467"/>
    </row>
    <row r="272" spans="1:18" ht="15" customHeight="1" x14ac:dyDescent="0.25">
      <c r="A272" s="159"/>
      <c r="B272" s="649">
        <v>0</v>
      </c>
      <c r="C272" s="515"/>
      <c r="D272" s="720" t="s">
        <v>301</v>
      </c>
      <c r="E272" s="649"/>
      <c r="F272" s="160">
        <v>0</v>
      </c>
      <c r="G272" s="485">
        <v>0</v>
      </c>
      <c r="H272" s="485"/>
      <c r="I272" s="761"/>
      <c r="J272" s="526">
        <v>0</v>
      </c>
      <c r="K272" s="526">
        <f>SUM(K273:K273)</f>
        <v>10512.687899999999</v>
      </c>
      <c r="L272" s="526">
        <v>0</v>
      </c>
      <c r="M272" s="527">
        <f>SUM(M273:M273)</f>
        <v>10512.687899999999</v>
      </c>
      <c r="N272" s="527">
        <v>0</v>
      </c>
      <c r="O272" s="527">
        <v>0</v>
      </c>
      <c r="P272" s="527">
        <v>0</v>
      </c>
      <c r="Q272" s="527">
        <f>SUM(Q273:Q273)</f>
        <v>10512.687899999999</v>
      </c>
      <c r="R272" s="891">
        <f>ROUND(SUM(R273),5)</f>
        <v>10512.687900000001</v>
      </c>
    </row>
    <row r="273" spans="1:18" ht="15" customHeight="1" x14ac:dyDescent="0.25">
      <c r="A273" s="159"/>
      <c r="B273" s="649">
        <v>0</v>
      </c>
      <c r="C273" s="515"/>
      <c r="D273" s="720" t="str">
        <f>" - " &amp; 'Giá NC'!E5</f>
        <v xml:space="preserve"> - Nhân công bậc 3,0/7 - Nhóm 1</v>
      </c>
      <c r="E273" s="649" t="str">
        <f>'Giá NC'!F5</f>
        <v>công</v>
      </c>
      <c r="F273" s="160">
        <v>0</v>
      </c>
      <c r="G273" s="485">
        <v>4.8099999999999997E-2</v>
      </c>
      <c r="H273" s="485">
        <f>'Du toan chi tiet'!W42</f>
        <v>1</v>
      </c>
      <c r="I273" s="761">
        <f>'Giá NC'!G5</f>
        <v>218559</v>
      </c>
      <c r="J273" s="526">
        <f>'Giá NC'!G5</f>
        <v>218559</v>
      </c>
      <c r="K273" s="526">
        <f>PRODUCT(G273, H273, J273)</f>
        <v>10512.687899999999</v>
      </c>
      <c r="L273" s="526">
        <f>'Giá NC'!H5</f>
        <v>218559</v>
      </c>
      <c r="M273" s="527">
        <f>PRODUCT(G273, H273, L273)</f>
        <v>10512.687899999999</v>
      </c>
      <c r="N273" s="527">
        <v>0</v>
      </c>
      <c r="O273" s="527">
        <v>0</v>
      </c>
      <c r="P273" s="527">
        <f>'Giá NC'!K5</f>
        <v>218559</v>
      </c>
      <c r="Q273" s="527">
        <f>PRODUCT(G273, H273, P273)</f>
        <v>10512.687899999999</v>
      </c>
      <c r="R273" s="892">
        <f t="shared" ref="R273" si="193">ROUND(G273*I273,5)</f>
        <v>10512.687900000001</v>
      </c>
    </row>
    <row r="274" spans="1:18" ht="15" customHeight="1" x14ac:dyDescent="0.25">
      <c r="A274" s="159"/>
      <c r="B274" s="649">
        <v>0</v>
      </c>
      <c r="C274" s="515"/>
      <c r="D274" s="720" t="s">
        <v>1175</v>
      </c>
      <c r="E274" s="649"/>
      <c r="F274" s="160">
        <v>0</v>
      </c>
      <c r="G274" s="485">
        <v>0</v>
      </c>
      <c r="H274" s="485"/>
      <c r="I274" s="761"/>
      <c r="J274" s="526">
        <v>0</v>
      </c>
      <c r="K274" s="526">
        <f>SUM(K275:K276)</f>
        <v>17065.195302</v>
      </c>
      <c r="L274" s="526">
        <v>0</v>
      </c>
      <c r="M274" s="527">
        <f>SUM(M275:M276)</f>
        <v>17065.195302</v>
      </c>
      <c r="N274" s="527">
        <v>0</v>
      </c>
      <c r="O274" s="527">
        <v>0</v>
      </c>
      <c r="P274" s="527">
        <v>0</v>
      </c>
      <c r="Q274" s="527">
        <f>SUM(Q275:Q276)</f>
        <v>17065.195302</v>
      </c>
      <c r="R274" s="891">
        <f>ROUND(SUM(R275:R276),5)</f>
        <v>17065.195299999999</v>
      </c>
    </row>
    <row r="275" spans="1:18" ht="15" customHeight="1" x14ac:dyDescent="0.25">
      <c r="A275" s="159"/>
      <c r="B275" s="649">
        <v>0</v>
      </c>
      <c r="C275" s="515"/>
      <c r="D275" s="720" t="str">
        <f>" - " &amp; 'Giá Máy'!E14</f>
        <v xml:space="preserve"> - Máy đào 1,25m3</v>
      </c>
      <c r="E275" s="649" t="str">
        <f>'Giá Máy'!F14</f>
        <v>ca</v>
      </c>
      <c r="F275" s="160">
        <v>0</v>
      </c>
      <c r="G275" s="485">
        <v>4.2399999999999998E-3</v>
      </c>
      <c r="H275" s="485">
        <f>'Du toan chi tiet'!X42</f>
        <v>1</v>
      </c>
      <c r="I275" s="761">
        <f>'Giá Máy'!G14</f>
        <v>3756595.3</v>
      </c>
      <c r="J275" s="526">
        <f>'Giá Máy'!G14</f>
        <v>3756595.3</v>
      </c>
      <c r="K275" s="526">
        <f t="shared" ref="K275:K276" si="194">PRODUCT(G275, H275, J275)</f>
        <v>15927.964071999999</v>
      </c>
      <c r="L275" s="526">
        <f>'Giá Máy'!H14</f>
        <v>3756595.3</v>
      </c>
      <c r="M275" s="527">
        <f t="shared" ref="M275:M276" si="195">PRODUCT(G275, H275, L275)</f>
        <v>15927.964071999999</v>
      </c>
      <c r="N275" s="527">
        <v>0</v>
      </c>
      <c r="O275" s="527">
        <v>0</v>
      </c>
      <c r="P275" s="527">
        <f>'Giá Máy'!O14</f>
        <v>3756595.3</v>
      </c>
      <c r="Q275" s="527">
        <f t="shared" ref="Q275:Q276" si="196">PRODUCT(G275, H275, P275)</f>
        <v>15927.964071999999</v>
      </c>
      <c r="R275" s="892">
        <f t="shared" ref="R275" si="197">ROUND(G275*I275,5)</f>
        <v>15927.96407</v>
      </c>
    </row>
    <row r="276" spans="1:18" ht="15" customHeight="1" x14ac:dyDescent="0.25">
      <c r="A276" s="78"/>
      <c r="B276" s="583">
        <v>0</v>
      </c>
      <c r="C276" s="442"/>
      <c r="D276" s="647" t="str">
        <f>" - " &amp; 'Giá Máy'!E21</f>
        <v xml:space="preserve"> - Máy ủi 110CV</v>
      </c>
      <c r="E276" s="583" t="str">
        <f>'Giá Máy'!F21</f>
        <v>ca</v>
      </c>
      <c r="F276" s="79">
        <v>0</v>
      </c>
      <c r="G276" s="412">
        <v>5.8E-4</v>
      </c>
      <c r="H276" s="412">
        <f>'Du toan chi tiet'!X42</f>
        <v>1</v>
      </c>
      <c r="I276" s="762">
        <f>'Giá Máy'!G21</f>
        <v>1960743.5</v>
      </c>
      <c r="J276" s="483">
        <f>'Giá Máy'!G21</f>
        <v>1960743.5</v>
      </c>
      <c r="K276" s="483">
        <f t="shared" si="194"/>
        <v>1137.2312300000001</v>
      </c>
      <c r="L276" s="483">
        <f>'Giá Máy'!H21</f>
        <v>1960743.5</v>
      </c>
      <c r="M276" s="487">
        <f t="shared" si="195"/>
        <v>1137.2312300000001</v>
      </c>
      <c r="N276" s="487">
        <v>0</v>
      </c>
      <c r="O276" s="487">
        <v>0</v>
      </c>
      <c r="P276" s="487">
        <f>'Giá Máy'!O21</f>
        <v>1960743.5</v>
      </c>
      <c r="Q276" s="487">
        <f t="shared" si="196"/>
        <v>1137.2312300000001</v>
      </c>
      <c r="R276" s="892">
        <f t="shared" ref="R276" si="198">ROUND(G276*I276,5)</f>
        <v>1137.2312300000001</v>
      </c>
    </row>
    <row r="277" spans="1:18" ht="30" customHeight="1" x14ac:dyDescent="0.25">
      <c r="A277" s="421"/>
      <c r="B277" s="354">
        <v>35</v>
      </c>
      <c r="C277" s="208" t="s">
        <v>247</v>
      </c>
      <c r="D277" s="419" t="str">
        <f>'Du toan chi tiet'!D43</f>
        <v>Đào móng bằng máy đào 0,4m3, chiều rộng móng ≤6m - Cấp đất III</v>
      </c>
      <c r="E277" s="354" t="str">
        <f>'Du toan chi tiet'!E43</f>
        <v>m3</v>
      </c>
      <c r="F277" s="624">
        <f>'Du toan chi tiet'!M43</f>
        <v>11.4</v>
      </c>
      <c r="G277" s="182">
        <v>0</v>
      </c>
      <c r="H277" s="182">
        <v>0</v>
      </c>
      <c r="I277" s="758"/>
      <c r="J277" s="259">
        <v>0</v>
      </c>
      <c r="K277" s="259">
        <v>0</v>
      </c>
      <c r="L277" s="259">
        <v>0</v>
      </c>
      <c r="M277" s="259">
        <v>0</v>
      </c>
      <c r="N277" s="259">
        <v>0</v>
      </c>
      <c r="O277" s="259">
        <v>0</v>
      </c>
      <c r="P277" s="259">
        <v>0</v>
      </c>
      <c r="Q277" s="259">
        <v>0</v>
      </c>
      <c r="R277" s="467"/>
    </row>
    <row r="278" spans="1:18" ht="15" customHeight="1" x14ac:dyDescent="0.25">
      <c r="A278" s="159"/>
      <c r="B278" s="649">
        <v>0</v>
      </c>
      <c r="C278" s="515"/>
      <c r="D278" s="720" t="s">
        <v>301</v>
      </c>
      <c r="E278" s="649"/>
      <c r="F278" s="160">
        <v>0</v>
      </c>
      <c r="G278" s="485">
        <v>0</v>
      </c>
      <c r="H278" s="485"/>
      <c r="I278" s="761"/>
      <c r="J278" s="526">
        <v>0</v>
      </c>
      <c r="K278" s="526">
        <f>SUM(K279:K279)</f>
        <v>10075.5699</v>
      </c>
      <c r="L278" s="526">
        <v>0</v>
      </c>
      <c r="M278" s="527">
        <f>SUM(M279:M279)</f>
        <v>10075.5699</v>
      </c>
      <c r="N278" s="527">
        <v>0</v>
      </c>
      <c r="O278" s="527">
        <v>0</v>
      </c>
      <c r="P278" s="527">
        <v>0</v>
      </c>
      <c r="Q278" s="527">
        <f>SUM(Q279:Q279)</f>
        <v>10075.5699</v>
      </c>
      <c r="R278" s="891">
        <f>ROUND(SUM(R279),5)</f>
        <v>10075.5699</v>
      </c>
    </row>
    <row r="279" spans="1:18" ht="15" customHeight="1" x14ac:dyDescent="0.25">
      <c r="A279" s="159"/>
      <c r="B279" s="649">
        <v>0</v>
      </c>
      <c r="C279" s="515"/>
      <c r="D279" s="720" t="str">
        <f>" - " &amp; 'Giá NC'!E5</f>
        <v xml:space="preserve"> - Nhân công bậc 3,0/7 - Nhóm 1</v>
      </c>
      <c r="E279" s="649" t="str">
        <f>'Giá NC'!F5</f>
        <v>công</v>
      </c>
      <c r="F279" s="160">
        <v>0</v>
      </c>
      <c r="G279" s="485">
        <v>4.6100000000000002E-2</v>
      </c>
      <c r="H279" s="485">
        <f>'Du toan chi tiet'!W43</f>
        <v>1</v>
      </c>
      <c r="I279" s="761">
        <f>'Giá NC'!G5</f>
        <v>218559</v>
      </c>
      <c r="J279" s="526">
        <f>'Giá NC'!G5</f>
        <v>218559</v>
      </c>
      <c r="K279" s="526">
        <f>PRODUCT(G279, H279, J279)</f>
        <v>10075.5699</v>
      </c>
      <c r="L279" s="526">
        <f>'Giá NC'!H5</f>
        <v>218559</v>
      </c>
      <c r="M279" s="527">
        <f>PRODUCT(G279, H279, L279)</f>
        <v>10075.5699</v>
      </c>
      <c r="N279" s="527">
        <v>0</v>
      </c>
      <c r="O279" s="527">
        <v>0</v>
      </c>
      <c r="P279" s="527">
        <f>'Giá NC'!K5</f>
        <v>218559</v>
      </c>
      <c r="Q279" s="527">
        <f>PRODUCT(G279, H279, P279)</f>
        <v>10075.5699</v>
      </c>
      <c r="R279" s="892">
        <f t="shared" ref="R279" si="199">ROUND(G279*I279,5)</f>
        <v>10075.5699</v>
      </c>
    </row>
    <row r="280" spans="1:18" ht="15" customHeight="1" x14ac:dyDescent="0.25">
      <c r="A280" s="159"/>
      <c r="B280" s="649">
        <v>0</v>
      </c>
      <c r="C280" s="515"/>
      <c r="D280" s="720" t="s">
        <v>1175</v>
      </c>
      <c r="E280" s="649"/>
      <c r="F280" s="160">
        <v>0</v>
      </c>
      <c r="G280" s="485">
        <v>0</v>
      </c>
      <c r="H280" s="485"/>
      <c r="I280" s="761"/>
      <c r="J280" s="526">
        <v>0</v>
      </c>
      <c r="K280" s="526">
        <f>SUM(K281:K281)</f>
        <v>17413.818006000001</v>
      </c>
      <c r="L280" s="526">
        <v>0</v>
      </c>
      <c r="M280" s="527">
        <f>SUM(M281:M281)</f>
        <v>17413.818006000001</v>
      </c>
      <c r="N280" s="527">
        <v>0</v>
      </c>
      <c r="O280" s="527">
        <v>0</v>
      </c>
      <c r="P280" s="527">
        <v>0</v>
      </c>
      <c r="Q280" s="527">
        <f>SUM(Q281:Q281)</f>
        <v>17413.818006000001</v>
      </c>
      <c r="R280" s="891">
        <f>ROUND(SUM(R281),5)</f>
        <v>17413.818009999999</v>
      </c>
    </row>
    <row r="281" spans="1:18" ht="15" customHeight="1" x14ac:dyDescent="0.25">
      <c r="A281" s="78"/>
      <c r="B281" s="583">
        <v>0</v>
      </c>
      <c r="C281" s="442"/>
      <c r="D281" s="647" t="str">
        <f>" - " &amp; 'Giá Máy'!E13</f>
        <v xml:space="preserve"> - Máy đào 0,4m3</v>
      </c>
      <c r="E281" s="583" t="str">
        <f>'Giá Máy'!F13</f>
        <v>ca</v>
      </c>
      <c r="F281" s="79">
        <v>0</v>
      </c>
      <c r="G281" s="412">
        <v>8.9700000000000005E-3</v>
      </c>
      <c r="H281" s="412">
        <f>'Du toan chi tiet'!X43</f>
        <v>1</v>
      </c>
      <c r="I281" s="762">
        <f>'Giá Máy'!G13</f>
        <v>1941339.8</v>
      </c>
      <c r="J281" s="483">
        <f>'Giá Máy'!G13</f>
        <v>1941339.8</v>
      </c>
      <c r="K281" s="483">
        <f>PRODUCT(G281, H281, J281)</f>
        <v>17413.818006000001</v>
      </c>
      <c r="L281" s="483">
        <f>'Giá Máy'!H13</f>
        <v>1941339.8</v>
      </c>
      <c r="M281" s="487">
        <f>PRODUCT(G281, H281, L281)</f>
        <v>17413.818006000001</v>
      </c>
      <c r="N281" s="487">
        <v>0</v>
      </c>
      <c r="O281" s="487">
        <v>0</v>
      </c>
      <c r="P281" s="487">
        <f>'Giá Máy'!O13</f>
        <v>1941339.8</v>
      </c>
      <c r="Q281" s="487">
        <f>PRODUCT(G281, H281, P281)</f>
        <v>17413.818006000001</v>
      </c>
      <c r="R281" s="892">
        <f t="shared" ref="R281" si="200">ROUND(G281*I281,5)</f>
        <v>17413.818009999999</v>
      </c>
    </row>
    <row r="282" spans="1:18" ht="30" customHeight="1" x14ac:dyDescent="0.25">
      <c r="A282" s="421"/>
      <c r="B282" s="354">
        <v>36</v>
      </c>
      <c r="C282" s="208" t="s">
        <v>321</v>
      </c>
      <c r="D282" s="419" t="str">
        <f>'Du toan chi tiet'!D44</f>
        <v>Đắp đất bằng đầm đất cầm tay 70kg, độ chặt Y/C K = 0,95</v>
      </c>
      <c r="E282" s="354" t="str">
        <f>'Du toan chi tiet'!E44</f>
        <v>m3</v>
      </c>
      <c r="F282" s="624">
        <f>'Du toan chi tiet'!M44</f>
        <v>2.52</v>
      </c>
      <c r="G282" s="182">
        <v>0</v>
      </c>
      <c r="H282" s="182">
        <v>0</v>
      </c>
      <c r="I282" s="758"/>
      <c r="J282" s="259">
        <v>0</v>
      </c>
      <c r="K282" s="259">
        <v>0</v>
      </c>
      <c r="L282" s="259">
        <v>0</v>
      </c>
      <c r="M282" s="259">
        <v>0</v>
      </c>
      <c r="N282" s="259">
        <v>0</v>
      </c>
      <c r="O282" s="259">
        <v>0</v>
      </c>
      <c r="P282" s="259">
        <v>0</v>
      </c>
      <c r="Q282" s="259">
        <v>0</v>
      </c>
      <c r="R282" s="467"/>
    </row>
    <row r="283" spans="1:18" ht="15" customHeight="1" x14ac:dyDescent="0.25">
      <c r="A283" s="159"/>
      <c r="B283" s="649">
        <v>0</v>
      </c>
      <c r="C283" s="515"/>
      <c r="D283" s="720" t="s">
        <v>301</v>
      </c>
      <c r="E283" s="649"/>
      <c r="F283" s="160">
        <v>0</v>
      </c>
      <c r="G283" s="485">
        <v>0</v>
      </c>
      <c r="H283" s="485"/>
      <c r="I283" s="761"/>
      <c r="J283" s="526">
        <v>0</v>
      </c>
      <c r="K283" s="526">
        <f>SUM(K284:K284)</f>
        <v>15583.2567</v>
      </c>
      <c r="L283" s="526">
        <v>0</v>
      </c>
      <c r="M283" s="527">
        <f>SUM(M284:M284)</f>
        <v>15583.2567</v>
      </c>
      <c r="N283" s="527">
        <v>0</v>
      </c>
      <c r="O283" s="527">
        <v>0</v>
      </c>
      <c r="P283" s="527">
        <v>0</v>
      </c>
      <c r="Q283" s="527">
        <f>SUM(Q284:Q284)</f>
        <v>15583.2567</v>
      </c>
      <c r="R283" s="891">
        <f>ROUND(SUM(R284),5)</f>
        <v>15583.2567</v>
      </c>
    </row>
    <row r="284" spans="1:18" ht="15" customHeight="1" x14ac:dyDescent="0.25">
      <c r="A284" s="159"/>
      <c r="B284" s="649">
        <v>0</v>
      </c>
      <c r="C284" s="515"/>
      <c r="D284" s="720" t="str">
        <f>" - " &amp; 'Giá NC'!E5</f>
        <v xml:space="preserve"> - Nhân công bậc 3,0/7 - Nhóm 1</v>
      </c>
      <c r="E284" s="649" t="str">
        <f>'Giá NC'!F5</f>
        <v>công</v>
      </c>
      <c r="F284" s="160">
        <v>0</v>
      </c>
      <c r="G284" s="485">
        <v>7.1300000000000002E-2</v>
      </c>
      <c r="H284" s="485">
        <f>'Du toan chi tiet'!W44</f>
        <v>1</v>
      </c>
      <c r="I284" s="761">
        <f>'Giá NC'!G5</f>
        <v>218559</v>
      </c>
      <c r="J284" s="526">
        <f>'Giá NC'!G5</f>
        <v>218559</v>
      </c>
      <c r="K284" s="526">
        <f>PRODUCT(G284, H284, J284)</f>
        <v>15583.2567</v>
      </c>
      <c r="L284" s="526">
        <f>'Giá NC'!H5</f>
        <v>218559</v>
      </c>
      <c r="M284" s="527">
        <f>PRODUCT(G284, H284, L284)</f>
        <v>15583.2567</v>
      </c>
      <c r="N284" s="527">
        <v>0</v>
      </c>
      <c r="O284" s="527">
        <v>0</v>
      </c>
      <c r="P284" s="527">
        <f>'Giá NC'!K5</f>
        <v>218559</v>
      </c>
      <c r="Q284" s="527">
        <f>PRODUCT(G284, H284, P284)</f>
        <v>15583.2567</v>
      </c>
      <c r="R284" s="892">
        <f t="shared" ref="R284" si="201">ROUND(G284*I284,5)</f>
        <v>15583.2567</v>
      </c>
    </row>
    <row r="285" spans="1:18" ht="15" customHeight="1" x14ac:dyDescent="0.25">
      <c r="A285" s="159"/>
      <c r="B285" s="649">
        <v>0</v>
      </c>
      <c r="C285" s="515"/>
      <c r="D285" s="720" t="s">
        <v>1175</v>
      </c>
      <c r="E285" s="649"/>
      <c r="F285" s="160">
        <v>0</v>
      </c>
      <c r="G285" s="485">
        <v>0</v>
      </c>
      <c r="H285" s="485"/>
      <c r="I285" s="761"/>
      <c r="J285" s="526">
        <v>0</v>
      </c>
      <c r="K285" s="526">
        <f>SUM(K286:K286)</f>
        <v>16868.510279999999</v>
      </c>
      <c r="L285" s="526">
        <v>0</v>
      </c>
      <c r="M285" s="527">
        <f>SUM(M286:M286)</f>
        <v>16868.510279999999</v>
      </c>
      <c r="N285" s="527">
        <v>0</v>
      </c>
      <c r="O285" s="527">
        <v>0</v>
      </c>
      <c r="P285" s="527">
        <v>0</v>
      </c>
      <c r="Q285" s="527">
        <f>SUM(Q286:Q286)</f>
        <v>16868.510279999999</v>
      </c>
      <c r="R285" s="891">
        <f>ROUND(SUM(R286),5)</f>
        <v>16868.510279999999</v>
      </c>
    </row>
    <row r="286" spans="1:18" ht="15" customHeight="1" x14ac:dyDescent="0.25">
      <c r="A286" s="78"/>
      <c r="B286" s="583">
        <v>0</v>
      </c>
      <c r="C286" s="442"/>
      <c r="D286" s="647" t="str">
        <f>" - " &amp; 'Giá Máy'!E11</f>
        <v xml:space="preserve"> - Máy đầm đất cầm tay 70kg</v>
      </c>
      <c r="E286" s="583" t="str">
        <f>'Giá Máy'!F11</f>
        <v>ca</v>
      </c>
      <c r="F286" s="79">
        <v>0</v>
      </c>
      <c r="G286" s="412">
        <v>4.428E-2</v>
      </c>
      <c r="H286" s="412">
        <f>'Du toan chi tiet'!X44</f>
        <v>1</v>
      </c>
      <c r="I286" s="762">
        <f>'Giá Máy'!G11</f>
        <v>380951</v>
      </c>
      <c r="J286" s="483">
        <f>'Giá Máy'!G11</f>
        <v>380951</v>
      </c>
      <c r="K286" s="483">
        <f>PRODUCT(G286, H286, J286)</f>
        <v>16868.510279999999</v>
      </c>
      <c r="L286" s="483">
        <f>'Giá Máy'!H11</f>
        <v>380951</v>
      </c>
      <c r="M286" s="487">
        <f>PRODUCT(G286, H286, L286)</f>
        <v>16868.510279999999</v>
      </c>
      <c r="N286" s="487">
        <v>0</v>
      </c>
      <c r="O286" s="487">
        <v>0</v>
      </c>
      <c r="P286" s="487">
        <f>'Giá Máy'!O11</f>
        <v>380951</v>
      </c>
      <c r="Q286" s="487">
        <f>PRODUCT(G286, H286, P286)</f>
        <v>16868.510279999999</v>
      </c>
      <c r="R286" s="892">
        <f t="shared" ref="R286" si="202">ROUND(G286*I286,5)</f>
        <v>16868.510279999999</v>
      </c>
    </row>
    <row r="287" spans="1:18" ht="45.75" customHeight="1" x14ac:dyDescent="0.25">
      <c r="A287" s="421"/>
      <c r="B287" s="354">
        <v>37</v>
      </c>
      <c r="C287" s="208" t="s">
        <v>675</v>
      </c>
      <c r="D287" s="419" t="str">
        <f>'Du toan chi tiet'!D45</f>
        <v>Bê tông thương phẩm, bê tông hoàn trả mặt đường dày mặt đường ≤25cm, bê tông M250, đá 2x4, PCB40</v>
      </c>
      <c r="E287" s="354" t="str">
        <f>'Du toan chi tiet'!E45</f>
        <v>m3</v>
      </c>
      <c r="F287" s="624">
        <f>'Du toan chi tiet'!M45</f>
        <v>0.59</v>
      </c>
      <c r="G287" s="182">
        <v>0</v>
      </c>
      <c r="H287" s="182">
        <v>0</v>
      </c>
      <c r="I287" s="758"/>
      <c r="J287" s="259">
        <v>0</v>
      </c>
      <c r="K287" s="259">
        <v>0</v>
      </c>
      <c r="L287" s="259">
        <v>0</v>
      </c>
      <c r="M287" s="259">
        <v>0</v>
      </c>
      <c r="N287" s="259">
        <v>0</v>
      </c>
      <c r="O287" s="259">
        <v>0</v>
      </c>
      <c r="P287" s="259">
        <v>0</v>
      </c>
      <c r="Q287" s="259">
        <v>0</v>
      </c>
      <c r="R287" s="467"/>
    </row>
    <row r="288" spans="1:18" ht="15" customHeight="1" x14ac:dyDescent="0.25">
      <c r="A288" s="159"/>
      <c r="B288" s="649">
        <v>0</v>
      </c>
      <c r="C288" s="515"/>
      <c r="D288" s="720" t="s">
        <v>547</v>
      </c>
      <c r="E288" s="649"/>
      <c r="F288" s="160">
        <v>0</v>
      </c>
      <c r="G288" s="485">
        <v>0</v>
      </c>
      <c r="H288" s="485"/>
      <c r="I288" s="761"/>
      <c r="J288" s="526">
        <v>0</v>
      </c>
      <c r="K288" s="526" t="e">
        <f>SUM(K289:K292)</f>
        <v>#REF!</v>
      </c>
      <c r="L288" s="526">
        <v>0</v>
      </c>
      <c r="M288" s="527" t="e">
        <f>SUM(M289:M292)</f>
        <v>#REF!</v>
      </c>
      <c r="N288" s="527">
        <v>0</v>
      </c>
      <c r="O288" s="527">
        <v>0</v>
      </c>
      <c r="P288" s="527">
        <v>0</v>
      </c>
      <c r="Q288" s="527">
        <f>SUM(Q289:Q292)</f>
        <v>1368771.3660837321</v>
      </c>
      <c r="R288" s="891">
        <f>ROUND(SUM(R289:R292),5)</f>
        <v>118468.89552000001</v>
      </c>
    </row>
    <row r="289" spans="1:18" ht="15" customHeight="1" x14ac:dyDescent="0.25">
      <c r="A289" s="159"/>
      <c r="B289" s="649">
        <v>0</v>
      </c>
      <c r="C289" s="515"/>
      <c r="D289" s="720" t="str">
        <f>" - " &amp; 'Giá VL'!E35</f>
        <v xml:space="preserve"> - Bê tông thương phẩm M250</v>
      </c>
      <c r="E289" s="649" t="str">
        <f>'Giá VL'!F35</f>
        <v>m3</v>
      </c>
      <c r="F289" s="160">
        <v>0</v>
      </c>
      <c r="G289" s="485">
        <v>1.0249999999999999</v>
      </c>
      <c r="H289" s="485">
        <f>'Du toan chi tiet'!V45</f>
        <v>1</v>
      </c>
      <c r="I289" s="761">
        <f>'Giá VL'!G23</f>
        <v>10</v>
      </c>
      <c r="J289" s="526">
        <f>'Giá VL'!G23</f>
        <v>10</v>
      </c>
      <c r="K289" s="526">
        <f t="shared" ref="K289:K292" si="203">PRODUCT(G289, H289, J289)</f>
        <v>10.25</v>
      </c>
      <c r="L289" s="526">
        <f>'Giá VL'!J23</f>
        <v>10</v>
      </c>
      <c r="M289" s="527">
        <f t="shared" ref="M289:M292" si="204">PRODUCT(G289, H289, L289)</f>
        <v>10.25</v>
      </c>
      <c r="N289" s="527">
        <v>0</v>
      </c>
      <c r="O289" s="527">
        <v>0</v>
      </c>
      <c r="P289" s="527">
        <f>'Giá VL'!V35</f>
        <v>1195455</v>
      </c>
      <c r="Q289" s="527">
        <f t="shared" ref="Q289:Q292" si="205">PRODUCT(G289, H289, P289)</f>
        <v>1225341.375</v>
      </c>
      <c r="R289" s="892">
        <f t="shared" ref="R289:R291" si="206">ROUND(G289*I289,5)</f>
        <v>10.25</v>
      </c>
    </row>
    <row r="290" spans="1:18" ht="15" customHeight="1" x14ac:dyDescent="0.25">
      <c r="A290" s="159"/>
      <c r="B290" s="649">
        <v>0</v>
      </c>
      <c r="C290" s="515"/>
      <c r="D290" s="720" t="str">
        <f>" - " &amp; 'Giá VL'!E17</f>
        <v xml:space="preserve"> - Gỗ làm khe co dãn</v>
      </c>
      <c r="E290" s="649" t="str">
        <f>'Giá VL'!F17</f>
        <v>m3</v>
      </c>
      <c r="F290" s="160">
        <v>0</v>
      </c>
      <c r="G290" s="485">
        <v>1.4E-2</v>
      </c>
      <c r="H290" s="485">
        <f>'Du toan chi tiet'!V45</f>
        <v>1</v>
      </c>
      <c r="I290" s="761">
        <f>'Giá VL'!G17</f>
        <v>4090909</v>
      </c>
      <c r="J290" s="526">
        <f>'Giá VL'!G17</f>
        <v>4090909</v>
      </c>
      <c r="K290" s="526">
        <f t="shared" si="203"/>
        <v>57272.726000000002</v>
      </c>
      <c r="L290" s="526">
        <f>'Giá VL'!J17</f>
        <v>4090909</v>
      </c>
      <c r="M290" s="527">
        <f t="shared" si="204"/>
        <v>57272.726000000002</v>
      </c>
      <c r="N290" s="527">
        <v>0</v>
      </c>
      <c r="O290" s="527">
        <v>0</v>
      </c>
      <c r="P290" s="527">
        <f>'Giá VL'!V17</f>
        <v>4123452.631914</v>
      </c>
      <c r="Q290" s="527">
        <f t="shared" si="205"/>
        <v>57728.336846796003</v>
      </c>
      <c r="R290" s="892">
        <f t="shared" si="206"/>
        <v>57272.726000000002</v>
      </c>
    </row>
    <row r="291" spans="1:18" ht="15" customHeight="1" x14ac:dyDescent="0.25">
      <c r="A291" s="159"/>
      <c r="B291" s="649">
        <v>0</v>
      </c>
      <c r="C291" s="515"/>
      <c r="D291" s="720" t="str">
        <f>" - " &amp; 'Giá VL'!E22</f>
        <v xml:space="preserve"> - Nhựa đường</v>
      </c>
      <c r="E291" s="649" t="str">
        <f>'Giá VL'!F22</f>
        <v>kg</v>
      </c>
      <c r="F291" s="160">
        <v>0</v>
      </c>
      <c r="G291" s="485">
        <v>3.5</v>
      </c>
      <c r="H291" s="485">
        <f>'Du toan chi tiet'!V45</f>
        <v>1</v>
      </c>
      <c r="I291" s="761">
        <f>'Giá VL'!G22</f>
        <v>16818</v>
      </c>
      <c r="J291" s="526">
        <f>'Giá VL'!G22</f>
        <v>16818</v>
      </c>
      <c r="K291" s="526">
        <f t="shared" si="203"/>
        <v>58863</v>
      </c>
      <c r="L291" s="526">
        <f>'Giá VL'!J22</f>
        <v>16818</v>
      </c>
      <c r="M291" s="527">
        <f t="shared" si="204"/>
        <v>58863</v>
      </c>
      <c r="N291" s="527">
        <v>0</v>
      </c>
      <c r="O291" s="527">
        <v>0</v>
      </c>
      <c r="P291" s="527">
        <f>'Giá VL'!V22</f>
        <v>16818</v>
      </c>
      <c r="Q291" s="527">
        <f t="shared" si="205"/>
        <v>58863</v>
      </c>
      <c r="R291" s="892">
        <f t="shared" si="206"/>
        <v>58863</v>
      </c>
    </row>
    <row r="292" spans="1:18" ht="15" customHeight="1" x14ac:dyDescent="0.25">
      <c r="A292" s="159"/>
      <c r="B292" s="649">
        <v>0</v>
      </c>
      <c r="C292" s="515"/>
      <c r="D292" s="720" t="s">
        <v>238</v>
      </c>
      <c r="E292" s="649" t="s">
        <v>1113</v>
      </c>
      <c r="F292" s="160">
        <v>0</v>
      </c>
      <c r="G292" s="485">
        <v>2</v>
      </c>
      <c r="H292" s="485">
        <f>'Du toan chi tiet'!V45</f>
        <v>1</v>
      </c>
      <c r="I292" s="761"/>
      <c r="J292" s="526" t="e">
        <f>(#REF!*#REF!+#REF!*#REF!+#REF!*#REF!+G289*J289+G290*J290+G291*J291)/100</f>
        <v>#REF!</v>
      </c>
      <c r="K292" s="526" t="e">
        <f t="shared" si="203"/>
        <v>#REF!</v>
      </c>
      <c r="L292" s="526" t="e">
        <f>(#REF!*#REF!+#REF!*#REF!+#REF!*#REF!+G289*L289+G290*L290+G291*L291)/100</f>
        <v>#REF!</v>
      </c>
      <c r="M292" s="527" t="e">
        <f t="shared" si="204"/>
        <v>#REF!</v>
      </c>
      <c r="N292" s="527">
        <v>0</v>
      </c>
      <c r="O292" s="527">
        <v>0</v>
      </c>
      <c r="P292" s="527">
        <f>(G289*P289+G290*P290+G291*P291)/100</f>
        <v>13419.327118467962</v>
      </c>
      <c r="Q292" s="527">
        <f t="shared" si="205"/>
        <v>26838.654236935923</v>
      </c>
      <c r="R292" s="893">
        <f>ROUND(SUM(R289:R291)*G292/100,5)</f>
        <v>2322.9195199999999</v>
      </c>
    </row>
    <row r="293" spans="1:18" ht="15" customHeight="1" x14ac:dyDescent="0.25">
      <c r="A293" s="159"/>
      <c r="B293" s="649">
        <v>0</v>
      </c>
      <c r="C293" s="515"/>
      <c r="D293" s="720" t="s">
        <v>301</v>
      </c>
      <c r="E293" s="649"/>
      <c r="F293" s="160">
        <v>0</v>
      </c>
      <c r="G293" s="485">
        <v>0</v>
      </c>
      <c r="H293" s="485"/>
      <c r="I293" s="761"/>
      <c r="J293" s="526">
        <v>0</v>
      </c>
      <c r="K293" s="526">
        <f>SUM(K294:K294)</f>
        <v>156364</v>
      </c>
      <c r="L293" s="526">
        <v>0</v>
      </c>
      <c r="M293" s="527">
        <f>SUM(M294:M294)</f>
        <v>156364</v>
      </c>
      <c r="N293" s="527">
        <v>0</v>
      </c>
      <c r="O293" s="527">
        <v>0</v>
      </c>
      <c r="P293" s="527">
        <v>0</v>
      </c>
      <c r="Q293" s="527">
        <f>SUM(Q294:Q294)</f>
        <v>156364</v>
      </c>
      <c r="R293" s="891">
        <f>ROUND(SUM(R294),5)</f>
        <v>156364</v>
      </c>
    </row>
    <row r="294" spans="1:18" ht="15" customHeight="1" x14ac:dyDescent="0.25">
      <c r="A294" s="159"/>
      <c r="B294" s="649">
        <v>0</v>
      </c>
      <c r="C294" s="515"/>
      <c r="D294" s="720" t="str">
        <f>" - " &amp; 'Giá NC'!E8</f>
        <v xml:space="preserve"> - Nhân công bậc 3,5/7 - Nhóm 2</v>
      </c>
      <c r="E294" s="649" t="str">
        <f>'Giá NC'!F8</f>
        <v>công</v>
      </c>
      <c r="F294" s="160">
        <v>0</v>
      </c>
      <c r="G294" s="485">
        <v>0.62</v>
      </c>
      <c r="H294" s="485">
        <f>'Du toan chi tiet'!W45</f>
        <v>1</v>
      </c>
      <c r="I294" s="761">
        <f>'Giá NC'!G8</f>
        <v>252200</v>
      </c>
      <c r="J294" s="526">
        <f>'Giá NC'!G8</f>
        <v>252200</v>
      </c>
      <c r="K294" s="526">
        <f>PRODUCT(G294, H294, J294)</f>
        <v>156364</v>
      </c>
      <c r="L294" s="526">
        <f>'Giá NC'!H8</f>
        <v>252200</v>
      </c>
      <c r="M294" s="527">
        <f>PRODUCT(G294, H294, L294)</f>
        <v>156364</v>
      </c>
      <c r="N294" s="527">
        <v>0</v>
      </c>
      <c r="O294" s="527">
        <v>0</v>
      </c>
      <c r="P294" s="527">
        <f>'Giá NC'!K8</f>
        <v>252200</v>
      </c>
      <c r="Q294" s="527">
        <f>PRODUCT(G294, H294, P294)</f>
        <v>156364</v>
      </c>
      <c r="R294" s="892">
        <f t="shared" ref="R294" si="207">ROUND(G294*I294,5)</f>
        <v>156364</v>
      </c>
    </row>
    <row r="295" spans="1:18" ht="15" customHeight="1" x14ac:dyDescent="0.25">
      <c r="A295" s="159"/>
      <c r="B295" s="649">
        <v>0</v>
      </c>
      <c r="C295" s="515"/>
      <c r="D295" s="720" t="s">
        <v>1175</v>
      </c>
      <c r="E295" s="649"/>
      <c r="F295" s="160">
        <v>0</v>
      </c>
      <c r="G295" s="485">
        <v>0</v>
      </c>
      <c r="H295" s="485"/>
      <c r="I295" s="761"/>
      <c r="J295" s="526">
        <v>0</v>
      </c>
      <c r="K295" s="526" t="e">
        <f>SUM(K296:K298)</f>
        <v>#REF!</v>
      </c>
      <c r="L295" s="526">
        <v>0</v>
      </c>
      <c r="M295" s="527" t="e">
        <f>SUM(M296:M298)</f>
        <v>#REF!</v>
      </c>
      <c r="N295" s="527">
        <v>0</v>
      </c>
      <c r="O295" s="527">
        <v>0</v>
      </c>
      <c r="P295" s="527">
        <v>0</v>
      </c>
      <c r="Q295" s="527">
        <f>SUM(Q296:Q298)</f>
        <v>47420.294699999999</v>
      </c>
      <c r="R295" s="891">
        <f>ROUND(SUM(R296:R298),5)</f>
        <v>47420.294699999999</v>
      </c>
    </row>
    <row r="296" spans="1:18" ht="15" customHeight="1" x14ac:dyDescent="0.25">
      <c r="A296" s="159"/>
      <c r="B296" s="649">
        <v>0</v>
      </c>
      <c r="C296" s="515"/>
      <c r="D296" s="720" t="str">
        <f>" - " &amp; 'Giá Máy'!E10</f>
        <v xml:space="preserve"> - Máy đầm bàn 1kW</v>
      </c>
      <c r="E296" s="649" t="str">
        <f>'Giá Máy'!F10</f>
        <v>ca</v>
      </c>
      <c r="F296" s="160">
        <v>0</v>
      </c>
      <c r="G296" s="485">
        <v>8.8999999999999996E-2</v>
      </c>
      <c r="H296" s="485">
        <f>'Du toan chi tiet'!X45</f>
        <v>1</v>
      </c>
      <c r="I296" s="761">
        <f>'Giá Máy'!G10</f>
        <v>257212</v>
      </c>
      <c r="J296" s="526">
        <f>'Giá Máy'!G10</f>
        <v>257212</v>
      </c>
      <c r="K296" s="526">
        <f t="shared" ref="K296:K298" si="208">PRODUCT(G296, H296, J296)</f>
        <v>22891.867999999999</v>
      </c>
      <c r="L296" s="526">
        <f>'Giá Máy'!H10</f>
        <v>257212</v>
      </c>
      <c r="M296" s="527">
        <f t="shared" ref="M296:M298" si="209">PRODUCT(G296, H296, L296)</f>
        <v>22891.867999999999</v>
      </c>
      <c r="N296" s="527">
        <v>0</v>
      </c>
      <c r="O296" s="527">
        <v>0</v>
      </c>
      <c r="P296" s="527">
        <f>'Giá Máy'!O10</f>
        <v>257212</v>
      </c>
      <c r="Q296" s="527">
        <f t="shared" ref="Q296:Q298" si="210">PRODUCT(G296, H296, P296)</f>
        <v>22891.867999999999</v>
      </c>
      <c r="R296" s="892">
        <f t="shared" ref="R296:R297" si="211">ROUND(G296*I296,5)</f>
        <v>22891.867999999999</v>
      </c>
    </row>
    <row r="297" spans="1:18" ht="15" customHeight="1" x14ac:dyDescent="0.25">
      <c r="A297" s="159"/>
      <c r="B297" s="649">
        <v>0</v>
      </c>
      <c r="C297" s="515"/>
      <c r="D297" s="720" t="str">
        <f>" - " &amp; 'Giá Máy'!E12</f>
        <v xml:space="preserve"> - Máy đầm dùi 1,5kW</v>
      </c>
      <c r="E297" s="649" t="str">
        <f>'Giá Máy'!F12</f>
        <v>ca</v>
      </c>
      <c r="F297" s="160">
        <v>0</v>
      </c>
      <c r="G297" s="485">
        <v>8.8999999999999996E-2</v>
      </c>
      <c r="H297" s="485">
        <f>'Du toan chi tiet'!X45</f>
        <v>1</v>
      </c>
      <c r="I297" s="761">
        <f>'Giá Máy'!G12</f>
        <v>265153</v>
      </c>
      <c r="J297" s="526">
        <f>'Giá Máy'!G12</f>
        <v>265153</v>
      </c>
      <c r="K297" s="526">
        <f t="shared" si="208"/>
        <v>23598.616999999998</v>
      </c>
      <c r="L297" s="526">
        <f>'Giá Máy'!H12</f>
        <v>265153</v>
      </c>
      <c r="M297" s="527">
        <f t="shared" si="209"/>
        <v>23598.616999999998</v>
      </c>
      <c r="N297" s="527">
        <v>0</v>
      </c>
      <c r="O297" s="527">
        <v>0</v>
      </c>
      <c r="P297" s="527">
        <f>'Giá Máy'!O12</f>
        <v>265153</v>
      </c>
      <c r="Q297" s="527">
        <f t="shared" si="210"/>
        <v>23598.616999999998</v>
      </c>
      <c r="R297" s="892">
        <f t="shared" si="211"/>
        <v>23598.616999999998</v>
      </c>
    </row>
    <row r="298" spans="1:18" ht="15" customHeight="1" x14ac:dyDescent="0.25">
      <c r="A298" s="78"/>
      <c r="B298" s="583">
        <v>0</v>
      </c>
      <c r="C298" s="442"/>
      <c r="D298" s="647" t="s">
        <v>1080</v>
      </c>
      <c r="E298" s="583" t="s">
        <v>1113</v>
      </c>
      <c r="F298" s="79">
        <v>0</v>
      </c>
      <c r="G298" s="412">
        <v>2</v>
      </c>
      <c r="H298" s="412">
        <f>'Du toan chi tiet'!X45</f>
        <v>1</v>
      </c>
      <c r="I298" s="762"/>
      <c r="J298" s="483" t="e">
        <f>(#REF!*#REF!+G296*J296+G297*J297)/100</f>
        <v>#REF!</v>
      </c>
      <c r="K298" s="483" t="e">
        <f t="shared" si="208"/>
        <v>#REF!</v>
      </c>
      <c r="L298" s="483" t="e">
        <f>(#REF!*#REF!+G296*L296+G297*L297)/100</f>
        <v>#REF!</v>
      </c>
      <c r="M298" s="487" t="e">
        <f t="shared" si="209"/>
        <v>#REF!</v>
      </c>
      <c r="N298" s="487">
        <v>0</v>
      </c>
      <c r="O298" s="487">
        <v>0</v>
      </c>
      <c r="P298" s="487">
        <f>(G296*P296+G297*P297)/100</f>
        <v>464.90485000000001</v>
      </c>
      <c r="Q298" s="487">
        <f t="shared" si="210"/>
        <v>929.80970000000002</v>
      </c>
      <c r="R298" s="893">
        <f>ROUND(SUM(R296:R297)*G298/100,5)</f>
        <v>929.80970000000002</v>
      </c>
    </row>
    <row r="299" spans="1:18" ht="15" customHeight="1" x14ac:dyDescent="0.25">
      <c r="A299" s="421"/>
      <c r="B299" s="140">
        <v>38</v>
      </c>
      <c r="C299" s="465" t="s">
        <v>131</v>
      </c>
      <c r="D299" s="227" t="str">
        <f>'Du toan chi tiet'!D46</f>
        <v>Đắpbột đáy dày 5cm</v>
      </c>
      <c r="E299" s="140" t="str">
        <f>'Du toan chi tiet'!E46</f>
        <v>m3</v>
      </c>
      <c r="F299" s="422">
        <f>'Du toan chi tiet'!M46</f>
        <v>0.17</v>
      </c>
      <c r="G299" s="731">
        <v>0</v>
      </c>
      <c r="H299" s="731">
        <v>0</v>
      </c>
      <c r="I299" s="763"/>
      <c r="J299" s="24">
        <v>0</v>
      </c>
      <c r="K299" s="24">
        <v>0</v>
      </c>
      <c r="L299" s="24">
        <v>0</v>
      </c>
      <c r="M299" s="28">
        <v>0</v>
      </c>
      <c r="N299" s="28">
        <v>0</v>
      </c>
      <c r="O299" s="28">
        <v>0</v>
      </c>
      <c r="P299" s="28">
        <v>0</v>
      </c>
      <c r="Q299" s="28">
        <v>0</v>
      </c>
      <c r="R299" s="467"/>
    </row>
    <row r="300" spans="1:18" ht="15" customHeight="1" x14ac:dyDescent="0.25">
      <c r="A300" s="159"/>
      <c r="B300" s="649">
        <v>0</v>
      </c>
      <c r="C300" s="515"/>
      <c r="D300" s="720" t="s">
        <v>547</v>
      </c>
      <c r="E300" s="649"/>
      <c r="F300" s="160">
        <v>0</v>
      </c>
      <c r="G300" s="485">
        <v>0</v>
      </c>
      <c r="H300" s="485"/>
      <c r="I300" s="761"/>
      <c r="J300" s="526">
        <v>0</v>
      </c>
      <c r="K300" s="526">
        <f>SUM(K301:K301)</f>
        <v>133091.01999999999</v>
      </c>
      <c r="L300" s="526">
        <v>0</v>
      </c>
      <c r="M300" s="527">
        <f>SUM(M301:M301)</f>
        <v>133091.01999999999</v>
      </c>
      <c r="N300" s="527">
        <v>0</v>
      </c>
      <c r="O300" s="527">
        <v>0</v>
      </c>
      <c r="P300" s="527">
        <v>0</v>
      </c>
      <c r="Q300" s="527">
        <f>SUM(Q301:Q301)</f>
        <v>173936.85111923999</v>
      </c>
      <c r="R300" s="891">
        <f>ROUND(SUM(R301),5)</f>
        <v>133091.01999999999</v>
      </c>
    </row>
    <row r="301" spans="1:18" ht="15" customHeight="1" x14ac:dyDescent="0.25">
      <c r="A301" s="159"/>
      <c r="B301" s="649">
        <v>0</v>
      </c>
      <c r="C301" s="515"/>
      <c r="D301" s="720" t="str">
        <f>" - " &amp; 'Giá VL'!E8</f>
        <v xml:space="preserve"> - Bột đá</v>
      </c>
      <c r="E301" s="649" t="str">
        <f>'Giá VL'!F8</f>
        <v>m3</v>
      </c>
      <c r="F301" s="160">
        <v>0</v>
      </c>
      <c r="G301" s="485">
        <v>1.22</v>
      </c>
      <c r="H301" s="485">
        <f>'Du toan chi tiet'!V46</f>
        <v>1</v>
      </c>
      <c r="I301" s="761">
        <f>'Giá VL'!G8</f>
        <v>109091</v>
      </c>
      <c r="J301" s="526">
        <f>'Giá VL'!G8</f>
        <v>109091</v>
      </c>
      <c r="K301" s="526">
        <f>PRODUCT(G301, H301, J301)</f>
        <v>133091.01999999999</v>
      </c>
      <c r="L301" s="526">
        <f>'Giá VL'!J8</f>
        <v>109091</v>
      </c>
      <c r="M301" s="527">
        <f>PRODUCT(G301, H301, L301)</f>
        <v>133091.01999999999</v>
      </c>
      <c r="N301" s="527">
        <v>0</v>
      </c>
      <c r="O301" s="527">
        <v>0</v>
      </c>
      <c r="P301" s="527">
        <f>'Giá VL'!V8</f>
        <v>142571.189442</v>
      </c>
      <c r="Q301" s="527">
        <f>PRODUCT(G301, H301, P301)</f>
        <v>173936.85111923999</v>
      </c>
      <c r="R301" s="892">
        <f t="shared" ref="R301" si="212">ROUND(G301*I301,5)</f>
        <v>133091.01999999999</v>
      </c>
    </row>
    <row r="302" spans="1:18" ht="15" customHeight="1" x14ac:dyDescent="0.25">
      <c r="A302" s="159"/>
      <c r="B302" s="649">
        <v>0</v>
      </c>
      <c r="C302" s="515"/>
      <c r="D302" s="720" t="s">
        <v>301</v>
      </c>
      <c r="E302" s="649"/>
      <c r="F302" s="160">
        <v>0</v>
      </c>
      <c r="G302" s="485">
        <v>0</v>
      </c>
      <c r="H302" s="485"/>
      <c r="I302" s="761"/>
      <c r="J302" s="526">
        <v>0</v>
      </c>
      <c r="K302" s="526">
        <f>SUM(K303:K303)</f>
        <v>8501.945099999999</v>
      </c>
      <c r="L302" s="526">
        <v>0</v>
      </c>
      <c r="M302" s="527">
        <f>SUM(M303:M303)</f>
        <v>8501.945099999999</v>
      </c>
      <c r="N302" s="527">
        <v>0</v>
      </c>
      <c r="O302" s="527">
        <v>0</v>
      </c>
      <c r="P302" s="527">
        <v>0</v>
      </c>
      <c r="Q302" s="527">
        <f>SUM(Q303:Q303)</f>
        <v>8501.945099999999</v>
      </c>
      <c r="R302" s="891">
        <f>ROUND(SUM(R303),5)</f>
        <v>8501.9451000000008</v>
      </c>
    </row>
    <row r="303" spans="1:18" ht="15" customHeight="1" x14ac:dyDescent="0.25">
      <c r="A303" s="159"/>
      <c r="B303" s="649">
        <v>0</v>
      </c>
      <c r="C303" s="515"/>
      <c r="D303" s="720" t="str">
        <f>" - " &amp; 'Giá NC'!E5</f>
        <v xml:space="preserve"> - Nhân công bậc 3,0/7 - Nhóm 1</v>
      </c>
      <c r="E303" s="649" t="str">
        <f>'Giá NC'!F5</f>
        <v>công</v>
      </c>
      <c r="F303" s="160">
        <v>0</v>
      </c>
      <c r="G303" s="485">
        <v>3.8899999999999997E-2</v>
      </c>
      <c r="H303" s="485">
        <f>'Du toan chi tiet'!W46</f>
        <v>1</v>
      </c>
      <c r="I303" s="761">
        <f>'Giá NC'!G5</f>
        <v>218559</v>
      </c>
      <c r="J303" s="526">
        <f>'Giá NC'!G5</f>
        <v>218559</v>
      </c>
      <c r="K303" s="526">
        <f>PRODUCT(G303, H303, J303)</f>
        <v>8501.945099999999</v>
      </c>
      <c r="L303" s="526">
        <f>'Giá NC'!H5</f>
        <v>218559</v>
      </c>
      <c r="M303" s="527">
        <f>PRODUCT(G303, H303, L303)</f>
        <v>8501.945099999999</v>
      </c>
      <c r="N303" s="527">
        <v>0</v>
      </c>
      <c r="O303" s="527">
        <v>0</v>
      </c>
      <c r="P303" s="527">
        <f>'Giá NC'!K5</f>
        <v>218559</v>
      </c>
      <c r="Q303" s="527">
        <f>PRODUCT(G303, H303, P303)</f>
        <v>8501.945099999999</v>
      </c>
      <c r="R303" s="892">
        <f t="shared" ref="R303" si="213">ROUND(G303*I303,5)</f>
        <v>8501.9451000000008</v>
      </c>
    </row>
    <row r="304" spans="1:18" ht="15" customHeight="1" x14ac:dyDescent="0.25">
      <c r="A304" s="159"/>
      <c r="B304" s="649">
        <v>0</v>
      </c>
      <c r="C304" s="515"/>
      <c r="D304" s="720" t="s">
        <v>1175</v>
      </c>
      <c r="E304" s="649"/>
      <c r="F304" s="160">
        <v>0</v>
      </c>
      <c r="G304" s="485">
        <v>0</v>
      </c>
      <c r="H304" s="485"/>
      <c r="I304" s="761"/>
      <c r="J304" s="526">
        <v>0</v>
      </c>
      <c r="K304" s="526">
        <f>SUM(K305:K306)</f>
        <v>7382.8303799999994</v>
      </c>
      <c r="L304" s="526">
        <v>0</v>
      </c>
      <c r="M304" s="527">
        <f>SUM(M305:M306)</f>
        <v>7382.8303799999994</v>
      </c>
      <c r="N304" s="527">
        <v>0</v>
      </c>
      <c r="O304" s="527">
        <v>0</v>
      </c>
      <c r="P304" s="527">
        <v>0</v>
      </c>
      <c r="Q304" s="527">
        <f>SUM(Q305:Q306)</f>
        <v>7382.8303799999994</v>
      </c>
      <c r="R304" s="891">
        <f>ROUND(SUM(R305:R306),5)</f>
        <v>7382.8303800000003</v>
      </c>
    </row>
    <row r="305" spans="1:18" ht="15" customHeight="1" x14ac:dyDescent="0.25">
      <c r="A305" s="159"/>
      <c r="B305" s="649">
        <v>0</v>
      </c>
      <c r="C305" s="515"/>
      <c r="D305" s="720" t="str">
        <f>" - " &amp; 'Giá Máy'!E11</f>
        <v xml:space="preserve"> - Máy đầm đất cầm tay 70kg</v>
      </c>
      <c r="E305" s="649" t="str">
        <f>'Giá Máy'!F11</f>
        <v>ca</v>
      </c>
      <c r="F305" s="160">
        <v>0</v>
      </c>
      <c r="G305" s="485">
        <v>1.9E-2</v>
      </c>
      <c r="H305" s="485">
        <f>'Du toan chi tiet'!X46</f>
        <v>1</v>
      </c>
      <c r="I305" s="761">
        <f>'Giá Máy'!G11</f>
        <v>380951</v>
      </c>
      <c r="J305" s="526">
        <f>'Giá Máy'!G11</f>
        <v>380951</v>
      </c>
      <c r="K305" s="526">
        <f t="shared" ref="K305:K306" si="214">PRODUCT(G305, H305, J305)</f>
        <v>7238.0689999999995</v>
      </c>
      <c r="L305" s="526">
        <f>'Giá Máy'!H11</f>
        <v>380951</v>
      </c>
      <c r="M305" s="527">
        <f t="shared" ref="M305:M306" si="215">PRODUCT(G305, H305, L305)</f>
        <v>7238.0689999999995</v>
      </c>
      <c r="N305" s="527">
        <v>0</v>
      </c>
      <c r="O305" s="527">
        <v>0</v>
      </c>
      <c r="P305" s="527">
        <f>'Giá Máy'!O11</f>
        <v>380951</v>
      </c>
      <c r="Q305" s="527">
        <f t="shared" ref="Q305:Q306" si="216">PRODUCT(G305, H305, P305)</f>
        <v>7238.0689999999995</v>
      </c>
      <c r="R305" s="892">
        <f t="shared" ref="R305" si="217">ROUND(G305*I305,5)</f>
        <v>7238.0690000000004</v>
      </c>
    </row>
    <row r="306" spans="1:18" ht="15" customHeight="1" x14ac:dyDescent="0.25">
      <c r="A306" s="78"/>
      <c r="B306" s="583">
        <v>0</v>
      </c>
      <c r="C306" s="442"/>
      <c r="D306" s="647" t="s">
        <v>1080</v>
      </c>
      <c r="E306" s="583" t="s">
        <v>1113</v>
      </c>
      <c r="F306" s="79">
        <v>0</v>
      </c>
      <c r="G306" s="412">
        <v>2</v>
      </c>
      <c r="H306" s="412">
        <f>'Du toan chi tiet'!X46</f>
        <v>1</v>
      </c>
      <c r="I306" s="762"/>
      <c r="J306" s="483">
        <f>(G305*J305)/100</f>
        <v>72.380690000000001</v>
      </c>
      <c r="K306" s="483">
        <f t="shared" si="214"/>
        <v>144.76138</v>
      </c>
      <c r="L306" s="483">
        <f>(G305*L305)/100</f>
        <v>72.380690000000001</v>
      </c>
      <c r="M306" s="487">
        <f t="shared" si="215"/>
        <v>144.76138</v>
      </c>
      <c r="N306" s="487">
        <v>0</v>
      </c>
      <c r="O306" s="487">
        <v>0</v>
      </c>
      <c r="P306" s="487">
        <f>(G305*P305)/100</f>
        <v>72.380690000000001</v>
      </c>
      <c r="Q306" s="487">
        <f t="shared" si="216"/>
        <v>144.76138</v>
      </c>
      <c r="R306" s="893">
        <f>ROUND(SUM(R305)*G306/100,5)</f>
        <v>144.76138</v>
      </c>
    </row>
    <row r="307" spans="1:18" ht="15" customHeight="1" x14ac:dyDescent="0.25">
      <c r="A307" s="421"/>
      <c r="B307" s="140">
        <v>39</v>
      </c>
      <c r="C307" s="465" t="s">
        <v>928</v>
      </c>
      <c r="D307" s="227" t="str">
        <f>'Du toan chi tiet'!D47</f>
        <v>Lót bạc nilong sọc xanh đỏ</v>
      </c>
      <c r="E307" s="140" t="str">
        <f>'Du toan chi tiet'!E47</f>
        <v>m2</v>
      </c>
      <c r="F307" s="422">
        <f>'Du toan chi tiet'!M47</f>
        <v>3.3</v>
      </c>
      <c r="G307" s="731">
        <v>0</v>
      </c>
      <c r="H307" s="731">
        <v>0</v>
      </c>
      <c r="I307" s="763"/>
      <c r="J307" s="24">
        <v>0</v>
      </c>
      <c r="K307" s="24">
        <v>0</v>
      </c>
      <c r="L307" s="24">
        <v>0</v>
      </c>
      <c r="M307" s="28">
        <v>0</v>
      </c>
      <c r="N307" s="28">
        <v>0</v>
      </c>
      <c r="O307" s="28">
        <v>0</v>
      </c>
      <c r="P307" s="28">
        <v>0</v>
      </c>
      <c r="Q307" s="28">
        <v>0</v>
      </c>
      <c r="R307" s="467"/>
    </row>
    <row r="308" spans="1:18" ht="15" customHeight="1" x14ac:dyDescent="0.25">
      <c r="A308" s="159"/>
      <c r="B308" s="649">
        <v>0</v>
      </c>
      <c r="C308" s="515"/>
      <c r="D308" s="720" t="s">
        <v>547</v>
      </c>
      <c r="E308" s="649"/>
      <c r="F308" s="160">
        <v>0</v>
      </c>
      <c r="G308" s="485">
        <v>0</v>
      </c>
      <c r="H308" s="485"/>
      <c r="I308" s="761"/>
      <c r="J308" s="526">
        <v>0</v>
      </c>
      <c r="K308" s="526">
        <f>SUM(K309:K310)</f>
        <v>5610</v>
      </c>
      <c r="L308" s="526">
        <v>0</v>
      </c>
      <c r="M308" s="527">
        <f>SUM(M309:M310)</f>
        <v>5610</v>
      </c>
      <c r="N308" s="527">
        <v>0</v>
      </c>
      <c r="O308" s="527">
        <v>0</v>
      </c>
      <c r="P308" s="527">
        <v>0</v>
      </c>
      <c r="Q308" s="527">
        <f>SUM(Q309:Q310)</f>
        <v>5610</v>
      </c>
      <c r="R308" s="891">
        <f>ROUND(SUM(R309:R310),5)</f>
        <v>5610</v>
      </c>
    </row>
    <row r="309" spans="1:18" ht="15" customHeight="1" x14ac:dyDescent="0.25">
      <c r="A309" s="159"/>
      <c r="B309" s="649">
        <v>0</v>
      </c>
      <c r="C309" s="515"/>
      <c r="D309" s="720" t="str">
        <f>" - " &amp; 'Giá VL'!E16</f>
        <v xml:space="preserve"> - Bạc sọc xanh trắng</v>
      </c>
      <c r="E309" s="649" t="str">
        <f>'Giá VL'!F16</f>
        <v>m2</v>
      </c>
      <c r="F309" s="160">
        <v>0</v>
      </c>
      <c r="G309" s="485">
        <v>1.1000000000000001</v>
      </c>
      <c r="H309" s="485">
        <f>'Du toan chi tiet'!V47</f>
        <v>1</v>
      </c>
      <c r="I309" s="761">
        <f>'Giá VL'!G16</f>
        <v>5000</v>
      </c>
      <c r="J309" s="526">
        <f>'Giá VL'!G16</f>
        <v>5000</v>
      </c>
      <c r="K309" s="526">
        <f t="shared" ref="K309:K310" si="218">PRODUCT(G309, H309, J309)</f>
        <v>5500</v>
      </c>
      <c r="L309" s="526">
        <f>'Giá VL'!J16</f>
        <v>5000</v>
      </c>
      <c r="M309" s="527">
        <f t="shared" ref="M309:M310" si="219">PRODUCT(G309, H309, L309)</f>
        <v>5500</v>
      </c>
      <c r="N309" s="527">
        <v>0</v>
      </c>
      <c r="O309" s="527">
        <v>0</v>
      </c>
      <c r="P309" s="527">
        <f>'Giá VL'!V16</f>
        <v>5000</v>
      </c>
      <c r="Q309" s="527">
        <f t="shared" ref="Q309:Q310" si="220">PRODUCT(G309, H309, P309)</f>
        <v>5500</v>
      </c>
      <c r="R309" s="892">
        <f t="shared" ref="R309" si="221">ROUND(G309*I309,5)</f>
        <v>5500</v>
      </c>
    </row>
    <row r="310" spans="1:18" ht="15" customHeight="1" x14ac:dyDescent="0.25">
      <c r="A310" s="159"/>
      <c r="B310" s="649">
        <v>0</v>
      </c>
      <c r="C310" s="515"/>
      <c r="D310" s="720" t="s">
        <v>238</v>
      </c>
      <c r="E310" s="649" t="s">
        <v>1113</v>
      </c>
      <c r="F310" s="160">
        <v>0</v>
      </c>
      <c r="G310" s="485">
        <v>2</v>
      </c>
      <c r="H310" s="485">
        <f>'Du toan chi tiet'!V47</f>
        <v>1</v>
      </c>
      <c r="I310" s="761"/>
      <c r="J310" s="526">
        <f>(G309*J309)/100</f>
        <v>55</v>
      </c>
      <c r="K310" s="526">
        <f t="shared" si="218"/>
        <v>110</v>
      </c>
      <c r="L310" s="526">
        <f>(G309*L309)/100</f>
        <v>55</v>
      </c>
      <c r="M310" s="527">
        <f t="shared" si="219"/>
        <v>110</v>
      </c>
      <c r="N310" s="527">
        <v>0</v>
      </c>
      <c r="O310" s="527">
        <v>0</v>
      </c>
      <c r="P310" s="527">
        <f>(G309*P309)/100</f>
        <v>55</v>
      </c>
      <c r="Q310" s="527">
        <f t="shared" si="220"/>
        <v>110</v>
      </c>
      <c r="R310" s="893">
        <f>ROUND(SUM(R309)*G310/100,5)</f>
        <v>110</v>
      </c>
    </row>
    <row r="311" spans="1:18" ht="15" customHeight="1" x14ac:dyDescent="0.25">
      <c r="A311" s="159"/>
      <c r="B311" s="649">
        <v>0</v>
      </c>
      <c r="C311" s="515"/>
      <c r="D311" s="720" t="s">
        <v>301</v>
      </c>
      <c r="E311" s="649"/>
      <c r="F311" s="160">
        <v>0</v>
      </c>
      <c r="G311" s="485">
        <v>0</v>
      </c>
      <c r="H311" s="485"/>
      <c r="I311" s="761"/>
      <c r="J311" s="526">
        <v>0</v>
      </c>
      <c r="K311" s="526">
        <f>SUM(K312:K312)</f>
        <v>378.3</v>
      </c>
      <c r="L311" s="526">
        <v>0</v>
      </c>
      <c r="M311" s="527">
        <f>SUM(M312:M312)</f>
        <v>378.3</v>
      </c>
      <c r="N311" s="527">
        <v>0</v>
      </c>
      <c r="O311" s="527">
        <v>0</v>
      </c>
      <c r="P311" s="527">
        <v>0</v>
      </c>
      <c r="Q311" s="527">
        <f>SUM(Q312:Q312)</f>
        <v>378.3</v>
      </c>
      <c r="R311" s="891">
        <f>ROUND(SUM(R312),5)</f>
        <v>378.3</v>
      </c>
    </row>
    <row r="312" spans="1:18" ht="15" customHeight="1" x14ac:dyDescent="0.25">
      <c r="A312" s="78"/>
      <c r="B312" s="583">
        <v>0</v>
      </c>
      <c r="C312" s="442"/>
      <c r="D312" s="647" t="str">
        <f>" - " &amp; 'Giá NC'!E8</f>
        <v xml:space="preserve"> - Nhân công bậc 3,5/7 - Nhóm 2</v>
      </c>
      <c r="E312" s="583" t="str">
        <f>'Giá NC'!F8</f>
        <v>công</v>
      </c>
      <c r="F312" s="79">
        <v>0</v>
      </c>
      <c r="G312" s="412">
        <v>1.5E-3</v>
      </c>
      <c r="H312" s="412">
        <f>'Du toan chi tiet'!W47</f>
        <v>1</v>
      </c>
      <c r="I312" s="762">
        <f>'Giá NC'!G8</f>
        <v>252200</v>
      </c>
      <c r="J312" s="483">
        <f>'Giá NC'!G8</f>
        <v>252200</v>
      </c>
      <c r="K312" s="483">
        <f>PRODUCT(G312, H312, J312)</f>
        <v>378.3</v>
      </c>
      <c r="L312" s="483">
        <f>'Giá NC'!H8</f>
        <v>252200</v>
      </c>
      <c r="M312" s="487">
        <f>PRODUCT(G312, H312, L312)</f>
        <v>378.3</v>
      </c>
      <c r="N312" s="487">
        <v>0</v>
      </c>
      <c r="O312" s="487">
        <v>0</v>
      </c>
      <c r="P312" s="487">
        <f>'Giá NC'!K8</f>
        <v>252200</v>
      </c>
      <c r="Q312" s="487">
        <f>PRODUCT(G312, H312, P312)</f>
        <v>378.3</v>
      </c>
      <c r="R312" s="892">
        <f t="shared" ref="R312" si="222">ROUND(G312*I312,5)</f>
        <v>378.3</v>
      </c>
    </row>
    <row r="313" spans="1:18" ht="15" customHeight="1" x14ac:dyDescent="0.25">
      <c r="A313" s="421"/>
      <c r="B313" s="140">
        <v>40</v>
      </c>
      <c r="C313" s="465" t="s">
        <v>1130</v>
      </c>
      <c r="D313" s="227" t="str">
        <f>'Du toan chi tiet'!D48</f>
        <v>Ván khuôn thép mặt đường bê tông</v>
      </c>
      <c r="E313" s="140" t="str">
        <f>'Du toan chi tiet'!E48</f>
        <v>m2</v>
      </c>
      <c r="F313" s="422">
        <f>'Du toan chi tiet'!M48</f>
        <v>3.22</v>
      </c>
      <c r="G313" s="731">
        <v>0</v>
      </c>
      <c r="H313" s="731">
        <v>0</v>
      </c>
      <c r="I313" s="763"/>
      <c r="J313" s="24">
        <v>0</v>
      </c>
      <c r="K313" s="24">
        <v>0</v>
      </c>
      <c r="L313" s="24">
        <v>0</v>
      </c>
      <c r="M313" s="28">
        <v>0</v>
      </c>
      <c r="N313" s="28">
        <v>0</v>
      </c>
      <c r="O313" s="28">
        <v>0</v>
      </c>
      <c r="P313" s="28">
        <v>0</v>
      </c>
      <c r="Q313" s="28">
        <v>0</v>
      </c>
      <c r="R313" s="467"/>
    </row>
    <row r="314" spans="1:18" ht="15" customHeight="1" x14ac:dyDescent="0.25">
      <c r="A314" s="159"/>
      <c r="B314" s="649">
        <v>0</v>
      </c>
      <c r="C314" s="515"/>
      <c r="D314" s="720" t="s">
        <v>547</v>
      </c>
      <c r="E314" s="649"/>
      <c r="F314" s="160">
        <v>0</v>
      </c>
      <c r="G314" s="485">
        <v>0</v>
      </c>
      <c r="H314" s="485"/>
      <c r="I314" s="761"/>
      <c r="J314" s="526">
        <v>0</v>
      </c>
      <c r="K314" s="526">
        <f>SUM(K315:K317)</f>
        <v>6590.5011119999999</v>
      </c>
      <c r="L314" s="526">
        <v>0</v>
      </c>
      <c r="M314" s="527">
        <f>SUM(M315:M317)</f>
        <v>6590.5011119999999</v>
      </c>
      <c r="N314" s="527">
        <v>0</v>
      </c>
      <c r="O314" s="527">
        <v>0</v>
      </c>
      <c r="P314" s="527">
        <v>0</v>
      </c>
      <c r="Q314" s="527">
        <f>SUM(Q315:Q317)</f>
        <v>6608.9745113801073</v>
      </c>
      <c r="R314" s="891">
        <f>ROUND(SUM(R315:R316),5)</f>
        <v>6461.2755999999999</v>
      </c>
    </row>
    <row r="315" spans="1:18" ht="15" customHeight="1" x14ac:dyDescent="0.25">
      <c r="A315" s="159"/>
      <c r="B315" s="649">
        <v>0</v>
      </c>
      <c r="C315" s="515"/>
      <c r="D315" s="720" t="str">
        <f>" - " &amp; 'Giá VL'!E30</f>
        <v xml:space="preserve"> - Thép hình, thép tấm</v>
      </c>
      <c r="E315" s="649" t="str">
        <f>'Giá VL'!F30</f>
        <v>kg</v>
      </c>
      <c r="F315" s="160">
        <v>0</v>
      </c>
      <c r="G315" s="485">
        <v>0.315</v>
      </c>
      <c r="H315" s="485">
        <f>'Du toan chi tiet'!V48</f>
        <v>1</v>
      </c>
      <c r="I315" s="761">
        <f>'Giá VL'!G30</f>
        <v>19600</v>
      </c>
      <c r="J315" s="526">
        <f>'Giá VL'!G30</f>
        <v>19600</v>
      </c>
      <c r="K315" s="526">
        <f t="shared" ref="K315:K317" si="223">PRODUCT(G315, H315, J315)</f>
        <v>6174</v>
      </c>
      <c r="L315" s="526">
        <f>'Giá VL'!J30</f>
        <v>19600</v>
      </c>
      <c r="M315" s="527">
        <f t="shared" ref="M315:M317" si="224">PRODUCT(G315, H315, L315)</f>
        <v>6174</v>
      </c>
      <c r="N315" s="527">
        <v>0</v>
      </c>
      <c r="O315" s="527">
        <v>0</v>
      </c>
      <c r="P315" s="527">
        <f>'Giá VL'!V30</f>
        <v>19657.495796390001</v>
      </c>
      <c r="Q315" s="527">
        <f t="shared" ref="Q315:Q317" si="225">PRODUCT(G315, H315, P315)</f>
        <v>6192.1111758628504</v>
      </c>
      <c r="R315" s="892">
        <f t="shared" ref="R315:R316" si="226">ROUND(G315*I315,5)</f>
        <v>6174</v>
      </c>
    </row>
    <row r="316" spans="1:18" ht="15" customHeight="1" x14ac:dyDescent="0.25">
      <c r="A316" s="159"/>
      <c r="B316" s="649">
        <v>0</v>
      </c>
      <c r="C316" s="515"/>
      <c r="D316" s="720" t="str">
        <f>" - " &amp; 'Giá VL'!E25</f>
        <v xml:space="preserve"> - Que hàn</v>
      </c>
      <c r="E316" s="649" t="str">
        <f>'Giá VL'!F25</f>
        <v>kg</v>
      </c>
      <c r="F316" s="160">
        <v>0</v>
      </c>
      <c r="G316" s="485">
        <v>1.5800000000000002E-2</v>
      </c>
      <c r="H316" s="485">
        <f>'Du toan chi tiet'!V48</f>
        <v>1</v>
      </c>
      <c r="I316" s="761">
        <f>'Giá VL'!G25</f>
        <v>18182</v>
      </c>
      <c r="J316" s="526">
        <f>'Giá VL'!G25</f>
        <v>18182</v>
      </c>
      <c r="K316" s="526">
        <f t="shared" si="223"/>
        <v>287.27560000000005</v>
      </c>
      <c r="L316" s="526">
        <f>'Giá VL'!J25</f>
        <v>18182</v>
      </c>
      <c r="M316" s="527">
        <f t="shared" si="224"/>
        <v>287.27560000000005</v>
      </c>
      <c r="N316" s="527">
        <v>0</v>
      </c>
      <c r="O316" s="527">
        <v>0</v>
      </c>
      <c r="P316" s="527">
        <f>'Giá VL'!V25</f>
        <v>18182</v>
      </c>
      <c r="Q316" s="527">
        <f t="shared" si="225"/>
        <v>287.27560000000005</v>
      </c>
      <c r="R316" s="892">
        <f t="shared" si="226"/>
        <v>287.2756</v>
      </c>
    </row>
    <row r="317" spans="1:18" ht="15" customHeight="1" x14ac:dyDescent="0.25">
      <c r="A317" s="159"/>
      <c r="B317" s="649">
        <v>0</v>
      </c>
      <c r="C317" s="515"/>
      <c r="D317" s="720" t="s">
        <v>238</v>
      </c>
      <c r="E317" s="649" t="s">
        <v>1113</v>
      </c>
      <c r="F317" s="160">
        <v>0</v>
      </c>
      <c r="G317" s="485">
        <v>2</v>
      </c>
      <c r="H317" s="485">
        <f>'Du toan chi tiet'!V48</f>
        <v>1</v>
      </c>
      <c r="I317" s="761"/>
      <c r="J317" s="526">
        <f>(G315*J315+G316*J316)/100</f>
        <v>64.612756000000005</v>
      </c>
      <c r="K317" s="526">
        <f t="shared" si="223"/>
        <v>129.22551200000001</v>
      </c>
      <c r="L317" s="526">
        <f>(G315*L315+G316*L316)/100</f>
        <v>64.612756000000005</v>
      </c>
      <c r="M317" s="527">
        <f t="shared" si="224"/>
        <v>129.22551200000001</v>
      </c>
      <c r="N317" s="527">
        <v>0</v>
      </c>
      <c r="O317" s="527">
        <v>0</v>
      </c>
      <c r="P317" s="527">
        <f>(G315*P315+G316*P316)/100</f>
        <v>64.793867758628508</v>
      </c>
      <c r="Q317" s="527">
        <f t="shared" si="225"/>
        <v>129.58773551725702</v>
      </c>
      <c r="R317" s="221"/>
    </row>
    <row r="318" spans="1:18" ht="15" customHeight="1" x14ac:dyDescent="0.25">
      <c r="A318" s="159"/>
      <c r="B318" s="649">
        <v>0</v>
      </c>
      <c r="C318" s="515"/>
      <c r="D318" s="720" t="s">
        <v>301</v>
      </c>
      <c r="E318" s="649"/>
      <c r="F318" s="160">
        <v>0</v>
      </c>
      <c r="G318" s="485">
        <v>0</v>
      </c>
      <c r="H318" s="485"/>
      <c r="I318" s="761"/>
      <c r="J318" s="526">
        <v>0</v>
      </c>
      <c r="K318" s="526">
        <f>SUM(K319:K319)</f>
        <v>31483.550000000003</v>
      </c>
      <c r="L318" s="526">
        <v>0</v>
      </c>
      <c r="M318" s="527">
        <f>SUM(M319:M319)</f>
        <v>31483.550000000003</v>
      </c>
      <c r="N318" s="527">
        <v>0</v>
      </c>
      <c r="O318" s="527">
        <v>0</v>
      </c>
      <c r="P318" s="527">
        <v>0</v>
      </c>
      <c r="Q318" s="527">
        <f>SUM(Q319:Q319)</f>
        <v>31483.550000000003</v>
      </c>
      <c r="R318" s="891">
        <f>ROUND(SUM(R319),5)</f>
        <v>31483.55</v>
      </c>
    </row>
    <row r="319" spans="1:18" ht="15" customHeight="1" x14ac:dyDescent="0.25">
      <c r="A319" s="159"/>
      <c r="B319" s="649">
        <v>0</v>
      </c>
      <c r="C319" s="515"/>
      <c r="D319" s="720" t="str">
        <f>" - " &amp; 'Giá NC'!E9</f>
        <v xml:space="preserve"> - Nhân công bậc 4,0/7 - Nhóm 2</v>
      </c>
      <c r="E319" s="649" t="str">
        <f>'Giá NC'!F9</f>
        <v>công</v>
      </c>
      <c r="F319" s="160">
        <v>0</v>
      </c>
      <c r="G319" s="485">
        <v>0.115</v>
      </c>
      <c r="H319" s="485">
        <f>'Du toan chi tiet'!W48</f>
        <v>1</v>
      </c>
      <c r="I319" s="761">
        <f>'Giá NC'!G9</f>
        <v>273770</v>
      </c>
      <c r="J319" s="526">
        <f>'Giá NC'!G9</f>
        <v>273770</v>
      </c>
      <c r="K319" s="526">
        <f>PRODUCT(G319, H319, J319)</f>
        <v>31483.550000000003</v>
      </c>
      <c r="L319" s="526">
        <f>'Giá NC'!H9</f>
        <v>273770</v>
      </c>
      <c r="M319" s="527">
        <f>PRODUCT(G319, H319, L319)</f>
        <v>31483.550000000003</v>
      </c>
      <c r="N319" s="527">
        <v>0</v>
      </c>
      <c r="O319" s="527">
        <v>0</v>
      </c>
      <c r="P319" s="527">
        <f>'Giá NC'!K9</f>
        <v>273770</v>
      </c>
      <c r="Q319" s="527">
        <f>PRODUCT(G319, H319, P319)</f>
        <v>31483.550000000003</v>
      </c>
      <c r="R319" s="892">
        <f t="shared" ref="R319" si="227">ROUND(G319*I319,5)</f>
        <v>31483.55</v>
      </c>
    </row>
    <row r="320" spans="1:18" ht="15" customHeight="1" x14ac:dyDescent="0.25">
      <c r="A320" s="159"/>
      <c r="B320" s="649">
        <v>0</v>
      </c>
      <c r="C320" s="515"/>
      <c r="D320" s="720" t="s">
        <v>1175</v>
      </c>
      <c r="E320" s="649"/>
      <c r="F320" s="160">
        <v>0</v>
      </c>
      <c r="G320" s="485">
        <v>0</v>
      </c>
      <c r="H320" s="485"/>
      <c r="I320" s="761"/>
      <c r="J320" s="526">
        <v>0</v>
      </c>
      <c r="K320" s="526">
        <f>SUM(K321:K322)</f>
        <v>2047.4392679999999</v>
      </c>
      <c r="L320" s="526">
        <v>0</v>
      </c>
      <c r="M320" s="527">
        <f>SUM(M321:M322)</f>
        <v>2047.4392679999999</v>
      </c>
      <c r="N320" s="527">
        <v>0</v>
      </c>
      <c r="O320" s="527">
        <v>0</v>
      </c>
      <c r="P320" s="527">
        <v>0</v>
      </c>
      <c r="Q320" s="527">
        <f>SUM(Q321:Q322)</f>
        <v>2047.4392679999999</v>
      </c>
      <c r="R320" s="891">
        <f>ROUND(SUM(R321:R322),5)</f>
        <v>2047.4392700000001</v>
      </c>
    </row>
    <row r="321" spans="1:18" ht="15" customHeight="1" x14ac:dyDescent="0.25">
      <c r="A321" s="159"/>
      <c r="B321" s="649">
        <v>0</v>
      </c>
      <c r="C321" s="515"/>
      <c r="D321" s="720" t="str">
        <f>" - " &amp; 'Giá Máy'!E15</f>
        <v xml:space="preserve"> - Máy hàn điện 23kW</v>
      </c>
      <c r="E321" s="649" t="str">
        <f>'Giá Máy'!F15</f>
        <v>ca</v>
      </c>
      <c r="F321" s="160">
        <v>0</v>
      </c>
      <c r="G321" s="485">
        <v>4.1999999999999997E-3</v>
      </c>
      <c r="H321" s="485">
        <f>'Du toan chi tiet'!X48</f>
        <v>1</v>
      </c>
      <c r="I321" s="761">
        <f>'Giá Máy'!G15</f>
        <v>477927</v>
      </c>
      <c r="J321" s="526">
        <f>'Giá Máy'!G15</f>
        <v>477927</v>
      </c>
      <c r="K321" s="526">
        <f t="shared" ref="K321:K322" si="228">PRODUCT(G321, H321, J321)</f>
        <v>2007.2933999999998</v>
      </c>
      <c r="L321" s="526">
        <f>'Giá Máy'!H15</f>
        <v>477927</v>
      </c>
      <c r="M321" s="527">
        <f t="shared" ref="M321:M322" si="229">PRODUCT(G321, H321, L321)</f>
        <v>2007.2933999999998</v>
      </c>
      <c r="N321" s="527">
        <v>0</v>
      </c>
      <c r="O321" s="527">
        <v>0</v>
      </c>
      <c r="P321" s="527">
        <f>'Giá Máy'!O15</f>
        <v>477927</v>
      </c>
      <c r="Q321" s="527">
        <f t="shared" ref="Q321:Q322" si="230">PRODUCT(G321, H321, P321)</f>
        <v>2007.2933999999998</v>
      </c>
      <c r="R321" s="892">
        <f t="shared" ref="R321" si="231">ROUND(G321*I321,5)</f>
        <v>2007.2934</v>
      </c>
    </row>
    <row r="322" spans="1:18" ht="15" customHeight="1" x14ac:dyDescent="0.25">
      <c r="A322" s="78"/>
      <c r="B322" s="583">
        <v>0</v>
      </c>
      <c r="C322" s="442"/>
      <c r="D322" s="647" t="s">
        <v>1080</v>
      </c>
      <c r="E322" s="583" t="s">
        <v>1113</v>
      </c>
      <c r="F322" s="79">
        <v>0</v>
      </c>
      <c r="G322" s="412">
        <v>2</v>
      </c>
      <c r="H322" s="412">
        <f>'Du toan chi tiet'!X48</f>
        <v>1</v>
      </c>
      <c r="I322" s="762"/>
      <c r="J322" s="483">
        <f>(G321*J321)/100</f>
        <v>20.072933999999997</v>
      </c>
      <c r="K322" s="483">
        <f t="shared" si="228"/>
        <v>40.145867999999993</v>
      </c>
      <c r="L322" s="483">
        <f>(G321*L321)/100</f>
        <v>20.072933999999997</v>
      </c>
      <c r="M322" s="487">
        <f t="shared" si="229"/>
        <v>40.145867999999993</v>
      </c>
      <c r="N322" s="487">
        <v>0</v>
      </c>
      <c r="O322" s="487">
        <v>0</v>
      </c>
      <c r="P322" s="487">
        <f>(G321*P321)/100</f>
        <v>20.072933999999997</v>
      </c>
      <c r="Q322" s="487">
        <f t="shared" si="230"/>
        <v>40.145867999999993</v>
      </c>
      <c r="R322" s="893">
        <f>ROUND(SUM(R321)*G322/100,5)</f>
        <v>40.145870000000002</v>
      </c>
    </row>
    <row r="323" spans="1:18" ht="49.5" customHeight="1" x14ac:dyDescent="0.25">
      <c r="A323" s="421"/>
      <c r="B323" s="140">
        <v>41</v>
      </c>
      <c r="C323" s="465" t="s">
        <v>544</v>
      </c>
      <c r="D323" s="227" t="str">
        <f>'Du toan chi tiet'!D49</f>
        <v>Rải thảm mặt đường Carboncor Asphalt, bằng phương pháp thủ cơ giới, chiều dày mặt đường đã lèn ép 3cm</v>
      </c>
      <c r="E323" s="140" t="str">
        <f>'Du toan chi tiet'!E49</f>
        <v>m2</v>
      </c>
      <c r="F323" s="422">
        <f>'Du toan chi tiet'!M49</f>
        <v>1.2</v>
      </c>
      <c r="G323" s="731">
        <v>0</v>
      </c>
      <c r="H323" s="731">
        <v>0</v>
      </c>
      <c r="I323" s="763"/>
      <c r="J323" s="24">
        <v>0</v>
      </c>
      <c r="K323" s="24">
        <v>0</v>
      </c>
      <c r="L323" s="24">
        <v>0</v>
      </c>
      <c r="M323" s="28">
        <v>0</v>
      </c>
      <c r="N323" s="28">
        <v>0</v>
      </c>
      <c r="O323" s="28">
        <v>0</v>
      </c>
      <c r="P323" s="28">
        <v>0</v>
      </c>
      <c r="Q323" s="28">
        <v>0</v>
      </c>
      <c r="R323" s="467"/>
    </row>
    <row r="324" spans="1:18" ht="15" customHeight="1" x14ac:dyDescent="0.25">
      <c r="A324" s="159"/>
      <c r="B324" s="649">
        <v>0</v>
      </c>
      <c r="C324" s="515"/>
      <c r="D324" s="720" t="s">
        <v>547</v>
      </c>
      <c r="E324" s="649"/>
      <c r="F324" s="160">
        <v>0</v>
      </c>
      <c r="G324" s="485">
        <v>0</v>
      </c>
      <c r="H324" s="485"/>
      <c r="I324" s="761"/>
      <c r="J324" s="526">
        <v>0</v>
      </c>
      <c r="K324" s="526">
        <f>SUM(K325:K326)</f>
        <v>220016</v>
      </c>
      <c r="L324" s="526">
        <v>0</v>
      </c>
      <c r="M324" s="527">
        <f>SUM(M325:M326)</f>
        <v>220016</v>
      </c>
      <c r="N324" s="527">
        <v>0</v>
      </c>
      <c r="O324" s="527">
        <v>0</v>
      </c>
      <c r="P324" s="527">
        <v>0</v>
      </c>
      <c r="Q324" s="527">
        <f>SUM(Q325:Q326)</f>
        <v>222467.38400000002</v>
      </c>
      <c r="R324" s="891">
        <f>ROUND(SUM(R325:R326),5)</f>
        <v>220016</v>
      </c>
    </row>
    <row r="325" spans="1:18" ht="15" customHeight="1" x14ac:dyDescent="0.25">
      <c r="A325" s="159"/>
      <c r="B325" s="649">
        <v>0</v>
      </c>
      <c r="C325" s="515"/>
      <c r="D325" s="720" t="str">
        <f>" - " &amp; 'Giá VL'!E6</f>
        <v xml:space="preserve"> - Carboncor Asphalt (loại CA 9,5)</v>
      </c>
      <c r="E325" s="649" t="str">
        <f>'Giá VL'!F6</f>
        <v>tấn</v>
      </c>
      <c r="F325" s="160">
        <v>0</v>
      </c>
      <c r="G325" s="485">
        <v>5.8200000000000002E-2</v>
      </c>
      <c r="H325" s="485">
        <f>'Du toan chi tiet'!V49</f>
        <v>1</v>
      </c>
      <c r="I325" s="761">
        <f>'Giá VL'!G6</f>
        <v>3780000</v>
      </c>
      <c r="J325" s="526">
        <f>'Giá VL'!G6</f>
        <v>3780000</v>
      </c>
      <c r="K325" s="526">
        <f t="shared" ref="K325:K326" si="232">PRODUCT(G325, H325, J325)</f>
        <v>219996</v>
      </c>
      <c r="L325" s="526">
        <f>'Giá VL'!J6</f>
        <v>3780000</v>
      </c>
      <c r="M325" s="527">
        <f t="shared" ref="M325:M326" si="233">PRODUCT(G325, H325, L325)</f>
        <v>219996</v>
      </c>
      <c r="N325" s="527">
        <v>0</v>
      </c>
      <c r="O325" s="527">
        <v>0</v>
      </c>
      <c r="P325" s="527">
        <f>'Giá VL'!V6</f>
        <v>3822120</v>
      </c>
      <c r="Q325" s="527">
        <f t="shared" ref="Q325:Q326" si="234">PRODUCT(G325, H325, P325)</f>
        <v>222447.38400000002</v>
      </c>
      <c r="R325" s="892">
        <f t="shared" ref="R325:R326" si="235">ROUND(G325*I325,5)</f>
        <v>219996</v>
      </c>
    </row>
    <row r="326" spans="1:18" ht="15" customHeight="1" x14ac:dyDescent="0.25">
      <c r="A326" s="159"/>
      <c r="B326" s="649">
        <v>0</v>
      </c>
      <c r="C326" s="515"/>
      <c r="D326" s="720" t="str">
        <f>" - " &amp; 'Giá VL'!E23</f>
        <v xml:space="preserve"> - Nước</v>
      </c>
      <c r="E326" s="649" t="str">
        <f>'Giá VL'!F23</f>
        <v>lít</v>
      </c>
      <c r="F326" s="160">
        <v>0</v>
      </c>
      <c r="G326" s="485">
        <v>2</v>
      </c>
      <c r="H326" s="485">
        <f>'Du toan chi tiet'!V49</f>
        <v>1</v>
      </c>
      <c r="I326" s="761">
        <f>'Giá VL'!G23</f>
        <v>10</v>
      </c>
      <c r="J326" s="526">
        <f>'Giá VL'!G23</f>
        <v>10</v>
      </c>
      <c r="K326" s="526">
        <f t="shared" si="232"/>
        <v>20</v>
      </c>
      <c r="L326" s="526">
        <f>'Giá VL'!J23</f>
        <v>10</v>
      </c>
      <c r="M326" s="527">
        <f t="shared" si="233"/>
        <v>20</v>
      </c>
      <c r="N326" s="527">
        <v>0</v>
      </c>
      <c r="O326" s="527">
        <v>0</v>
      </c>
      <c r="P326" s="527">
        <f>'Giá VL'!V23</f>
        <v>10</v>
      </c>
      <c r="Q326" s="527">
        <f t="shared" si="234"/>
        <v>20</v>
      </c>
      <c r="R326" s="892">
        <f t="shared" si="235"/>
        <v>20</v>
      </c>
    </row>
    <row r="327" spans="1:18" ht="15" customHeight="1" x14ac:dyDescent="0.25">
      <c r="A327" s="159"/>
      <c r="B327" s="649">
        <v>0</v>
      </c>
      <c r="C327" s="515"/>
      <c r="D327" s="720" t="s">
        <v>301</v>
      </c>
      <c r="E327" s="649"/>
      <c r="F327" s="160">
        <v>0</v>
      </c>
      <c r="G327" s="485">
        <v>0</v>
      </c>
      <c r="H327" s="485"/>
      <c r="I327" s="761"/>
      <c r="J327" s="526">
        <v>0</v>
      </c>
      <c r="K327" s="526">
        <f>SUM(K328:K328)</f>
        <v>2017.6000000000001</v>
      </c>
      <c r="L327" s="526">
        <v>0</v>
      </c>
      <c r="M327" s="527">
        <f>SUM(M328:M328)</f>
        <v>2017.6000000000001</v>
      </c>
      <c r="N327" s="527">
        <v>0</v>
      </c>
      <c r="O327" s="527">
        <v>0</v>
      </c>
      <c r="P327" s="527">
        <v>0</v>
      </c>
      <c r="Q327" s="527">
        <f>SUM(Q328:Q328)</f>
        <v>2017.6000000000001</v>
      </c>
      <c r="R327" s="891">
        <f>ROUND(SUM(R328),5)</f>
        <v>2017.6</v>
      </c>
    </row>
    <row r="328" spans="1:18" ht="15" customHeight="1" x14ac:dyDescent="0.25">
      <c r="A328" s="159"/>
      <c r="B328" s="649">
        <v>0</v>
      </c>
      <c r="C328" s="515"/>
      <c r="D328" s="720" t="str">
        <f>" - " &amp; 'Giá NC'!E8</f>
        <v xml:space="preserve"> - Nhân công bậc 3,5/7 - Nhóm 2</v>
      </c>
      <c r="E328" s="649" t="str">
        <f>'Giá NC'!F8</f>
        <v>công</v>
      </c>
      <c r="F328" s="160">
        <v>0</v>
      </c>
      <c r="G328" s="485">
        <v>8.0000000000000002E-3</v>
      </c>
      <c r="H328" s="485">
        <f>'Du toan chi tiet'!W49</f>
        <v>1</v>
      </c>
      <c r="I328" s="761">
        <f>'Giá NC'!G8</f>
        <v>252200</v>
      </c>
      <c r="J328" s="526">
        <f>'Giá NC'!G8</f>
        <v>252200</v>
      </c>
      <c r="K328" s="526">
        <f>PRODUCT(G328, H328, J328)</f>
        <v>2017.6000000000001</v>
      </c>
      <c r="L328" s="526">
        <f>'Giá NC'!H8</f>
        <v>252200</v>
      </c>
      <c r="M328" s="527">
        <f>PRODUCT(G328, H328, L328)</f>
        <v>2017.6000000000001</v>
      </c>
      <c r="N328" s="527">
        <v>0</v>
      </c>
      <c r="O328" s="527">
        <v>0</v>
      </c>
      <c r="P328" s="527">
        <f>'Giá NC'!K8</f>
        <v>252200</v>
      </c>
      <c r="Q328" s="527">
        <f>PRODUCT(G328, H328, P328)</f>
        <v>2017.6000000000001</v>
      </c>
      <c r="R328" s="892">
        <f t="shared" ref="R328" si="236">ROUND(G328*I328,5)</f>
        <v>2017.6</v>
      </c>
    </row>
    <row r="329" spans="1:18" ht="15" customHeight="1" x14ac:dyDescent="0.25">
      <c r="A329" s="159"/>
      <c r="B329" s="649">
        <v>0</v>
      </c>
      <c r="C329" s="515"/>
      <c r="D329" s="720" t="s">
        <v>1175</v>
      </c>
      <c r="E329" s="649"/>
      <c r="F329" s="160">
        <v>0</v>
      </c>
      <c r="G329" s="485">
        <v>0</v>
      </c>
      <c r="H329" s="485"/>
      <c r="J329" s="526">
        <v>0</v>
      </c>
      <c r="K329" s="526">
        <f>SUM(K330:K333)</f>
        <v>3181.7172350000001</v>
      </c>
      <c r="L329" s="526">
        <v>0</v>
      </c>
      <c r="M329" s="527">
        <f>SUM(M330:M333)</f>
        <v>3181.7172350000001</v>
      </c>
      <c r="N329" s="527">
        <v>0</v>
      </c>
      <c r="O329" s="527">
        <v>0</v>
      </c>
      <c r="P329" s="527">
        <v>0</v>
      </c>
      <c r="Q329" s="527">
        <f>SUM(Q330:Q333)</f>
        <v>3181.7172350000001</v>
      </c>
      <c r="R329" s="891">
        <f>ROUND(SUM(R330:R333),5)</f>
        <v>3181.7172399999999</v>
      </c>
    </row>
    <row r="330" spans="1:18" ht="15" customHeight="1" x14ac:dyDescent="0.25">
      <c r="A330" s="159"/>
      <c r="B330" s="649">
        <v>0</v>
      </c>
      <c r="C330" s="515"/>
      <c r="D330" s="720" t="str">
        <f>" - " &amp; 'Giá Máy'!E19</f>
        <v xml:space="preserve"> - Máy rải hỗn hợp bê tông nhựa 130 - 140CV</v>
      </c>
      <c r="E330" s="649" t="str">
        <f>'Giá Máy'!F19</f>
        <v>ca</v>
      </c>
      <c r="F330" s="160">
        <v>0</v>
      </c>
      <c r="G330" s="485">
        <v>3.3E-4</v>
      </c>
      <c r="H330" s="485">
        <f>'Du toan chi tiet'!X49</f>
        <v>1</v>
      </c>
      <c r="I330" s="761">
        <f>'Giá Máy'!G19</f>
        <v>5455372</v>
      </c>
      <c r="J330" s="526">
        <f>'Giá Máy'!G19</f>
        <v>5455372</v>
      </c>
      <c r="K330" s="526">
        <f t="shared" ref="K330:K333" si="237">PRODUCT(G330, H330, J330)</f>
        <v>1800.2727600000001</v>
      </c>
      <c r="L330" s="526">
        <f>'Giá Máy'!H19</f>
        <v>5455372</v>
      </c>
      <c r="M330" s="527">
        <f t="shared" ref="M330:M333" si="238">PRODUCT(G330, H330, L330)</f>
        <v>1800.2727600000001</v>
      </c>
      <c r="N330" s="527">
        <v>0</v>
      </c>
      <c r="O330" s="527">
        <v>0</v>
      </c>
      <c r="P330" s="527">
        <f>'Giá Máy'!O19</f>
        <v>5455372</v>
      </c>
      <c r="Q330" s="527">
        <f t="shared" ref="Q330:Q333" si="239">PRODUCT(G330, H330, P330)</f>
        <v>1800.2727600000001</v>
      </c>
      <c r="R330" s="892">
        <f t="shared" ref="R330:R333" si="240">ROUND(G330*I330,5)</f>
        <v>1800.2727600000001</v>
      </c>
    </row>
    <row r="331" spans="1:18" ht="15" customHeight="1" x14ac:dyDescent="0.25">
      <c r="A331" s="159"/>
      <c r="B331" s="649">
        <v>0</v>
      </c>
      <c r="C331" s="515"/>
      <c r="D331" s="720" t="str">
        <f>" - " &amp; 'Giá Máy'!E25</f>
        <v xml:space="preserve"> - Máy lu bánh thép 6T</v>
      </c>
      <c r="E331" s="649" t="str">
        <f>'Giá Máy'!F25</f>
        <v>ca</v>
      </c>
      <c r="F331" s="160">
        <v>0</v>
      </c>
      <c r="G331" s="485">
        <v>6.3000000000000003E-4</v>
      </c>
      <c r="H331" s="485">
        <f>'Du toan chi tiet'!X49</f>
        <v>1</v>
      </c>
      <c r="I331" s="761">
        <f>'Giá Máy'!G25</f>
        <v>953819</v>
      </c>
      <c r="J331" s="526">
        <f>'Giá Máy'!G25</f>
        <v>953819</v>
      </c>
      <c r="K331" s="526">
        <f t="shared" si="237"/>
        <v>600.90597000000002</v>
      </c>
      <c r="L331" s="526">
        <f>'Giá Máy'!H25</f>
        <v>953819</v>
      </c>
      <c r="M331" s="527">
        <f t="shared" si="238"/>
        <v>600.90597000000002</v>
      </c>
      <c r="N331" s="527">
        <v>0</v>
      </c>
      <c r="O331" s="527">
        <v>0</v>
      </c>
      <c r="P331" s="527">
        <f>'Giá Máy'!O25</f>
        <v>953819</v>
      </c>
      <c r="Q331" s="527">
        <f t="shared" si="239"/>
        <v>600.90597000000002</v>
      </c>
      <c r="R331" s="892">
        <f t="shared" si="240"/>
        <v>600.90597000000002</v>
      </c>
    </row>
    <row r="332" spans="1:18" ht="15" customHeight="1" x14ac:dyDescent="0.25">
      <c r="A332" s="159"/>
      <c r="B332" s="649">
        <v>0</v>
      </c>
      <c r="C332" s="515"/>
      <c r="D332" s="720" t="str">
        <f>" - " &amp; 'Giá Máy'!E23</f>
        <v xml:space="preserve"> - Ô tô tưới nước 5m3</v>
      </c>
      <c r="E332" s="649" t="str">
        <f>'Giá Máy'!F23</f>
        <v>ca</v>
      </c>
      <c r="F332" s="160">
        <v>0</v>
      </c>
      <c r="G332" s="485">
        <v>2.1000000000000001E-4</v>
      </c>
      <c r="H332" s="485">
        <f>'Du toan chi tiet'!X49</f>
        <v>1</v>
      </c>
      <c r="I332" s="761">
        <f>'Giá Máy'!G23</f>
        <v>1202488</v>
      </c>
      <c r="J332" s="526">
        <f>'Giá Máy'!G23</f>
        <v>1202488</v>
      </c>
      <c r="K332" s="526">
        <f t="shared" si="237"/>
        <v>252.52248</v>
      </c>
      <c r="L332" s="526">
        <f>'Giá Máy'!H23</f>
        <v>1202488</v>
      </c>
      <c r="M332" s="527">
        <f t="shared" si="238"/>
        <v>252.52248</v>
      </c>
      <c r="N332" s="527">
        <v>0</v>
      </c>
      <c r="O332" s="527">
        <v>0</v>
      </c>
      <c r="P332" s="527">
        <f>'Giá Máy'!O23</f>
        <v>1202488</v>
      </c>
      <c r="Q332" s="527">
        <f t="shared" si="239"/>
        <v>252.52248</v>
      </c>
      <c r="R332" s="892">
        <f t="shared" si="240"/>
        <v>252.52248</v>
      </c>
    </row>
    <row r="333" spans="1:18" ht="15" customHeight="1" x14ac:dyDescent="0.25">
      <c r="A333" s="78"/>
      <c r="B333" s="583">
        <v>0</v>
      </c>
      <c r="C333" s="442"/>
      <c r="D333" s="647" t="str">
        <f>" - " &amp; 'Giá Máy'!E18</f>
        <v xml:space="preserve"> - Máy nén khí diezel 600m3/h</v>
      </c>
      <c r="E333" s="583" t="str">
        <f>'Giá Máy'!F18</f>
        <v>ca</v>
      </c>
      <c r="F333" s="79">
        <v>0</v>
      </c>
      <c r="G333" s="412">
        <v>3.1E-4</v>
      </c>
      <c r="H333" s="412">
        <f>'Du toan chi tiet'!X49</f>
        <v>1</v>
      </c>
      <c r="I333" s="762">
        <f>'Giá Máy'!G18</f>
        <v>1703277.5</v>
      </c>
      <c r="J333" s="483">
        <f>'Giá Máy'!G18</f>
        <v>1703277.5</v>
      </c>
      <c r="K333" s="483">
        <f t="shared" si="237"/>
        <v>528.01602500000001</v>
      </c>
      <c r="L333" s="483">
        <f>'Giá Máy'!H18</f>
        <v>1703277.5</v>
      </c>
      <c r="M333" s="487">
        <f t="shared" si="238"/>
        <v>528.01602500000001</v>
      </c>
      <c r="N333" s="487">
        <v>0</v>
      </c>
      <c r="O333" s="487">
        <v>0</v>
      </c>
      <c r="P333" s="487">
        <f>'Giá Máy'!O18</f>
        <v>1703277.5</v>
      </c>
      <c r="Q333" s="487">
        <f t="shared" si="239"/>
        <v>528.01602500000001</v>
      </c>
      <c r="R333" s="892">
        <f t="shared" si="240"/>
        <v>528.01603</v>
      </c>
    </row>
  </sheetData>
  <mergeCells count="13">
    <mergeCell ref="R4:R5"/>
    <mergeCell ref="P4:Q4"/>
    <mergeCell ref="A1:Q1"/>
    <mergeCell ref="A2:Q2"/>
    <mergeCell ref="A3:Q3"/>
    <mergeCell ref="B4:B5"/>
    <mergeCell ref="C4:C5"/>
    <mergeCell ref="D4:D5"/>
    <mergeCell ref="G4:G5"/>
    <mergeCell ref="I4:I5"/>
    <mergeCell ref="E4:E5"/>
    <mergeCell ref="J4:K4"/>
    <mergeCell ref="L4:M4"/>
  </mergeCells>
  <conditionalFormatting sqref="H4:H5">
    <cfRule type="cellIs" dxfId="38" priority="27" stopIfTrue="1" operator="equal">
      <formula>1</formula>
    </cfRule>
  </conditionalFormatting>
  <conditionalFormatting sqref="H6:H16 H18:H27 H29:H63 H65:H79 H81:H92 H94:H98 H100:H104 H106:H110 H112:H113 H115:H125 H127:H138 H140:H154 H156:H164 H166:H167 H169:H170 H172:H200 H213:H234 H202:H211 H236:H246 H278:H281 H283:H286 H288:H333 H248:H276">
    <cfRule type="cellIs" dxfId="37" priority="28" stopIfTrue="1" operator="equal">
      <formula>1</formula>
    </cfRule>
  </conditionalFormatting>
  <conditionalFormatting sqref="H17">
    <cfRule type="cellIs" dxfId="36" priority="24" stopIfTrue="1" operator="equal">
      <formula>1</formula>
    </cfRule>
  </conditionalFormatting>
  <conditionalFormatting sqref="H28">
    <cfRule type="cellIs" dxfId="35" priority="23" stopIfTrue="1" operator="equal">
      <formula>1</formula>
    </cfRule>
  </conditionalFormatting>
  <conditionalFormatting sqref="H64">
    <cfRule type="cellIs" dxfId="34" priority="22" stopIfTrue="1" operator="equal">
      <formula>1</formula>
    </cfRule>
  </conditionalFormatting>
  <conditionalFormatting sqref="H80">
    <cfRule type="cellIs" dxfId="33" priority="21" stopIfTrue="1" operator="equal">
      <formula>1</formula>
    </cfRule>
  </conditionalFormatting>
  <conditionalFormatting sqref="H105">
    <cfRule type="cellIs" dxfId="32" priority="18" stopIfTrue="1" operator="equal">
      <formula>1</formula>
    </cfRule>
  </conditionalFormatting>
  <conditionalFormatting sqref="H111">
    <cfRule type="cellIs" dxfId="31" priority="17" stopIfTrue="1" operator="equal">
      <formula>1</formula>
    </cfRule>
  </conditionalFormatting>
  <conditionalFormatting sqref="H114">
    <cfRule type="cellIs" dxfId="30" priority="16" stopIfTrue="1" operator="equal">
      <formula>1</formula>
    </cfRule>
  </conditionalFormatting>
  <conditionalFormatting sqref="H126">
    <cfRule type="cellIs" dxfId="29" priority="15" stopIfTrue="1" operator="equal">
      <formula>1</formula>
    </cfRule>
  </conditionalFormatting>
  <conditionalFormatting sqref="H139">
    <cfRule type="cellIs" dxfId="28" priority="14" stopIfTrue="1" operator="equal">
      <formula>1</formula>
    </cfRule>
  </conditionalFormatting>
  <conditionalFormatting sqref="H212">
    <cfRule type="cellIs" dxfId="27" priority="8" stopIfTrue="1" operator="equal">
      <formula>1</formula>
    </cfRule>
  </conditionalFormatting>
  <conditionalFormatting sqref="H155">
    <cfRule type="cellIs" dxfId="26" priority="13" stopIfTrue="1" operator="equal">
      <formula>1</formula>
    </cfRule>
  </conditionalFormatting>
  <conditionalFormatting sqref="H165">
    <cfRule type="cellIs" dxfId="25" priority="12" stopIfTrue="1" operator="equal">
      <formula>1</formula>
    </cfRule>
  </conditionalFormatting>
  <conditionalFormatting sqref="H168">
    <cfRule type="cellIs" dxfId="24" priority="11" stopIfTrue="1" operator="equal">
      <formula>1</formula>
    </cfRule>
  </conditionalFormatting>
  <conditionalFormatting sqref="H171">
    <cfRule type="cellIs" dxfId="23" priority="10" stopIfTrue="1" operator="equal">
      <formula>1</formula>
    </cfRule>
  </conditionalFormatting>
  <conditionalFormatting sqref="H201">
    <cfRule type="cellIs" dxfId="22" priority="9" stopIfTrue="1" operator="equal">
      <formula>1</formula>
    </cfRule>
  </conditionalFormatting>
  <conditionalFormatting sqref="H235">
    <cfRule type="cellIs" dxfId="21" priority="7" stopIfTrue="1" operator="equal">
      <formula>1</formula>
    </cfRule>
  </conditionalFormatting>
  <conditionalFormatting sqref="H247">
    <cfRule type="cellIs" dxfId="20" priority="6" stopIfTrue="1" operator="equal">
      <formula>1</formula>
    </cfRule>
  </conditionalFormatting>
  <conditionalFormatting sqref="H277">
    <cfRule type="cellIs" dxfId="19" priority="5" stopIfTrue="1" operator="equal">
      <formula>1</formula>
    </cfRule>
  </conditionalFormatting>
  <conditionalFormatting sqref="H282">
    <cfRule type="cellIs" dxfId="18" priority="4" stopIfTrue="1" operator="equal">
      <formula>1</formula>
    </cfRule>
  </conditionalFormatting>
  <conditionalFormatting sqref="H287">
    <cfRule type="cellIs" dxfId="17" priority="3" stopIfTrue="1" operator="equal">
      <formula>1</formula>
    </cfRule>
  </conditionalFormatting>
  <conditionalFormatting sqref="H93">
    <cfRule type="cellIs" dxfId="16" priority="2" stopIfTrue="1" operator="equal">
      <formula>1</formula>
    </cfRule>
  </conditionalFormatting>
  <conditionalFormatting sqref="H99">
    <cfRule type="cellIs" dxfId="15" priority="1" stopIfTrue="1" operator="equal">
      <formula>1</formula>
    </cfRule>
  </conditionalFormatting>
  <pageMargins left="1.1824015748031496" right="0.39370078740157483" top="0.59055118110236227" bottom="0.39370078740157483" header="0.31496062992125984" footer="0.31496062992125984"/>
  <pageSetup scale="78" orientation="portrait" useFirstPageNumber="1" horizontalDpi="6553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W37"/>
  <sheetViews>
    <sheetView showZeros="0" topLeftCell="B6" workbookViewId="0">
      <selection activeCell="Z34" sqref="Z34"/>
    </sheetView>
  </sheetViews>
  <sheetFormatPr defaultColWidth="9.140625" defaultRowHeight="15" x14ac:dyDescent="0.25"/>
  <cols>
    <col min="1" max="1" width="5.140625" style="770" hidden="1" customWidth="1"/>
    <col min="2" max="2" width="4.7109375" style="770" bestFit="1" customWidth="1"/>
    <col min="3" max="3" width="8.28515625" style="770" hidden="1" customWidth="1"/>
    <col min="4" max="4" width="10.85546875" style="770" hidden="1" customWidth="1"/>
    <col min="5" max="5" width="28.28515625" style="770" customWidth="1"/>
    <col min="6" max="6" width="6.5703125" style="770" bestFit="1" customWidth="1"/>
    <col min="7" max="7" width="9.140625" style="770" bestFit="1" customWidth="1"/>
    <col min="8" max="9" width="9.140625" style="770" hidden="1" customWidth="1"/>
    <col min="10" max="10" width="9.140625" style="770" bestFit="1" customWidth="1"/>
    <col min="11" max="11" width="5.5703125" style="770" hidden="1" customWidth="1"/>
    <col min="12" max="12" width="11.85546875" style="770" hidden="1" customWidth="1"/>
    <col min="13" max="13" width="9.140625" style="770" hidden="1" customWidth="1"/>
    <col min="14" max="14" width="9.28515625" style="770" customWidth="1"/>
    <col min="15" max="15" width="9.85546875" style="770" hidden="1" customWidth="1"/>
    <col min="16" max="16" width="8.85546875" style="770" hidden="1" customWidth="1"/>
    <col min="17" max="20" width="12.7109375" style="770" hidden="1" customWidth="1"/>
    <col min="21" max="21" width="9.85546875" style="770" hidden="1" customWidth="1"/>
    <col min="22" max="22" width="12.85546875" style="770" customWidth="1"/>
    <col min="23" max="23" width="9.140625" style="770" hidden="1" customWidth="1"/>
    <col min="24" max="16384" width="9.140625" style="770"/>
  </cols>
  <sheetData>
    <row r="2" spans="1:23" ht="18.75" x14ac:dyDescent="0.3">
      <c r="B2" s="959" t="s">
        <v>635</v>
      </c>
      <c r="C2" s="959"/>
      <c r="D2" s="959"/>
      <c r="E2" s="959"/>
      <c r="F2" s="959"/>
      <c r="G2" s="959"/>
      <c r="H2" s="959"/>
      <c r="I2" s="959"/>
      <c r="J2" s="959"/>
      <c r="K2" s="959"/>
      <c r="L2" s="959"/>
      <c r="M2" s="959"/>
      <c r="N2" s="959"/>
      <c r="O2" s="959"/>
      <c r="P2" s="959"/>
      <c r="Q2" s="959"/>
      <c r="R2" s="959"/>
      <c r="S2" s="959"/>
      <c r="T2" s="959"/>
      <c r="U2" s="959"/>
      <c r="V2" s="959"/>
    </row>
    <row r="3" spans="1:23" x14ac:dyDescent="0.25">
      <c r="B3" s="976" t="s">
        <v>1165</v>
      </c>
      <c r="C3" s="976"/>
      <c r="D3" s="976"/>
      <c r="E3" s="976"/>
      <c r="F3" s="976"/>
      <c r="G3" s="976"/>
      <c r="H3" s="976"/>
      <c r="I3" s="976"/>
      <c r="J3" s="976"/>
      <c r="K3" s="976"/>
      <c r="L3" s="976"/>
      <c r="M3" s="976"/>
      <c r="N3" s="976"/>
      <c r="O3" s="976"/>
      <c r="P3" s="976"/>
      <c r="Q3" s="976"/>
      <c r="R3" s="976"/>
      <c r="S3" s="976"/>
      <c r="T3" s="976"/>
      <c r="U3" s="976"/>
      <c r="V3" s="976"/>
    </row>
    <row r="4" spans="1:23" x14ac:dyDescent="0.25">
      <c r="B4" s="977" t="s">
        <v>440</v>
      </c>
      <c r="C4" s="977"/>
      <c r="D4" s="977"/>
      <c r="E4" s="977"/>
      <c r="F4" s="977"/>
      <c r="G4" s="977"/>
      <c r="H4" s="977"/>
      <c r="I4" s="977"/>
      <c r="J4" s="977"/>
      <c r="K4" s="977"/>
      <c r="L4" s="977"/>
      <c r="M4" s="977"/>
      <c r="N4" s="977"/>
      <c r="O4" s="977"/>
      <c r="P4" s="977"/>
      <c r="Q4" s="977"/>
      <c r="R4" s="977"/>
      <c r="S4" s="977"/>
      <c r="T4" s="977"/>
      <c r="U4" s="977"/>
      <c r="V4" s="977"/>
    </row>
    <row r="5" spans="1:23" s="894" customFormat="1" ht="30.75" customHeight="1" x14ac:dyDescent="0.25">
      <c r="B5" s="879" t="s">
        <v>386</v>
      </c>
      <c r="C5" s="879" t="s">
        <v>752</v>
      </c>
      <c r="D5" s="879"/>
      <c r="E5" s="879" t="s">
        <v>151</v>
      </c>
      <c r="F5" s="879" t="s">
        <v>1136</v>
      </c>
      <c r="G5" s="879" t="s">
        <v>915</v>
      </c>
      <c r="H5" s="879"/>
      <c r="I5" s="879"/>
      <c r="J5" s="879" t="s">
        <v>57</v>
      </c>
      <c r="K5" s="879" t="s">
        <v>972</v>
      </c>
      <c r="L5" s="879" t="s">
        <v>568</v>
      </c>
      <c r="M5" s="879" t="s">
        <v>1197</v>
      </c>
      <c r="N5" s="879" t="s">
        <v>252</v>
      </c>
      <c r="O5" s="879" t="s">
        <v>613</v>
      </c>
      <c r="P5" s="879" t="s">
        <v>516</v>
      </c>
      <c r="Q5" s="879" t="s">
        <v>7</v>
      </c>
      <c r="R5" s="879"/>
      <c r="S5" s="879" t="s">
        <v>421</v>
      </c>
      <c r="T5" s="879"/>
      <c r="U5" s="879" t="s">
        <v>499</v>
      </c>
      <c r="V5" s="879" t="s">
        <v>848</v>
      </c>
      <c r="W5" s="879" t="s">
        <v>1118</v>
      </c>
    </row>
    <row r="6" spans="1:23" x14ac:dyDescent="0.25">
      <c r="A6" s="793"/>
      <c r="B6" s="794">
        <v>1</v>
      </c>
      <c r="C6" s="795" t="s">
        <v>1256</v>
      </c>
      <c r="D6" s="796"/>
      <c r="E6" s="796" t="s">
        <v>688</v>
      </c>
      <c r="F6" s="794" t="s">
        <v>165</v>
      </c>
      <c r="G6" s="797">
        <v>3780000</v>
      </c>
      <c r="H6" s="797"/>
      <c r="I6" s="797"/>
      <c r="J6" s="797">
        <f>G6</f>
        <v>3780000</v>
      </c>
      <c r="K6" s="798">
        <v>1</v>
      </c>
      <c r="L6" s="797">
        <f t="shared" ref="L6:L37" si="0">J6*K6</f>
        <v>3780000</v>
      </c>
      <c r="M6" s="797">
        <f>'Cước ô tô'!Y9</f>
        <v>0</v>
      </c>
      <c r="N6" s="797">
        <f>3240*13</f>
        <v>42120</v>
      </c>
      <c r="O6" s="797">
        <f>'Cước sông'!P6</f>
        <v>0</v>
      </c>
      <c r="P6" s="797">
        <v>0</v>
      </c>
      <c r="Q6" s="797"/>
      <c r="R6" s="797"/>
      <c r="S6" s="797">
        <v>0</v>
      </c>
      <c r="T6" s="797"/>
      <c r="U6" s="797">
        <f t="shared" ref="U6:U37" si="1">SUM(M6:T6)</f>
        <v>42120</v>
      </c>
      <c r="V6" s="797">
        <f t="shared" ref="V6:V37" si="2">L6+U6</f>
        <v>3822120</v>
      </c>
      <c r="W6" s="796"/>
    </row>
    <row r="7" spans="1:23" x14ac:dyDescent="0.25">
      <c r="A7" s="799"/>
      <c r="B7" s="800">
        <v>2</v>
      </c>
      <c r="C7" s="801" t="s">
        <v>603</v>
      </c>
      <c r="D7" s="802"/>
      <c r="E7" s="802" t="s">
        <v>215</v>
      </c>
      <c r="F7" s="800" t="s">
        <v>950</v>
      </c>
      <c r="G7" s="803">
        <v>272727</v>
      </c>
      <c r="H7" s="803"/>
      <c r="I7" s="803"/>
      <c r="J7" s="804">
        <v>272727</v>
      </c>
      <c r="K7" s="805">
        <v>1</v>
      </c>
      <c r="L7" s="803">
        <f t="shared" si="0"/>
        <v>272727</v>
      </c>
      <c r="M7" s="803">
        <f>'Cước ô tô'!Y10</f>
        <v>0</v>
      </c>
      <c r="N7" s="803">
        <f>'Cước ô tô mới'!AO7</f>
        <v>33480.189441999995</v>
      </c>
      <c r="O7" s="803">
        <f>'Cước sông'!P7</f>
        <v>0</v>
      </c>
      <c r="P7" s="803">
        <v>0</v>
      </c>
      <c r="Q7" s="803"/>
      <c r="R7" s="803"/>
      <c r="S7" s="803">
        <v>0</v>
      </c>
      <c r="T7" s="803"/>
      <c r="U7" s="803">
        <f t="shared" si="1"/>
        <v>33480.189441999995</v>
      </c>
      <c r="V7" s="803">
        <f t="shared" si="2"/>
        <v>306207.189442</v>
      </c>
      <c r="W7" s="802"/>
    </row>
    <row r="8" spans="1:23" x14ac:dyDescent="0.25">
      <c r="A8" s="799"/>
      <c r="B8" s="800">
        <v>3</v>
      </c>
      <c r="C8" s="801" t="s">
        <v>99</v>
      </c>
      <c r="D8" s="802"/>
      <c r="E8" s="802" t="s">
        <v>1364</v>
      </c>
      <c r="F8" s="800" t="s">
        <v>950</v>
      </c>
      <c r="G8" s="803">
        <v>109091</v>
      </c>
      <c r="H8" s="803"/>
      <c r="I8" s="803"/>
      <c r="J8" s="804">
        <f>G8</f>
        <v>109091</v>
      </c>
      <c r="K8" s="805">
        <v>1</v>
      </c>
      <c r="L8" s="803">
        <f t="shared" si="0"/>
        <v>109091</v>
      </c>
      <c r="M8" s="803">
        <f>'Cước ô tô'!Y11</f>
        <v>0</v>
      </c>
      <c r="N8" s="803">
        <f>'Cước ô tô mới'!AO7</f>
        <v>33480.189441999995</v>
      </c>
      <c r="O8" s="803">
        <f>'Cước sông'!P8</f>
        <v>0</v>
      </c>
      <c r="P8" s="803">
        <v>0</v>
      </c>
      <c r="Q8" s="803"/>
      <c r="R8" s="803"/>
      <c r="S8" s="803">
        <v>0</v>
      </c>
      <c r="T8" s="803"/>
      <c r="U8" s="803">
        <f t="shared" si="1"/>
        <v>33480.189441999995</v>
      </c>
      <c r="V8" s="803">
        <f t="shared" si="2"/>
        <v>142571.189442</v>
      </c>
      <c r="W8" s="802"/>
    </row>
    <row r="9" spans="1:23" x14ac:dyDescent="0.25">
      <c r="A9" s="799"/>
      <c r="B9" s="800">
        <v>4</v>
      </c>
      <c r="C9" s="801" t="s">
        <v>523</v>
      </c>
      <c r="D9" s="802"/>
      <c r="E9" s="802" t="s">
        <v>721</v>
      </c>
      <c r="F9" s="800" t="s">
        <v>950</v>
      </c>
      <c r="G9" s="803">
        <v>318182</v>
      </c>
      <c r="H9" s="803"/>
      <c r="I9" s="803"/>
      <c r="J9" s="804">
        <v>318182</v>
      </c>
      <c r="K9" s="805">
        <v>1</v>
      </c>
      <c r="L9" s="803">
        <f t="shared" si="0"/>
        <v>318182</v>
      </c>
      <c r="M9" s="803">
        <f>'Cước ô tô'!Y12</f>
        <v>0</v>
      </c>
      <c r="N9" s="803">
        <f>'Cước ô tô mới'!AO13</f>
        <v>27135.291750000004</v>
      </c>
      <c r="O9" s="803">
        <f>'Cước sông'!P9</f>
        <v>0</v>
      </c>
      <c r="P9" s="803">
        <v>0</v>
      </c>
      <c r="Q9" s="803"/>
      <c r="R9" s="803"/>
      <c r="S9" s="803">
        <v>0</v>
      </c>
      <c r="T9" s="803"/>
      <c r="U9" s="803">
        <f t="shared" si="1"/>
        <v>27135.291750000004</v>
      </c>
      <c r="V9" s="803">
        <f t="shared" si="2"/>
        <v>345317.29174999997</v>
      </c>
      <c r="W9" s="802"/>
    </row>
    <row r="10" spans="1:23" x14ac:dyDescent="0.25">
      <c r="A10" s="799"/>
      <c r="B10" s="800">
        <v>5</v>
      </c>
      <c r="C10" s="801" t="s">
        <v>984</v>
      </c>
      <c r="D10" s="802"/>
      <c r="E10" s="802" t="s">
        <v>401</v>
      </c>
      <c r="F10" s="800" t="s">
        <v>838</v>
      </c>
      <c r="G10" s="803">
        <f>19600000/1000</f>
        <v>19600</v>
      </c>
      <c r="H10" s="803"/>
      <c r="I10" s="803"/>
      <c r="J10" s="804">
        <v>17000</v>
      </c>
      <c r="K10" s="805">
        <v>1</v>
      </c>
      <c r="L10" s="803">
        <f t="shared" si="0"/>
        <v>17000</v>
      </c>
      <c r="M10" s="803">
        <f>'Cước ô tô'!Y13</f>
        <v>0</v>
      </c>
      <c r="N10" s="803">
        <f>'Cước ô tô mới'!AO11</f>
        <v>0</v>
      </c>
      <c r="O10" s="803">
        <f>'Cước sông'!P10</f>
        <v>0</v>
      </c>
      <c r="P10" s="803">
        <v>0</v>
      </c>
      <c r="Q10" s="803"/>
      <c r="R10" s="803"/>
      <c r="S10" s="803">
        <v>0</v>
      </c>
      <c r="T10" s="803"/>
      <c r="U10" s="803">
        <f t="shared" si="1"/>
        <v>0</v>
      </c>
      <c r="V10" s="803">
        <f t="shared" si="2"/>
        <v>17000</v>
      </c>
      <c r="W10" s="802"/>
    </row>
    <row r="11" spans="1:23" x14ac:dyDescent="0.25">
      <c r="A11" s="799"/>
      <c r="B11" s="800">
        <v>6</v>
      </c>
      <c r="C11" s="801" t="s">
        <v>123</v>
      </c>
      <c r="D11" s="802"/>
      <c r="E11" s="802" t="s">
        <v>495</v>
      </c>
      <c r="F11" s="800" t="s">
        <v>950</v>
      </c>
      <c r="G11" s="803">
        <v>290909</v>
      </c>
      <c r="H11" s="803"/>
      <c r="I11" s="803"/>
      <c r="J11" s="804">
        <v>290909</v>
      </c>
      <c r="K11" s="805">
        <v>1</v>
      </c>
      <c r="L11" s="803">
        <f t="shared" si="0"/>
        <v>290909</v>
      </c>
      <c r="M11" s="803">
        <f>'Cước ô tô'!Y14</f>
        <v>0</v>
      </c>
      <c r="N11" s="803">
        <f>'Cước ô tô mới'!AO19</f>
        <v>34495.144565000002</v>
      </c>
      <c r="O11" s="803">
        <f>'Cước sông'!P11</f>
        <v>0</v>
      </c>
      <c r="P11" s="803">
        <v>0</v>
      </c>
      <c r="Q11" s="803"/>
      <c r="R11" s="803"/>
      <c r="S11" s="803">
        <v>0</v>
      </c>
      <c r="T11" s="803"/>
      <c r="U11" s="803">
        <f t="shared" si="1"/>
        <v>34495.144565000002</v>
      </c>
      <c r="V11" s="803">
        <f t="shared" si="2"/>
        <v>325404.14456500002</v>
      </c>
      <c r="W11" s="802"/>
    </row>
    <row r="12" spans="1:23" x14ac:dyDescent="0.25">
      <c r="A12" s="799"/>
      <c r="B12" s="800">
        <v>7</v>
      </c>
      <c r="C12" s="801" t="s">
        <v>485</v>
      </c>
      <c r="D12" s="802"/>
      <c r="E12" s="802" t="s">
        <v>1011</v>
      </c>
      <c r="F12" s="800" t="s">
        <v>950</v>
      </c>
      <c r="G12" s="803">
        <v>281818</v>
      </c>
      <c r="H12" s="803"/>
      <c r="I12" s="803"/>
      <c r="J12" s="804">
        <v>281818</v>
      </c>
      <c r="K12" s="805">
        <v>1</v>
      </c>
      <c r="L12" s="803">
        <f t="shared" si="0"/>
        <v>281818</v>
      </c>
      <c r="M12" s="803">
        <f>'Cước ô tô'!Y15</f>
        <v>0</v>
      </c>
      <c r="N12" s="803">
        <f>'Cước ô tô mới'!AO22</f>
        <v>34495.144565000002</v>
      </c>
      <c r="O12" s="803">
        <f>'Cước sông'!P12</f>
        <v>0</v>
      </c>
      <c r="P12" s="803">
        <v>0</v>
      </c>
      <c r="Q12" s="803"/>
      <c r="R12" s="803"/>
      <c r="S12" s="803">
        <v>0</v>
      </c>
      <c r="T12" s="803"/>
      <c r="U12" s="803">
        <f t="shared" si="1"/>
        <v>34495.144565000002</v>
      </c>
      <c r="V12" s="803">
        <f t="shared" si="2"/>
        <v>316313.14456500002</v>
      </c>
      <c r="W12" s="802"/>
    </row>
    <row r="13" spans="1:23" hidden="1" x14ac:dyDescent="0.25">
      <c r="A13" s="799"/>
      <c r="B13" s="800">
        <v>8</v>
      </c>
      <c r="C13" s="801" t="s">
        <v>552</v>
      </c>
      <c r="D13" s="802"/>
      <c r="E13" s="802" t="s">
        <v>1374</v>
      </c>
      <c r="F13" s="800" t="s">
        <v>950</v>
      </c>
      <c r="G13" s="803">
        <v>281818</v>
      </c>
      <c r="H13" s="803"/>
      <c r="I13" s="803"/>
      <c r="J13" s="804">
        <v>281818</v>
      </c>
      <c r="K13" s="805">
        <v>1</v>
      </c>
      <c r="L13" s="803">
        <f t="shared" si="0"/>
        <v>281818</v>
      </c>
      <c r="M13" s="803">
        <f>'Cước ô tô'!Y16</f>
        <v>0</v>
      </c>
      <c r="N13" s="803">
        <f>'Cước ô tô mới'!AO22</f>
        <v>34495.144565000002</v>
      </c>
      <c r="O13" s="803">
        <f>'Cước sông'!P13</f>
        <v>0</v>
      </c>
      <c r="P13" s="803">
        <v>0</v>
      </c>
      <c r="Q13" s="803"/>
      <c r="R13" s="803"/>
      <c r="S13" s="803">
        <v>0</v>
      </c>
      <c r="T13" s="803"/>
      <c r="U13" s="803">
        <f t="shared" si="1"/>
        <v>34495.144565000002</v>
      </c>
      <c r="V13" s="803">
        <f t="shared" si="2"/>
        <v>316313.14456500002</v>
      </c>
      <c r="W13" s="802"/>
    </row>
    <row r="14" spans="1:23" x14ac:dyDescent="0.25">
      <c r="A14" s="799"/>
      <c r="B14" s="800">
        <v>8</v>
      </c>
      <c r="C14" s="801" t="s">
        <v>901</v>
      </c>
      <c r="D14" s="802"/>
      <c r="E14" s="802" t="s">
        <v>454</v>
      </c>
      <c r="F14" s="800" t="s">
        <v>838</v>
      </c>
      <c r="G14" s="803">
        <f>16300000/1000</f>
        <v>16300</v>
      </c>
      <c r="H14" s="803"/>
      <c r="I14" s="803"/>
      <c r="J14" s="803">
        <f>16300000/1000</f>
        <v>16300</v>
      </c>
      <c r="K14" s="805">
        <v>1</v>
      </c>
      <c r="L14" s="803">
        <f t="shared" si="0"/>
        <v>16300</v>
      </c>
      <c r="M14" s="803">
        <f>'Cước ô tô'!Y17</f>
        <v>0</v>
      </c>
      <c r="N14" s="803">
        <f>'Cước ô tô mới'!AO15</f>
        <v>0</v>
      </c>
      <c r="O14" s="803">
        <f>'Cước sông'!P14</f>
        <v>0</v>
      </c>
      <c r="P14" s="803">
        <v>0</v>
      </c>
      <c r="Q14" s="803"/>
      <c r="R14" s="803"/>
      <c r="S14" s="803">
        <v>0</v>
      </c>
      <c r="T14" s="803"/>
      <c r="U14" s="803">
        <f t="shared" si="1"/>
        <v>0</v>
      </c>
      <c r="V14" s="803">
        <f t="shared" si="2"/>
        <v>16300</v>
      </c>
      <c r="W14" s="802"/>
    </row>
    <row r="15" spans="1:23" x14ac:dyDescent="0.25">
      <c r="A15" s="799"/>
      <c r="B15" s="800">
        <v>9</v>
      </c>
      <c r="C15" s="801" t="s">
        <v>894</v>
      </c>
      <c r="D15" s="802"/>
      <c r="E15" s="802" t="s">
        <v>1147</v>
      </c>
      <c r="F15" s="800" t="s">
        <v>838</v>
      </c>
      <c r="G15" s="803">
        <v>27273</v>
      </c>
      <c r="H15" s="803"/>
      <c r="I15" s="803"/>
      <c r="J15" s="804">
        <v>27273</v>
      </c>
      <c r="K15" s="805">
        <v>1</v>
      </c>
      <c r="L15" s="803">
        <f t="shared" si="0"/>
        <v>27273</v>
      </c>
      <c r="M15" s="803">
        <f>'Cước ô tô'!Y18</f>
        <v>0</v>
      </c>
      <c r="N15" s="803">
        <f>'Cước ô tô mới'!AO16</f>
        <v>0</v>
      </c>
      <c r="O15" s="803">
        <f>'Cước sông'!P15</f>
        <v>0</v>
      </c>
      <c r="P15" s="803">
        <v>0</v>
      </c>
      <c r="Q15" s="803"/>
      <c r="R15" s="803"/>
      <c r="S15" s="803">
        <v>0</v>
      </c>
      <c r="T15" s="803"/>
      <c r="U15" s="803">
        <f t="shared" si="1"/>
        <v>0</v>
      </c>
      <c r="V15" s="803">
        <f t="shared" si="2"/>
        <v>27273</v>
      </c>
      <c r="W15" s="802"/>
    </row>
    <row r="16" spans="1:23" x14ac:dyDescent="0.25">
      <c r="A16" s="799"/>
      <c r="B16" s="800">
        <v>10</v>
      </c>
      <c r="C16" s="801" t="s">
        <v>580</v>
      </c>
      <c r="D16" s="802"/>
      <c r="E16" s="802" t="s">
        <v>1366</v>
      </c>
      <c r="F16" s="800" t="s">
        <v>594</v>
      </c>
      <c r="G16" s="803">
        <v>5000</v>
      </c>
      <c r="H16" s="803"/>
      <c r="I16" s="803"/>
      <c r="J16" s="804">
        <f>G16</f>
        <v>5000</v>
      </c>
      <c r="K16" s="805">
        <v>1</v>
      </c>
      <c r="L16" s="803">
        <f t="shared" si="0"/>
        <v>5000</v>
      </c>
      <c r="M16" s="803">
        <f>'Cước ô tô'!Y19</f>
        <v>0</v>
      </c>
      <c r="N16" s="803">
        <f>'Cước ô tô mới'!AO17</f>
        <v>0</v>
      </c>
      <c r="O16" s="803">
        <f>'Cước sông'!P16</f>
        <v>0</v>
      </c>
      <c r="P16" s="803">
        <v>0</v>
      </c>
      <c r="Q16" s="803"/>
      <c r="R16" s="803"/>
      <c r="S16" s="803">
        <v>0</v>
      </c>
      <c r="T16" s="803"/>
      <c r="U16" s="803">
        <f t="shared" si="1"/>
        <v>0</v>
      </c>
      <c r="V16" s="803">
        <f t="shared" si="2"/>
        <v>5000</v>
      </c>
      <c r="W16" s="802"/>
    </row>
    <row r="17" spans="1:23" x14ac:dyDescent="0.25">
      <c r="A17" s="799"/>
      <c r="B17" s="800">
        <v>11</v>
      </c>
      <c r="C17" s="801" t="s">
        <v>103</v>
      </c>
      <c r="D17" s="802"/>
      <c r="E17" s="802" t="s">
        <v>422</v>
      </c>
      <c r="F17" s="800" t="s">
        <v>950</v>
      </c>
      <c r="G17" s="803">
        <v>4090909</v>
      </c>
      <c r="H17" s="803"/>
      <c r="I17" s="803"/>
      <c r="J17" s="804">
        <v>4090909</v>
      </c>
      <c r="K17" s="805">
        <v>1</v>
      </c>
      <c r="L17" s="803">
        <f t="shared" si="0"/>
        <v>4090909</v>
      </c>
      <c r="M17" s="803">
        <f>'Cước ô tô'!Y20</f>
        <v>0</v>
      </c>
      <c r="N17" s="803">
        <f>'Cước ô tô mới'!AO31</f>
        <v>32543.631913999998</v>
      </c>
      <c r="O17" s="803">
        <f>'Cước sông'!P17</f>
        <v>0</v>
      </c>
      <c r="P17" s="803">
        <v>0</v>
      </c>
      <c r="Q17" s="803"/>
      <c r="R17" s="803"/>
      <c r="S17" s="803">
        <v>0</v>
      </c>
      <c r="T17" s="803"/>
      <c r="U17" s="803">
        <f t="shared" si="1"/>
        <v>32543.631913999998</v>
      </c>
      <c r="V17" s="803">
        <f t="shared" si="2"/>
        <v>4123452.631914</v>
      </c>
      <c r="W17" s="802"/>
    </row>
    <row r="18" spans="1:23" x14ac:dyDescent="0.25">
      <c r="A18" s="799"/>
      <c r="B18" s="800">
        <v>12</v>
      </c>
      <c r="C18" s="801" t="s">
        <v>855</v>
      </c>
      <c r="D18" s="802"/>
      <c r="E18" s="802" t="s">
        <v>268</v>
      </c>
      <c r="F18" s="800" t="s">
        <v>630</v>
      </c>
      <c r="G18" s="803">
        <v>1322000</v>
      </c>
      <c r="H18" s="803"/>
      <c r="I18" s="803"/>
      <c r="J18" s="803">
        <v>1322000</v>
      </c>
      <c r="K18" s="805">
        <v>1</v>
      </c>
      <c r="L18" s="803">
        <f t="shared" si="0"/>
        <v>1322000</v>
      </c>
      <c r="M18" s="803">
        <f>'Cước ô tô'!Y21</f>
        <v>0</v>
      </c>
      <c r="N18" s="803"/>
      <c r="O18" s="803">
        <f>'Cước sông'!P18</f>
        <v>0</v>
      </c>
      <c r="P18" s="803">
        <v>0</v>
      </c>
      <c r="Q18" s="803"/>
      <c r="R18" s="803"/>
      <c r="S18" s="803">
        <v>0</v>
      </c>
      <c r="T18" s="803"/>
      <c r="U18" s="803">
        <f t="shared" si="1"/>
        <v>0</v>
      </c>
      <c r="V18" s="803">
        <f t="shared" si="2"/>
        <v>1322000</v>
      </c>
      <c r="W18" s="802"/>
    </row>
    <row r="19" spans="1:23" x14ac:dyDescent="0.25">
      <c r="A19" s="799"/>
      <c r="B19" s="800">
        <v>13</v>
      </c>
      <c r="C19" s="801" t="s">
        <v>1077</v>
      </c>
      <c r="D19" s="802"/>
      <c r="E19" s="802" t="s">
        <v>1274</v>
      </c>
      <c r="F19" s="800" t="s">
        <v>630</v>
      </c>
      <c r="G19" s="803">
        <v>1322000</v>
      </c>
      <c r="H19" s="803"/>
      <c r="I19" s="803"/>
      <c r="J19" s="803">
        <v>1322000</v>
      </c>
      <c r="K19" s="805">
        <v>1</v>
      </c>
      <c r="L19" s="803">
        <f t="shared" si="0"/>
        <v>1322000</v>
      </c>
      <c r="M19" s="803">
        <f>'Cước ô tô'!Y22</f>
        <v>0</v>
      </c>
      <c r="N19" s="803">
        <f>'Cước ô tô mới'!AO20</f>
        <v>0</v>
      </c>
      <c r="O19" s="803">
        <f>'Cước sông'!P19</f>
        <v>0</v>
      </c>
      <c r="P19" s="803">
        <v>0</v>
      </c>
      <c r="Q19" s="803"/>
      <c r="R19" s="803"/>
      <c r="S19" s="803">
        <v>0</v>
      </c>
      <c r="T19" s="803"/>
      <c r="U19" s="803">
        <f t="shared" si="1"/>
        <v>0</v>
      </c>
      <c r="V19" s="803">
        <f t="shared" si="2"/>
        <v>1322000</v>
      </c>
      <c r="W19" s="802"/>
    </row>
    <row r="20" spans="1:23" x14ac:dyDescent="0.25">
      <c r="A20" s="799"/>
      <c r="B20" s="800">
        <v>14</v>
      </c>
      <c r="C20" s="801" t="s">
        <v>461</v>
      </c>
      <c r="D20" s="802"/>
      <c r="E20" s="802" t="s">
        <v>784</v>
      </c>
      <c r="F20" s="800" t="s">
        <v>838</v>
      </c>
      <c r="G20" s="803">
        <v>16818</v>
      </c>
      <c r="H20" s="803"/>
      <c r="I20" s="803"/>
      <c r="J20" s="803">
        <v>16818</v>
      </c>
      <c r="K20" s="805">
        <v>1</v>
      </c>
      <c r="L20" s="803">
        <f t="shared" si="0"/>
        <v>16818</v>
      </c>
      <c r="M20" s="803">
        <f>'Cước ô tô'!Y23</f>
        <v>0</v>
      </c>
      <c r="N20" s="803">
        <f>'Cước ô tô mới'!AO21</f>
        <v>0</v>
      </c>
      <c r="O20" s="803">
        <f>'Cước sông'!P20</f>
        <v>0</v>
      </c>
      <c r="P20" s="803">
        <v>0</v>
      </c>
      <c r="Q20" s="803"/>
      <c r="R20" s="803"/>
      <c r="S20" s="803">
        <v>0</v>
      </c>
      <c r="T20" s="803"/>
      <c r="U20" s="803">
        <f t="shared" si="1"/>
        <v>0</v>
      </c>
      <c r="V20" s="803">
        <f t="shared" si="2"/>
        <v>16818</v>
      </c>
      <c r="W20" s="802"/>
    </row>
    <row r="21" spans="1:23" x14ac:dyDescent="0.25">
      <c r="A21" s="799"/>
      <c r="B21" s="800">
        <v>15</v>
      </c>
      <c r="C21" s="801" t="s">
        <v>35</v>
      </c>
      <c r="D21" s="802"/>
      <c r="E21" s="802" t="s">
        <v>946</v>
      </c>
      <c r="F21" s="800" t="s">
        <v>594</v>
      </c>
      <c r="G21" s="803">
        <v>410000</v>
      </c>
      <c r="H21" s="803"/>
      <c r="I21" s="803"/>
      <c r="J21" s="803">
        <v>410000</v>
      </c>
      <c r="K21" s="805">
        <v>1</v>
      </c>
      <c r="L21" s="803">
        <f t="shared" si="0"/>
        <v>410000</v>
      </c>
      <c r="M21" s="803">
        <f>'Cước ô tô'!Y24</f>
        <v>0</v>
      </c>
      <c r="N21" s="803"/>
      <c r="O21" s="803">
        <f>'Cước sông'!P21</f>
        <v>0</v>
      </c>
      <c r="P21" s="803">
        <v>0</v>
      </c>
      <c r="Q21" s="803"/>
      <c r="R21" s="803"/>
      <c r="S21" s="803">
        <v>0</v>
      </c>
      <c r="T21" s="803"/>
      <c r="U21" s="803">
        <f t="shared" si="1"/>
        <v>0</v>
      </c>
      <c r="V21" s="803">
        <f t="shared" si="2"/>
        <v>410000</v>
      </c>
      <c r="W21" s="802"/>
    </row>
    <row r="22" spans="1:23" x14ac:dyDescent="0.25">
      <c r="A22" s="799"/>
      <c r="B22" s="800">
        <v>16</v>
      </c>
      <c r="C22" s="801" t="s">
        <v>104</v>
      </c>
      <c r="D22" s="802"/>
      <c r="E22" s="802" t="s">
        <v>283</v>
      </c>
      <c r="F22" s="800" t="s">
        <v>838</v>
      </c>
      <c r="G22" s="803">
        <v>16818</v>
      </c>
      <c r="H22" s="803"/>
      <c r="I22" s="803"/>
      <c r="J22" s="803">
        <v>16818</v>
      </c>
      <c r="K22" s="805">
        <v>1</v>
      </c>
      <c r="L22" s="803">
        <f t="shared" si="0"/>
        <v>16818</v>
      </c>
      <c r="M22" s="803">
        <f>'Cước ô tô'!Y25</f>
        <v>0</v>
      </c>
      <c r="N22" s="803">
        <f>'Cước ô tô mới'!AO23</f>
        <v>0</v>
      </c>
      <c r="O22" s="803">
        <f>'Cước sông'!P22</f>
        <v>0</v>
      </c>
      <c r="P22" s="803">
        <v>0</v>
      </c>
      <c r="Q22" s="803"/>
      <c r="R22" s="803"/>
      <c r="S22" s="803">
        <v>0</v>
      </c>
      <c r="T22" s="803"/>
      <c r="U22" s="803">
        <f t="shared" si="1"/>
        <v>0</v>
      </c>
      <c r="V22" s="803">
        <f t="shared" si="2"/>
        <v>16818</v>
      </c>
      <c r="W22" s="802"/>
    </row>
    <row r="23" spans="1:23" x14ac:dyDescent="0.25">
      <c r="A23" s="799"/>
      <c r="B23" s="800">
        <v>17</v>
      </c>
      <c r="C23" s="801" t="s">
        <v>956</v>
      </c>
      <c r="D23" s="802"/>
      <c r="E23" s="802" t="s">
        <v>304</v>
      </c>
      <c r="F23" s="800" t="s">
        <v>447</v>
      </c>
      <c r="G23" s="803">
        <v>10</v>
      </c>
      <c r="H23" s="803"/>
      <c r="I23" s="803"/>
      <c r="J23" s="804">
        <v>10</v>
      </c>
      <c r="K23" s="805">
        <v>1</v>
      </c>
      <c r="L23" s="803">
        <f t="shared" si="0"/>
        <v>10</v>
      </c>
      <c r="M23" s="803">
        <f>'Cước ô tô'!Y27</f>
        <v>0</v>
      </c>
      <c r="N23" s="803">
        <f>'Cước ô tô mới'!AO25</f>
        <v>0</v>
      </c>
      <c r="O23" s="803">
        <f>'Cước sông'!P24</f>
        <v>0</v>
      </c>
      <c r="P23" s="803">
        <v>0</v>
      </c>
      <c r="Q23" s="803"/>
      <c r="R23" s="803"/>
      <c r="S23" s="803">
        <v>0</v>
      </c>
      <c r="T23" s="803"/>
      <c r="U23" s="803">
        <f t="shared" si="1"/>
        <v>0</v>
      </c>
      <c r="V23" s="803">
        <f t="shared" si="2"/>
        <v>10</v>
      </c>
      <c r="W23" s="802"/>
    </row>
    <row r="24" spans="1:23" x14ac:dyDescent="0.25">
      <c r="A24" s="799"/>
      <c r="B24" s="800">
        <v>18</v>
      </c>
      <c r="C24" s="801" t="s">
        <v>615</v>
      </c>
      <c r="D24" s="802"/>
      <c r="E24" s="802" t="s">
        <v>304</v>
      </c>
      <c r="F24" s="800" t="s">
        <v>950</v>
      </c>
      <c r="G24" s="803">
        <v>10182</v>
      </c>
      <c r="H24" s="803"/>
      <c r="I24" s="803"/>
      <c r="J24" s="804">
        <v>10182</v>
      </c>
      <c r="K24" s="805">
        <v>1</v>
      </c>
      <c r="L24" s="803">
        <f t="shared" si="0"/>
        <v>10182</v>
      </c>
      <c r="M24" s="803">
        <f>'Cước ô tô'!Y28</f>
        <v>0</v>
      </c>
      <c r="N24" s="803">
        <f>'Cước ô tô mới'!AO26</f>
        <v>0</v>
      </c>
      <c r="O24" s="803">
        <f>'Cước sông'!P25</f>
        <v>0</v>
      </c>
      <c r="P24" s="803">
        <v>0</v>
      </c>
      <c r="Q24" s="803"/>
      <c r="R24" s="803"/>
      <c r="S24" s="803">
        <v>0</v>
      </c>
      <c r="T24" s="803"/>
      <c r="U24" s="803">
        <f t="shared" si="1"/>
        <v>0</v>
      </c>
      <c r="V24" s="803">
        <f t="shared" si="2"/>
        <v>10182</v>
      </c>
      <c r="W24" s="802"/>
    </row>
    <row r="25" spans="1:23" x14ac:dyDescent="0.25">
      <c r="A25" s="799"/>
      <c r="B25" s="800">
        <v>19</v>
      </c>
      <c r="C25" s="801" t="s">
        <v>919</v>
      </c>
      <c r="D25" s="802"/>
      <c r="E25" s="802" t="s">
        <v>336</v>
      </c>
      <c r="F25" s="800" t="s">
        <v>838</v>
      </c>
      <c r="G25" s="803">
        <v>18182</v>
      </c>
      <c r="H25" s="803"/>
      <c r="I25" s="803"/>
      <c r="J25" s="804">
        <v>18182</v>
      </c>
      <c r="K25" s="805">
        <v>1</v>
      </c>
      <c r="L25" s="803">
        <f t="shared" si="0"/>
        <v>18182</v>
      </c>
      <c r="M25" s="803">
        <f>'Cước ô tô'!Y29</f>
        <v>0</v>
      </c>
      <c r="N25" s="803">
        <f>'Cước ô tô mới'!AO27</f>
        <v>0</v>
      </c>
      <c r="O25" s="803">
        <f>'Cước sông'!P26</f>
        <v>0</v>
      </c>
      <c r="P25" s="803">
        <v>0</v>
      </c>
      <c r="Q25" s="803"/>
      <c r="R25" s="803"/>
      <c r="S25" s="803">
        <v>0</v>
      </c>
      <c r="T25" s="803"/>
      <c r="U25" s="803">
        <f t="shared" si="1"/>
        <v>0</v>
      </c>
      <c r="V25" s="803">
        <f t="shared" si="2"/>
        <v>18182</v>
      </c>
      <c r="W25" s="802"/>
    </row>
    <row r="26" spans="1:23" x14ac:dyDescent="0.25">
      <c r="A26" s="799"/>
      <c r="B26" s="800">
        <v>20</v>
      </c>
      <c r="C26" s="801" t="s">
        <v>1210</v>
      </c>
      <c r="D26" s="802"/>
      <c r="E26" s="802" t="s">
        <v>1375</v>
      </c>
      <c r="F26" s="800" t="s">
        <v>838</v>
      </c>
      <c r="G26" s="803">
        <v>28000</v>
      </c>
      <c r="H26" s="803"/>
      <c r="I26" s="803"/>
      <c r="J26" s="804">
        <f>G26</f>
        <v>28000</v>
      </c>
      <c r="K26" s="805">
        <v>1</v>
      </c>
      <c r="L26" s="803">
        <f t="shared" si="0"/>
        <v>28000</v>
      </c>
      <c r="M26" s="803">
        <f>'Cước ô tô'!Y30</f>
        <v>0</v>
      </c>
      <c r="N26" s="803">
        <f>'Cước ô tô mới'!AO28</f>
        <v>0</v>
      </c>
      <c r="O26" s="803">
        <f>'Cước sông'!P27</f>
        <v>0</v>
      </c>
      <c r="P26" s="803">
        <v>0</v>
      </c>
      <c r="Q26" s="803"/>
      <c r="R26" s="803"/>
      <c r="S26" s="803">
        <v>0</v>
      </c>
      <c r="T26" s="803"/>
      <c r="U26" s="803">
        <f t="shared" si="1"/>
        <v>0</v>
      </c>
      <c r="V26" s="803">
        <f t="shared" si="2"/>
        <v>28000</v>
      </c>
      <c r="W26" s="802"/>
    </row>
    <row r="27" spans="1:23" x14ac:dyDescent="0.25">
      <c r="A27" s="799"/>
      <c r="B27" s="800">
        <v>21</v>
      </c>
      <c r="C27" s="801" t="s">
        <v>340</v>
      </c>
      <c r="D27" s="802"/>
      <c r="E27" s="802" t="s">
        <v>619</v>
      </c>
      <c r="F27" s="800" t="s">
        <v>838</v>
      </c>
      <c r="G27" s="803">
        <v>89500</v>
      </c>
      <c r="H27" s="803"/>
      <c r="I27" s="803"/>
      <c r="J27" s="804">
        <v>89500</v>
      </c>
      <c r="K27" s="805">
        <v>1</v>
      </c>
      <c r="L27" s="803">
        <f t="shared" si="0"/>
        <v>89500</v>
      </c>
      <c r="M27" s="803">
        <f>'Cước ô tô'!Y31</f>
        <v>0</v>
      </c>
      <c r="N27" s="803">
        <f>'Cước ô tô mới'!AO29</f>
        <v>0</v>
      </c>
      <c r="O27" s="803">
        <f>'Cước sông'!P28</f>
        <v>0</v>
      </c>
      <c r="P27" s="803">
        <v>0</v>
      </c>
      <c r="Q27" s="803"/>
      <c r="R27" s="803"/>
      <c r="S27" s="803">
        <v>0</v>
      </c>
      <c r="T27" s="803"/>
      <c r="U27" s="803">
        <f t="shared" si="1"/>
        <v>0</v>
      </c>
      <c r="V27" s="803">
        <f t="shared" si="2"/>
        <v>89500</v>
      </c>
      <c r="W27" s="802"/>
    </row>
    <row r="28" spans="1:23" x14ac:dyDescent="0.25">
      <c r="A28" s="799"/>
      <c r="B28" s="800">
        <v>22</v>
      </c>
      <c r="C28" s="801" t="s">
        <v>849</v>
      </c>
      <c r="D28" s="802"/>
      <c r="E28" s="802" t="s">
        <v>158</v>
      </c>
      <c r="F28" s="800" t="s">
        <v>838</v>
      </c>
      <c r="G28" s="803">
        <f>2601818/20</f>
        <v>130090.9</v>
      </c>
      <c r="H28" s="803"/>
      <c r="I28" s="803"/>
      <c r="J28" s="804">
        <f>G28</f>
        <v>130090.9</v>
      </c>
      <c r="K28" s="805">
        <v>1</v>
      </c>
      <c r="L28" s="803">
        <f t="shared" si="0"/>
        <v>130090.9</v>
      </c>
      <c r="M28" s="803">
        <f>'Cước ô tô'!Y32</f>
        <v>0</v>
      </c>
      <c r="N28" s="803">
        <f>'Cước ô tô mới'!AO30</f>
        <v>0</v>
      </c>
      <c r="O28" s="803">
        <f>'Cước sông'!P29</f>
        <v>0</v>
      </c>
      <c r="P28" s="803">
        <v>0</v>
      </c>
      <c r="Q28" s="803"/>
      <c r="R28" s="803"/>
      <c r="S28" s="803">
        <v>0</v>
      </c>
      <c r="T28" s="803"/>
      <c r="U28" s="803">
        <f t="shared" si="1"/>
        <v>0</v>
      </c>
      <c r="V28" s="803">
        <f t="shared" si="2"/>
        <v>130090.9</v>
      </c>
      <c r="W28" s="802"/>
    </row>
    <row r="29" spans="1:23" x14ac:dyDescent="0.25">
      <c r="A29" s="799"/>
      <c r="B29" s="800">
        <v>23</v>
      </c>
      <c r="C29" s="801" t="s">
        <v>1141</v>
      </c>
      <c r="D29" s="802"/>
      <c r="E29" s="802" t="s">
        <v>685</v>
      </c>
      <c r="F29" s="800" t="s">
        <v>838</v>
      </c>
      <c r="G29" s="803">
        <f>19600000/1000</f>
        <v>19600</v>
      </c>
      <c r="H29" s="803"/>
      <c r="I29" s="803"/>
      <c r="J29" s="803">
        <f>19600000/1000</f>
        <v>19600</v>
      </c>
      <c r="K29" s="805">
        <v>1</v>
      </c>
      <c r="L29" s="803">
        <f t="shared" si="0"/>
        <v>19600</v>
      </c>
      <c r="M29" s="803">
        <f>'Cước ô tô'!Y33</f>
        <v>0</v>
      </c>
      <c r="N29" s="803">
        <f>'Cước ô tô mới'!AO58</f>
        <v>57.495796390000002</v>
      </c>
      <c r="O29" s="803">
        <f>'Cước sông'!P30</f>
        <v>0</v>
      </c>
      <c r="P29" s="803">
        <v>0</v>
      </c>
      <c r="Q29" s="803"/>
      <c r="R29" s="803"/>
      <c r="S29" s="803">
        <v>0</v>
      </c>
      <c r="T29" s="803"/>
      <c r="U29" s="803">
        <f t="shared" si="1"/>
        <v>57.495796390000002</v>
      </c>
      <c r="V29" s="803">
        <f t="shared" si="2"/>
        <v>19657.495796390001</v>
      </c>
      <c r="W29" s="802"/>
    </row>
    <row r="30" spans="1:23" x14ac:dyDescent="0.25">
      <c r="A30" s="799"/>
      <c r="B30" s="800">
        <v>24</v>
      </c>
      <c r="C30" s="801" t="s">
        <v>649</v>
      </c>
      <c r="D30" s="802"/>
      <c r="E30" s="802" t="s">
        <v>705</v>
      </c>
      <c r="F30" s="800" t="s">
        <v>838</v>
      </c>
      <c r="G30" s="803">
        <f>19600000/1000</f>
        <v>19600</v>
      </c>
      <c r="H30" s="803"/>
      <c r="I30" s="803"/>
      <c r="J30" s="803">
        <f>19600000/1000</f>
        <v>19600</v>
      </c>
      <c r="K30" s="805">
        <v>1</v>
      </c>
      <c r="L30" s="803">
        <f t="shared" si="0"/>
        <v>19600</v>
      </c>
      <c r="M30" s="803">
        <f>'Cước ô tô'!Y34</f>
        <v>0</v>
      </c>
      <c r="N30" s="803">
        <f>'Cước ô tô mới'!AO61</f>
        <v>57.495796390000002</v>
      </c>
      <c r="O30" s="803">
        <f>'Cước sông'!P31</f>
        <v>0</v>
      </c>
      <c r="P30" s="803">
        <v>0</v>
      </c>
      <c r="Q30" s="803"/>
      <c r="R30" s="803"/>
      <c r="S30" s="803">
        <v>0</v>
      </c>
      <c r="T30" s="803"/>
      <c r="U30" s="803">
        <f t="shared" si="1"/>
        <v>57.495796390000002</v>
      </c>
      <c r="V30" s="803">
        <f t="shared" si="2"/>
        <v>19657.495796390001</v>
      </c>
      <c r="W30" s="802"/>
    </row>
    <row r="31" spans="1:23" x14ac:dyDescent="0.25">
      <c r="A31" s="799"/>
      <c r="B31" s="800">
        <v>25</v>
      </c>
      <c r="C31" s="801" t="s">
        <v>713</v>
      </c>
      <c r="D31" s="802"/>
      <c r="E31" s="802" t="s">
        <v>13</v>
      </c>
      <c r="F31" s="800" t="s">
        <v>838</v>
      </c>
      <c r="G31" s="803">
        <f>19600000/1000</f>
        <v>19600</v>
      </c>
      <c r="H31" s="803"/>
      <c r="I31" s="803"/>
      <c r="J31" s="803">
        <f>19600000/1000</f>
        <v>19600</v>
      </c>
      <c r="K31" s="805">
        <v>1</v>
      </c>
      <c r="L31" s="803">
        <f t="shared" si="0"/>
        <v>19600</v>
      </c>
      <c r="M31" s="803">
        <f>'Cước ô tô'!Y35</f>
        <v>0</v>
      </c>
      <c r="N31" s="803">
        <f>'Cước ô tô mới'!AO64</f>
        <v>57.495796390000002</v>
      </c>
      <c r="O31" s="803">
        <f>'Cước sông'!P32</f>
        <v>0</v>
      </c>
      <c r="P31" s="803">
        <v>0</v>
      </c>
      <c r="Q31" s="803"/>
      <c r="R31" s="803"/>
      <c r="S31" s="803">
        <v>0</v>
      </c>
      <c r="T31" s="803"/>
      <c r="U31" s="803">
        <f t="shared" si="1"/>
        <v>57.495796390000002</v>
      </c>
      <c r="V31" s="803">
        <f t="shared" si="2"/>
        <v>19657.495796390001</v>
      </c>
      <c r="W31" s="802"/>
    </row>
    <row r="32" spans="1:23" x14ac:dyDescent="0.25">
      <c r="A32" s="799"/>
      <c r="B32" s="800">
        <v>26</v>
      </c>
      <c r="C32" s="801" t="s">
        <v>132</v>
      </c>
      <c r="D32" s="802"/>
      <c r="E32" s="802" t="s">
        <v>969</v>
      </c>
      <c r="F32" s="800" t="s">
        <v>838</v>
      </c>
      <c r="G32" s="803">
        <v>14409</v>
      </c>
      <c r="H32" s="803"/>
      <c r="I32" s="803"/>
      <c r="J32" s="803">
        <f t="shared" ref="J32:J37" si="3">G32</f>
        <v>14409</v>
      </c>
      <c r="K32" s="805">
        <v>1</v>
      </c>
      <c r="L32" s="803">
        <f t="shared" si="0"/>
        <v>14409</v>
      </c>
      <c r="M32" s="803">
        <f>'Cước ô tô'!Y36</f>
        <v>0</v>
      </c>
      <c r="N32" s="803">
        <f>'Cước ô tô mới'!AO67</f>
        <v>57.495796390000002</v>
      </c>
      <c r="O32" s="803">
        <f>'Cước sông'!P33</f>
        <v>0</v>
      </c>
      <c r="P32" s="803">
        <v>0</v>
      </c>
      <c r="Q32" s="803"/>
      <c r="R32" s="803"/>
      <c r="S32" s="803">
        <v>0</v>
      </c>
      <c r="T32" s="803"/>
      <c r="U32" s="803">
        <f t="shared" si="1"/>
        <v>57.495796390000002</v>
      </c>
      <c r="V32" s="803">
        <f t="shared" si="2"/>
        <v>14466.49579639</v>
      </c>
      <c r="W32" s="802"/>
    </row>
    <row r="33" spans="1:23" x14ac:dyDescent="0.25">
      <c r="A33" s="799"/>
      <c r="B33" s="800">
        <v>27</v>
      </c>
      <c r="C33" s="801" t="s">
        <v>149</v>
      </c>
      <c r="D33" s="802"/>
      <c r="E33" s="802" t="s">
        <v>89</v>
      </c>
      <c r="F33" s="800" t="s">
        <v>838</v>
      </c>
      <c r="G33" s="803">
        <v>14409</v>
      </c>
      <c r="H33" s="803"/>
      <c r="I33" s="803"/>
      <c r="J33" s="803">
        <f t="shared" si="3"/>
        <v>14409</v>
      </c>
      <c r="K33" s="805">
        <v>1</v>
      </c>
      <c r="L33" s="803">
        <f t="shared" si="0"/>
        <v>14409</v>
      </c>
      <c r="M33" s="803">
        <f>'Cước ô tô'!Y37</f>
        <v>0</v>
      </c>
      <c r="N33" s="803">
        <f>'Cước ô tô mới'!AO70</f>
        <v>57.495796390000002</v>
      </c>
      <c r="O33" s="803">
        <f>'Cước sông'!P34</f>
        <v>0</v>
      </c>
      <c r="P33" s="803">
        <v>0</v>
      </c>
      <c r="Q33" s="803"/>
      <c r="R33" s="803"/>
      <c r="S33" s="803">
        <v>0</v>
      </c>
      <c r="T33" s="803"/>
      <c r="U33" s="803">
        <f t="shared" si="1"/>
        <v>57.495796390000002</v>
      </c>
      <c r="V33" s="803">
        <f t="shared" si="2"/>
        <v>14466.49579639</v>
      </c>
      <c r="W33" s="802"/>
    </row>
    <row r="34" spans="1:23" x14ac:dyDescent="0.25">
      <c r="A34" s="806"/>
      <c r="B34" s="800">
        <v>28</v>
      </c>
      <c r="C34" s="807"/>
      <c r="D34" s="808"/>
      <c r="E34" s="808" t="s">
        <v>1391</v>
      </c>
      <c r="F34" s="809" t="s">
        <v>950</v>
      </c>
      <c r="G34" s="810">
        <v>47273</v>
      </c>
      <c r="H34" s="810"/>
      <c r="I34" s="810"/>
      <c r="J34" s="810">
        <f t="shared" si="3"/>
        <v>47273</v>
      </c>
      <c r="K34" s="811"/>
      <c r="L34" s="810"/>
      <c r="M34" s="810"/>
      <c r="N34" s="810">
        <v>35017</v>
      </c>
      <c r="O34" s="810"/>
      <c r="P34" s="810"/>
      <c r="Q34" s="810"/>
      <c r="R34" s="810"/>
      <c r="S34" s="810"/>
      <c r="T34" s="810"/>
      <c r="U34" s="810"/>
      <c r="V34" s="810">
        <f>J34+N34</f>
        <v>82290</v>
      </c>
      <c r="W34" s="808"/>
    </row>
    <row r="35" spans="1:23" x14ac:dyDescent="0.25">
      <c r="A35" s="806"/>
      <c r="B35" s="800">
        <v>29</v>
      </c>
      <c r="C35" s="807"/>
      <c r="D35" s="808"/>
      <c r="E35" s="808" t="s">
        <v>1371</v>
      </c>
      <c r="F35" s="809" t="s">
        <v>950</v>
      </c>
      <c r="G35" s="810">
        <v>1195455</v>
      </c>
      <c r="H35" s="810"/>
      <c r="I35" s="810"/>
      <c r="J35" s="810">
        <f t="shared" si="3"/>
        <v>1195455</v>
      </c>
      <c r="K35" s="811"/>
      <c r="L35" s="810"/>
      <c r="M35" s="810"/>
      <c r="N35" s="810"/>
      <c r="O35" s="810"/>
      <c r="P35" s="810"/>
      <c r="Q35" s="810"/>
      <c r="R35" s="810"/>
      <c r="S35" s="810"/>
      <c r="T35" s="810"/>
      <c r="U35" s="810"/>
      <c r="V35" s="810">
        <f>J35</f>
        <v>1195455</v>
      </c>
      <c r="W35" s="808"/>
    </row>
    <row r="36" spans="1:23" x14ac:dyDescent="0.25">
      <c r="A36" s="806"/>
      <c r="B36" s="800">
        <v>30</v>
      </c>
      <c r="C36" s="807"/>
      <c r="D36" s="808"/>
      <c r="E36" s="808" t="s">
        <v>1367</v>
      </c>
      <c r="F36" s="809" t="s">
        <v>950</v>
      </c>
      <c r="G36" s="810">
        <v>1281818</v>
      </c>
      <c r="H36" s="810"/>
      <c r="I36" s="810"/>
      <c r="J36" s="810">
        <f t="shared" si="3"/>
        <v>1281818</v>
      </c>
      <c r="K36" s="811"/>
      <c r="L36" s="810"/>
      <c r="M36" s="810"/>
      <c r="N36" s="810"/>
      <c r="O36" s="810"/>
      <c r="P36" s="810"/>
      <c r="Q36" s="810"/>
      <c r="R36" s="810"/>
      <c r="S36" s="810"/>
      <c r="T36" s="810"/>
      <c r="U36" s="810"/>
      <c r="V36" s="810">
        <f>J36</f>
        <v>1281818</v>
      </c>
      <c r="W36" s="808"/>
    </row>
    <row r="37" spans="1:23" x14ac:dyDescent="0.25">
      <c r="A37" s="812"/>
      <c r="B37" s="815">
        <v>31</v>
      </c>
      <c r="C37" s="813" t="s">
        <v>235</v>
      </c>
      <c r="D37" s="814"/>
      <c r="E37" s="814" t="s">
        <v>662</v>
      </c>
      <c r="F37" s="815" t="s">
        <v>838</v>
      </c>
      <c r="G37" s="816">
        <f>1563724/1000</f>
        <v>1563.7239999999999</v>
      </c>
      <c r="H37" s="816"/>
      <c r="I37" s="816"/>
      <c r="J37" s="816">
        <f t="shared" si="3"/>
        <v>1563.7239999999999</v>
      </c>
      <c r="K37" s="817">
        <v>1</v>
      </c>
      <c r="L37" s="816">
        <f t="shared" si="0"/>
        <v>1563.7239999999999</v>
      </c>
      <c r="M37" s="816">
        <f>'Cước ô tô'!Y38</f>
        <v>0</v>
      </c>
      <c r="N37" s="816">
        <f>'Cước ô tô mới'!AO73</f>
        <v>24</v>
      </c>
      <c r="O37" s="816">
        <f>'Cước sông'!P35</f>
        <v>0</v>
      </c>
      <c r="P37" s="816">
        <v>0</v>
      </c>
      <c r="Q37" s="816"/>
      <c r="R37" s="816"/>
      <c r="S37" s="816">
        <v>0</v>
      </c>
      <c r="T37" s="816"/>
      <c r="U37" s="816">
        <f t="shared" si="1"/>
        <v>24</v>
      </c>
      <c r="V37" s="816">
        <f t="shared" si="2"/>
        <v>1587.7239999999999</v>
      </c>
      <c r="W37" s="814"/>
    </row>
  </sheetData>
  <mergeCells count="3">
    <mergeCell ref="B2:V2"/>
    <mergeCell ref="B3:V3"/>
    <mergeCell ref="B4:V4"/>
  </mergeCells>
  <conditionalFormatting sqref="G6:G35 J6:J35">
    <cfRule type="cellIs" dxfId="14" priority="17" stopIfTrue="1" operator="equal">
      <formula>0</formula>
    </cfRule>
  </conditionalFormatting>
  <conditionalFormatting sqref="K6:K35 K37">
    <cfRule type="cellIs" dxfId="13" priority="16" stopIfTrue="1" operator="equal">
      <formula>1</formula>
    </cfRule>
  </conditionalFormatting>
  <conditionalFormatting sqref="G36 J36">
    <cfRule type="cellIs" dxfId="12" priority="2" stopIfTrue="1" operator="equal">
      <formula>0</formula>
    </cfRule>
  </conditionalFormatting>
  <conditionalFormatting sqref="K36">
    <cfRule type="cellIs" dxfId="11" priority="1" stopIfTrue="1" operator="equal">
      <formula>1</formula>
    </cfRule>
  </conditionalFormatting>
  <pageMargins left="0.98425196850393704" right="0.59055118110236227" top="0.98425196850393704" bottom="0.78740157480314965" header="0.31496062992125984" footer="0.31496062992125984"/>
  <pageSetup paperSize="9" orientation="portrait" useFirstPageNumber="1" horizontalDpi="655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55</vt:i4>
      </vt:variant>
    </vt:vector>
  </HeadingPairs>
  <TitlesOfParts>
    <vt:vector size="104" baseType="lpstr">
      <vt:lpstr>SS</vt:lpstr>
      <vt:lpstr>LCNT2</vt:lpstr>
      <vt:lpstr>BCKTKT</vt:lpstr>
      <vt:lpstr>LCNT</vt:lpstr>
      <vt:lpstr>Tong du toan</vt:lpstr>
      <vt:lpstr>Chi phi xay lap</vt:lpstr>
      <vt:lpstr>Du toan chi tiet</vt:lpstr>
      <vt:lpstr>Phan tich don gia</vt:lpstr>
      <vt:lpstr>Giá VL</vt:lpstr>
      <vt:lpstr>THVL</vt:lpstr>
      <vt:lpstr>Cước ô tô</vt:lpstr>
      <vt:lpstr>Cước ô tô mới</vt:lpstr>
      <vt:lpstr>Cước sông</vt:lpstr>
      <vt:lpstr>Cước TC</vt:lpstr>
      <vt:lpstr>Giá NC</vt:lpstr>
      <vt:lpstr>THNC</vt:lpstr>
      <vt:lpstr>Tính giá NC</vt:lpstr>
      <vt:lpstr>Giá Máy</vt:lpstr>
      <vt:lpstr>Tra định mức</vt:lpstr>
      <vt:lpstr>THM</vt:lpstr>
      <vt:lpstr>Bù giá CM</vt:lpstr>
      <vt:lpstr>Tính giá CM</vt:lpstr>
      <vt:lpstr>THNL</vt:lpstr>
      <vt:lpstr>THTL</vt:lpstr>
      <vt:lpstr>THKPHM</vt:lpstr>
      <vt:lpstr>THKP_TT11_2021</vt:lpstr>
      <vt:lpstr>Chiết tính</vt:lpstr>
      <vt:lpstr>ĐGTH</vt:lpstr>
      <vt:lpstr>Tổng hợp VT</vt:lpstr>
      <vt:lpstr>Tổng hợp VT công trình</vt:lpstr>
      <vt:lpstr>GGTXD</vt:lpstr>
      <vt:lpstr>THDGDT</vt:lpstr>
      <vt:lpstr>THCPXD</vt:lpstr>
      <vt:lpstr>THCPTB</vt:lpstr>
      <vt:lpstr>HM chung</vt:lpstr>
      <vt:lpstr>Bìa ngoài</vt:lpstr>
      <vt:lpstr>Bìa trong</vt:lpstr>
      <vt:lpstr>Thuyết minh</vt:lpstr>
      <vt:lpstr>Thông tin</vt:lpstr>
      <vt:lpstr>Nội suy</vt:lpstr>
      <vt:lpstr>Chiết tính rút gọn</vt:lpstr>
      <vt:lpstr>ĐGTH rút gọn</vt:lpstr>
      <vt:lpstr>Giá vữa</vt:lpstr>
      <vt:lpstr>QT_PL08b</vt:lpstr>
      <vt:lpstr>QT_PL03a</vt:lpstr>
      <vt:lpstr>QT_PL03b</vt:lpstr>
      <vt:lpstr>QT_PL04</vt:lpstr>
      <vt:lpstr>QT_PL05</vt:lpstr>
      <vt:lpstr>QT_PL06</vt:lpstr>
      <vt:lpstr>BGCM_GiaGoc_D_1</vt:lpstr>
      <vt:lpstr>BGCM_GiaGoc_Đ_1</vt:lpstr>
      <vt:lpstr>BGCM_GiaGoc_N4307_1</vt:lpstr>
      <vt:lpstr>BGCM_GiaGoc_N4407_1</vt:lpstr>
      <vt:lpstr>BGCM_GiaGoc_N4507_1</vt:lpstr>
      <vt:lpstr>BGCM_GiaGoc_N4607_1</vt:lpstr>
      <vt:lpstr>BGCM_GiaGoc_NLX414_1</vt:lpstr>
      <vt:lpstr>BGCM_GiaGoc_NLX424_1</vt:lpstr>
      <vt:lpstr>BGCM_GiaGoc_NLX434_1</vt:lpstr>
      <vt:lpstr>BGCM_GiaGoc_X_1</vt:lpstr>
      <vt:lpstr>BGCM_GiaHT_D_1</vt:lpstr>
      <vt:lpstr>BGCM_GiaHT_Đ_1</vt:lpstr>
      <vt:lpstr>BGCM_GiaHT_N4307_1</vt:lpstr>
      <vt:lpstr>BGCM_GiaHT_N4407_1</vt:lpstr>
      <vt:lpstr>BGCM_GiaHT_N4507_1</vt:lpstr>
      <vt:lpstr>BGCM_GiaHT_N4607_1</vt:lpstr>
      <vt:lpstr>BGCM_GiaHT_NLX414_1</vt:lpstr>
      <vt:lpstr>BGCM_GiaHT_NLX424_1</vt:lpstr>
      <vt:lpstr>BGCM_GiaHT_NLX434_1</vt:lpstr>
      <vt:lpstr>BGCM_GiaHT_X_1</vt:lpstr>
      <vt:lpstr>capCongTrinh</vt:lpstr>
      <vt:lpstr>loaiCongTrinh</vt:lpstr>
      <vt:lpstr>loaiThietKe</vt:lpstr>
      <vt:lpstr>'Bù giá CM'!Print_Area</vt:lpstr>
      <vt:lpstr>'Du toan chi tiet'!Print_Area</vt:lpstr>
      <vt:lpstr>GGTXD!Print_Area</vt:lpstr>
      <vt:lpstr>THKP_TT11_2021!Print_Area</vt:lpstr>
      <vt:lpstr>THM!Print_Area</vt:lpstr>
      <vt:lpstr>THNL!Print_Area</vt:lpstr>
      <vt:lpstr>THTL!Print_Area</vt:lpstr>
      <vt:lpstr>'Chiết tính'!Print_Titles</vt:lpstr>
      <vt:lpstr>'Chiết tính rút gọn'!Print_Titles</vt:lpstr>
      <vt:lpstr>'Cước ô tô'!Print_Titles</vt:lpstr>
      <vt:lpstr>'Cước sông'!Print_Titles</vt:lpstr>
      <vt:lpstr>ĐGTH!Print_Titles</vt:lpstr>
      <vt:lpstr>'Du toan chi tiet'!Print_Titles</vt:lpstr>
      <vt:lpstr>'Giá VL'!Print_Titles</vt:lpstr>
      <vt:lpstr>'Phan tich don gia'!Print_Titles</vt:lpstr>
      <vt:lpstr>THCPTB!Print_Titles</vt:lpstr>
      <vt:lpstr>THCPXD!Print_Titles</vt:lpstr>
      <vt:lpstr>THDGDT!Print_Titles</vt:lpstr>
      <vt:lpstr>THM!Print_Titles</vt:lpstr>
      <vt:lpstr>THNC!Print_Titles</vt:lpstr>
      <vt:lpstr>THVL!Print_Titles</vt:lpstr>
      <vt:lpstr>StartInfo_CongTrinh</vt:lpstr>
      <vt:lpstr>StartInfo_HangMuc</vt:lpstr>
      <vt:lpstr>StartInfo_MauTHKPHM</vt:lpstr>
      <vt:lpstr>StartInfo_SoLieuTinhGiaNC</vt:lpstr>
      <vt:lpstr>THNL.TTCLGiaHT0</vt:lpstr>
      <vt:lpstr>THNL.TTGiaGoc0</vt:lpstr>
      <vt:lpstr>THNL.TTGiaHT0</vt:lpstr>
      <vt:lpstr>THTL.TongKL0</vt:lpstr>
      <vt:lpstr>THTL.TTCLGiaHT0</vt:lpstr>
      <vt:lpstr>THTL.TTGiaGoc0</vt:lpstr>
      <vt:lpstr>THTL.TTGiaHT0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2023-10-27T02:26:44Z</cp:lastPrinted>
  <dcterms:created xsi:type="dcterms:W3CDTF">2023-11-03T01:36:09Z</dcterms:created>
  <dcterms:modified xsi:type="dcterms:W3CDTF">2023-11-03T01:36:10Z</dcterms:modified>
</cp:coreProperties>
</file>