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0115" windowHeight="7185"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<sst xmlns="http://schemas.openxmlformats.org/spreadsheetml/2006/main" count="1303" uniqueCount="408">
  <si>
    <t>Đơn giá (đồng)</t>
  </si>
  <si>
    <t>Ghi 
chú</t>
  </si>
  <si>
    <t>m2</t>
  </si>
  <si>
    <t>Họ và tên chủ sử dụng đất;
 Loại đất, loại tài sản</t>
  </si>
  <si>
    <t>Đơn vị tính</t>
  </si>
  <si>
    <t>Số thửa</t>
  </si>
  <si>
    <t>Diện tích 
còn lại
(m2)</t>
  </si>
  <si>
    <t>Thành tiền 
(đồng)</t>
  </si>
  <si>
    <t>Về tài sản:</t>
  </si>
  <si>
    <t>Về đất:</t>
  </si>
  <si>
    <t>Vị trí -Đồng bằng</t>
  </si>
  <si>
    <t>cây</t>
  </si>
  <si>
    <t>Số lượng tài sản 
bị ảnh hưởng</t>
  </si>
  <si>
    <t>Diện tích 
thu hồi (m2)</t>
  </si>
  <si>
    <t xml:space="preserve">Tờ 
bản đồ </t>
  </si>
  <si>
    <t xml:space="preserve">Tổng diện tích 
thửa đất 
(m2) </t>
  </si>
  <si>
    <t>m3</t>
  </si>
  <si>
    <t>Đất trồng cây lâu năm (CLN)</t>
  </si>
  <si>
    <t>Hỗ trợ đất trồng cây lâu năm gắn liền với đất ở (hỗ trợ 50% giá đất ở)</t>
  </si>
  <si>
    <t>VT1</t>
  </si>
  <si>
    <t>Xây dựng năm 2008</t>
  </si>
  <si>
    <t>Xây dựng năm 2021</t>
  </si>
  <si>
    <t>TRUNG TÂM PHÁT TRIỂN QUỸ ĐẤT THỊ XÃ HƯƠNG TRÀ</t>
  </si>
  <si>
    <t>STT</t>
  </si>
  <si>
    <t>Hỗ trợ khi Nhà nước thu hồi đất:</t>
  </si>
  <si>
    <t>Tỷ lệ bồi thường (%)</t>
  </si>
  <si>
    <t>Đất ở đô thị (ODT)</t>
  </si>
  <si>
    <t>Tài sản trên đất:</t>
  </si>
  <si>
    <t>Hệ số bồi thường</t>
  </si>
  <si>
    <t>PHỤ LỤC: THÔNG BÁO CÔNG KHAI PHƯƠNG ÁN BỒI THƯỜNG, HỖ TRỢ VỀ ĐẤT VÀ TÀI SẢN GẮN LIỀN VỚI ĐẤT CỦA CÁC HỘ GIA ĐÌNH, CÁ NHÂN ẢNH HƯỞNG GPMB 
DỰ ÁN NÂNG CẤP, MỞ RỘNG ĐƯỜNG VEN SÔNG BỒ ĐOẠN QUA PHƯỜNG TỨ HẠ, THỊ XÃ HƯƠNG TRÀ (ĐỢT 1)</t>
  </si>
  <si>
    <t>(Kèm theo Thông báo số:           /TB-PTQĐ ngày           tháng 10 năm 2023 của Trung tâm Phát triển quỹ đất thị xã Hương Trà)</t>
  </si>
  <si>
    <t>Diện tích đã GPMB giai đoạn 1- năm 2007</t>
  </si>
  <si>
    <t>(10)=(7)-(8)-(9)</t>
  </si>
  <si>
    <t>(18)=
(4)*(14)*(17)</t>
  </si>
  <si>
    <t>Dương Thị Xuân Hiền</t>
  </si>
  <si>
    <t xml:space="preserve">Lưới B40: S=(19*1) </t>
  </si>
  <si>
    <t>Nhãn: đk:7-10cm</t>
  </si>
  <si>
    <t>Ổi: đk:5-7cm</t>
  </si>
  <si>
    <t>Mai: đk:5-7cm</t>
  </si>
  <si>
    <t>Mai: đk:&lt;2cm</t>
  </si>
  <si>
    <t>Cau: h:8-10m</t>
  </si>
  <si>
    <t>Chùm ngây: đk:10-15cm</t>
  </si>
  <si>
    <t>Lá vối: đk:7-10cm</t>
  </si>
  <si>
    <t>Tự xây dựng năm 2008</t>
  </si>
  <si>
    <t>PL02-
XIII-1-1.2</t>
  </si>
  <si>
    <t>PL02-
XIV-5</t>
  </si>
  <si>
    <t>PL02-
XIV-6</t>
  </si>
  <si>
    <t>Mã số
 đơn giá
 bồi thường</t>
  </si>
  <si>
    <t>VT1 đường Sông Bồ, đoạn 1</t>
  </si>
  <si>
    <t>Nguồn gốc sử dụng đất, thời điểm xây dựng tài sản được UBND phường 
Tứ Hạ xác nhận</t>
  </si>
  <si>
    <t>Huỳnh Diễn - 
Hoàng Thị Kim Cúc</t>
  </si>
  <si>
    <t>Lưới B40: S=(20.3*1)</t>
  </si>
  <si>
    <t>Cau: h:1-3m</t>
  </si>
  <si>
    <t>Cau: h:3-5m</t>
  </si>
  <si>
    <t>Cau: h:&lt;1m</t>
  </si>
  <si>
    <t>Đinh lăng</t>
  </si>
  <si>
    <t>Ớt</t>
  </si>
  <si>
    <t>Khế: đk:1-3cm</t>
  </si>
  <si>
    <t>Xây dựng năm 2007</t>
  </si>
  <si>
    <t>PL02-
XIII-3-3.6</t>
  </si>
  <si>
    <t>2 mặt tiền VT1 đường Sông Bồ và VT1 đường Nguyễn Khoa Đăng</t>
  </si>
  <si>
    <t>Đã cộng thêm 5% VT1 đường Nguyễn Khoa Đăng</t>
  </si>
  <si>
    <t>Hoàng Nguyễn Vĩnh Lộc - 
Thái Thị Minh Huyền</t>
  </si>
  <si>
    <t>Am thờ loại vừa</t>
  </si>
  <si>
    <t>cái</t>
  </si>
  <si>
    <t>Xây dựng năm 2011</t>
  </si>
  <si>
    <t>Hàng rào: xây bờ lô; có tô; có khe thoáng; S=(10.4*2.8)</t>
  </si>
  <si>
    <t>Xây dựng năm 2006</t>
  </si>
  <si>
    <t>Trụ cổng: Đúc BT; phần thô có tô trát; ốp đá; V=(0.4*0.4*3)*2trụ</t>
  </si>
  <si>
    <t>Ốp đá trụ cổng; S=(0.4*2)*8mặt</t>
  </si>
  <si>
    <t>Mái che (1): Trụ sắt; đỡ đòn tay sắt; mái lợp tôn; nền lát gạch hạ long; S=(7.4*5); Sgpmb=(2.8*5)</t>
  </si>
  <si>
    <t>Xây dựng năm 2019</t>
  </si>
  <si>
    <t>Sân lát gạch hạ long; S=(1.5*2.8)</t>
  </si>
  <si>
    <t>Mái che(2): Trụ sắt; đỡ đòn tay sắt; mái che chắn lưới; nền lát gạch hạ long; S=(1.5*6.6); Sgpmb=(1.5*2.8)</t>
  </si>
  <si>
    <t>Trụ hàng rào: Đúc BT; phần thô có tô; V=(0.2*0.2*2.3)*4trụ</t>
  </si>
  <si>
    <t>Phần cửa cổng: cửa sắt hộp đặc; S=(2.2*2.4)</t>
  </si>
  <si>
    <t>Sơn hàng rào; S=(5.8*1.7)</t>
  </si>
  <si>
    <t>Di chuyển ống nước sinh hoạt</t>
  </si>
  <si>
    <t>m</t>
  </si>
  <si>
    <t>Di chuyển chậu cây: đường kính chậu &gt;100cm</t>
  </si>
  <si>
    <t>chậu</t>
  </si>
  <si>
    <t>Đã được UBND huyện (nay là thị xã) Hương Trà cấp giấy chứng nhận QSD đất số AE 233289 ngày 15/6/2007 tại thửa đất số 10/1, tờ bản đồ số 25; diện tích: 156,0 m2; mục đích sử dụng: đất ở đô thị: 100m2, đất trồng cây lâu năm khác: 56m2. Đợt 1 đã phê duyệt đền bù 9,7m2 tại Quyết định số 678/QĐ-UBND ngày 16/10/2007 của UBND thị xã Hương Trà</t>
  </si>
  <si>
    <t xml:space="preserve">VT1 đường Sông Bồ, đoạn 1 </t>
  </si>
  <si>
    <t>PL02-
IX-2-2.2</t>
  </si>
  <si>
    <t>PL02-
XIV-4</t>
  </si>
  <si>
    <t>PL02-
XIII-2-2.4</t>
  </si>
  <si>
    <t>Bồi thường toàn bộ do kết cấu liên hoàn</t>
  </si>
  <si>
    <t>PL02-
IV-2-2.3+ PL2-
XIII-2-2.3</t>
  </si>
  <si>
    <t>PL2-
XIII-2-2.3</t>
  </si>
  <si>
    <t>PL2-
XIII-1-1.2</t>
  </si>
  <si>
    <t>PL2-
XIII-3-3.3</t>
  </si>
  <si>
    <t>PL2-
XIII-2-2.2</t>
  </si>
  <si>
    <t>PL2-
VII-1-1.2</t>
  </si>
  <si>
    <t>Trần Văn Tấn - 
Thái Thị Mỹ Diệu</t>
  </si>
  <si>
    <t>Xây dựng năm 2009</t>
  </si>
  <si>
    <t>Hàng rào: Xây bờ lô; có tô; có khe thoáng; S=(14.3*2.1)</t>
  </si>
  <si>
    <t>Trụ hàng rào: Đúc BT; phần thô có tô trát; V=(0.2*0.2*2.4)*5trụ</t>
  </si>
  <si>
    <t>Trụ cổng: Đúc BT; phần thô có tô trát; V=(0.3*0.45*3)*2trụ</t>
  </si>
  <si>
    <t>Phần cửa cổng: cửa sắt hộp; S=(2.6*1.9)</t>
  </si>
  <si>
    <t xml:space="preserve">Sân BTXM; S=(2.5*7.7) </t>
  </si>
  <si>
    <t>PL2-
XI-6</t>
  </si>
  <si>
    <t xml:space="preserve">Đã được UBND huyện (nay là thị xã) Hương Trà cấp giấy chứng nhận QSD đất số AP 003502 ngày 20/7/2009 tại thửa đất số 10/3, tờ bản đồ số 25; diện tích: 168,0m2; mục đích sử dụng: đất ở đô thị: 80m2, đất trồng cây lâu năm khác: 88m2. </t>
  </si>
  <si>
    <t>Trần Văn Huy -
Lê Thị Hiền</t>
  </si>
  <si>
    <t>Sân BTXM: S=(3.3*9). Trong đó:</t>
  </si>
  <si>
    <t>Xây dựng năm 2022</t>
  </si>
  <si>
    <t>Diện tích nằm trong giấy CNQSD đất S=(2.1*9)</t>
  </si>
  <si>
    <t>Diện tích nằm ngoài giấy CNQSD đất S=(1.2*9)</t>
  </si>
  <si>
    <t>Hàng rào: Xây bờ lô; có tô; không có khe thoáng; S=(2.7*1.3)</t>
  </si>
  <si>
    <t>Ông (bà) Nguyễn Văn Huy - Lê Thị Hiền nhận chuyển nhượng QSD đất của bà Lê Thị Vân Trang được Chi nhánh Văn phòng đăng ký đất đai thị xã Hương Trà đăng ký biến động ngày 20/8/2021 theo giấy CNQSD đất số BY 873074 cấp ngày 19/6/2015 tại thửa đất số 254; tờ bản đồ: 25; diện tích: 400,1 m2; mục đích sử dụng: đất ở đô thị: 249,5 m2, đất trồng cây lâu năm: 150,6 m2.</t>
  </si>
  <si>
    <t>Phan Dũng - 
Trần Thị Thanh Thủy</t>
  </si>
  <si>
    <t>Mái che: Trụ sắt; đỡ đòn tay sắt; mái lợp tôn; nền lát gạch Terazo; S=(4*15.3). Trong đó:</t>
  </si>
  <si>
    <t>Diện tích nằm trong giấy CNQSD đất S=(1.5*15.3)</t>
  </si>
  <si>
    <t>Xây dựng năm 2016</t>
  </si>
  <si>
    <t>Diện tích nằm ngoài giấy CNQSD đất S=(2.5*15.3)</t>
  </si>
  <si>
    <t>Hàng rào: Xây bờ lô; có tô; có khe thoáng; S=(14.6*2.5)</t>
  </si>
  <si>
    <t>Di chuyển đường dây diện</t>
  </si>
  <si>
    <t>Trụ cổng: Đúc BT; phần thô có tô trát; ốp gạch men; V=(0.6*0.6*3.1)*2 trụ</t>
  </si>
  <si>
    <t>Ốp gạch men trụ cổng: S=(2.4*0.6)*8 mặt</t>
  </si>
  <si>
    <t>Phần cửa cổng: cửa sắt hộp; S=(4.5*2)</t>
  </si>
  <si>
    <t>PL02-
IV-2-2.3+ PL2-XI-9</t>
  </si>
  <si>
    <t>PL02-
VII-2-2.1</t>
  </si>
  <si>
    <t>Ông (bà) Phan Dũng - Trần Thị Thanh Thủy nhận chuyển nhượng QSD đất của bà Phan Thị Tuyết Nhung được Chi nhánh Văn phòng đăng ký đất đai thị xã Hương Trà đăng ký biến động ngày 23/10/2015 theo giấy CNQSD đất số BY 873075 cấp ngày 19/6/2015 tại thửa đất số 255; tờ bản đồ: 25; diện tích: 341,2 m2; mục đích sử dụng: đất ở đô thị: 150,0 m2, đất trồng cây lâu năm: 191,2 m2.</t>
  </si>
  <si>
    <t>Hoàng Kim Đông</t>
  </si>
  <si>
    <t>Hàng rào: xây bờ lô; có tô; không khe thoáng; S=(5.8*1)+(3.4*1)</t>
  </si>
  <si>
    <t>Xây dựng năm 2008 đến năm 2022 cải tạo lại</t>
  </si>
  <si>
    <t>Trụ hàng rào: đúc BT; phần thô có tô trát; V=(0.15*0.15*2.3)*1trụ</t>
  </si>
  <si>
    <t>Lưới B40; S=(5.8*1.2)</t>
  </si>
  <si>
    <t>Trụ cổng: đúc BT; phần thô có tô trát; V=(0.45*0.45*3.2)*2trụ</t>
  </si>
  <si>
    <t>Phần cửa cổng; cửa lưới B40: S=(3.2*1.8)</t>
  </si>
  <si>
    <t xml:space="preserve">Sân BTXM; S=(10.3*3). Trong đó: </t>
  </si>
  <si>
    <t>Diện tích nằm trong giấy CNQSD đất S=(10.3*2.5)</t>
  </si>
  <si>
    <t>Diện tích nằm ngoài giấy CNQSD đất S=(10.3*0.5)</t>
  </si>
  <si>
    <t xml:space="preserve">Đã được Sở Tài nguyên và Môi trường tỉnh Thừa Thiên Huế cấp giấy chứng nhận QSD đất số DĐ 304499 ngày 23/3/2022 tại thửa đất số 402, tờ bản đồ số 25; diện tích: 208,2 m2; mục đích sử dụng: đất ở đô thị: 120 m2, đất trồng cây lâu năm khác: 88,2 m2. </t>
  </si>
  <si>
    <t>Hoàng Kim Lúc -
Lê Thị Hạnh</t>
  </si>
  <si>
    <t>Hàng rào: xây bờ lô; có tô; không có khe thoáng; S=(7.4*1.3)</t>
  </si>
  <si>
    <t>Lưới B40: S=(7.4*1.2)</t>
  </si>
  <si>
    <t>Trụ hàng rào: đúc BT; phần thô có tô; V=(0.15*0.15*2.8)*5 trụ</t>
  </si>
  <si>
    <t>Trụ cổng: Đúc BT; phân phô có tô trát; ốp gạch men; S=(0.6*0.6*3.6)*2 trụ</t>
  </si>
  <si>
    <t>Ốp gạch men trụ cổng: S=(0.6*2.6)*8 mặt</t>
  </si>
  <si>
    <t>Phần cửa cổng; cửa sắt hộp; S=(2.5*2.4)</t>
  </si>
  <si>
    <t>Hàng rào: xây bờ lô; có tô; có khe thoáng; S=(7.1*2)</t>
  </si>
  <si>
    <t>Trụ hàng rào: đúc BT; phần thô có tô; V=(0.2*0.2*2.1)*4 trụ + (0.2*0.2*4.2)*4 trụ</t>
  </si>
  <si>
    <t>Sân lát gạch Terazo; S=(9.5*4.5)</t>
  </si>
  <si>
    <t>Cau: h:5-7m</t>
  </si>
  <si>
    <t>Khế: đk:5-7cm</t>
  </si>
  <si>
    <t>Mai: đk: 3-5cm</t>
  </si>
  <si>
    <t>Nguyệt quế: đk: 5-7cm</t>
  </si>
  <si>
    <t>Sả</t>
  </si>
  <si>
    <t>Hồng kỳ: đk: 7-10cm</t>
  </si>
  <si>
    <t>Riềng tây</t>
  </si>
  <si>
    <t>PL2-
XIII-4-4.4</t>
  </si>
  <si>
    <t>PL2-
XI-9</t>
  </si>
  <si>
    <t>PL2- 
XI-9</t>
  </si>
  <si>
    <t>Đã được sở Tài nguyên và môi trường tỉnh Thừa Thiên Huế cấp giấy CNQSD đất số CG 325152 ngày 30/8/2018 tại thửa đất số 263; tờ bản đồ số 25; diện tích 517,9m2; MĐSD: đất ở đô thị</t>
  </si>
  <si>
    <t>Phạm Đính -
Trần Thị Ngọc Mai</t>
  </si>
  <si>
    <t>Mái che (1): Trụ sắt; đỡ đòn tay sắt; mái lợp tôn; nền BTXM; S=(4.2*5); Sgpmb=(1.3*5)</t>
  </si>
  <si>
    <t>Mái che (2): Trụ sắt; đỡ đòn tay sắt; mái lợp tôn; nền BTXM; S=(6*4.2); Sgpmb=(6*2.2)</t>
  </si>
  <si>
    <t>Sân BTXM; S=(2*6)</t>
  </si>
  <si>
    <t>Xây dựng nằm ngoài giấy CNQSD đất</t>
  </si>
  <si>
    <t xml:space="preserve">PL02-
IV-2-2.3+ PL2-XI-6 </t>
  </si>
  <si>
    <t xml:space="preserve">Đã được Sở Tài nguyên và Môi trường tỉnh Thừa Thiên Huế cấp giấy chứng nhận QSD đất số CL 332706 ngày 13/5/2019 tại thửa đất số 267, tờ bản đồ số 28; diện tích: 198,7 m2; mục đích sử dụng: đất ở đô thị. </t>
  </si>
  <si>
    <t>2 mặt tiền, VT1 đường sông Bồ và VT1 đường Ngụy Như Kom Tum</t>
  </si>
  <si>
    <t>Phan Tại Quốc</t>
  </si>
  <si>
    <t>Mái che: Trụ sắt; đỡ đòn tay sắt; mái lợp tôn; nền BTXM; S=(4.1*4.2). Trong đó:</t>
  </si>
  <si>
    <t xml:space="preserve"> + Diện tích nằm trong giấy CNQSD đất là: S=(4.1*1.55); Sgpmb=(4.1*0.65)</t>
  </si>
  <si>
    <t xml:space="preserve"> + Diện tích nằm ngoài giấy CNQSD đất là: S=(4.1*2.65)</t>
  </si>
  <si>
    <t>Hàng rào: Xây bờ lô; có tô; không có khe thoáng; S=(3.4*1.1)</t>
  </si>
  <si>
    <t xml:space="preserve">Lưới B40: S=(6*1.5) </t>
  </si>
  <si>
    <t>Đất do ông Phan Tại Quốc nhận chuyển nhượng QSD đất của bà Phan Thị Túy Hồng được Chi nhánh Văn phòng đăng ký đất đai thị xã Hương Trà đăng ký biến động ngày 22/6/2018 theo giấy CNQSD đất số BY 873079 cấp ngày 19/6/2015 tại thửa đất số 259; tờ bản đồ 25; diện tích: 102m2; MĐSD: đất ở đô thị: 60m2m, đất trồng cây lâu năm 42m2.</t>
  </si>
  <si>
    <t>Thái Xuân Khoa -
Bùi Thị Minh Lý</t>
  </si>
  <si>
    <t>Hàng rào: xây bờ lô; có tô; có khe thoáng; S=(10.2*2.5)</t>
  </si>
  <si>
    <t>Trụ hàng rào: đúc BT; phần thô có tô; V=(0.2*0.2*2.7)*2trụ</t>
  </si>
  <si>
    <t>Trụ cổng: đúc BT; phần thô có tô trát; V=(0.45*0.45*3)*2trụ</t>
  </si>
  <si>
    <t>Ốp gạch hạ long trụ cổng; S=(0.3*1.5)*7mặt</t>
  </si>
  <si>
    <t>Đường BTXM; S=(3.3*2.2)</t>
  </si>
  <si>
    <t>Phần cửa cổng; cửa sắt ống; S=(2.2*1.9)</t>
  </si>
  <si>
    <t>Mai; đk:5-10cm</t>
  </si>
  <si>
    <t>Lá vối; đk:10-15cm</t>
  </si>
  <si>
    <t>Chùm ngây; đk:15-20cm</t>
  </si>
  <si>
    <t>Nghệ</t>
  </si>
  <si>
    <t>PL02-
XIII-3-3.4</t>
  </si>
  <si>
    <t>Đã được UBND huyện (nay là thị xã) Hương Trà cấp GCNQSD đất số AD 910291 ngày 19/12/2005 tại thửa đất số 10; tờ bản đồ số 25; diện tích: 1292m2. Sau khi tách thửa chuyển nhượng, tặng cho thị thửa đất còn lại số 10/2; diện tích: 945,7m2; MĐSD: Đất ở đô thị: 120m2, đất trồng cây lâu năm khác: 825,7m2</t>
  </si>
  <si>
    <t>Phạm Đồng</t>
  </si>
  <si>
    <t>Quán: Móng BT; trụ BTCT; tường xây bờ lô có tô + sơn; đỡ đòn tay gỗ; mái lợp ngói; trần đóng la phong thạch cao+tôn lạnh; nền BTXM+lát gạch men; S=(7*12.2); Sgpmb=(1.1*12.2). Trong đó:</t>
  </si>
  <si>
    <t>S nền gạch men: (4.2*12.2)+(2.7*4.4)</t>
  </si>
  <si>
    <t>S nền BTXM: 
(2.8*12.2)-(2.7*4.4)</t>
  </si>
  <si>
    <t>Trần la phong thạch cao: S=(12*4)+(2*6.3)</t>
  </si>
  <si>
    <t>Trần la phong tôn lạnh: S=(12*2.6)</t>
  </si>
  <si>
    <t>Nhà kho: Trụ BT; tường xây bờ lô có tô; trần đóng la phong tôn lạnh; nền BTXM; S=(3.8*6.5); Sgpmb=(1.2*6.5)</t>
  </si>
  <si>
    <t>Sơn tường ngoài quán có bả matit; S=(12.2*3)*2mặt+(7*3)*2mặt-(1.7*2)*5mặt-(4*2.7)*2mặt</t>
  </si>
  <si>
    <t>Sơn tường trong quán có bả matit; S=(12.2*3)*2mặt+(7*3)*2mặt-(1.7*2)*5mặt-(4*2.7)*2mặt</t>
  </si>
  <si>
    <t>Hàng rào: xây bờ lô; có tô; có khe thoáng; S=(13.4*1.5)</t>
  </si>
  <si>
    <t>Hàng rào: Xây bờ lô; có tô; không có khe thoáng; S=(3.3*1.1)</t>
  </si>
  <si>
    <t>Trụ hàng rào: Đúc BT; phần thô có tô; V=(0.4*0.4*1.6)*6 trụ</t>
  </si>
  <si>
    <t>Mái che (1): Trụ sắt; đỡ đòn tay sắt; mái lợp tôn+gỗ; nền BTXM; S=(12.8*1.6)</t>
  </si>
  <si>
    <t>Mái che (2): Trụ sắt; đỡ đòn tay sắt; mái lợp tôn+gỗ; nền lát gạch men; S=(4*4); Sgpmb=(4*0.5)</t>
  </si>
  <si>
    <t>Mái che (3): Trụ sắt; đỡ đòn tay sắt; mái phủ bạc; nền lát gạch men; S=(4*3)</t>
  </si>
  <si>
    <t>Ốp đá granit kệ: S=(5.4*0.6)</t>
  </si>
  <si>
    <t>Xây dựng năm 1990 đến 
năm 2018 cải tạo, sửa chửa</t>
  </si>
  <si>
    <t>PL01-
I-4-4.1</t>
  </si>
  <si>
    <t>PL01-
I-3-3.2-a</t>
  </si>
  <si>
    <t>PL01-
I-3-3.2-a
-
PL01-6-4</t>
  </si>
  <si>
    <t>PL01-6-15</t>
  </si>
  <si>
    <t>PL01-6-16</t>
  </si>
  <si>
    <t>PL01-6-12</t>
  </si>
  <si>
    <t>PL01-6-13</t>
  </si>
  <si>
    <t xml:space="preserve">PL02-
IV-2-2.3+ PL01-6-3 </t>
  </si>
  <si>
    <t xml:space="preserve">PL01-6-3 </t>
  </si>
  <si>
    <t>Đất do ông Phạm Đồng nhận tặng cho QSD đất của ông Phạm Đính được Chi nhánh VPĐKĐĐ thị xã Hương Trà đăng ký biến động chủ sử dụng đất ngày 27/9/2022 theo giấy CNQSD đất số BT 923816 ngày 14/5/2015 tại thửa đất số 247; tờ bản đồ số: 25; diện tích: 291m2; MĐSD: Đất ở đô thị: 135m2, đất trồng cây lâu năm: 156m2</t>
  </si>
  <si>
    <t>Nguyễn Tiến Dũng -
Trần Thị Bạch Nhung</t>
  </si>
  <si>
    <t>Xây dựng năm 2010</t>
  </si>
  <si>
    <t>Trụ hàng rào: Đúc BT; phần thô có tô tô; V=(0.4*0.4*3.2)*8trụ</t>
  </si>
  <si>
    <t>Trụ cổng: Đúc bê tông, phần thô có tô trát; V=(0.5*0.5*4.3)*2 trụ + (0.4*0.4*3.6)*2 trụ</t>
  </si>
  <si>
    <t>Ốp đá trụ cổng: S=(0.5*2.5)*8mặt + (0.4*2.6)*8 mặt</t>
  </si>
  <si>
    <t>Mái che trụ cổng: khung BT; mái đổ BT; S=(0.9*4.5)+(0.7*3.3)</t>
  </si>
  <si>
    <t>Phần cửa cổng: cửa sắt hộp; S=(3.2*2.6)+(2.4*2.1)</t>
  </si>
  <si>
    <t>Chuồng: Xây bờ lô+lưới sắt; nền BTXM; mái BTCT; S=(1.6*2.4)</t>
  </si>
  <si>
    <t>Sân bê tông xi măng: S=(18*3.4)-((2.1*2.1)*3)</t>
  </si>
  <si>
    <t>Tường xây chắn đất bằng lờ lô: V=(7.2*0.7*0.15)*3+(0.45*0.5*0.15)</t>
  </si>
  <si>
    <t>Sân lát gạch Terazo: S=(12*3.1)</t>
  </si>
  <si>
    <t>Hàng rào: Xây bờ lô; có tô; không có khe thoáng; S=(4.5*1)</t>
  </si>
  <si>
    <t>Lưới B40: S=(4.5*1)</t>
  </si>
  <si>
    <t>Mưng: đk:&gt;35cm</t>
  </si>
  <si>
    <t>Sao đen: đk:&gt;35cm</t>
  </si>
  <si>
    <t>Nhãn: đk:3-5cm</t>
  </si>
  <si>
    <t>Hàng rào: xây bờ lô; có tô, có khe thoáng; S=(29.0*3.0)</t>
  </si>
  <si>
    <t>PL02-
XIII-4-4.4</t>
  </si>
  <si>
    <t>PL02-
XIII-3-3.3</t>
  </si>
  <si>
    <t>PL02-
X-2</t>
  </si>
  <si>
    <t>PL01-7-10</t>
  </si>
  <si>
    <t>Đã được UBND huyện (nay là thị xã) Hương Trà cấp giấy CNQSD đất số AD 904084 ngày 14/12/2005 tại thửa đất số 59; tờ bản đồ số 25; diện tích 1071m2; MĐSD: đất ở đô thị: 300m2, đất trồng cây lâu năm: 771m2. Đợt 1 đã phê duyệt đền bù 51,0,0m2 tại Quyết định số 678/QĐ-UBND ngày 16/10/2007 của UBND thị xã Hương Trà</t>
  </si>
  <si>
    <t>2 mặt tiền VT1 đường Sông Bồ và VT1 đường Bùi Công Trừng</t>
  </si>
  <si>
    <t>Tài sản trên đất: Không có tài sản trên đất</t>
  </si>
  <si>
    <t>Đất do ông Nguyễn Văn Tố nhận chuyển nhượng QSD đất của ông, bà Phan Dũng - Trần Thị Thanh Thủy được Chi nhánh VPĐKĐĐ thị xã Hương Trà đăng ký biến động ngày 11/5/2023 theo giấy chứng nhận QSD đất số CA 733108 đã được Sở Tài nguyên và Môi trường Tỉnh Thừa Thiên Huế cấp ngày 24/11/2017 tại thửa đất số 301; tờ bản đồ số 25; diện tích: 104,1m2; MĐSD: đất ở đô thị: 60m2, đất trồng cây lâu năm: 44,1m2</t>
  </si>
  <si>
    <t>Đất do ông Nguyễn Văn Tố nhận chuyển nhượng QSD đất của ông, bà Phan Dũng - Trần Thị Thanh Thủy được Chi nhánh VPĐKĐĐ thị xã Hương Trà đăng ký biến động ngày 11/5/2023 theo giấy chứng nhận QSD đất số CA 733107 đã được Sở Tài nguyên và Môi trường Tỉnh Thừa Thiên Huế cấp ngày 24/11/2017 tại thửa đất số 300; tờ bản đồ số 25; diện tích: 99,5m2; MĐSD: đất ở đô thị</t>
  </si>
  <si>
    <t>Nguyễn Văn Tố</t>
  </si>
  <si>
    <t>Trần Thị Thiu</t>
  </si>
  <si>
    <t>Sân BTXM: S=(9*3)+(0.8*9)</t>
  </si>
  <si>
    <t>Xây dựng năm 2013</t>
  </si>
  <si>
    <t>Trụ hàng rào: Đúc BT; phần thô có tô tô; V=(0.1*0.1*3.2)*5 trụ + (0.1*0.1*2.1)*1 trụ</t>
  </si>
  <si>
    <t>Hàng rào: Xây bờ lô; có tô; không có khe thoáng; S=(0.4*1.7)</t>
  </si>
  <si>
    <t>Đã được UBND huyện (Nay là thị xã) Hương Trà cấp giấy CNQSD đất số AD 900809 ngày 31/5/2006 tại thửa đất số 45; tờ bản đồ số 25; diện tích 959m2. Sau khi tách thửa chuyển nhượng thì diện tích còn lại 709m2; MĐSD: đất ở đô thị. Đợt 1 đã phê duyệt đền bù 9,9m2 tại Quyết định số 678/QĐ-UBND ngày 16/10/2007 của UBND thị xã Hương Trà</t>
  </si>
  <si>
    <t>Hoàng Kim Lực -
Lê Thị Hẹ</t>
  </si>
  <si>
    <t>Hàng rào: xây bờ lô; có tô, không có khe thoáng; S=(3.1*2.4)+(6.4*1.1)</t>
  </si>
  <si>
    <t>Lưới B40: S=(6.4*1.2)</t>
  </si>
  <si>
    <t>Trụ hàng rào: đúc BT; phần thô có tô trát; V=(0.15*0.15*1.8)*2 trụ</t>
  </si>
  <si>
    <t>Trụ cổng: Đúc BT; phân phô có tô trát; S=(0.4*0.4*3.2)*2 trụ</t>
  </si>
  <si>
    <t>Phần cửa cổng: cửa sắt ống: S=(2.4*2.1)</t>
  </si>
  <si>
    <t>Đường BTXM; S=(2.4*3.1)</t>
  </si>
  <si>
    <t>Đã được Sở Tài nguyên và Môi trường tỉnh Thừa Thiên Huế cấp giấy CNQSD đất số BĐ 304440 ngày 04/3/2022 tại thửa đất số 12; tờ bản đồ số 25; diện tích: 872,1m2. Sau khi tách thửa tặng cho thì thửa đất còn lại số 403; diện tích 663,9m2; MĐSD: đất ở đô thị: 380m2, đất trồng cây lâu năm: 283,9m2</t>
  </si>
  <si>
    <t xml:space="preserve">Tổng cộng: 16 hộ gia đình, cá nhân </t>
  </si>
  <si>
    <t>2 mặt tiền VT1 đường Sông Bồ và VT1 đường Võ Hoành</t>
  </si>
  <si>
    <t>Mái che trụ cổng: khung BT; mái đổ BT; S=(0.9*4.2)</t>
  </si>
  <si>
    <t>Hàng rào: Xây bờ lô, có tô, không có khe thoáng: S=(19*1.1)</t>
  </si>
  <si>
    <t>Chuối cho trái, thời kỳ phát triển</t>
  </si>
  <si>
    <t>Chè xanh, thời kỳ thu hoạch</t>
  </si>
  <si>
    <t>Trụ hàng rào: Đúc bê tông, phần thô có tô:V=(0.15*0.15*2)*9trụ + (0.15*0.15*3.5)*1trụ</t>
  </si>
  <si>
    <t>Đã được Sở TNMT tỉnh Thừa Thiên Huế cấp giấy CNQSD đất số DG 742547 ngày 26/10/2022 tại thửa đất số 8, tờ bản đồ số 20, diện tích 654.4m2, loại đất: đất ở tại đô thị: 300m2, đất trồng cây lâu năm: 354.4m2.</t>
  </si>
  <si>
    <t>Hàng rào: xây bờ lô, có tô, không có khe thoáng: S=(4.3*1.1)+(16*1.5)+(4*1.2)</t>
  </si>
  <si>
    <t>Trụ hàng rào: đúc bê tông, phần thô có tô: V=(0.15*0.15*2)*7trụ</t>
  </si>
  <si>
    <t>Trụ cổng: đúc bê tông, phần thô có tô: V=(0.3*0.3*2)*2trụ</t>
  </si>
  <si>
    <t>Phần cửa cổng: cửa lưới B40: S=(2*1.8)</t>
  </si>
  <si>
    <t>Đã được UBND huyện (nay là thị xã) Hương Trà cấp giấy chứng nhận QSD đất số AD 904776 ngày 14/12/2005 tại thửa đất số 07, tờ bản đồ số 20; diện tích: 630m2; loại đất: đất ở tại đô thị: 450m2, đất trồng cây lâu năm khác: 180m2.
(Đã bồi thường, hỗ trợ 18,0m2 tại Quyết định số 678/QĐ-UBND ngày 16/10/2007 của UBND huyện (nay là thị xã) Hương Trà; diện tích còn lại đang sử dụng 612,0m2).</t>
  </si>
  <si>
    <t>Nguyễn Văn Huy -
Lê Thị Hiền</t>
  </si>
  <si>
    <t>Hoàng Thị Vinh</t>
  </si>
  <si>
    <t>Mái che: Trụ bê tông, đỡ đòn tay sắt, mái lợp tôn, nền bê tông xi măng, kết cấu liên hoàn: S=(12.6*5), Sgpmb=(12.6*1)</t>
  </si>
  <si>
    <t>Tự xây dựng năm 2005</t>
  </si>
  <si>
    <t>Hàng rào: Xây bờ lô, có tô, không có khe thoáng: S=(11*1)</t>
  </si>
  <si>
    <t>Lưới B40: S=(9.3*1.6)</t>
  </si>
  <si>
    <t>Tường: Xây bờ lô, có tô: V=(4*2.5*0.15)+(2.9*1.3*0.15)</t>
  </si>
  <si>
    <t>Đất ở tại đô thị (ODT)</t>
  </si>
  <si>
    <t>Đã được UBND huyện (nay là thị xã) Hương Trà cấp giấy CNQSD đất số AD 910116 ngày 19/12/2005 tại thửa đất số 6, tờ bản đồ số 20, diện tích 175m2, loại đất: đất ở tại đô thị.
(Đã bồi thường, hỗ trợ 11,8m2 tại Quyết định số 678/QĐ-UBND ngày 16/10/2007 của UBND huyện (nay là thị xã) Hương Trà; diện tích còn lại đang sử dụng 163,2m2).</t>
  </si>
  <si>
    <t xml:space="preserve">2 mặt tiền, VT1 đường sông Bồ và VT1 đường Nguyễn Khoa Đăng </t>
  </si>
  <si>
    <t>Trần Bá Trấn - 
Trần Thị Ngọc Lan</t>
  </si>
  <si>
    <t>Mái che: Trụ sắt, đỡ đòn tay sắt, mái lợp tôn, nền bê tông xi măng, kết cấu liên hoàn: S=(3.3*4.6), Sgpmb=(1.5*4.6)</t>
  </si>
  <si>
    <t>Do ông bà Nguyễn Xuân Trưng - Hồ Thị Thủy tự xây dựng năm 2013. Đến năm 2019 chuyển nhượng cho ông bà Trần Bá Trấn - Trần Thị Ngọc Lan sử dụng</t>
  </si>
  <si>
    <t>Sân bê tông xi măng: S=(1.4*4.4)</t>
  </si>
  <si>
    <t>Hàng rào: Xây bờ lô, có tô, không có khe thoáng: S=(3.3*1)</t>
  </si>
  <si>
    <t xml:space="preserve">PL02-XI-6 </t>
  </si>
  <si>
    <t xml:space="preserve">Nhận chuyển nhượng QSD đất của ông, bà Nguyễn Xuân Trưng - Hồ Thị Thủy theo giấy CNQSD đất số BH 707402 được UBND thị xã Hương Trà cấp ngày 14/12/2011 tại thửa đất số 141, tờ bản đồ số: 28, diện tích: 103m2, loại đất: đất ở tại đô thị, cập nhật đăng ký biến động ngày 06/8/2019 </t>
  </si>
  <si>
    <t>Xây dựng năm 2004</t>
  </si>
  <si>
    <t>Mái che (1): Trụ bê tông, đỡ đòn tay sắt, mái lợp tôn, nền bê tông xi măng: S=(1.4*2.5)</t>
  </si>
  <si>
    <t>Mái che (2): Trụ bê tông, đỡ đòn tay gỗ, mái lợp ngói, nền lát gạch men: S=(4.2*1.4)</t>
  </si>
  <si>
    <t>Ốp gạch men kệ bếp: S=(5.3*0.9)+(3.5*0.7)</t>
  </si>
  <si>
    <t>Ốp gạch hạ long trụ quán: S=(2.1*0.3)*8mặt + (2.7*0.3)*10mặt</t>
  </si>
  <si>
    <t>Đã được UBND thị xã Hương Trà cấp giấy CNQSD đất số CY 750708 ngày 25/5/2023 tại thửa đất số 291, tờ bản đồ số 28, diện tích 486.2m2, loại đất: đất ở tại đô thị: 300m2, đất trồng cây lâu năm: 186.2m2.</t>
  </si>
  <si>
    <t>Bản đồ địa chính khu đất (GPMB)</t>
  </si>
  <si>
    <t>PL2-XI-9</t>
  </si>
  <si>
    <t xml:space="preserve">Nhận chuyển nhượng QSD đất của bà Phan Thị Túy Hồng theo giấy CNQSD đất số BY 873079 được UBND thị xã Hương Trà cấp ngày 19/6/2015 tại thửa đất số 259; tờ bản đồ 25; diện tích: 102m2; loại đất: đất ở tại đô thị: 60m2m, đất trồng cây lâu năm 42m2, cập nhật đăng ký biến động ngày 22/6/2018 </t>
  </si>
  <si>
    <t>Đã được UBND huyện (nay là thị xã) Hương Trà cấp GCNQSD đất số AD 910291 ngày 19/12/2005 tại thửa đất số 10; tờ bản đồ số 25; diện tích: 945,7m2; loại đất: Đất ở tại đô thị: 120m2, đất trồng cây lâu năm khác: 825,7m2; cập nhật đăng ký biến động năm 2009</t>
  </si>
  <si>
    <t xml:space="preserve">Nhận chuyển nhượng QSD đất của ông, bà Phan Dũng - Trần Thị Thanh Thủy theo giấy chứng nhận QSD đất số CA 733108 đã được Sở Tài nguyên và Môi trường tỉnh Thừa Thiên Huế cấp ngày 24/11/2017 tại thửa đất số 301; tờ bản đồ số 25; diện tích: 104,1m2; loại đất: đất ở tại đô thị: 60m2, đất trồng cây lâu năm: 44,1m2; cập nhật đăng ký biến động ngày 11/5/2023 </t>
  </si>
  <si>
    <t xml:space="preserve">Nhận chuyển nhượng QSD đất của ông, bà Phan Dũng - Trần Thị Thanh Thủy theo giấy chứng nhận QSD đất số CA 733107 đã được Sở Tài nguyên và Môi trường Tỉnh Thừa Thiên Huế cấp ngày 24/11/2017 tại thửa đất số 300; tờ bản đồ số 25; diện tích: 99,5m2; loại đất: đất ở tại đô thị; cập nhật đăng ký biến động ngày 11/5/2023 </t>
  </si>
  <si>
    <t>PL2-XI-6</t>
  </si>
  <si>
    <t>Trụ hàng rào: Đúc bê tông, phần thô có tô: V=(0.15*0.15*2)*9trụ + (0.15*0.15*3.5)*1trụ</t>
  </si>
  <si>
    <t>Hàng rào: xây bờ lô, có tô, có khe thoáng: S=(10.4*2.8)</t>
  </si>
  <si>
    <t>Trụ cổng: Đúc bê tông, phần thô có tô trát, ốp đá: V=(0.4*0.4*3)*2trụ</t>
  </si>
  <si>
    <t>Ốp đá trụ cổng: S=(0.4*2)*8mặt</t>
  </si>
  <si>
    <t>Mái che (1): Trụ sắt, đỡ đòn tay sắt, mái lợp tôn, nền lát gạch hạ long, kết cấu liên hoàn: S=(7.4*5), Sgpmb=(2.8*5)</t>
  </si>
  <si>
    <t>Sân lát gạch hạ long: S=(1.5*2.8)</t>
  </si>
  <si>
    <t>Mái che(2): Trụ sắt, đỡ đòn tay sắt, mái che chắn lưới, nền lát gạch hạ long, kết cấu liên hoàn: S=(1.5*6.6), Sgpmb=(1.5*2.8)</t>
  </si>
  <si>
    <t>Trụ hàng rào: Đúc bê tông, phần thô có tô: V=(0.2*0.2*2.3)*4trụ</t>
  </si>
  <si>
    <t>Phần cửa cổng: cửa sắt hộp đặc: S=(2.2*2.4)</t>
  </si>
  <si>
    <t>Sơn hàng rào: S=(5.8*1.7)</t>
  </si>
  <si>
    <t>Di chuyển chậu cây đường kính chậu &gt;100cm</t>
  </si>
  <si>
    <t>Đã được UBND huyện (nay là thị xã) Hương Trà cấp giấy chứng nhận QSD đất số AE 233289 ngày 15/6/2007 tại thửa đất số 10/1, tờ bản đồ số 25; diện tích: 156,0 m2; loại đất: đất ở tại đô thị: 100m2, đất trồng cây lâu năm khác: 56m2.
(Đã bồi thường, hỗ trợ 9,7m2 tại Quyết định số 678/QĐ-UBND ngày 16/10/2007 của UBND huyện (nay là thị xã) Hương Trà; diện tích còn lại đang sử dụng 146,3m2).</t>
  </si>
  <si>
    <t>Hàng rào: Xây bờ lô, có tô, có khe thoáng: S=(14.3*2.1)</t>
  </si>
  <si>
    <t>Trụ hàng rào: Đúc bê tông, phần thô có tô trát: V=(0.2*0.2*2.4)*5trụ</t>
  </si>
  <si>
    <t>Trụ cổng: Đúc bê tông, phần thô có tô trát: V=(0.3*0.45*3)*2trụ</t>
  </si>
  <si>
    <t>Phần cửa cổng: cửa sắt hộp: S=(2.6*1.9)</t>
  </si>
  <si>
    <t xml:space="preserve">Sân bê tông xi măng: S=(2.5*7.7) </t>
  </si>
  <si>
    <t xml:space="preserve">Đã được UBND huyện (nay là thị xã) Hương Trà cấp giấy chứng nhận QSD đất số AP 003502 ngày 20/7/2009 tại thửa đất số 10/3, tờ bản đồ số 25; diện tích: 168,0m2; loại đất: đất ở tại đô thị: 80m2, đất trồng cây lâu năm khác: 88m2. </t>
  </si>
  <si>
    <t>Sân bê tông xi măng: S=(2.1*9)</t>
  </si>
  <si>
    <t>Sân bê tông xi măng: S=(1.2*9)</t>
  </si>
  <si>
    <t>Xây dựng năm 2022 ngoài giấy chứng nhận QSD đất.
 Tại thời điểm xây dựng không có cam kết, không lập biên bản về xây dựng.</t>
  </si>
  <si>
    <t>Hàng rào: Xây bờ lô, có tô, không có khe thoáng: S=(2.7*1.3)</t>
  </si>
  <si>
    <t xml:space="preserve">Nhận chuyển nhượng QSD đất của bà Lê Thị Vân Trang theo giấy CNQSD đất số BY 873074 được UBND thị xã Hương Trà cấp ngày 19/6/2015 tại thửa đất số 254; tờ bản đồ: 25; diện tích: 400,1 m2; loại đất: đất ở tại đô thị: 249,5 m2, đất trồng cây lâu năm: 150,6 m2; cập nhật đăng ký biến động ngày 20/8/2021 </t>
  </si>
  <si>
    <t>Mái che: Trụ sắt, đỡ đòn tay sắt, mái lợp tôn, nền lát gạch Terazo: S=(1.5*15.3)</t>
  </si>
  <si>
    <t>Mái che: Trụ sắt, đỡ đòn tay sắt, mái lợp tôn, nền lát gạch Terazo: S=(2.5*15.3)</t>
  </si>
  <si>
    <t>Xây dựng năm 2016 ngoài giấy chứng nhận QSD đất.
 Tại thời điểm xây dựng không có cam kết, không lập biên bản về xây dựng.</t>
  </si>
  <si>
    <t>Hàng rào: Xây bờ lô, có tô, có khe thoáng: S=(14.6*2.5)</t>
  </si>
  <si>
    <t>Trụ cổng: Đúc bê tông, phần thô có tô trát, ốp gạch men: V=(0.6*0.6*3.1)*2 trụ</t>
  </si>
  <si>
    <t>Phần cửa cổng: cửa sắt hộp: S=(4.5*2)</t>
  </si>
  <si>
    <t>Di chuyển ống nước</t>
  </si>
  <si>
    <t xml:space="preserve">Nhận chuyển nhượng QSD đất của bà Phan Thị Tuyết Nhung được theo giấy CNQSD đất số BY 873075 được UBND thị xã Hương Trà cấp ngày 19/6/2015 tại thửa đất số 255; tờ bản đồ: 25; diện tích: 341,2 m2; loại đất: đất ở tại đô thị: 150,0 m2, đất trồng cây lâu năm: 191,2 m2; cập nhật đăng ký biến động ngày 23/10/2015 </t>
  </si>
  <si>
    <t>Hàng rào: xây bờ lô, có tô, không khe thoáng: S=(5.8*1)+(3.4*1)</t>
  </si>
  <si>
    <t xml:space="preserve">Xây dựng năm 2008, cải tạo năm 2022 </t>
  </si>
  <si>
    <t>Trụ hàng rào: đúc bê tông, phần thô có tô trát: V=(0.15*0.15*2.3)*1trụ</t>
  </si>
  <si>
    <t>Lưới B40: S=(5.8*1.2)</t>
  </si>
  <si>
    <t>Trụ cổng: đúc bê tông, phần thô có tô trát: V=(0.45*0.45*3.2)*2trụ</t>
  </si>
  <si>
    <t>Phần cửa cổng, cửa lưới B40: S=(3.2*1.8)</t>
  </si>
  <si>
    <t>Sân bê tông xi măng: S=(10.3*2.5)</t>
  </si>
  <si>
    <t>Sân bê tông xi măng: S=(10.3*0.5)</t>
  </si>
  <si>
    <t>Xây dựng năm 2008, cải tạo năm 2022 ngoài giấy chứng nhận QSD đất.
 Tại thời điểm xây dựng không có cam kết, không lập biên bản về xây dựng.</t>
  </si>
  <si>
    <t xml:space="preserve">Đã được Sở Tài nguyên và Môi trường tỉnh Thừa Thiên Huế cấp giấy chứng nhận QSD đất số DĐ 304499 ngày 23/3/2022 tại thửa đất số 402, tờ bản đồ số 25; diện tích: 208,2 m2; loại đất: đất ở tại đô thị: 120 m2, đất trồng cây lâu năm khác: 88,2 m2. </t>
  </si>
  <si>
    <t>Hàng rào: xây bờ lô, có tô, không có khe thoáng: S=(7.4*1.3)</t>
  </si>
  <si>
    <t>Trụ hàng rào: đúc bê tông, phần thô có tô: V=(0.15*0.15*2.8)*5 trụ</t>
  </si>
  <si>
    <t>Trụ cổng: Đúc bê tông, phân phô có tô trát, ốp gạch men: S=(0.6*0.6*3.6)*2 trụ</t>
  </si>
  <si>
    <t>Phần cửa cổng, cửa sắt hộp: S=(2.5*2.4)</t>
  </si>
  <si>
    <t>Hàng rào: xây bờ lô, có tô, có khe thoáng: S=(7.1*2)</t>
  </si>
  <si>
    <t>Trụ hàng rào: đúc bê tông, phần thô có tô: V=(0.2*0.2*2.1)*4 trụ + (0.2*0.2*4.2)*4 trụ</t>
  </si>
  <si>
    <t>Mái che cổng: khung bê tông, mái đổ bê tông: S=(0.9*4.2)</t>
  </si>
  <si>
    <t>Sân lát gạch Terazo: S=(9.5*4.5)</t>
  </si>
  <si>
    <t>Mái che (1): Trụ sắt, đỡ đòn tay sắt, mái lợp tôn, nền bê tông xi măng, kết cấu liên hoàn: S=(4.2*5), Sgpmb=(1.3*5)</t>
  </si>
  <si>
    <t>Mái che (2): Trụ sắt, đỡ đòn tay sắt, mái lợp tôn, nền bê tông xi măng, kết cấu liên hoàn: S=(6*4.2), Sgpmb=(6*2.2)</t>
  </si>
  <si>
    <t>Sân bê tông xi măng: S=(2*6)</t>
  </si>
  <si>
    <t>Xây dựng năm 2021 ngoài giấy chứng nhận QSD đất.
 Tại thời điểm xây dựng không có cam kết, không lập biên bản về xây dựng.</t>
  </si>
  <si>
    <t xml:space="preserve">Đã được Sở Tài nguyên và Môi trường tỉnh Thừa Thiên Huế cấp giấy chứng nhận QSD đất số CL 332706 ngày 13/5/2019 tại thửa đất số 267, tờ bản đồ số 28; diện tích: 198,7 m2; loại đất: đất ở tại đô thị. </t>
  </si>
  <si>
    <t>Mái che: Trụ sắt, đỡ đòn tay sắt, mái lợp tôn, nền bê tông xi măng, kết cấu liên hoàn: S=(4.1*1.55), Sgpmb=(4.1*0.65)</t>
  </si>
  <si>
    <t>Mái che: Trụ sắt, đỡ đòn tay sắt, mái lợp tôn, nền bê tông xi măng: S=(4.1*2.65)</t>
  </si>
  <si>
    <t>Xây dựng năm 2019 ngoài giấy chứng nhận QSD đất.
 Tại thời điểm xây dựng không có cam kết, không lập biên bản về xây dựng.</t>
  </si>
  <si>
    <t>Hàng rào: Xây bờ lô, có tô, không có khe thoáng: S=(3.4*1.1)</t>
  </si>
  <si>
    <t>Hàng rào: xây bờ lô, có tô, có khe thoáng: S=(10.2*2.5)</t>
  </si>
  <si>
    <t>Trụ hàng rào: đúc bê tông, phần thô có tô: V=(0.2*0.2*2.7)*2trụ</t>
  </si>
  <si>
    <t>Trụ cổng: đúc bê tông, phần thô có tô trát: V=(0.45*0.45*3)*2trụ</t>
  </si>
  <si>
    <t>Ốp gạch hạ long trụ cổng: S=(0.3*1.5)*7mặt</t>
  </si>
  <si>
    <t>Đường bê tông xi măng: S=(3.3*2.2)</t>
  </si>
  <si>
    <t>Phần cửa cổng, cửa sắt ống: S=(2.2*1.9)</t>
  </si>
  <si>
    <t>Mai, đk:5-10cm</t>
  </si>
  <si>
    <t>Lá vối, đk:10-15cm</t>
  </si>
  <si>
    <t>Chùm ngây, đk:15-20cm</t>
  </si>
  <si>
    <t>Hàng rào: xây bờ lô, có tô, không có khe thoáng, S=(3.1*2.4)+(6.4*1.1)</t>
  </si>
  <si>
    <t>Trụ hàng rào: đúc bê tông, phần thô có tô trát, V=(0.15*0.15*1.8)*2 trụ</t>
  </si>
  <si>
    <t>Trụ cổng: Đúc bê tông, phân phô có tô trát, S=(0.4*0.4*3.2)*2 trụ</t>
  </si>
  <si>
    <t>Đã được Sở Tài nguyên và Môi trường tỉnh Thừa Thiên Huế cấp giấy CNQSD đất số BĐ 304440 ngày 04/3/2022 tại thửa đất số 12; tờ bản đồ số 25; diện tích: 663,9m2; loại đất: đất ở tại đô thị: 380m2, đất trồng cây lâu năm: 283,9m2; cập nhật đăng ký biến động ngày 21/3/2022</t>
  </si>
  <si>
    <t>Đường bê tông xi măng, S=(2.4*3.1)</t>
  </si>
  <si>
    <t>(10)=
(8)-(9)</t>
  </si>
  <si>
    <t>Đã được sở Tài nguyên và môi trường tỉnh Thừa Thiên Huế cấp giấy CNQSD đất số CG 325152 ngày 30/8/2018 tại thửa đất số 263; tờ bản đồ số 28; diện tích 517,9m2; loại đất: đất ở tại đô thị</t>
  </si>
  <si>
    <t>Hàng rào: xây bờ lô, có tô, không khe thoáng: S=(4*1.6)</t>
  </si>
  <si>
    <t>Điều chỉnh loại đất thu hồi theo đơn của hộ gia đình ngày 12/10/2023</t>
  </si>
  <si>
    <t>PL02-XIII-1-1.2</t>
  </si>
  <si>
    <t>PL01-I-3-3.2</t>
  </si>
  <si>
    <t>PL02-XIV-5</t>
  </si>
  <si>
    <t>PL02-XIV-6</t>
  </si>
  <si>
    <t>Hỗ trợ đất vườn gắn liền với đất ở. Mức hỗ trợ bằng 50% giá đất ở tại VT1, đường Sông Bồ, đoạn 1</t>
  </si>
  <si>
    <t>PL02-XIII-3-3.6</t>
  </si>
  <si>
    <t>PL02-IX-2-2.2</t>
  </si>
  <si>
    <t>PL02-XIV-4</t>
  </si>
  <si>
    <t>PL02-XIII-2-2.4</t>
  </si>
  <si>
    <t>PL02-IV-2-2.3
+ PL2-XI-9</t>
  </si>
  <si>
    <t>PL2-XIII-2-2.3</t>
  </si>
  <si>
    <t>PL2-XIII-1-1.2</t>
  </si>
  <si>
    <t>PL2-XIII-3-3.3</t>
  </si>
  <si>
    <t>PL2-XIII-2-2.2</t>
  </si>
  <si>
    <t>PL2-VII-1-1.2</t>
  </si>
  <si>
    <t>Tài sản bổ sung theo Biên bản phúc tra ngày 12/10/2023 của Trung tâm PTQĐ</t>
  </si>
  <si>
    <t>Hỗ trợ bằng 80% mức bồi thường</t>
  </si>
  <si>
    <t>PL02-VII-2-2.1</t>
  </si>
  <si>
    <t>PL2-XIII-4-4.4</t>
  </si>
  <si>
    <t xml:space="preserve">PL02-IV-2-2.3
+ PL2-XI-6 </t>
  </si>
  <si>
    <t>PL02-XIII-3-3.4</t>
  </si>
  <si>
    <t>Hỗ trợ đất vườn gắn liền với đất ở. Mức hỗ trợ bằng 50% giá đất ở tại VT1, đường Sông Bồ, đoạn 1 đối với thửa đất số 30, TBĐ 1</t>
  </si>
  <si>
    <t xml:space="preserve">PL02-IV-2-2.1
+ PL2-XI-6 </t>
  </si>
  <si>
    <t>Ốp gạch men tường: S=(2.9*0.6)+(0.65*0.65)+(0.4*2.9)</t>
  </si>
  <si>
    <t xml:space="preserve">PL02-IV-2-2.3
+ PL02-XI-6 </t>
  </si>
  <si>
    <t>PL02-IV-2-2.1
+ PL02-XI-8</t>
  </si>
  <si>
    <t>Quán: Móng bê tông, trụ bê tông cốt thép, tường xây bờ lô có tô, đỡ đòn tay sắt, mái lợp tôn, nền lát gạch men, kết cấu liên hoàn: S=(11.5*5.8), Sgpmb=(11.5*1)</t>
  </si>
  <si>
    <t>Điều chỉnh kết cấu quán theo đề nghị của Trung tâm PTQĐ</t>
  </si>
  <si>
    <t>(Bằng chữ: Một tỷ, chín trăm mười chín triệu, tám trăm mười sáu ngàn đồng)</t>
  </si>
  <si>
    <t xml:space="preserve">Nguồn gốc sử dụng đất, thời điểm xây dựng tài sản
đã được UBND phường Tứ Hạ xác nhận </t>
  </si>
  <si>
    <t>Vị trí -
Đồng bằng</t>
  </si>
  <si>
    <t>VT1, đường Sông Bồ, đoạn 1</t>
  </si>
  <si>
    <t xml:space="preserve">VT1, đường Sông Bồ, đoạn 1 </t>
  </si>
  <si>
    <t>Giá trị
đề nghị
phê duyệt
(đồng)</t>
  </si>
  <si>
    <t>(Kèm theo Quyết định số:            /QĐ-UBND ngày           tháng 10 năm 2023 của Ủy ban nhân dân thị xã Hương Trà)</t>
  </si>
  <si>
    <t>Giá trị
phê duyệt
(đồng)</t>
  </si>
  <si>
    <r>
      <t xml:space="preserve">Hồ Thị Thiểu </t>
    </r>
    <r>
      <rPr>
        <sz val="10"/>
        <rFont val="Times New Roman"/>
        <family val="1"/>
      </rPr>
      <t>(Là chủ sử dụng đất, đồng thời là người đại diện thừa kế của ông Nguyễn Văn Xối)</t>
    </r>
  </si>
  <si>
    <t>ỦY BAN NHÂN DÂN THỊ XÃ HƯƠNG TRÀ</t>
  </si>
  <si>
    <t>PHỤ LỤC: PHÊ DUYỆT PHƯƠNG ÁN BỒI THƯỜNG, HỖ TRỢ VỀ ĐẤT VÀ TÀI SẢN GẮN LIỀN VỚI ĐẤT CỦA CÁC HỘ GIA ĐÌNH, CÁ NHÂN 
ẢNH HƯỞNG GPMB DỰ ÁN: NÂNG CẤP, MỞ RỘNG ĐƯỜNG VEN SÔNG BỒ ĐOẠN QUA PHƯỜNG TỨ HẠ, THỊ XÃ HƯƠNG TRÀ (ĐỢT 1)</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</si>
</sst>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numFmt numFmtId="173" formatCode="0.0"/>
    <numFmt numFmtId="174" formatCode="###\ ###.0%"/>
    <numFmt numFmtId="175" formatCode="###\ ###"/>
    <numFmt numFmtId="176" formatCode="###\ ###\ ###"/>
    <numFmt numFmtId="177" formatCode="#\ ###.0"/>
    <numFmt numFmtId="178" formatCode="#\ ###.00"/>
    <numFmt numFmtId="179" formatCode="###.00\ ###\ ###"/>
    <numFmt numFmtId="180" formatCode="\(#\)"/>
    <numFmt numFmtId="181" formatCode="#,##0.0"/>
    <numFmt numFmtId="182" formatCode="0.0%"/>
    <numFmt numFmtId="183" formatCode="0\ 000"/>
    <numFmt numFmtId="184" formatCode="000"/>
    <numFmt numFmtId="185" formatCode="_(* ###,0&quot;.&quot;00_);_(* \(###,0&quot;.&quot;00\);_(* &quot;-&quot;??_);_(@_)"/>
    <numFmt numFmtId="186" formatCode="_(&quot;$&quot;* ###,0&quot;.&quot;00_);_(&quot;$&quot;* \(###,0&quot;.&quot;00\);_(&quot;$&quot;* &quot;-&quot;??_);_(@_)"/>
    <numFmt numFmtId="187" formatCode="0&quot;.&quot;000"/>
    <numFmt numFmtId="188" formatCode="0&quot;.&quot;0"/>
    <numFmt numFmtId="189" formatCode="###\ ###.0"/>
    <numFmt numFmtId="190" formatCode="#.#"/>
    <numFmt numFmtId="191" formatCode="00.0%"/>
    <numFmt numFmtId="192" formatCode="###\ ###\ ###.0"/>
    <numFmt numFmtId="193" formatCode="#.0"/>
    <numFmt numFmtId="194" formatCode="00.00%"/>
    <numFmt numFmtId="195" formatCode="00%"/>
    <numFmt numFmtId="196" formatCode="00.000%"/>
    <numFmt numFmtId="197" formatCode="####\ ###\ ###.0"/>
    <numFmt numFmtId="198" formatCode="#####\ ###\ ###.0"/>
    <numFmt numFmtId="199" formatCode="######\ ###\ ###.0"/>
    <numFmt numFmtId="200" formatCode="#.##0.0"/>
    <numFmt numFmtId="201" formatCode="0.000"/>
    <numFmt numFmtId="202" formatCode="#\ ###\ ###\ ###"/>
    <numFmt numFmtId="203" formatCode="###.0\ ###\ ###"/>
    <numFmt numFmtId="204" formatCode="###"/>
    <numFmt numFmtId="205" formatCode="0\ 000\ 000"/>
    <numFmt numFmtId="206" formatCode="0.0000"/>
    <numFmt numFmtId="207" formatCode="0.00000"/>
    <numFmt numFmtId="208" formatCode="0.000000"/>
    <numFmt numFmtId="209" formatCode="###.0\ ###"/>
    <numFmt numFmtId="210" formatCode="###.00\ ###"/>
    <numFmt numFmtId="211" formatCode="###.000\ ###"/>
    <numFmt numFmtId="212" formatCode="\(##\)"/>
    <numFmt numFmtId="213" formatCode="###.0000\ ###"/>
    <numFmt numFmtId="214" formatCode="###.00000\ ###"/>
    <numFmt numFmtId="215" formatCode="###.000000\ ###"/>
    <numFmt numFmtId="216" formatCode="###.0000000\ ###"/>
    <numFmt numFmtId="217" formatCode="###.\ ###"/>
    <numFmt numFmtId="218" formatCode="##.\ ###"/>
    <numFmt numFmtId="219" formatCode="#.\ ###"/>
    <numFmt numFmtId="220" formatCode=".\ ;"/>
    <numFmt numFmtId="221" formatCode="###.###"/>
    <numFmt numFmtId="222" formatCode="0.000%"/>
    <numFmt numFmtId="223" formatCode="###\ ###\ ###\ ###\ ###"/>
    <numFmt numFmtId="224" formatCode="####\ ###.0"/>
  </numFmts>
  <fonts count="63">
    <font>
      <sz val="11"/>
      <color theme="1"/>
      <name val="Calibri"/>
      <family val="2"/>
    </font>
    <font>
      <sz val="11"/>
      <color indexed="8"/>
      <name val="Calibri"/>
      <family val="2"/>
    </font>
    <font>
      <sz val="10"/>
      <name val="Times New Roman"/>
      <family val="1"/>
    </font>
    <font>
      <sz val="10"/>
      <name val="Arial"/>
      <family val="2"/>
    </font>
    <font>
      <sz val="12"/>
      <name val="Times New Roman"/>
      <family val="1"/>
    </font>
    <font>
      <b/>
      <sz val="10"/>
      <name val="Times New Roman"/>
      <family val="1"/>
    </font>
    <font>
      <i/>
      <sz val="10"/>
      <name val="Times New Roman"/>
      <family val="1"/>
    </font>
    <font>
      <b/>
      <i/>
      <sz val="10"/>
      <name val="Times New Roman"/>
      <family val="1"/>
    </font>
    <font>
      <b/>
      <i/>
      <sz val="9"/>
      <name val="Times New Roman"/>
      <family val="1"/>
    </font>
    <font>
      <b/>
      <i/>
      <sz val="10"/>
      <color indexed="10"/>
      <name val="Times New Roman"/>
      <family val="1"/>
    </font>
    <font>
      <b/>
      <sz val="10"/>
      <color indexed="12"/>
      <name val="Times New Roman"/>
      <family val="1"/>
    </font>
    <font>
      <sz val="10"/>
      <color indexed="12"/>
      <name val="Times New Roman"/>
      <family val="1"/>
    </font>
    <font>
      <b/>
      <sz val="10"/>
      <color indexed="10"/>
      <name val="Times New Roman"/>
      <family val="1"/>
    </font>
    <font>
      <b/>
      <sz val="12"/>
      <name val="Times New Roman"/>
      <family val="1"/>
    </font>
    <font>
      <b/>
      <sz val="9"/>
      <name val="Times New Roman"/>
      <family val="1"/>
    </font>
    <font>
      <sz val="9"/>
      <name val="Times New Roman"/>
      <family val="1"/>
    </font>
    <font>
      <i/>
      <sz val="12"/>
      <name val="Times New Roman"/>
      <family val="1"/>
    </font>
    <font>
      <b/>
      <sz val="13"/>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0"/>
      <color indexed="10"/>
      <name val="Times New Roman"/>
      <family val="1"/>
    </font>
    <font>
      <sz val="10"/>
      <color indexed="8"/>
      <name val="Calibri"/>
      <family val="2"/>
    </font>
    <font>
      <sz val="10"/>
      <name val="Calibri"/>
      <family val="2"/>
    </font>
    <font>
      <sz val="1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0"/>
      <color rgb="FFFF0000"/>
      <name val="Times New Roman"/>
      <family val="1"/>
    </font>
    <font>
      <sz val="10"/>
      <color theme="1"/>
      <name val="Calibri"/>
      <family val="2"/>
    </font>
    <font>
      <b/>
      <i/>
      <sz val="10"/>
      <color rgb="FFFF0000"/>
      <name val="Times New Roman"/>
      <family val="1"/>
    </font>
    <font>
      <b/>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style="dotted"/>
      <bottom style="thin"/>
    </border>
    <border>
      <left style="thin"/>
      <right>
        <color indexed="63"/>
      </right>
      <top style="dotted"/>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color indexed="63"/>
      </left>
      <right style="thin"/>
      <top style="dotted"/>
      <bottom style="dott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28" borderId="2"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4"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03">
    <xf numFmtId="0" fontId="0" fillId="0" borderId="0" xfId="0" applyFont="1" applyAlignment="1">
      <alignment/>
    </xf>
    <xf numFmtId="0" fontId="5" fillId="33" borderId="10" xfId="58" applyFont="1" applyFill="1" applyBorder="1" applyAlignment="1">
      <alignment horizontal="center" vertical="center" wrapText="1"/>
      <protection/>
    </xf>
    <xf numFmtId="0" fontId="5" fillId="33" borderId="10" xfId="44"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202" fontId="12" fillId="33" borderId="0"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3" borderId="0" xfId="0" applyFont="1" applyFill="1" applyBorder="1" applyAlignment="1">
      <alignment horizontal="right" vertical="center" wrapText="1"/>
    </xf>
    <xf numFmtId="172" fontId="2" fillId="33" borderId="0" xfId="0" applyNumberFormat="1" applyFont="1" applyFill="1" applyBorder="1" applyAlignment="1">
      <alignment horizontal="right" vertical="center" wrapText="1"/>
    </xf>
    <xf numFmtId="172" fontId="11" fillId="33" borderId="0" xfId="0" applyNumberFormat="1" applyFont="1" applyFill="1" applyBorder="1" applyAlignment="1">
      <alignment horizontal="right" vertical="center" wrapText="1"/>
    </xf>
    <xf numFmtId="0" fontId="11" fillId="33" borderId="0" xfId="0" applyFont="1" applyFill="1" applyBorder="1" applyAlignment="1">
      <alignment horizontal="right" vertical="center" wrapText="1"/>
    </xf>
    <xf numFmtId="172" fontId="10" fillId="33" borderId="0" xfId="0" applyNumberFormat="1" applyFont="1" applyFill="1" applyBorder="1" applyAlignment="1">
      <alignment horizontal="right" vertical="center" wrapText="1"/>
    </xf>
    <xf numFmtId="2" fontId="11" fillId="33" borderId="0" xfId="0" applyNumberFormat="1" applyFont="1" applyFill="1" applyBorder="1" applyAlignment="1">
      <alignment horizontal="center" vertical="center" wrapText="1"/>
    </xf>
    <xf numFmtId="172" fontId="11" fillId="33" borderId="0" xfId="0" applyNumberFormat="1" applyFont="1" applyFill="1" applyBorder="1" applyAlignment="1">
      <alignment horizontal="center" vertical="center" wrapText="1"/>
    </xf>
    <xf numFmtId="172" fontId="2" fillId="33" borderId="0" xfId="0" applyNumberFormat="1" applyFont="1" applyFill="1" applyBorder="1" applyAlignment="1">
      <alignment vertical="center" wrapText="1"/>
    </xf>
    <xf numFmtId="0" fontId="57" fillId="33" borderId="10" xfId="0" applyFont="1" applyFill="1" applyBorder="1" applyAlignment="1">
      <alignment/>
    </xf>
    <xf numFmtId="176" fontId="57" fillId="33" borderId="10" xfId="0" applyNumberFormat="1" applyFont="1" applyFill="1" applyBorder="1" applyAlignment="1">
      <alignment horizontal="center" vertical="center"/>
    </xf>
    <xf numFmtId="173" fontId="57" fillId="33" borderId="10" xfId="0" applyNumberFormat="1" applyFont="1" applyFill="1" applyBorder="1" applyAlignment="1">
      <alignment horizontal="center" vertical="center"/>
    </xf>
    <xf numFmtId="0" fontId="57" fillId="33" borderId="11" xfId="0" applyFont="1" applyFill="1" applyBorder="1" applyAlignment="1">
      <alignment horizontal="center" vertical="center"/>
    </xf>
    <xf numFmtId="0" fontId="57" fillId="33" borderId="0" xfId="0" applyFont="1" applyFill="1" applyBorder="1" applyAlignment="1">
      <alignment/>
    </xf>
    <xf numFmtId="0" fontId="57" fillId="33" borderId="0" xfId="0" applyFont="1" applyFill="1" applyBorder="1" applyAlignment="1">
      <alignment vertical="center"/>
    </xf>
    <xf numFmtId="176" fontId="2" fillId="33" borderId="0" xfId="0" applyNumberFormat="1" applyFont="1" applyFill="1" applyAlignment="1">
      <alignment/>
    </xf>
    <xf numFmtId="0" fontId="2" fillId="33" borderId="0" xfId="0" applyFont="1" applyFill="1" applyAlignment="1">
      <alignment/>
    </xf>
    <xf numFmtId="0" fontId="2" fillId="33" borderId="0" xfId="0" applyFont="1" applyFill="1" applyBorder="1" applyAlignment="1">
      <alignment/>
    </xf>
    <xf numFmtId="0" fontId="2" fillId="33" borderId="0" xfId="0" applyFont="1" applyFill="1" applyBorder="1" applyAlignment="1">
      <alignment horizontal="center" vertical="center" wrapText="1"/>
    </xf>
    <xf numFmtId="223" fontId="58" fillId="33" borderId="10" xfId="0" applyNumberFormat="1" applyFont="1" applyFill="1" applyBorder="1" applyAlignment="1">
      <alignment horizontal="center" vertical="center"/>
    </xf>
    <xf numFmtId="0" fontId="5" fillId="33" borderId="10" xfId="59" applyFont="1" applyFill="1" applyBorder="1" applyAlignment="1">
      <alignment horizontal="center" vertical="center" wrapText="1"/>
      <protection/>
    </xf>
    <xf numFmtId="189" fontId="5" fillId="33" borderId="10" xfId="59" applyNumberFormat="1" applyFont="1" applyFill="1" applyBorder="1" applyAlignment="1">
      <alignment horizontal="center" vertical="center" wrapText="1"/>
      <protection/>
    </xf>
    <xf numFmtId="0" fontId="5" fillId="33" borderId="10" xfId="59" applyNumberFormat="1" applyFont="1" applyFill="1" applyBorder="1" applyAlignment="1">
      <alignment horizontal="center" vertical="center" wrapText="1"/>
      <protection/>
    </xf>
    <xf numFmtId="176" fontId="5" fillId="33" borderId="10" xfId="59" applyNumberFormat="1" applyFont="1" applyFill="1" applyBorder="1" applyAlignment="1">
      <alignment horizontal="center" vertical="center" wrapText="1"/>
      <protection/>
    </xf>
    <xf numFmtId="173" fontId="5" fillId="33" borderId="10" xfId="59" applyNumberFormat="1" applyFont="1" applyFill="1" applyBorder="1" applyAlignment="1">
      <alignment horizontal="center" vertical="center" wrapText="1"/>
      <protection/>
    </xf>
    <xf numFmtId="172" fontId="5" fillId="33" borderId="10" xfId="59" applyNumberFormat="1" applyFont="1" applyFill="1" applyBorder="1" applyAlignment="1">
      <alignment horizontal="center" vertical="center" wrapText="1"/>
      <protection/>
    </xf>
    <xf numFmtId="0" fontId="5" fillId="33" borderId="11" xfId="59" applyFont="1" applyFill="1" applyBorder="1" applyAlignment="1">
      <alignment horizontal="center" vertical="center" wrapText="1"/>
      <protection/>
    </xf>
    <xf numFmtId="212" fontId="8" fillId="33" borderId="10" xfId="59" applyNumberFormat="1" applyFont="1" applyFill="1" applyBorder="1" applyAlignment="1">
      <alignment horizontal="center" vertical="center" wrapText="1"/>
      <protection/>
    </xf>
    <xf numFmtId="212" fontId="6" fillId="33" borderId="10" xfId="59" applyNumberFormat="1" applyFont="1" applyFill="1" applyBorder="1" applyAlignment="1">
      <alignment horizontal="center" vertical="center" wrapText="1"/>
      <protection/>
    </xf>
    <xf numFmtId="212" fontId="8" fillId="33" borderId="11" xfId="59" applyNumberFormat="1"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177" fontId="5" fillId="33" borderId="10" xfId="0" applyNumberFormat="1" applyFont="1" applyFill="1" applyBorder="1" applyAlignment="1">
      <alignment horizontal="right" vertical="center" wrapText="1"/>
    </xf>
    <xf numFmtId="0" fontId="10" fillId="33" borderId="10" xfId="0" applyFont="1" applyFill="1" applyBorder="1" applyAlignment="1">
      <alignment horizontal="center" vertical="center" wrapText="1"/>
    </xf>
    <xf numFmtId="175" fontId="10" fillId="33" borderId="10" xfId="0" applyNumberFormat="1" applyFont="1" applyFill="1" applyBorder="1" applyAlignment="1">
      <alignment horizontal="right" vertical="center" wrapText="1"/>
    </xf>
    <xf numFmtId="172" fontId="10" fillId="33" borderId="10" xfId="0" applyNumberFormat="1" applyFont="1" applyFill="1" applyBorder="1" applyAlignment="1">
      <alignment horizontal="right" vertical="center" wrapText="1"/>
    </xf>
    <xf numFmtId="172" fontId="11" fillId="33" borderId="11" xfId="0" applyNumberFormat="1" applyFont="1" applyFill="1" applyBorder="1" applyAlignment="1">
      <alignment horizontal="right" vertical="center" wrapText="1"/>
    </xf>
    <xf numFmtId="0" fontId="2" fillId="33" borderId="12"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5" fillId="33" borderId="12" xfId="0" applyFont="1" applyFill="1" applyBorder="1" applyAlignment="1">
      <alignment horizontal="center" vertical="center" wrapText="1"/>
    </xf>
    <xf numFmtId="177" fontId="5" fillId="33" borderId="12" xfId="0" applyNumberFormat="1" applyFont="1" applyFill="1" applyBorder="1" applyAlignment="1">
      <alignment horizontal="right" vertical="center" wrapText="1"/>
    </xf>
    <xf numFmtId="0" fontId="11" fillId="33" borderId="12" xfId="0" applyFont="1" applyFill="1" applyBorder="1" applyAlignment="1">
      <alignment horizontal="center" vertical="center" wrapText="1"/>
    </xf>
    <xf numFmtId="172" fontId="2" fillId="33" borderId="12" xfId="0" applyNumberFormat="1" applyFont="1" applyFill="1" applyBorder="1" applyAlignment="1">
      <alignment horizontal="right" vertical="center" wrapText="1"/>
    </xf>
    <xf numFmtId="172" fontId="2" fillId="33" borderId="13" xfId="0" applyNumberFormat="1" applyFont="1" applyFill="1" applyBorder="1" applyAlignment="1">
      <alignment horizontal="right" vertical="center" wrapText="1"/>
    </xf>
    <xf numFmtId="0" fontId="5" fillId="33"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horizontal="left" vertical="center" wrapText="1"/>
    </xf>
    <xf numFmtId="173" fontId="2" fillId="33" borderId="14" xfId="0" applyNumberFormat="1" applyFont="1" applyFill="1" applyBorder="1" applyAlignment="1">
      <alignment horizontal="right" vertical="center" wrapText="1"/>
    </xf>
    <xf numFmtId="0" fontId="59" fillId="33" borderId="14" xfId="60" applyFont="1" applyFill="1" applyBorder="1" applyAlignment="1">
      <alignment horizontal="center" vertical="center" wrapText="1"/>
      <protection/>
    </xf>
    <xf numFmtId="177" fontId="2" fillId="33" borderId="14" xfId="0" applyNumberFormat="1" applyFont="1" applyFill="1" applyBorder="1" applyAlignment="1">
      <alignment horizontal="right" vertical="center" wrapText="1"/>
    </xf>
    <xf numFmtId="177" fontId="5" fillId="33" borderId="14" xfId="0" applyNumberFormat="1" applyFont="1" applyFill="1" applyBorder="1" applyAlignment="1">
      <alignment horizontal="right" vertical="center" wrapText="1"/>
    </xf>
    <xf numFmtId="173" fontId="2" fillId="33" borderId="14" xfId="0" applyNumberFormat="1" applyFont="1" applyFill="1" applyBorder="1" applyAlignment="1">
      <alignment horizontal="center" vertical="center" wrapText="1"/>
    </xf>
    <xf numFmtId="176" fontId="2" fillId="33" borderId="14" xfId="0" applyNumberFormat="1" applyFont="1" applyFill="1" applyBorder="1" applyAlignment="1">
      <alignment horizontal="center" vertical="center" wrapText="1"/>
    </xf>
    <xf numFmtId="221" fontId="2" fillId="33" borderId="14" xfId="0" applyNumberFormat="1" applyFont="1" applyFill="1" applyBorder="1" applyAlignment="1">
      <alignment horizontal="center" vertical="center" wrapText="1"/>
    </xf>
    <xf numFmtId="2" fontId="11" fillId="33" borderId="15" xfId="0" applyNumberFormat="1" applyFont="1" applyFill="1" applyBorder="1" applyAlignment="1">
      <alignment horizontal="center" vertical="center" wrapText="1"/>
    </xf>
    <xf numFmtId="176" fontId="2" fillId="33" borderId="15" xfId="0" applyNumberFormat="1" applyFont="1" applyFill="1" applyBorder="1" applyAlignment="1">
      <alignment horizontal="center" vertical="center" wrapText="1"/>
    </xf>
    <xf numFmtId="173" fontId="2" fillId="33" borderId="14" xfId="0" applyNumberFormat="1" applyFont="1" applyFill="1" applyBorder="1" applyAlignment="1">
      <alignment vertical="center" wrapText="1"/>
    </xf>
    <xf numFmtId="173" fontId="59" fillId="33" borderId="14" xfId="60" applyNumberFormat="1" applyFont="1" applyFill="1" applyBorder="1" applyAlignment="1">
      <alignment horizontal="center" vertical="center" wrapText="1"/>
      <protection/>
    </xf>
    <xf numFmtId="0"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right" vertical="center" wrapText="1"/>
    </xf>
    <xf numFmtId="176" fontId="57" fillId="33" borderId="14" xfId="0" applyNumberFormat="1" applyFont="1" applyFill="1" applyBorder="1" applyAlignment="1">
      <alignment horizontal="center" vertical="center"/>
    </xf>
    <xf numFmtId="176" fontId="60" fillId="33" borderId="15" xfId="0" applyNumberFormat="1" applyFont="1" applyFill="1" applyBorder="1" applyAlignment="1">
      <alignment/>
    </xf>
    <xf numFmtId="0" fontId="2" fillId="33" borderId="14" xfId="60" applyFont="1" applyFill="1" applyBorder="1" applyAlignment="1">
      <alignment horizontal="center" vertical="center" wrapText="1"/>
      <protection/>
    </xf>
    <xf numFmtId="177" fontId="2" fillId="33" borderId="14" xfId="60" applyNumberFormat="1" applyFont="1" applyFill="1" applyBorder="1" applyAlignment="1">
      <alignment vertical="center" wrapText="1"/>
      <protection/>
    </xf>
    <xf numFmtId="175" fontId="2" fillId="33" borderId="14" xfId="0" applyNumberFormat="1" applyFont="1" applyFill="1" applyBorder="1" applyAlignment="1">
      <alignment horizontal="center" vertical="center" wrapText="1"/>
    </xf>
    <xf numFmtId="172" fontId="2" fillId="33" borderId="15" xfId="0" applyNumberFormat="1" applyFont="1" applyFill="1" applyBorder="1" applyAlignment="1">
      <alignment horizontal="center" vertical="center" wrapText="1"/>
    </xf>
    <xf numFmtId="172" fontId="11" fillId="33" borderId="15" xfId="0" applyNumberFormat="1" applyFont="1" applyFill="1" applyBorder="1" applyAlignment="1">
      <alignment horizontal="right" vertical="center" wrapText="1"/>
    </xf>
    <xf numFmtId="172" fontId="2" fillId="33" borderId="15" xfId="0" applyNumberFormat="1" applyFont="1" applyFill="1" applyBorder="1" applyAlignment="1">
      <alignment horizontal="right" vertical="center" wrapText="1"/>
    </xf>
    <xf numFmtId="0" fontId="61" fillId="33" borderId="14" xfId="0" applyNumberFormat="1" applyFont="1" applyFill="1" applyBorder="1" applyAlignment="1">
      <alignment horizontal="left" vertical="center" wrapText="1"/>
    </xf>
    <xf numFmtId="0" fontId="60" fillId="33" borderId="15" xfId="0" applyFont="1" applyFill="1" applyBorder="1" applyAlignment="1">
      <alignment/>
    </xf>
    <xf numFmtId="177" fontId="2" fillId="33" borderId="14" xfId="60" applyNumberFormat="1" applyFont="1" applyFill="1" applyBorder="1" applyAlignment="1">
      <alignment horizontal="center" vertical="center" wrapText="1"/>
      <protection/>
    </xf>
    <xf numFmtId="177" fontId="2" fillId="33" borderId="14" xfId="60" applyNumberFormat="1" applyFont="1" applyFill="1" applyBorder="1" applyAlignment="1">
      <alignment horizontal="right" vertical="center" wrapText="1"/>
      <protection/>
    </xf>
    <xf numFmtId="177" fontId="2" fillId="33" borderId="14" xfId="0" applyNumberFormat="1" applyFont="1" applyFill="1" applyBorder="1" applyAlignment="1">
      <alignment horizontal="center" vertical="center" wrapText="1"/>
    </xf>
    <xf numFmtId="0" fontId="2" fillId="33" borderId="14" xfId="58" applyFont="1" applyFill="1" applyBorder="1" applyAlignment="1">
      <alignment horizontal="center" vertical="center" wrapText="1"/>
      <protection/>
    </xf>
    <xf numFmtId="203" fontId="2" fillId="33" borderId="14" xfId="0" applyNumberFormat="1" applyFont="1" applyFill="1" applyBorder="1" applyAlignment="1">
      <alignment horizontal="center" vertical="center" wrapText="1"/>
    </xf>
    <xf numFmtId="0" fontId="7" fillId="33" borderId="14" xfId="58" applyFont="1" applyFill="1" applyBorder="1" applyAlignment="1">
      <alignment vertical="center" wrapText="1"/>
      <protection/>
    </xf>
    <xf numFmtId="0" fontId="5" fillId="33" borderId="16"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6" fillId="33" borderId="16" xfId="0" applyFont="1" applyFill="1" applyBorder="1" applyAlignment="1">
      <alignment horizontal="left" vertical="center" wrapText="1"/>
    </xf>
    <xf numFmtId="0" fontId="2" fillId="33" borderId="16" xfId="60" applyFont="1" applyFill="1" applyBorder="1" applyAlignment="1">
      <alignment horizontal="center" vertical="center" wrapText="1"/>
      <protection/>
    </xf>
    <xf numFmtId="177" fontId="2" fillId="33" borderId="16" xfId="60" applyNumberFormat="1" applyFont="1" applyFill="1" applyBorder="1" applyAlignment="1">
      <alignment horizontal="center" vertical="center" wrapText="1"/>
      <protection/>
    </xf>
    <xf numFmtId="177" fontId="6" fillId="33" borderId="16" xfId="60" applyNumberFormat="1" applyFont="1" applyFill="1" applyBorder="1" applyAlignment="1">
      <alignment horizontal="right" vertical="center" wrapText="1"/>
      <protection/>
    </xf>
    <xf numFmtId="177" fontId="2" fillId="33" borderId="16" xfId="0" applyNumberFormat="1" applyFont="1" applyFill="1" applyBorder="1" applyAlignment="1">
      <alignment horizontal="center" vertical="center" wrapText="1"/>
    </xf>
    <xf numFmtId="0" fontId="2" fillId="33" borderId="16" xfId="58" applyFont="1" applyFill="1" applyBorder="1" applyAlignment="1">
      <alignment horizontal="center" vertical="center" wrapText="1"/>
      <protection/>
    </xf>
    <xf numFmtId="175" fontId="2" fillId="33" borderId="16" xfId="0" applyNumberFormat="1" applyFont="1" applyFill="1" applyBorder="1" applyAlignment="1">
      <alignment horizontal="center" vertical="center" wrapText="1"/>
    </xf>
    <xf numFmtId="176" fontId="57" fillId="33" borderId="16" xfId="0" applyNumberFormat="1" applyFont="1" applyFill="1" applyBorder="1" applyAlignment="1">
      <alignment horizontal="center" vertical="center"/>
    </xf>
    <xf numFmtId="0" fontId="60" fillId="33" borderId="17" xfId="0" applyFont="1" applyFill="1" applyBorder="1" applyAlignment="1">
      <alignment/>
    </xf>
    <xf numFmtId="0" fontId="11" fillId="33" borderId="10" xfId="0" applyFont="1" applyFill="1" applyBorder="1" applyAlignment="1">
      <alignment horizontal="center" vertical="center" wrapText="1"/>
    </xf>
    <xf numFmtId="0" fontId="10" fillId="33" borderId="10" xfId="0" applyFont="1" applyFill="1" applyBorder="1" applyAlignment="1">
      <alignment horizontal="left" vertical="center" wrapText="1"/>
    </xf>
    <xf numFmtId="0" fontId="11" fillId="33" borderId="14" xfId="0" applyFont="1" applyFill="1" applyBorder="1" applyAlignment="1">
      <alignment horizontal="center" vertical="center" wrapText="1"/>
    </xf>
    <xf numFmtId="173" fontId="2" fillId="33" borderId="16" xfId="0" applyNumberFormat="1" applyFont="1" applyFill="1" applyBorder="1" applyAlignment="1">
      <alignment horizontal="center" vertical="center" wrapText="1"/>
    </xf>
    <xf numFmtId="0" fontId="57" fillId="33" borderId="17" xfId="0" applyFont="1" applyFill="1" applyBorder="1" applyAlignment="1">
      <alignment horizontal="center" vertical="center" wrapText="1"/>
    </xf>
    <xf numFmtId="173" fontId="11" fillId="33" borderId="10" xfId="0" applyNumberFormat="1" applyFont="1" applyFill="1" applyBorder="1" applyAlignment="1">
      <alignment horizontal="center" vertical="center" wrapText="1"/>
    </xf>
    <xf numFmtId="173" fontId="2" fillId="33" borderId="12" xfId="0" applyNumberFormat="1" applyFont="1" applyFill="1" applyBorder="1" applyAlignment="1">
      <alignment horizontal="center" vertical="center" wrapText="1"/>
    </xf>
    <xf numFmtId="0" fontId="59" fillId="33" borderId="14" xfId="0" applyFont="1" applyFill="1" applyBorder="1" applyAlignment="1">
      <alignment horizontal="center" vertical="center" wrapText="1"/>
    </xf>
    <xf numFmtId="2" fontId="11" fillId="33" borderId="14" xfId="0" applyNumberFormat="1" applyFont="1" applyFill="1" applyBorder="1" applyAlignment="1">
      <alignment horizontal="center" vertical="center" wrapText="1"/>
    </xf>
    <xf numFmtId="0" fontId="57" fillId="33" borderId="14" xfId="0" applyFont="1" applyFill="1" applyBorder="1" applyAlignment="1">
      <alignment horizontal="center" vertical="center" wrapText="1"/>
    </xf>
    <xf numFmtId="173" fontId="59" fillId="33" borderId="14" xfId="0" applyNumberFormat="1" applyFont="1" applyFill="1" applyBorder="1" applyAlignment="1">
      <alignment horizontal="center" vertical="center" wrapText="1"/>
    </xf>
    <xf numFmtId="0" fontId="60" fillId="33" borderId="14" xfId="0" applyFont="1" applyFill="1" applyBorder="1" applyAlignment="1">
      <alignment/>
    </xf>
    <xf numFmtId="0" fontId="57" fillId="33" borderId="16"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6" fillId="33" borderId="14" xfId="0" applyFont="1" applyFill="1" applyBorder="1" applyAlignment="1">
      <alignment horizontal="left" vertical="center" wrapText="1"/>
    </xf>
    <xf numFmtId="174" fontId="2" fillId="33" borderId="14" xfId="0" applyNumberFormat="1" applyFont="1" applyFill="1" applyBorder="1" applyAlignment="1">
      <alignment horizontal="center" vertical="center" wrapText="1"/>
    </xf>
    <xf numFmtId="175" fontId="11" fillId="33" borderId="10" xfId="0" applyNumberFormat="1" applyFont="1" applyFill="1" applyBorder="1" applyAlignment="1">
      <alignment horizontal="right" vertical="center" wrapText="1"/>
    </xf>
    <xf numFmtId="175" fontId="2" fillId="33" borderId="12" xfId="0" applyNumberFormat="1" applyFont="1" applyFill="1" applyBorder="1" applyAlignment="1">
      <alignment horizontal="center" vertical="center" wrapText="1"/>
    </xf>
    <xf numFmtId="224" fontId="2" fillId="33" borderId="14" xfId="0" applyNumberFormat="1" applyFont="1" applyFill="1" applyBorder="1" applyAlignment="1">
      <alignment horizontal="right" vertical="center" wrapText="1"/>
    </xf>
    <xf numFmtId="0" fontId="9" fillId="33" borderId="12" xfId="0" applyFont="1" applyFill="1" applyBorder="1" applyAlignment="1">
      <alignment horizontal="left" vertical="center" wrapText="1"/>
    </xf>
    <xf numFmtId="177" fontId="6" fillId="33" borderId="14" xfId="60" applyNumberFormat="1" applyFont="1" applyFill="1" applyBorder="1" applyAlignment="1">
      <alignment horizontal="right" vertical="center" wrapText="1"/>
      <protection/>
    </xf>
    <xf numFmtId="0" fontId="10" fillId="34" borderId="14"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4" xfId="0" applyFont="1" applyFill="1" applyBorder="1" applyAlignment="1">
      <alignment horizontal="left" vertical="center" wrapText="1"/>
    </xf>
    <xf numFmtId="173" fontId="2" fillId="34" borderId="14" xfId="0" applyNumberFormat="1" applyFont="1" applyFill="1" applyBorder="1" applyAlignment="1">
      <alignment horizontal="right" vertical="center" wrapText="1"/>
    </xf>
    <xf numFmtId="0" fontId="59" fillId="34" borderId="14" xfId="0" applyFont="1" applyFill="1" applyBorder="1" applyAlignment="1">
      <alignment horizontal="center" vertical="center" wrapText="1"/>
    </xf>
    <xf numFmtId="0" fontId="5" fillId="34" borderId="14" xfId="0" applyFont="1" applyFill="1" applyBorder="1" applyAlignment="1">
      <alignment horizontal="center" vertical="center" wrapText="1"/>
    </xf>
    <xf numFmtId="177" fontId="2" fillId="34" borderId="14" xfId="0" applyNumberFormat="1" applyFont="1" applyFill="1" applyBorder="1" applyAlignment="1">
      <alignment horizontal="right" vertical="center" wrapText="1"/>
    </xf>
    <xf numFmtId="173" fontId="2" fillId="34" borderId="14" xfId="0" applyNumberFormat="1" applyFont="1" applyFill="1" applyBorder="1" applyAlignment="1">
      <alignment horizontal="center" vertical="center" wrapText="1"/>
    </xf>
    <xf numFmtId="176" fontId="2" fillId="34" borderId="14" xfId="0" applyNumberFormat="1" applyFont="1" applyFill="1" applyBorder="1" applyAlignment="1">
      <alignment horizontal="center" vertical="center" wrapText="1"/>
    </xf>
    <xf numFmtId="221" fontId="2" fillId="34" borderId="14" xfId="0" applyNumberFormat="1" applyFont="1" applyFill="1" applyBorder="1" applyAlignment="1">
      <alignment horizontal="center" vertical="center" wrapText="1"/>
    </xf>
    <xf numFmtId="2" fontId="11" fillId="34" borderId="14" xfId="0" applyNumberFormat="1" applyFont="1" applyFill="1" applyBorder="1" applyAlignment="1">
      <alignment horizontal="center" vertical="center" wrapText="1"/>
    </xf>
    <xf numFmtId="2" fontId="11" fillId="34" borderId="0" xfId="0" applyNumberFormat="1" applyFont="1" applyFill="1" applyBorder="1" applyAlignment="1">
      <alignment horizontal="center" vertical="center" wrapText="1"/>
    </xf>
    <xf numFmtId="172" fontId="11" fillId="34" borderId="0" xfId="0" applyNumberFormat="1" applyFont="1" applyFill="1" applyBorder="1" applyAlignment="1">
      <alignment horizontal="center" vertical="center" wrapText="1"/>
    </xf>
    <xf numFmtId="172" fontId="2" fillId="34" borderId="0" xfId="0" applyNumberFormat="1" applyFont="1" applyFill="1" applyBorder="1" applyAlignment="1">
      <alignment vertical="center" wrapText="1"/>
    </xf>
    <xf numFmtId="176" fontId="2" fillId="34" borderId="0" xfId="0" applyNumberFormat="1" applyFont="1" applyFill="1" applyAlignment="1">
      <alignment/>
    </xf>
    <xf numFmtId="0" fontId="2" fillId="34" borderId="0" xfId="0" applyFont="1" applyFill="1" applyAlignment="1">
      <alignment/>
    </xf>
    <xf numFmtId="0" fontId="2" fillId="34" borderId="14" xfId="60" applyFont="1" applyFill="1" applyBorder="1" applyAlignment="1">
      <alignment horizontal="center" vertical="center" wrapText="1"/>
      <protection/>
    </xf>
    <xf numFmtId="175" fontId="2" fillId="34" borderId="14" xfId="0" applyNumberFormat="1" applyFont="1" applyFill="1" applyBorder="1" applyAlignment="1">
      <alignment horizontal="center" vertical="center" wrapText="1"/>
    </xf>
    <xf numFmtId="176" fontId="57" fillId="34" borderId="14" xfId="0" applyNumberFormat="1" applyFont="1" applyFill="1" applyBorder="1" applyAlignment="1">
      <alignment horizontal="center" vertical="center"/>
    </xf>
    <xf numFmtId="202" fontId="12" fillId="34" borderId="0" xfId="0" applyNumberFormat="1" applyFont="1" applyFill="1" applyBorder="1" applyAlignment="1">
      <alignment horizontal="center" vertical="center" wrapText="1"/>
    </xf>
    <xf numFmtId="0" fontId="11" fillId="34" borderId="14" xfId="0" applyFont="1" applyFill="1" applyBorder="1" applyAlignment="1">
      <alignment horizontal="center" vertical="center" wrapText="1"/>
    </xf>
    <xf numFmtId="203" fontId="2" fillId="34" borderId="14" xfId="0" applyNumberFormat="1" applyFont="1" applyFill="1" applyBorder="1" applyAlignment="1">
      <alignment horizontal="center" vertical="center" wrapText="1"/>
    </xf>
    <xf numFmtId="173" fontId="59" fillId="34" borderId="14" xfId="0" applyNumberFormat="1" applyFont="1" applyFill="1" applyBorder="1" applyAlignment="1">
      <alignment horizontal="center" vertical="center" wrapText="1"/>
    </xf>
    <xf numFmtId="176" fontId="5" fillId="34" borderId="14" xfId="0" applyNumberFormat="1" applyFont="1" applyFill="1" applyBorder="1" applyAlignment="1">
      <alignment horizontal="right" vertical="center" wrapText="1"/>
    </xf>
    <xf numFmtId="0" fontId="11" fillId="34" borderId="0" xfId="0" applyFont="1" applyFill="1" applyBorder="1" applyAlignment="1">
      <alignment horizontal="right" vertical="center" wrapText="1"/>
    </xf>
    <xf numFmtId="172" fontId="10" fillId="34" borderId="0" xfId="0" applyNumberFormat="1" applyFont="1" applyFill="1" applyBorder="1" applyAlignment="1">
      <alignment horizontal="right" vertical="center" wrapText="1"/>
    </xf>
    <xf numFmtId="176" fontId="2" fillId="34" borderId="0" xfId="0" applyNumberFormat="1" applyFont="1" applyFill="1" applyBorder="1" applyAlignment="1">
      <alignment/>
    </xf>
    <xf numFmtId="0" fontId="2" fillId="34" borderId="14" xfId="0" applyNumberFormat="1" applyFont="1" applyFill="1" applyBorder="1" applyAlignment="1">
      <alignment horizontal="right" vertical="center" wrapText="1"/>
    </xf>
    <xf numFmtId="0" fontId="2" fillId="34" borderId="0" xfId="0" applyFont="1" applyFill="1" applyBorder="1" applyAlignment="1">
      <alignment/>
    </xf>
    <xf numFmtId="0" fontId="57" fillId="34" borderId="14" xfId="0" applyFont="1" applyFill="1" applyBorder="1" applyAlignment="1">
      <alignment horizontal="center" vertical="center" wrapText="1"/>
    </xf>
    <xf numFmtId="0" fontId="2" fillId="34" borderId="16" xfId="0" applyFont="1" applyFill="1" applyBorder="1" applyAlignment="1">
      <alignment horizontal="left" vertical="center" wrapText="1"/>
    </xf>
    <xf numFmtId="0" fontId="2" fillId="34" borderId="16" xfId="0" applyFont="1" applyFill="1" applyBorder="1" applyAlignment="1">
      <alignment horizontal="center" vertical="center" wrapText="1"/>
    </xf>
    <xf numFmtId="0" fontId="2" fillId="34" borderId="16" xfId="60" applyFont="1" applyFill="1" applyBorder="1" applyAlignment="1">
      <alignment horizontal="center" vertical="center" wrapText="1"/>
      <protection/>
    </xf>
    <xf numFmtId="177" fontId="2" fillId="34" borderId="16" xfId="60" applyNumberFormat="1" applyFont="1" applyFill="1" applyBorder="1" applyAlignment="1">
      <alignment horizontal="center" vertical="center" wrapText="1"/>
      <protection/>
    </xf>
    <xf numFmtId="177" fontId="2" fillId="34" borderId="16" xfId="60" applyNumberFormat="1" applyFont="1" applyFill="1" applyBorder="1" applyAlignment="1">
      <alignment horizontal="right" vertical="center" wrapText="1"/>
      <protection/>
    </xf>
    <xf numFmtId="177" fontId="2" fillId="34" borderId="16" xfId="0" applyNumberFormat="1" applyFont="1" applyFill="1" applyBorder="1" applyAlignment="1">
      <alignment horizontal="center" vertical="center" wrapText="1"/>
    </xf>
    <xf numFmtId="0" fontId="2" fillId="34" borderId="16" xfId="58" applyFont="1" applyFill="1" applyBorder="1" applyAlignment="1">
      <alignment horizontal="center" vertical="center" wrapText="1"/>
      <protection/>
    </xf>
    <xf numFmtId="175" fontId="2" fillId="34" borderId="16" xfId="0" applyNumberFormat="1" applyFont="1" applyFill="1" applyBorder="1" applyAlignment="1">
      <alignment horizontal="center" vertical="center" wrapText="1"/>
    </xf>
    <xf numFmtId="176" fontId="57" fillId="34" borderId="16" xfId="0" applyNumberFormat="1" applyFont="1" applyFill="1" applyBorder="1" applyAlignment="1">
      <alignment horizontal="center" vertical="center"/>
    </xf>
    <xf numFmtId="0" fontId="60" fillId="34" borderId="14" xfId="0" applyFont="1" applyFill="1" applyBorder="1" applyAlignment="1">
      <alignment/>
    </xf>
    <xf numFmtId="0" fontId="5" fillId="34" borderId="16" xfId="0" applyFont="1" applyFill="1" applyBorder="1" applyAlignment="1">
      <alignment horizontal="center" vertical="center" wrapText="1"/>
    </xf>
    <xf numFmtId="203" fontId="2" fillId="34" borderId="16" xfId="0" applyNumberFormat="1" applyFont="1" applyFill="1" applyBorder="1" applyAlignment="1">
      <alignment horizontal="center" vertical="center" wrapText="1"/>
    </xf>
    <xf numFmtId="0" fontId="60" fillId="34" borderId="16" xfId="0" applyFont="1" applyFill="1" applyBorder="1" applyAlignment="1">
      <alignment/>
    </xf>
    <xf numFmtId="177" fontId="2" fillId="34" borderId="14" xfId="60" applyNumberFormat="1" applyFont="1" applyFill="1" applyBorder="1" applyAlignment="1">
      <alignment horizontal="center" vertical="center" wrapText="1"/>
      <protection/>
    </xf>
    <xf numFmtId="177" fontId="2" fillId="34" borderId="14" xfId="60" applyNumberFormat="1" applyFont="1" applyFill="1" applyBorder="1" applyAlignment="1">
      <alignment horizontal="right" vertical="center" wrapText="1"/>
      <protection/>
    </xf>
    <xf numFmtId="177" fontId="2" fillId="34" borderId="14" xfId="0" applyNumberFormat="1" applyFont="1" applyFill="1" applyBorder="1" applyAlignment="1">
      <alignment horizontal="center" vertical="center" wrapText="1"/>
    </xf>
    <xf numFmtId="0" fontId="2" fillId="34" borderId="14" xfId="58" applyFont="1" applyFill="1" applyBorder="1" applyAlignment="1">
      <alignment horizontal="center" vertical="center" wrapText="1"/>
      <protection/>
    </xf>
    <xf numFmtId="0" fontId="60" fillId="34" borderId="15" xfId="0" applyFont="1" applyFill="1" applyBorder="1" applyAlignment="1">
      <alignment/>
    </xf>
    <xf numFmtId="173" fontId="2" fillId="34" borderId="14" xfId="58" applyNumberFormat="1" applyFont="1" applyFill="1" applyBorder="1" applyAlignment="1">
      <alignment horizontal="center" vertical="center" wrapText="1"/>
      <protection/>
    </xf>
    <xf numFmtId="172" fontId="2" fillId="34" borderId="14" xfId="0" applyNumberFormat="1" applyFont="1" applyFill="1" applyBorder="1" applyAlignment="1">
      <alignment horizontal="right" vertical="center" wrapText="1"/>
    </xf>
    <xf numFmtId="0" fontId="2" fillId="34" borderId="0" xfId="0" applyFont="1" applyFill="1" applyBorder="1" applyAlignment="1">
      <alignment horizontal="right" vertical="center" wrapText="1"/>
    </xf>
    <xf numFmtId="172" fontId="2" fillId="34" borderId="0" xfId="0" applyNumberFormat="1" applyFont="1" applyFill="1" applyBorder="1" applyAlignment="1">
      <alignment horizontal="right" vertical="center" wrapText="1"/>
    </xf>
    <xf numFmtId="172" fontId="11" fillId="34" borderId="14" xfId="0" applyNumberFormat="1" applyFont="1" applyFill="1" applyBorder="1" applyAlignment="1">
      <alignment horizontal="right" vertical="center" wrapText="1"/>
    </xf>
    <xf numFmtId="0" fontId="58" fillId="34" borderId="14" xfId="0" applyFont="1" applyFill="1" applyBorder="1" applyAlignment="1">
      <alignment horizontal="center" vertical="center" wrapText="1"/>
    </xf>
    <xf numFmtId="0" fontId="57" fillId="34" borderId="14" xfId="0" applyFont="1" applyFill="1" applyBorder="1" applyAlignment="1">
      <alignment horizontal="left" vertical="center" wrapText="1"/>
    </xf>
    <xf numFmtId="173" fontId="57" fillId="34" borderId="14" xfId="0" applyNumberFormat="1" applyFont="1" applyFill="1" applyBorder="1" applyAlignment="1">
      <alignment horizontal="right" vertical="center" wrapText="1"/>
    </xf>
    <xf numFmtId="177" fontId="57" fillId="34" borderId="14" xfId="0" applyNumberFormat="1" applyFont="1" applyFill="1" applyBorder="1" applyAlignment="1">
      <alignment horizontal="right" vertical="center" wrapText="1"/>
    </xf>
    <xf numFmtId="173" fontId="57" fillId="34" borderId="14" xfId="0" applyNumberFormat="1" applyFont="1" applyFill="1" applyBorder="1" applyAlignment="1">
      <alignment horizontal="center" vertical="center" wrapText="1"/>
    </xf>
    <xf numFmtId="0" fontId="2" fillId="34" borderId="14" xfId="58" applyNumberFormat="1" applyFont="1" applyFill="1" applyBorder="1" applyAlignment="1">
      <alignment horizontal="center" vertical="center" wrapText="1"/>
      <protection/>
    </xf>
    <xf numFmtId="173" fontId="62" fillId="34" borderId="14" xfId="0" applyNumberFormat="1" applyFont="1" applyFill="1" applyBorder="1" applyAlignment="1">
      <alignment horizontal="center" vertical="center" wrapText="1"/>
    </xf>
    <xf numFmtId="177" fontId="61" fillId="34" borderId="14" xfId="0" applyNumberFormat="1" applyFont="1" applyFill="1" applyBorder="1" applyAlignment="1">
      <alignment horizontal="right" vertical="center" wrapText="1"/>
    </xf>
    <xf numFmtId="173" fontId="11" fillId="34" borderId="14" xfId="0" applyNumberFormat="1" applyFont="1" applyFill="1" applyBorder="1" applyAlignment="1">
      <alignment horizontal="center" vertical="center" wrapText="1"/>
    </xf>
    <xf numFmtId="176" fontId="60" fillId="34" borderId="14" xfId="0" applyNumberFormat="1" applyFont="1" applyFill="1" applyBorder="1" applyAlignment="1">
      <alignment/>
    </xf>
    <xf numFmtId="174" fontId="2" fillId="34" borderId="14" xfId="0" applyNumberFormat="1" applyFont="1" applyFill="1" applyBorder="1" applyAlignment="1">
      <alignment horizontal="center" vertical="center" wrapText="1"/>
    </xf>
    <xf numFmtId="172" fontId="2" fillId="34" borderId="14"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33" borderId="14" xfId="0" applyFont="1" applyFill="1" applyBorder="1" applyAlignment="1">
      <alignment horizontal="left" vertical="center" wrapText="1"/>
    </xf>
    <xf numFmtId="176" fontId="2" fillId="33" borderId="0" xfId="0" applyNumberFormat="1" applyFont="1" applyFill="1" applyBorder="1" applyAlignment="1">
      <alignment/>
    </xf>
    <xf numFmtId="172" fontId="5" fillId="33" borderId="0" xfId="0" applyNumberFormat="1" applyFont="1" applyFill="1" applyBorder="1" applyAlignment="1">
      <alignment horizontal="right" vertical="center" wrapText="1"/>
    </xf>
    <xf numFmtId="172" fontId="2" fillId="33" borderId="0" xfId="0" applyNumberFormat="1" applyFont="1" applyFill="1" applyBorder="1" applyAlignment="1">
      <alignment horizontal="center" vertical="center" wrapText="1"/>
    </xf>
    <xf numFmtId="0" fontId="2" fillId="33" borderId="0" xfId="0" applyFont="1" applyFill="1" applyBorder="1" applyAlignment="1">
      <alignment vertical="center"/>
    </xf>
    <xf numFmtId="0" fontId="14" fillId="33" borderId="18" xfId="58" applyFont="1" applyFill="1" applyBorder="1" applyAlignment="1">
      <alignment horizontal="center" vertical="center" wrapText="1"/>
      <protection/>
    </xf>
    <xf numFmtId="0" fontId="14" fillId="33" borderId="19" xfId="44" applyNumberFormat="1"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0" xfId="0" applyFont="1" applyFill="1" applyBorder="1" applyAlignment="1">
      <alignment/>
    </xf>
    <xf numFmtId="173" fontId="15" fillId="33" borderId="10" xfId="0" applyNumberFormat="1" applyFont="1" applyFill="1" applyBorder="1" applyAlignment="1">
      <alignment horizontal="center" vertical="center"/>
    </xf>
    <xf numFmtId="0" fontId="15" fillId="33" borderId="10" xfId="0" applyFont="1" applyFill="1" applyBorder="1" applyAlignment="1">
      <alignment horizontal="center" vertical="center"/>
    </xf>
    <xf numFmtId="172" fontId="2" fillId="0" borderId="0" xfId="0" applyNumberFormat="1" applyFont="1" applyFill="1" applyBorder="1" applyAlignment="1">
      <alignment horizontal="center" vertical="center" wrapText="1"/>
    </xf>
    <xf numFmtId="172" fontId="2" fillId="0" borderId="0" xfId="0" applyNumberFormat="1" applyFont="1" applyFill="1" applyBorder="1" applyAlignment="1">
      <alignment vertical="center" wrapText="1"/>
    </xf>
    <xf numFmtId="176" fontId="2" fillId="0" borderId="0" xfId="0" applyNumberFormat="1" applyFont="1" applyFill="1" applyBorder="1" applyAlignment="1">
      <alignment/>
    </xf>
    <xf numFmtId="0" fontId="2" fillId="0" borderId="0" xfId="0" applyFont="1" applyFill="1" applyBorder="1" applyAlignment="1">
      <alignment/>
    </xf>
    <xf numFmtId="176" fontId="15" fillId="33" borderId="10" xfId="0" applyNumberFormat="1" applyFont="1" applyFill="1" applyBorder="1" applyAlignment="1">
      <alignment horizontal="right" vertical="center"/>
    </xf>
    <xf numFmtId="0" fontId="5"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89" fontId="5" fillId="0" borderId="10" xfId="0" applyNumberFormat="1" applyFont="1" applyFill="1" applyBorder="1" applyAlignment="1">
      <alignment horizontal="right" vertical="center" wrapText="1"/>
    </xf>
    <xf numFmtId="173" fontId="2" fillId="0" borderId="10" xfId="0" applyNumberFormat="1" applyFont="1" applyFill="1" applyBorder="1" applyAlignment="1">
      <alignment horizontal="center" vertical="center" wrapText="1"/>
    </xf>
    <xf numFmtId="175" fontId="5" fillId="33" borderId="10" xfId="0" applyNumberFormat="1" applyFont="1" applyFill="1" applyBorder="1" applyAlignment="1">
      <alignment horizontal="right" vertical="center" wrapText="1"/>
    </xf>
    <xf numFmtId="172" fontId="5" fillId="33" borderId="10" xfId="0" applyNumberFormat="1" applyFont="1" applyFill="1" applyBorder="1" applyAlignment="1">
      <alignment vertical="center" wrapText="1"/>
    </xf>
    <xf numFmtId="172" fontId="2" fillId="33" borderId="10" xfId="0" applyNumberFormat="1" applyFont="1" applyFill="1" applyBorder="1" applyAlignment="1">
      <alignment horizontal="right" vertical="center" wrapText="1"/>
    </xf>
    <xf numFmtId="0" fontId="7"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189" fontId="5" fillId="0" borderId="12" xfId="0" applyNumberFormat="1" applyFont="1" applyFill="1" applyBorder="1" applyAlignment="1">
      <alignment horizontal="right" vertical="center" wrapText="1"/>
    </xf>
    <xf numFmtId="173" fontId="2" fillId="0" borderId="12" xfId="0" applyNumberFormat="1" applyFont="1" applyFill="1" applyBorder="1" applyAlignment="1">
      <alignment horizontal="center" vertical="center" wrapText="1"/>
    </xf>
    <xf numFmtId="172" fontId="2" fillId="33" borderId="12" xfId="0" applyNumberFormat="1" applyFont="1" applyFill="1" applyBorder="1" applyAlignment="1">
      <alignment vertical="center" wrapText="1"/>
    </xf>
    <xf numFmtId="0" fontId="2" fillId="0" borderId="14" xfId="0" applyFont="1" applyFill="1" applyBorder="1" applyAlignment="1">
      <alignment horizontal="left" vertical="center" wrapText="1"/>
    </xf>
    <xf numFmtId="173" fontId="2"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189" fontId="2" fillId="0" borderId="14" xfId="0" applyNumberFormat="1" applyFont="1" applyFill="1" applyBorder="1" applyAlignment="1">
      <alignment horizontal="right" vertical="center" wrapText="1"/>
    </xf>
    <xf numFmtId="176" fontId="2" fillId="33" borderId="14" xfId="0" applyNumberFormat="1" applyFont="1" applyFill="1" applyBorder="1" applyAlignment="1">
      <alignment horizontal="right" vertical="center" wrapText="1"/>
    </xf>
    <xf numFmtId="176" fontId="2" fillId="33" borderId="14" xfId="0" applyNumberFormat="1" applyFont="1" applyFill="1" applyBorder="1" applyAlignment="1">
      <alignment vertical="center" wrapText="1"/>
    </xf>
    <xf numFmtId="2" fontId="2" fillId="33" borderId="14" xfId="0" applyNumberFormat="1" applyFont="1" applyFill="1" applyBorder="1" applyAlignment="1">
      <alignment horizontal="center" vertical="center" wrapText="1"/>
    </xf>
    <xf numFmtId="176" fontId="2" fillId="33" borderId="14" xfId="0" applyNumberFormat="1" applyFont="1" applyFill="1" applyBorder="1" applyAlignment="1">
      <alignment horizontal="right" vertical="center"/>
    </xf>
    <xf numFmtId="176" fontId="39" fillId="33" borderId="14" xfId="0" applyNumberFormat="1" applyFont="1" applyFill="1" applyBorder="1" applyAlignment="1">
      <alignment/>
    </xf>
    <xf numFmtId="172" fontId="2" fillId="33" borderId="14" xfId="0" applyNumberFormat="1" applyFont="1" applyFill="1" applyBorder="1" applyAlignment="1">
      <alignment horizontal="center" vertical="center" wrapText="1"/>
    </xf>
    <xf numFmtId="172" fontId="2" fillId="33" borderId="14" xfId="0" applyNumberFormat="1" applyFont="1" applyFill="1" applyBorder="1" applyAlignment="1">
      <alignment horizontal="right" vertical="center" wrapText="1"/>
    </xf>
    <xf numFmtId="189" fontId="5" fillId="0" borderId="14" xfId="0" applyNumberFormat="1" applyFont="1" applyFill="1" applyBorder="1" applyAlignment="1">
      <alignment horizontal="right" vertical="center" wrapText="1"/>
    </xf>
    <xf numFmtId="0" fontId="2" fillId="33" borderId="14" xfId="0" applyNumberFormat="1" applyFont="1" applyFill="1" applyBorder="1" applyAlignment="1">
      <alignment vertical="center" wrapText="1"/>
    </xf>
    <xf numFmtId="0" fontId="39" fillId="33" borderId="14" xfId="0" applyFont="1" applyFill="1" applyBorder="1" applyAlignment="1">
      <alignment/>
    </xf>
    <xf numFmtId="0" fontId="2" fillId="0" borderId="14" xfId="60" applyFont="1" applyFill="1" applyBorder="1" applyAlignment="1">
      <alignment horizontal="center" vertical="center" wrapText="1"/>
      <protection/>
    </xf>
    <xf numFmtId="189" fontId="2" fillId="0" borderId="14" xfId="60" applyNumberFormat="1" applyFont="1" applyFill="1" applyBorder="1" applyAlignment="1">
      <alignment horizontal="right" vertical="center" wrapText="1"/>
      <protection/>
    </xf>
    <xf numFmtId="0" fontId="2" fillId="0" borderId="14" xfId="58" applyFont="1" applyFill="1" applyBorder="1" applyAlignment="1">
      <alignment horizontal="center" vertical="center" wrapText="1"/>
      <protection/>
    </xf>
    <xf numFmtId="176" fontId="2" fillId="33" borderId="14" xfId="0" applyNumberFormat="1" applyFont="1" applyFill="1" applyBorder="1" applyAlignment="1">
      <alignment vertical="center"/>
    </xf>
    <xf numFmtId="189" fontId="2" fillId="33" borderId="14" xfId="60" applyNumberFormat="1" applyFont="1" applyFill="1" applyBorder="1" applyAlignment="1">
      <alignment horizontal="right" vertical="center" wrapText="1"/>
      <protection/>
    </xf>
    <xf numFmtId="189" fontId="2" fillId="33" borderId="14" xfId="0" applyNumberFormat="1" applyFont="1" applyFill="1" applyBorder="1" applyAlignment="1">
      <alignment horizontal="right" vertical="center" wrapText="1"/>
    </xf>
    <xf numFmtId="0" fontId="6" fillId="0" borderId="16" xfId="58" applyNumberFormat="1" applyFont="1" applyBorder="1" applyAlignment="1">
      <alignment horizontal="justify" vertical="center" wrapText="1"/>
      <protection/>
    </xf>
    <xf numFmtId="189" fontId="2" fillId="33" borderId="16" xfId="60" applyNumberFormat="1" applyFont="1" applyFill="1" applyBorder="1" applyAlignment="1">
      <alignment horizontal="right" vertical="center" wrapText="1"/>
      <protection/>
    </xf>
    <xf numFmtId="189" fontId="2" fillId="33" borderId="16" xfId="0" applyNumberFormat="1" applyFont="1" applyFill="1" applyBorder="1" applyAlignment="1">
      <alignment horizontal="right" vertical="center" wrapText="1"/>
    </xf>
    <xf numFmtId="176" fontId="2" fillId="33" borderId="16" xfId="0" applyNumberFormat="1" applyFont="1" applyFill="1" applyBorder="1" applyAlignment="1">
      <alignment horizontal="right" vertical="center"/>
    </xf>
    <xf numFmtId="176" fontId="2" fillId="33" borderId="16" xfId="0" applyNumberFormat="1" applyFont="1" applyFill="1" applyBorder="1" applyAlignment="1">
      <alignment vertical="center"/>
    </xf>
    <xf numFmtId="0" fontId="39" fillId="33" borderId="16" xfId="0" applyFont="1" applyFill="1" applyBorder="1" applyAlignment="1">
      <alignment/>
    </xf>
    <xf numFmtId="0" fontId="5" fillId="33" borderId="10" xfId="0" applyFont="1" applyFill="1" applyBorder="1" applyAlignment="1">
      <alignment horizontal="right" vertical="center" wrapText="1"/>
    </xf>
    <xf numFmtId="0" fontId="5" fillId="33" borderId="12" xfId="0" applyFont="1" applyFill="1" applyBorder="1" applyAlignment="1">
      <alignment horizontal="right" vertical="center" wrapText="1"/>
    </xf>
    <xf numFmtId="189" fontId="5" fillId="33" borderId="14" xfId="0" applyNumberFormat="1" applyFont="1" applyFill="1" applyBorder="1" applyAlignment="1">
      <alignment horizontal="right" vertical="center" wrapText="1"/>
    </xf>
    <xf numFmtId="0" fontId="2" fillId="0" borderId="1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6" xfId="60" applyFont="1" applyFill="1" applyBorder="1" applyAlignment="1">
      <alignment horizontal="center" vertical="center" wrapText="1"/>
      <protection/>
    </xf>
    <xf numFmtId="189" fontId="2" fillId="0" borderId="16" xfId="60" applyNumberFormat="1" applyFont="1" applyFill="1" applyBorder="1" applyAlignment="1">
      <alignment horizontal="right" vertical="center" wrapText="1"/>
      <protection/>
    </xf>
    <xf numFmtId="189" fontId="2" fillId="0" borderId="16" xfId="0" applyNumberFormat="1" applyFont="1" applyFill="1" applyBorder="1" applyAlignment="1">
      <alignment horizontal="right" vertical="center" wrapText="1"/>
    </xf>
    <xf numFmtId="0" fontId="2" fillId="0" borderId="16" xfId="58" applyFont="1" applyFill="1" applyBorder="1" applyAlignment="1">
      <alignment horizontal="center" vertical="center" wrapText="1"/>
      <protection/>
    </xf>
    <xf numFmtId="203" fontId="2" fillId="33" borderId="16" xfId="0" applyNumberFormat="1" applyFont="1" applyFill="1" applyBorder="1" applyAlignment="1">
      <alignment horizontal="center" vertical="center" wrapText="1"/>
    </xf>
    <xf numFmtId="0" fontId="2" fillId="33" borderId="14" xfId="58" applyNumberFormat="1" applyFont="1" applyFill="1" applyBorder="1" applyAlignment="1">
      <alignment horizontal="center" vertical="center" wrapText="1"/>
      <protection/>
    </xf>
    <xf numFmtId="0" fontId="7" fillId="33" borderId="14" xfId="0" applyNumberFormat="1" applyFont="1" applyFill="1" applyBorder="1" applyAlignment="1">
      <alignment horizontal="left" vertical="center" wrapText="1"/>
    </xf>
    <xf numFmtId="189" fontId="5" fillId="33" borderId="10" xfId="0" applyNumberFormat="1" applyFont="1" applyFill="1" applyBorder="1" applyAlignment="1">
      <alignment horizontal="right" vertical="center" wrapText="1"/>
    </xf>
    <xf numFmtId="173" fontId="2" fillId="33" borderId="10" xfId="0" applyNumberFormat="1" applyFont="1" applyFill="1" applyBorder="1" applyAlignment="1">
      <alignment horizontal="center" vertical="center" wrapText="1"/>
    </xf>
    <xf numFmtId="0" fontId="5" fillId="33" borderId="12" xfId="0" applyFont="1" applyFill="1" applyBorder="1" applyAlignment="1">
      <alignment vertical="center" wrapText="1"/>
    </xf>
    <xf numFmtId="189" fontId="5" fillId="33" borderId="12" xfId="0" applyNumberFormat="1" applyFont="1" applyFill="1" applyBorder="1" applyAlignment="1">
      <alignment horizontal="right" vertical="center" wrapText="1"/>
    </xf>
    <xf numFmtId="176" fontId="2" fillId="33" borderId="12" xfId="0" applyNumberFormat="1" applyFont="1" applyFill="1" applyBorder="1" applyAlignment="1">
      <alignment horizontal="right" vertical="center" wrapText="1"/>
    </xf>
    <xf numFmtId="221" fontId="2" fillId="33" borderId="12" xfId="0" applyNumberFormat="1" applyFont="1" applyFill="1" applyBorder="1" applyAlignment="1">
      <alignment horizontal="center" vertical="center" wrapText="1"/>
    </xf>
    <xf numFmtId="176" fontId="2" fillId="33" borderId="12" xfId="0" applyNumberFormat="1" applyFont="1" applyFill="1" applyBorder="1" applyAlignment="1">
      <alignment vertical="center" wrapText="1"/>
    </xf>
    <xf numFmtId="2" fontId="2" fillId="33" borderId="12" xfId="0" applyNumberFormat="1" applyFont="1" applyFill="1" applyBorder="1" applyAlignment="1">
      <alignment horizontal="center" vertical="center" wrapText="1"/>
    </xf>
    <xf numFmtId="0" fontId="5" fillId="33" borderId="14" xfId="0" applyFont="1" applyFill="1" applyBorder="1" applyAlignment="1">
      <alignment vertical="center" wrapText="1"/>
    </xf>
    <xf numFmtId="0" fontId="2" fillId="33" borderId="14" xfId="0" applyFont="1" applyFill="1" applyBorder="1" applyAlignment="1" quotePrefix="1">
      <alignment horizontal="left" vertical="center" wrapText="1"/>
    </xf>
    <xf numFmtId="0" fontId="2" fillId="33" borderId="14" xfId="0" applyFont="1" applyFill="1" applyBorder="1" applyAlignment="1">
      <alignment/>
    </xf>
    <xf numFmtId="173" fontId="5" fillId="0" borderId="14" xfId="0" applyNumberFormat="1" applyFont="1" applyFill="1" applyBorder="1" applyAlignment="1">
      <alignment horizontal="center" vertical="center" wrapText="1"/>
    </xf>
    <xf numFmtId="189" fontId="2" fillId="0" borderId="10" xfId="0" applyNumberFormat="1" applyFont="1" applyFill="1" applyBorder="1" applyAlignment="1">
      <alignment horizontal="right" vertical="center" wrapText="1"/>
    </xf>
    <xf numFmtId="175" fontId="2" fillId="0" borderId="10" xfId="0" applyNumberFormat="1" applyFont="1" applyFill="1" applyBorder="1" applyAlignment="1">
      <alignment horizontal="right" vertical="center" wrapText="1"/>
    </xf>
    <xf numFmtId="189" fontId="2" fillId="0" borderId="12" xfId="0" applyNumberFormat="1" applyFont="1" applyFill="1" applyBorder="1" applyAlignment="1">
      <alignment horizontal="right" vertical="center" wrapText="1"/>
    </xf>
    <xf numFmtId="175" fontId="2" fillId="0" borderId="12" xfId="0" applyNumberFormat="1" applyFont="1" applyFill="1" applyBorder="1" applyAlignment="1">
      <alignment horizontal="center" vertical="center" wrapText="1"/>
    </xf>
    <xf numFmtId="175" fontId="2" fillId="0" borderId="14" xfId="0" applyNumberFormat="1" applyFont="1" applyFill="1" applyBorder="1" applyAlignment="1">
      <alignment horizontal="center" vertical="center" wrapText="1"/>
    </xf>
    <xf numFmtId="175" fontId="2" fillId="33" borderId="10" xfId="0" applyNumberFormat="1" applyFont="1" applyFill="1" applyBorder="1" applyAlignment="1">
      <alignment horizontal="right" vertical="center" wrapText="1"/>
    </xf>
    <xf numFmtId="176" fontId="5" fillId="33" borderId="14" xfId="0" applyNumberFormat="1" applyFont="1" applyFill="1" applyBorder="1" applyAlignment="1">
      <alignment horizontal="right" vertical="center" wrapText="1"/>
    </xf>
    <xf numFmtId="177" fontId="2" fillId="0" borderId="14" xfId="0" applyNumberFormat="1" applyFont="1" applyFill="1" applyBorder="1" applyAlignment="1">
      <alignment horizontal="center" vertical="center" wrapText="1"/>
    </xf>
    <xf numFmtId="0" fontId="2" fillId="33" borderId="16" xfId="0" applyFont="1" applyFill="1" applyBorder="1" applyAlignment="1">
      <alignment horizontal="left" vertical="center" wrapText="1"/>
    </xf>
    <xf numFmtId="176" fontId="5" fillId="0" borderId="14" xfId="0" applyNumberFormat="1" applyFont="1" applyFill="1" applyBorder="1" applyAlignment="1">
      <alignment horizontal="right" vertical="center" wrapText="1"/>
    </xf>
    <xf numFmtId="176" fontId="2" fillId="0" borderId="14" xfId="0" applyNumberFormat="1" applyFont="1" applyFill="1" applyBorder="1" applyAlignment="1">
      <alignment horizontal="right" vertical="center" wrapText="1"/>
    </xf>
    <xf numFmtId="221" fontId="2" fillId="0" borderId="14" xfId="0" applyNumberFormat="1" applyFont="1" applyFill="1" applyBorder="1" applyAlignment="1">
      <alignment horizontal="center" vertical="center" wrapText="1"/>
    </xf>
    <xf numFmtId="176" fontId="2" fillId="0" borderId="14" xfId="0" applyNumberFormat="1" applyFont="1" applyFill="1" applyBorder="1" applyAlignment="1">
      <alignment vertical="center" wrapText="1"/>
    </xf>
    <xf numFmtId="2" fontId="2" fillId="0" borderId="14" xfId="0" applyNumberFormat="1" applyFont="1" applyFill="1" applyBorder="1" applyAlignment="1">
      <alignment horizontal="center" vertical="center" wrapText="1"/>
    </xf>
    <xf numFmtId="223" fontId="5" fillId="33" borderId="10" xfId="0" applyNumberFormat="1" applyFont="1" applyFill="1" applyBorder="1" applyAlignment="1">
      <alignment vertical="center"/>
    </xf>
    <xf numFmtId="0" fontId="13" fillId="33" borderId="0" xfId="0" applyFont="1" applyFill="1" applyBorder="1" applyAlignment="1">
      <alignment horizontal="right" vertical="center"/>
    </xf>
    <xf numFmtId="0" fontId="14" fillId="33" borderId="10" xfId="59" applyFont="1" applyFill="1" applyBorder="1" applyAlignment="1">
      <alignment horizontal="center" vertical="center" wrapText="1"/>
      <protection/>
    </xf>
    <xf numFmtId="173" fontId="14" fillId="33" borderId="10" xfId="59" applyNumberFormat="1" applyFont="1" applyFill="1" applyBorder="1" applyAlignment="1">
      <alignment horizontal="center" vertical="center" wrapText="1"/>
      <protection/>
    </xf>
    <xf numFmtId="0" fontId="14" fillId="33" borderId="10" xfId="59" applyNumberFormat="1" applyFont="1" applyFill="1" applyBorder="1" applyAlignment="1">
      <alignment horizontal="center" vertical="center" wrapText="1"/>
      <protection/>
    </xf>
    <xf numFmtId="0" fontId="16" fillId="33" borderId="20" xfId="0" applyFont="1" applyFill="1" applyBorder="1" applyAlignment="1">
      <alignment horizontal="center" vertical="center" wrapText="1"/>
    </xf>
    <xf numFmtId="202" fontId="14" fillId="0" borderId="21" xfId="41" applyNumberFormat="1" applyFont="1" applyFill="1" applyBorder="1" applyAlignment="1">
      <alignment horizontal="center" vertical="center" wrapText="1"/>
    </xf>
    <xf numFmtId="176" fontId="14" fillId="33" borderId="10" xfId="59" applyNumberFormat="1" applyFont="1" applyFill="1" applyBorder="1" applyAlignment="1">
      <alignment horizontal="center" vertical="center" wrapText="1"/>
      <protection/>
    </xf>
    <xf numFmtId="0" fontId="14" fillId="33" borderId="22" xfId="59" applyFont="1" applyFill="1" applyBorder="1" applyAlignment="1">
      <alignment horizontal="center" vertical="center" wrapText="1"/>
      <protection/>
    </xf>
    <xf numFmtId="0" fontId="14" fillId="33" borderId="18" xfId="59" applyFont="1" applyFill="1" applyBorder="1" applyAlignment="1">
      <alignment horizontal="center" vertical="center" wrapText="1"/>
      <protection/>
    </xf>
    <xf numFmtId="0" fontId="17" fillId="33" borderId="0" xfId="59" applyFont="1" applyFill="1" applyBorder="1" applyAlignment="1">
      <alignment horizontal="center" vertical="center" wrapText="1"/>
      <protection/>
    </xf>
    <xf numFmtId="0" fontId="40" fillId="33" borderId="0" xfId="0" applyFont="1" applyFill="1" applyBorder="1" applyAlignment="1">
      <alignment/>
    </xf>
    <xf numFmtId="0" fontId="18" fillId="33" borderId="0" xfId="59" applyFont="1" applyFill="1" applyBorder="1" applyAlignment="1">
      <alignment horizontal="center" vertical="center"/>
      <protection/>
    </xf>
    <xf numFmtId="0" fontId="13" fillId="33" borderId="10" xfId="0" applyFont="1" applyFill="1" applyBorder="1" applyAlignment="1">
      <alignment horizontal="left" vertical="center" wrapText="1"/>
    </xf>
    <xf numFmtId="0" fontId="7" fillId="33" borderId="12" xfId="0" applyFont="1" applyFill="1" applyBorder="1" applyAlignment="1">
      <alignment horizontal="left" vertical="center" wrapText="1"/>
    </xf>
    <xf numFmtId="189" fontId="14" fillId="33" borderId="10" xfId="59" applyNumberFormat="1" applyFont="1" applyFill="1" applyBorder="1" applyAlignment="1">
      <alignment horizontal="center" vertical="center" wrapText="1"/>
      <protection/>
    </xf>
    <xf numFmtId="0" fontId="5" fillId="33" borderId="0" xfId="59" applyFont="1" applyFill="1" applyBorder="1" applyAlignment="1">
      <alignment horizontal="center" vertical="center" wrapText="1"/>
      <protection/>
    </xf>
    <xf numFmtId="0" fontId="60" fillId="33" borderId="0" xfId="0" applyFont="1" applyFill="1" applyBorder="1" applyAlignment="1">
      <alignment/>
    </xf>
    <xf numFmtId="0" fontId="6" fillId="33" borderId="0" xfId="59" applyFont="1" applyFill="1" applyBorder="1" applyAlignment="1">
      <alignment horizontal="center" vertical="center"/>
      <protection/>
    </xf>
    <xf numFmtId="173" fontId="61" fillId="33" borderId="15" xfId="0" applyNumberFormat="1" applyFont="1" applyFill="1" applyBorder="1" applyAlignment="1">
      <alignment horizontal="center" vertical="center" wrapText="1"/>
    </xf>
    <xf numFmtId="0" fontId="61" fillId="33" borderId="23" xfId="0" applyNumberFormat="1" applyFont="1" applyFill="1" applyBorder="1" applyAlignment="1">
      <alignment horizontal="center" vertical="center" wrapText="1"/>
    </xf>
    <xf numFmtId="173" fontId="61" fillId="33" borderId="14" xfId="0" applyNumberFormat="1" applyFont="1" applyFill="1" applyBorder="1" applyAlignment="1">
      <alignment horizontal="center" vertical="center" wrapText="1"/>
    </xf>
    <xf numFmtId="0" fontId="61" fillId="33" borderId="14" xfId="0" applyNumberFormat="1"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5" fillId="33" borderId="1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8" fillId="33" borderId="0" xfId="0" applyFont="1" applyFill="1" applyBorder="1" applyAlignment="1">
      <alignment horizontal="right"/>
    </xf>
    <xf numFmtId="0" fontId="9" fillId="33" borderId="12" xfId="0" applyFont="1" applyFill="1" applyBorder="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_dc 0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26"/>
  <sheetViews>
    <sheetView tabSelected="1" view="pageBreakPreview" zoomScale="110" zoomScaleNormal="110" zoomScaleSheetLayoutView="110" zoomScalePageLayoutView="0" workbookViewId="0" topLeftCell="A1">
      <selection activeCell="O5" sqref="O5"/>
    </sheetView>
  </sheetViews>
  <sheetFormatPr defaultColWidth="9.140625" defaultRowHeight="15"/>
  <cols>
    <col min="1" max="1" width="4.28125" style="22" customWidth="1"/>
    <col min="2" max="2" width="14.140625" style="22" customWidth="1"/>
    <col min="3" max="3" width="35.28125" style="22" customWidth="1"/>
    <col min="4" max="4" width="5.00390625" style="22" customWidth="1"/>
    <col min="5" max="5" width="6.28125" style="22" customWidth="1"/>
    <col min="6" max="6" width="5.28125" style="22" customWidth="1"/>
    <col min="7" max="7" width="6.140625" style="22" customWidth="1"/>
    <col min="8" max="8" width="6.8515625" style="22" customWidth="1"/>
    <col min="9" max="10" width="6.57421875" style="22" customWidth="1"/>
    <col min="11" max="11" width="44.57421875" style="22" customWidth="1"/>
    <col min="12" max="12" width="9.7109375" style="22" customWidth="1"/>
    <col min="13" max="13" width="9.00390625" style="22" customWidth="1"/>
    <col min="14" max="14" width="6.28125" style="22" customWidth="1"/>
    <col min="15" max="16" width="13.57421875" style="22" customWidth="1"/>
    <col min="17" max="17" width="12.00390625" style="22" customWidth="1"/>
    <col min="18" max="16384" width="9.140625" style="22" customWidth="1"/>
  </cols>
  <sheetData>
    <row r="1" spans="1:17" ht="49.5" customHeight="1">
      <c r="A1" s="284" t="s">
        <v>407</v>
      </c>
      <c r="B1" s="284"/>
      <c r="C1" s="285"/>
      <c r="D1" s="285"/>
      <c r="E1" s="285"/>
      <c r="F1" s="285"/>
      <c r="G1" s="285"/>
      <c r="H1" s="285"/>
      <c r="I1" s="285"/>
      <c r="J1" s="285"/>
      <c r="K1" s="285"/>
      <c r="L1" s="285"/>
      <c r="M1" s="285"/>
      <c r="N1" s="285"/>
      <c r="O1" s="285"/>
      <c r="P1" s="285"/>
      <c r="Q1" s="285"/>
    </row>
    <row r="2" spans="1:17" ht="20.25" customHeight="1">
      <c r="A2" s="286" t="s">
        <v>403</v>
      </c>
      <c r="B2" s="286"/>
      <c r="C2" s="286"/>
      <c r="D2" s="286"/>
      <c r="E2" s="286"/>
      <c r="F2" s="286"/>
      <c r="G2" s="286"/>
      <c r="H2" s="286"/>
      <c r="I2" s="286"/>
      <c r="J2" s="286"/>
      <c r="K2" s="286"/>
      <c r="L2" s="286"/>
      <c r="M2" s="286"/>
      <c r="N2" s="286"/>
      <c r="O2" s="286"/>
      <c r="P2" s="286"/>
      <c r="Q2" s="286"/>
    </row>
    <row r="3" spans="1:17" ht="45.75" customHeight="1">
      <c r="A3" s="276" t="s">
        <v>23</v>
      </c>
      <c r="B3" s="276" t="s">
        <v>47</v>
      </c>
      <c r="C3" s="276" t="s">
        <v>3</v>
      </c>
      <c r="D3" s="276" t="s">
        <v>4</v>
      </c>
      <c r="E3" s="276" t="s">
        <v>12</v>
      </c>
      <c r="F3" s="282" t="s">
        <v>286</v>
      </c>
      <c r="G3" s="283"/>
      <c r="H3" s="289" t="s">
        <v>15</v>
      </c>
      <c r="I3" s="278" t="s">
        <v>13</v>
      </c>
      <c r="J3" s="278" t="s">
        <v>6</v>
      </c>
      <c r="K3" s="276" t="s">
        <v>398</v>
      </c>
      <c r="L3" s="276" t="s">
        <v>399</v>
      </c>
      <c r="M3" s="281" t="s">
        <v>0</v>
      </c>
      <c r="N3" s="277" t="s">
        <v>28</v>
      </c>
      <c r="O3" s="280" t="s">
        <v>402</v>
      </c>
      <c r="P3" s="280" t="s">
        <v>404</v>
      </c>
      <c r="Q3" s="276" t="s">
        <v>1</v>
      </c>
    </row>
    <row r="4" spans="1:17" ht="38.25" customHeight="1">
      <c r="A4" s="276"/>
      <c r="B4" s="276"/>
      <c r="C4" s="276"/>
      <c r="D4" s="276"/>
      <c r="E4" s="276"/>
      <c r="F4" s="185" t="s">
        <v>5</v>
      </c>
      <c r="G4" s="186" t="s">
        <v>14</v>
      </c>
      <c r="H4" s="289"/>
      <c r="I4" s="278"/>
      <c r="J4" s="278"/>
      <c r="K4" s="276"/>
      <c r="L4" s="276"/>
      <c r="M4" s="281"/>
      <c r="N4" s="277"/>
      <c r="O4" s="280"/>
      <c r="P4" s="280"/>
      <c r="Q4" s="276"/>
    </row>
    <row r="5" spans="1:17" ht="31.5" customHeight="1">
      <c r="A5" s="32">
        <v>1</v>
      </c>
      <c r="B5" s="32">
        <v>2</v>
      </c>
      <c r="C5" s="32">
        <v>3</v>
      </c>
      <c r="D5" s="32">
        <v>4</v>
      </c>
      <c r="E5" s="32">
        <v>5</v>
      </c>
      <c r="F5" s="32">
        <v>6</v>
      </c>
      <c r="G5" s="32">
        <v>7</v>
      </c>
      <c r="H5" s="32">
        <v>8</v>
      </c>
      <c r="I5" s="32">
        <v>9</v>
      </c>
      <c r="J5" s="32" t="s">
        <v>365</v>
      </c>
      <c r="K5" s="32">
        <v>11</v>
      </c>
      <c r="L5" s="32">
        <v>12</v>
      </c>
      <c r="M5" s="32">
        <v>13</v>
      </c>
      <c r="N5" s="32">
        <v>14</v>
      </c>
      <c r="O5" s="32">
        <v>15</v>
      </c>
      <c r="P5" s="32">
        <v>16</v>
      </c>
      <c r="Q5" s="32">
        <v>17</v>
      </c>
    </row>
    <row r="6" spans="1:20" ht="33.75" customHeight="1">
      <c r="A6" s="35">
        <v>1</v>
      </c>
      <c r="B6" s="3"/>
      <c r="C6" s="196" t="s">
        <v>34</v>
      </c>
      <c r="D6" s="197"/>
      <c r="E6" s="197"/>
      <c r="F6" s="197"/>
      <c r="G6" s="198"/>
      <c r="H6" s="199"/>
      <c r="I6" s="199"/>
      <c r="J6" s="199"/>
      <c r="K6" s="200"/>
      <c r="L6" s="35"/>
      <c r="M6" s="35"/>
      <c r="N6" s="201"/>
      <c r="O6" s="202">
        <f>SUM(O8:O23)</f>
        <v>116190000</v>
      </c>
      <c r="P6" s="202">
        <f>SUM(P8:P23)</f>
        <v>116190000</v>
      </c>
      <c r="Q6" s="203"/>
      <c r="R6" s="6"/>
      <c r="S6" s="182"/>
      <c r="T6" s="181"/>
    </row>
    <row r="7" spans="1:20" ht="21.75" customHeight="1">
      <c r="A7" s="42"/>
      <c r="B7" s="42"/>
      <c r="C7" s="204" t="s">
        <v>8</v>
      </c>
      <c r="D7" s="205"/>
      <c r="E7" s="205"/>
      <c r="F7" s="205"/>
      <c r="G7" s="206"/>
      <c r="H7" s="207"/>
      <c r="I7" s="207"/>
      <c r="J7" s="207"/>
      <c r="K7" s="208"/>
      <c r="L7" s="44"/>
      <c r="M7" s="44"/>
      <c r="N7" s="42"/>
      <c r="O7" s="209"/>
      <c r="P7" s="209"/>
      <c r="Q7" s="47"/>
      <c r="R7" s="6"/>
      <c r="S7" s="7"/>
      <c r="T7" s="181"/>
    </row>
    <row r="8" spans="1:20" ht="43.5" customHeight="1">
      <c r="A8" s="49"/>
      <c r="B8" s="50" t="s">
        <v>369</v>
      </c>
      <c r="C8" s="210" t="s">
        <v>293</v>
      </c>
      <c r="D8" s="178" t="s">
        <v>16</v>
      </c>
      <c r="E8" s="211">
        <f>(0.15*0.15*2)*9+(0.15*0.15*3.5)</f>
        <v>0.48374999999999996</v>
      </c>
      <c r="F8" s="178"/>
      <c r="G8" s="212"/>
      <c r="H8" s="213"/>
      <c r="I8" s="213"/>
      <c r="J8" s="213"/>
      <c r="K8" s="211" t="s">
        <v>43</v>
      </c>
      <c r="L8" s="56"/>
      <c r="M8" s="214">
        <v>2828000</v>
      </c>
      <c r="N8" s="58">
        <f>1.03*1.148</f>
        <v>1.18244</v>
      </c>
      <c r="O8" s="215">
        <f>+ROUND(N8*M8*E8,-3)</f>
        <v>1618000</v>
      </c>
      <c r="P8" s="215">
        <f>ROUND(E8*M8*N8,-3)</f>
        <v>1618000</v>
      </c>
      <c r="Q8" s="216"/>
      <c r="R8" s="183"/>
      <c r="S8" s="13"/>
      <c r="T8" s="181"/>
    </row>
    <row r="9" spans="1:20" ht="42" customHeight="1">
      <c r="A9" s="49"/>
      <c r="B9" s="50" t="s">
        <v>371</v>
      </c>
      <c r="C9" s="210" t="s">
        <v>253</v>
      </c>
      <c r="D9" s="178" t="s">
        <v>2</v>
      </c>
      <c r="E9" s="211">
        <f>(19*1.1)</f>
        <v>20.900000000000002</v>
      </c>
      <c r="F9" s="178"/>
      <c r="G9" s="212"/>
      <c r="H9" s="213"/>
      <c r="I9" s="213"/>
      <c r="J9" s="213"/>
      <c r="K9" s="211" t="s">
        <v>43</v>
      </c>
      <c r="L9" s="56"/>
      <c r="M9" s="214">
        <v>792000</v>
      </c>
      <c r="N9" s="58">
        <f>1.03*1.148</f>
        <v>1.18244</v>
      </c>
      <c r="O9" s="215">
        <f>ROUND(E9*M9*N9,-3)</f>
        <v>19573000</v>
      </c>
      <c r="P9" s="215">
        <f>ROUND(E9*M9*N9,-3)</f>
        <v>19573000</v>
      </c>
      <c r="Q9" s="57"/>
      <c r="R9" s="183"/>
      <c r="S9" s="13"/>
      <c r="T9" s="181"/>
    </row>
    <row r="10" spans="1:20" ht="35.25" customHeight="1">
      <c r="A10" s="49"/>
      <c r="B10" s="50" t="s">
        <v>372</v>
      </c>
      <c r="C10" s="210" t="s">
        <v>35</v>
      </c>
      <c r="D10" s="178" t="s">
        <v>2</v>
      </c>
      <c r="E10" s="211">
        <f>(19*1)</f>
        <v>19</v>
      </c>
      <c r="F10" s="178"/>
      <c r="G10" s="212"/>
      <c r="H10" s="213"/>
      <c r="I10" s="213"/>
      <c r="J10" s="213"/>
      <c r="K10" s="211" t="s">
        <v>43</v>
      </c>
      <c r="L10" s="56"/>
      <c r="M10" s="214">
        <v>11000</v>
      </c>
      <c r="N10" s="58">
        <f>1.03*1.148</f>
        <v>1.18244</v>
      </c>
      <c r="O10" s="215">
        <f>ROUND(E10*M10*N10,-3)</f>
        <v>247000</v>
      </c>
      <c r="P10" s="215">
        <f>ROUND(E10*M10*N10,-3)</f>
        <v>247000</v>
      </c>
      <c r="Q10" s="216"/>
      <c r="R10" s="183"/>
      <c r="S10" s="13"/>
      <c r="T10" s="181"/>
    </row>
    <row r="11" spans="1:20" ht="29.25" customHeight="1">
      <c r="A11" s="49"/>
      <c r="B11" s="50"/>
      <c r="C11" s="210" t="s">
        <v>254</v>
      </c>
      <c r="D11" s="178" t="s">
        <v>11</v>
      </c>
      <c r="E11" s="211">
        <v>46</v>
      </c>
      <c r="F11" s="178"/>
      <c r="G11" s="212"/>
      <c r="H11" s="213"/>
      <c r="I11" s="213"/>
      <c r="J11" s="213"/>
      <c r="K11" s="211"/>
      <c r="L11" s="56"/>
      <c r="M11" s="214">
        <v>26730</v>
      </c>
      <c r="N11" s="56"/>
      <c r="O11" s="215">
        <f aca="true" t="shared" si="0" ref="O11:O19">ROUND(E11*M11,-3)</f>
        <v>1230000</v>
      </c>
      <c r="P11" s="215">
        <f aca="true" t="shared" si="1" ref="P11:P19">ROUND(E11*M11,-3)</f>
        <v>1230000</v>
      </c>
      <c r="Q11" s="216"/>
      <c r="R11" s="183"/>
      <c r="S11" s="13"/>
      <c r="T11" s="181"/>
    </row>
    <row r="12" spans="1:20" ht="28.5" customHeight="1">
      <c r="A12" s="49"/>
      <c r="B12" s="50"/>
      <c r="C12" s="210" t="s">
        <v>36</v>
      </c>
      <c r="D12" s="178" t="s">
        <v>11</v>
      </c>
      <c r="E12" s="211">
        <v>1</v>
      </c>
      <c r="F12" s="178"/>
      <c r="G12" s="212"/>
      <c r="H12" s="213"/>
      <c r="I12" s="213"/>
      <c r="J12" s="213"/>
      <c r="K12" s="211"/>
      <c r="L12" s="56"/>
      <c r="M12" s="214">
        <v>227930</v>
      </c>
      <c r="N12" s="56"/>
      <c r="O12" s="215">
        <f t="shared" si="0"/>
        <v>228000</v>
      </c>
      <c r="P12" s="215">
        <f t="shared" si="1"/>
        <v>228000</v>
      </c>
      <c r="Q12" s="216"/>
      <c r="R12" s="183"/>
      <c r="S12" s="13"/>
      <c r="T12" s="181"/>
    </row>
    <row r="13" spans="1:20" ht="28.5" customHeight="1">
      <c r="A13" s="49"/>
      <c r="B13" s="50"/>
      <c r="C13" s="210" t="s">
        <v>37</v>
      </c>
      <c r="D13" s="178" t="s">
        <v>11</v>
      </c>
      <c r="E13" s="211">
        <v>5</v>
      </c>
      <c r="F13" s="178"/>
      <c r="G13" s="212"/>
      <c r="H13" s="213"/>
      <c r="I13" s="213"/>
      <c r="J13" s="213"/>
      <c r="K13" s="211"/>
      <c r="L13" s="56"/>
      <c r="M13" s="214">
        <v>38340</v>
      </c>
      <c r="N13" s="56"/>
      <c r="O13" s="215">
        <f t="shared" si="0"/>
        <v>192000</v>
      </c>
      <c r="P13" s="215">
        <f t="shared" si="1"/>
        <v>192000</v>
      </c>
      <c r="Q13" s="216"/>
      <c r="R13" s="183"/>
      <c r="S13" s="13"/>
      <c r="T13" s="181"/>
    </row>
    <row r="14" spans="1:20" ht="28.5" customHeight="1">
      <c r="A14" s="49"/>
      <c r="B14" s="50"/>
      <c r="C14" s="210" t="s">
        <v>38</v>
      </c>
      <c r="D14" s="178" t="s">
        <v>11</v>
      </c>
      <c r="E14" s="211">
        <v>4</v>
      </c>
      <c r="F14" s="178"/>
      <c r="G14" s="212"/>
      <c r="H14" s="213"/>
      <c r="I14" s="213"/>
      <c r="J14" s="213"/>
      <c r="K14" s="211"/>
      <c r="L14" s="56"/>
      <c r="M14" s="214">
        <v>532550</v>
      </c>
      <c r="N14" s="56"/>
      <c r="O14" s="215">
        <f t="shared" si="0"/>
        <v>2130000</v>
      </c>
      <c r="P14" s="215">
        <f t="shared" si="1"/>
        <v>2130000</v>
      </c>
      <c r="Q14" s="216"/>
      <c r="R14" s="183"/>
      <c r="S14" s="13"/>
      <c r="T14" s="181"/>
    </row>
    <row r="15" spans="1:20" ht="30.75" customHeight="1">
      <c r="A15" s="49"/>
      <c r="B15" s="50"/>
      <c r="C15" s="210" t="s">
        <v>39</v>
      </c>
      <c r="D15" s="178" t="s">
        <v>11</v>
      </c>
      <c r="E15" s="211">
        <v>7</v>
      </c>
      <c r="F15" s="178"/>
      <c r="G15" s="212"/>
      <c r="H15" s="213"/>
      <c r="I15" s="213"/>
      <c r="J15" s="213"/>
      <c r="K15" s="211"/>
      <c r="L15" s="56"/>
      <c r="M15" s="214">
        <v>42600</v>
      </c>
      <c r="N15" s="56"/>
      <c r="O15" s="215">
        <f t="shared" si="0"/>
        <v>298000</v>
      </c>
      <c r="P15" s="215">
        <f t="shared" si="1"/>
        <v>298000</v>
      </c>
      <c r="Q15" s="216"/>
      <c r="R15" s="183"/>
      <c r="S15" s="13"/>
      <c r="T15" s="181"/>
    </row>
    <row r="16" spans="1:17" ht="29.25" customHeight="1">
      <c r="A16" s="49"/>
      <c r="B16" s="50"/>
      <c r="C16" s="210" t="s">
        <v>255</v>
      </c>
      <c r="D16" s="178" t="s">
        <v>11</v>
      </c>
      <c r="E16" s="211">
        <v>3</v>
      </c>
      <c r="F16" s="178"/>
      <c r="G16" s="212"/>
      <c r="H16" s="213"/>
      <c r="I16" s="213"/>
      <c r="J16" s="213"/>
      <c r="K16" s="211"/>
      <c r="L16" s="64"/>
      <c r="M16" s="217">
        <v>106510</v>
      </c>
      <c r="N16" s="56"/>
      <c r="O16" s="215">
        <f t="shared" si="0"/>
        <v>320000</v>
      </c>
      <c r="P16" s="215">
        <f t="shared" si="1"/>
        <v>320000</v>
      </c>
      <c r="Q16" s="218"/>
    </row>
    <row r="17" spans="1:17" s="23" customFormat="1" ht="28.5" customHeight="1">
      <c r="A17" s="49"/>
      <c r="B17" s="50"/>
      <c r="C17" s="210" t="s">
        <v>40</v>
      </c>
      <c r="D17" s="178" t="s">
        <v>11</v>
      </c>
      <c r="E17" s="211">
        <v>1</v>
      </c>
      <c r="F17" s="178"/>
      <c r="G17" s="212"/>
      <c r="H17" s="213"/>
      <c r="I17" s="213"/>
      <c r="J17" s="213"/>
      <c r="K17" s="211"/>
      <c r="L17" s="69"/>
      <c r="M17" s="217">
        <v>178940</v>
      </c>
      <c r="N17" s="56"/>
      <c r="O17" s="215">
        <f t="shared" si="0"/>
        <v>179000</v>
      </c>
      <c r="P17" s="215">
        <f t="shared" si="1"/>
        <v>179000</v>
      </c>
      <c r="Q17" s="219"/>
    </row>
    <row r="18" spans="1:19" ht="29.25" customHeight="1">
      <c r="A18" s="49"/>
      <c r="B18" s="50"/>
      <c r="C18" s="210" t="s">
        <v>41</v>
      </c>
      <c r="D18" s="178" t="s">
        <v>11</v>
      </c>
      <c r="E18" s="211">
        <v>1</v>
      </c>
      <c r="F18" s="178"/>
      <c r="G18" s="212"/>
      <c r="H18" s="213"/>
      <c r="I18" s="213"/>
      <c r="J18" s="213"/>
      <c r="K18" s="211"/>
      <c r="L18" s="49"/>
      <c r="M18" s="217">
        <v>213020</v>
      </c>
      <c r="N18" s="56"/>
      <c r="O18" s="215">
        <f t="shared" si="0"/>
        <v>213000</v>
      </c>
      <c r="P18" s="215">
        <f t="shared" si="1"/>
        <v>213000</v>
      </c>
      <c r="Q18" s="220"/>
      <c r="R18" s="182"/>
      <c r="S18" s="181"/>
    </row>
    <row r="19" spans="1:19" ht="33.75" customHeight="1">
      <c r="A19" s="49"/>
      <c r="B19" s="50"/>
      <c r="C19" s="210" t="s">
        <v>42</v>
      </c>
      <c r="D19" s="178" t="s">
        <v>11</v>
      </c>
      <c r="E19" s="211">
        <v>1</v>
      </c>
      <c r="F19" s="178"/>
      <c r="G19" s="212"/>
      <c r="H19" s="213"/>
      <c r="I19" s="213"/>
      <c r="J19" s="213"/>
      <c r="K19" s="211"/>
      <c r="L19" s="49"/>
      <c r="M19" s="217">
        <v>42600</v>
      </c>
      <c r="N19" s="56"/>
      <c r="O19" s="215">
        <f t="shared" si="0"/>
        <v>43000</v>
      </c>
      <c r="P19" s="215">
        <f t="shared" si="1"/>
        <v>43000</v>
      </c>
      <c r="Q19" s="220"/>
      <c r="R19" s="7"/>
      <c r="S19" s="181"/>
    </row>
    <row r="20" spans="1:17" ht="26.25" customHeight="1">
      <c r="A20" s="63"/>
      <c r="B20" s="63"/>
      <c r="C20" s="179" t="s">
        <v>9</v>
      </c>
      <c r="D20" s="178"/>
      <c r="E20" s="178"/>
      <c r="F20" s="178"/>
      <c r="G20" s="178"/>
      <c r="H20" s="213"/>
      <c r="I20" s="221"/>
      <c r="J20" s="213"/>
      <c r="K20" s="211"/>
      <c r="L20" s="64"/>
      <c r="M20" s="217"/>
      <c r="N20" s="64"/>
      <c r="O20" s="222"/>
      <c r="P20" s="222"/>
      <c r="Q20" s="223"/>
    </row>
    <row r="21" spans="1:17" s="23" customFormat="1" ht="81" customHeight="1">
      <c r="A21" s="49"/>
      <c r="B21" s="50"/>
      <c r="C21" s="210" t="s">
        <v>17</v>
      </c>
      <c r="D21" s="178" t="s">
        <v>2</v>
      </c>
      <c r="E21" s="178"/>
      <c r="F21" s="224">
        <v>7</v>
      </c>
      <c r="G21" s="178">
        <v>1</v>
      </c>
      <c r="H21" s="225">
        <v>654.4</v>
      </c>
      <c r="I21" s="225">
        <v>51.5</v>
      </c>
      <c r="J21" s="213">
        <f>H21-I21</f>
        <v>602.9</v>
      </c>
      <c r="K21" s="226" t="s">
        <v>257</v>
      </c>
      <c r="L21" s="69" t="s">
        <v>19</v>
      </c>
      <c r="M21" s="217">
        <v>36000</v>
      </c>
      <c r="N21" s="79">
        <v>1</v>
      </c>
      <c r="O21" s="227">
        <f>ROUND(M21*I21*N21,-3)</f>
        <v>1854000</v>
      </c>
      <c r="P21" s="227">
        <f>ROUND(I21*M21*N21,-3)</f>
        <v>1854000</v>
      </c>
      <c r="Q21" s="223"/>
    </row>
    <row r="22" spans="1:17" s="23" customFormat="1" ht="27" customHeight="1">
      <c r="A22" s="49"/>
      <c r="B22" s="50"/>
      <c r="C22" s="80" t="s">
        <v>24</v>
      </c>
      <c r="D22" s="50"/>
      <c r="E22" s="50"/>
      <c r="F22" s="67"/>
      <c r="G22" s="50"/>
      <c r="H22" s="228"/>
      <c r="I22" s="228"/>
      <c r="J22" s="229"/>
      <c r="K22" s="78"/>
      <c r="L22" s="69"/>
      <c r="M22" s="217"/>
      <c r="N22" s="79"/>
      <c r="O22" s="227"/>
      <c r="P22" s="227"/>
      <c r="Q22" s="223"/>
    </row>
    <row r="23" spans="1:17" s="23" customFormat="1" ht="50.25" customHeight="1">
      <c r="A23" s="81"/>
      <c r="B23" s="82"/>
      <c r="C23" s="230" t="s">
        <v>373</v>
      </c>
      <c r="D23" s="82"/>
      <c r="E23" s="82"/>
      <c r="F23" s="84"/>
      <c r="G23" s="82"/>
      <c r="H23" s="231"/>
      <c r="I23" s="231">
        <f>+I21</f>
        <v>51.5</v>
      </c>
      <c r="J23" s="232"/>
      <c r="K23" s="88"/>
      <c r="L23" s="89"/>
      <c r="M23" s="233">
        <v>3420000</v>
      </c>
      <c r="N23" s="95">
        <v>0.5</v>
      </c>
      <c r="O23" s="234">
        <f>ROUND(M23*I23*N23,-3)</f>
        <v>88065000</v>
      </c>
      <c r="P23" s="234">
        <f>ROUND(I23*M23*N23,-3)</f>
        <v>88065000</v>
      </c>
      <c r="Q23" s="235"/>
    </row>
    <row r="24" spans="1:20" ht="36" customHeight="1">
      <c r="A24" s="35">
        <v>2</v>
      </c>
      <c r="B24" s="3"/>
      <c r="C24" s="196" t="s">
        <v>50</v>
      </c>
      <c r="D24" s="197"/>
      <c r="E24" s="197"/>
      <c r="F24" s="197"/>
      <c r="G24" s="198"/>
      <c r="H24" s="199"/>
      <c r="I24" s="199"/>
      <c r="J24" s="199"/>
      <c r="K24" s="200"/>
      <c r="L24" s="35"/>
      <c r="M24" s="236"/>
      <c r="N24" s="201"/>
      <c r="O24" s="202">
        <f>SUM(O26:O41)</f>
        <v>196233000</v>
      </c>
      <c r="P24" s="202">
        <f>SUM(P26:P41)</f>
        <v>196233000</v>
      </c>
      <c r="Q24" s="203"/>
      <c r="R24" s="6"/>
      <c r="S24" s="182"/>
      <c r="T24" s="181"/>
    </row>
    <row r="25" spans="1:20" ht="23.25" customHeight="1">
      <c r="A25" s="42"/>
      <c r="B25" s="42"/>
      <c r="C25" s="204" t="s">
        <v>8</v>
      </c>
      <c r="D25" s="205"/>
      <c r="E25" s="205"/>
      <c r="F25" s="205"/>
      <c r="G25" s="206"/>
      <c r="H25" s="207"/>
      <c r="I25" s="207"/>
      <c r="J25" s="207"/>
      <c r="K25" s="208"/>
      <c r="L25" s="44"/>
      <c r="M25" s="237"/>
      <c r="N25" s="42"/>
      <c r="O25" s="209"/>
      <c r="P25" s="209"/>
      <c r="Q25" s="47"/>
      <c r="R25" s="6"/>
      <c r="S25" s="7"/>
      <c r="T25" s="181"/>
    </row>
    <row r="26" spans="1:20" ht="36" customHeight="1">
      <c r="A26" s="49"/>
      <c r="B26" s="50" t="s">
        <v>371</v>
      </c>
      <c r="C26" s="210" t="s">
        <v>258</v>
      </c>
      <c r="D26" s="178" t="s">
        <v>2</v>
      </c>
      <c r="E26" s="211">
        <f>(4.3*1.1)+(16*1.5)+(4*1.2)</f>
        <v>33.53</v>
      </c>
      <c r="F26" s="178"/>
      <c r="G26" s="212"/>
      <c r="H26" s="213"/>
      <c r="I26" s="213"/>
      <c r="J26" s="213"/>
      <c r="K26" s="211" t="s">
        <v>58</v>
      </c>
      <c r="L26" s="56"/>
      <c r="M26" s="214">
        <v>792000</v>
      </c>
      <c r="N26" s="58">
        <f>1.03*1.148</f>
        <v>1.18244</v>
      </c>
      <c r="O26" s="215">
        <f>+ROUND(N26*M26*E26,-3)</f>
        <v>31401000</v>
      </c>
      <c r="P26" s="215">
        <f>ROUND(E26*M26*N26,-3)</f>
        <v>31401000</v>
      </c>
      <c r="Q26" s="216"/>
      <c r="R26" s="183"/>
      <c r="S26" s="13"/>
      <c r="T26" s="181"/>
    </row>
    <row r="27" spans="1:20" ht="27.75" customHeight="1">
      <c r="A27" s="49"/>
      <c r="B27" s="50" t="s">
        <v>372</v>
      </c>
      <c r="C27" s="210" t="s">
        <v>51</v>
      </c>
      <c r="D27" s="178" t="s">
        <v>16</v>
      </c>
      <c r="E27" s="211">
        <f>(20.3*1)</f>
        <v>20.3</v>
      </c>
      <c r="F27" s="178"/>
      <c r="G27" s="212"/>
      <c r="H27" s="213"/>
      <c r="I27" s="213"/>
      <c r="J27" s="213"/>
      <c r="K27" s="211" t="s">
        <v>58</v>
      </c>
      <c r="L27" s="56"/>
      <c r="M27" s="214">
        <v>11000</v>
      </c>
      <c r="N27" s="58">
        <f>1.03*1.148</f>
        <v>1.18244</v>
      </c>
      <c r="O27" s="215">
        <f>+ROUND(N27*M27*E27,-3)</f>
        <v>264000</v>
      </c>
      <c r="P27" s="215">
        <f>ROUND(E27*M27*N27,-3)</f>
        <v>264000</v>
      </c>
      <c r="Q27" s="57"/>
      <c r="R27" s="183"/>
      <c r="S27" s="13"/>
      <c r="T27" s="181"/>
    </row>
    <row r="28" spans="1:20" ht="33.75" customHeight="1">
      <c r="A28" s="49"/>
      <c r="B28" s="50" t="s">
        <v>369</v>
      </c>
      <c r="C28" s="210" t="s">
        <v>259</v>
      </c>
      <c r="D28" s="178" t="s">
        <v>16</v>
      </c>
      <c r="E28" s="211">
        <f>(0.15*0.15)*7</f>
        <v>0.1575</v>
      </c>
      <c r="F28" s="178"/>
      <c r="G28" s="212"/>
      <c r="H28" s="213"/>
      <c r="I28" s="213"/>
      <c r="J28" s="213"/>
      <c r="K28" s="211" t="s">
        <v>58</v>
      </c>
      <c r="L28" s="56"/>
      <c r="M28" s="214">
        <v>2828000</v>
      </c>
      <c r="N28" s="58">
        <f>1.03*1.148</f>
        <v>1.18244</v>
      </c>
      <c r="O28" s="215">
        <f>+ROUND(N28*M28*E28,-3)</f>
        <v>527000</v>
      </c>
      <c r="P28" s="215">
        <f>ROUND(E28*M28*N28,-3)</f>
        <v>527000</v>
      </c>
      <c r="Q28" s="216"/>
      <c r="R28" s="183"/>
      <c r="S28" s="13"/>
      <c r="T28" s="181"/>
    </row>
    <row r="29" spans="1:20" ht="33" customHeight="1">
      <c r="A29" s="49"/>
      <c r="B29" s="50" t="s">
        <v>369</v>
      </c>
      <c r="C29" s="210" t="s">
        <v>260</v>
      </c>
      <c r="D29" s="178" t="s">
        <v>16</v>
      </c>
      <c r="E29" s="211">
        <f>(0.3*0.3*2)*2</f>
        <v>0.36</v>
      </c>
      <c r="F29" s="178"/>
      <c r="G29" s="212"/>
      <c r="H29" s="213"/>
      <c r="I29" s="213"/>
      <c r="J29" s="213"/>
      <c r="K29" s="211" t="s">
        <v>58</v>
      </c>
      <c r="L29" s="56"/>
      <c r="M29" s="214">
        <v>2828000</v>
      </c>
      <c r="N29" s="58">
        <f>1.03*1.148</f>
        <v>1.18244</v>
      </c>
      <c r="O29" s="215">
        <f>+ROUND(N29*M29*E29,-3)</f>
        <v>1204000</v>
      </c>
      <c r="P29" s="215">
        <f>ROUND(E29*M29*N29,-3)</f>
        <v>1204000</v>
      </c>
      <c r="Q29" s="216"/>
      <c r="R29" s="183"/>
      <c r="S29" s="13"/>
      <c r="T29" s="181"/>
    </row>
    <row r="30" spans="1:20" ht="35.25" customHeight="1">
      <c r="A30" s="49"/>
      <c r="B30" s="50" t="s">
        <v>374</v>
      </c>
      <c r="C30" s="210" t="s">
        <v>261</v>
      </c>
      <c r="D30" s="178" t="s">
        <v>2</v>
      </c>
      <c r="E30" s="211">
        <f>(2*1.8)</f>
        <v>3.6</v>
      </c>
      <c r="F30" s="178"/>
      <c r="G30" s="212"/>
      <c r="H30" s="213"/>
      <c r="I30" s="213"/>
      <c r="J30" s="213"/>
      <c r="K30" s="211" t="s">
        <v>58</v>
      </c>
      <c r="L30" s="56"/>
      <c r="M30" s="214">
        <v>396000</v>
      </c>
      <c r="N30" s="58">
        <f>1.03*1.148</f>
        <v>1.18244</v>
      </c>
      <c r="O30" s="215">
        <f>+ROUND(N30*M30*E30,-3)</f>
        <v>1686000</v>
      </c>
      <c r="P30" s="215">
        <f>ROUND(E30*M30*N30,-3)</f>
        <v>1686000</v>
      </c>
      <c r="Q30" s="216"/>
      <c r="R30" s="183"/>
      <c r="S30" s="13"/>
      <c r="T30" s="181"/>
    </row>
    <row r="31" spans="1:20" ht="25.5" customHeight="1">
      <c r="A31" s="49"/>
      <c r="B31" s="50"/>
      <c r="C31" s="210" t="s">
        <v>254</v>
      </c>
      <c r="D31" s="178" t="s">
        <v>11</v>
      </c>
      <c r="E31" s="211">
        <v>29</v>
      </c>
      <c r="F31" s="178"/>
      <c r="G31" s="212"/>
      <c r="H31" s="213"/>
      <c r="I31" s="213"/>
      <c r="J31" s="213"/>
      <c r="K31" s="211"/>
      <c r="L31" s="56"/>
      <c r="M31" s="214">
        <v>26730</v>
      </c>
      <c r="N31" s="56"/>
      <c r="O31" s="215">
        <f aca="true" t="shared" si="2" ref="O31:O39">ROUND(E31*M31,-3)</f>
        <v>775000</v>
      </c>
      <c r="P31" s="215">
        <f aca="true" t="shared" si="3" ref="P31:P39">ROUND(E31*M31,-3)</f>
        <v>775000</v>
      </c>
      <c r="Q31" s="216"/>
      <c r="R31" s="183"/>
      <c r="S31" s="13"/>
      <c r="T31" s="181"/>
    </row>
    <row r="32" spans="1:20" ht="25.5" customHeight="1">
      <c r="A32" s="49"/>
      <c r="B32" s="50"/>
      <c r="C32" s="210" t="s">
        <v>52</v>
      </c>
      <c r="D32" s="178" t="s">
        <v>11</v>
      </c>
      <c r="E32" s="211">
        <v>2</v>
      </c>
      <c r="F32" s="178"/>
      <c r="G32" s="212"/>
      <c r="H32" s="213"/>
      <c r="I32" s="213"/>
      <c r="J32" s="213"/>
      <c r="K32" s="211"/>
      <c r="L32" s="56"/>
      <c r="M32" s="214">
        <v>73490</v>
      </c>
      <c r="N32" s="56"/>
      <c r="O32" s="215">
        <f t="shared" si="2"/>
        <v>147000</v>
      </c>
      <c r="P32" s="215">
        <f t="shared" si="3"/>
        <v>147000</v>
      </c>
      <c r="Q32" s="216"/>
      <c r="R32" s="183"/>
      <c r="S32" s="13"/>
      <c r="T32" s="181"/>
    </row>
    <row r="33" spans="1:20" ht="26.25" customHeight="1">
      <c r="A33" s="49"/>
      <c r="B33" s="50"/>
      <c r="C33" s="210" t="s">
        <v>53</v>
      </c>
      <c r="D33" s="178" t="s">
        <v>11</v>
      </c>
      <c r="E33" s="211">
        <v>1</v>
      </c>
      <c r="F33" s="178"/>
      <c r="G33" s="212"/>
      <c r="H33" s="213"/>
      <c r="I33" s="213"/>
      <c r="J33" s="213"/>
      <c r="K33" s="211"/>
      <c r="L33" s="56"/>
      <c r="M33" s="214">
        <v>131010</v>
      </c>
      <c r="N33" s="56"/>
      <c r="O33" s="215">
        <f t="shared" si="2"/>
        <v>131000</v>
      </c>
      <c r="P33" s="215">
        <f t="shared" si="3"/>
        <v>131000</v>
      </c>
      <c r="Q33" s="216"/>
      <c r="R33" s="183"/>
      <c r="S33" s="13"/>
      <c r="T33" s="181"/>
    </row>
    <row r="34" spans="1:17" ht="26.25" customHeight="1">
      <c r="A34" s="49"/>
      <c r="B34" s="50"/>
      <c r="C34" s="210" t="s">
        <v>38</v>
      </c>
      <c r="D34" s="178" t="s">
        <v>11</v>
      </c>
      <c r="E34" s="211">
        <v>4</v>
      </c>
      <c r="F34" s="178"/>
      <c r="G34" s="212"/>
      <c r="H34" s="213"/>
      <c r="I34" s="213"/>
      <c r="J34" s="213"/>
      <c r="K34" s="211"/>
      <c r="L34" s="64"/>
      <c r="M34" s="217">
        <v>532550</v>
      </c>
      <c r="N34" s="56"/>
      <c r="O34" s="215">
        <f t="shared" si="2"/>
        <v>2130000</v>
      </c>
      <c r="P34" s="215">
        <f t="shared" si="3"/>
        <v>2130000</v>
      </c>
      <c r="Q34" s="218"/>
    </row>
    <row r="35" spans="1:17" s="23" customFormat="1" ht="27.75" customHeight="1">
      <c r="A35" s="49"/>
      <c r="B35" s="50"/>
      <c r="C35" s="210" t="s">
        <v>39</v>
      </c>
      <c r="D35" s="178" t="s">
        <v>11</v>
      </c>
      <c r="E35" s="211">
        <v>30</v>
      </c>
      <c r="F35" s="178"/>
      <c r="G35" s="212"/>
      <c r="H35" s="213"/>
      <c r="I35" s="213"/>
      <c r="J35" s="213"/>
      <c r="K35" s="211"/>
      <c r="L35" s="69"/>
      <c r="M35" s="217">
        <v>42600</v>
      </c>
      <c r="N35" s="56"/>
      <c r="O35" s="215">
        <f t="shared" si="2"/>
        <v>1278000</v>
      </c>
      <c r="P35" s="215">
        <f t="shared" si="3"/>
        <v>1278000</v>
      </c>
      <c r="Q35" s="219"/>
    </row>
    <row r="36" spans="1:19" ht="28.5" customHeight="1">
      <c r="A36" s="49"/>
      <c r="B36" s="50"/>
      <c r="C36" s="210" t="s">
        <v>54</v>
      </c>
      <c r="D36" s="178" t="s">
        <v>11</v>
      </c>
      <c r="E36" s="211">
        <v>10</v>
      </c>
      <c r="F36" s="178"/>
      <c r="G36" s="212"/>
      <c r="H36" s="213"/>
      <c r="I36" s="213"/>
      <c r="J36" s="213"/>
      <c r="K36" s="211"/>
      <c r="L36" s="49"/>
      <c r="M36" s="217">
        <v>43670</v>
      </c>
      <c r="N36" s="56"/>
      <c r="O36" s="215">
        <f t="shared" si="2"/>
        <v>437000</v>
      </c>
      <c r="P36" s="215">
        <f t="shared" si="3"/>
        <v>437000</v>
      </c>
      <c r="Q36" s="220"/>
      <c r="R36" s="182"/>
      <c r="S36" s="181"/>
    </row>
    <row r="37" spans="1:19" ht="27" customHeight="1">
      <c r="A37" s="49"/>
      <c r="B37" s="50"/>
      <c r="C37" s="210" t="s">
        <v>55</v>
      </c>
      <c r="D37" s="178" t="s">
        <v>11</v>
      </c>
      <c r="E37" s="211">
        <v>17</v>
      </c>
      <c r="F37" s="178"/>
      <c r="G37" s="212"/>
      <c r="H37" s="213"/>
      <c r="I37" s="213"/>
      <c r="J37" s="213"/>
      <c r="K37" s="211"/>
      <c r="L37" s="49"/>
      <c r="M37" s="217">
        <v>10650</v>
      </c>
      <c r="N37" s="56"/>
      <c r="O37" s="215">
        <f t="shared" si="2"/>
        <v>181000</v>
      </c>
      <c r="P37" s="215">
        <f t="shared" si="3"/>
        <v>181000</v>
      </c>
      <c r="Q37" s="220"/>
      <c r="R37" s="7"/>
      <c r="S37" s="181"/>
    </row>
    <row r="38" spans="1:20" ht="27" customHeight="1">
      <c r="A38" s="49"/>
      <c r="B38" s="50"/>
      <c r="C38" s="210" t="s">
        <v>56</v>
      </c>
      <c r="D38" s="178" t="s">
        <v>11</v>
      </c>
      <c r="E38" s="211">
        <v>6</v>
      </c>
      <c r="F38" s="178"/>
      <c r="G38" s="212"/>
      <c r="H38" s="213"/>
      <c r="I38" s="213"/>
      <c r="J38" s="213"/>
      <c r="K38" s="211"/>
      <c r="L38" s="56"/>
      <c r="M38" s="214">
        <v>4840</v>
      </c>
      <c r="N38" s="56"/>
      <c r="O38" s="215">
        <f t="shared" si="2"/>
        <v>29000</v>
      </c>
      <c r="P38" s="215">
        <f t="shared" si="3"/>
        <v>29000</v>
      </c>
      <c r="Q38" s="216"/>
      <c r="R38" s="183"/>
      <c r="S38" s="13"/>
      <c r="T38" s="181"/>
    </row>
    <row r="39" spans="1:20" ht="24.75" customHeight="1">
      <c r="A39" s="49"/>
      <c r="B39" s="50"/>
      <c r="C39" s="210" t="s">
        <v>57</v>
      </c>
      <c r="D39" s="178" t="s">
        <v>11</v>
      </c>
      <c r="E39" s="211">
        <v>1</v>
      </c>
      <c r="F39" s="178"/>
      <c r="G39" s="212"/>
      <c r="H39" s="213"/>
      <c r="I39" s="213"/>
      <c r="J39" s="213"/>
      <c r="K39" s="211"/>
      <c r="L39" s="56"/>
      <c r="M39" s="214">
        <v>13850</v>
      </c>
      <c r="N39" s="56"/>
      <c r="O39" s="215">
        <f t="shared" si="2"/>
        <v>14000</v>
      </c>
      <c r="P39" s="215">
        <f t="shared" si="3"/>
        <v>14000</v>
      </c>
      <c r="Q39" s="216"/>
      <c r="R39" s="183"/>
      <c r="S39" s="13"/>
      <c r="T39" s="181"/>
    </row>
    <row r="40" spans="1:17" ht="22.5" customHeight="1">
      <c r="A40" s="63"/>
      <c r="B40" s="63"/>
      <c r="C40" s="180" t="s">
        <v>9</v>
      </c>
      <c r="D40" s="50"/>
      <c r="E40" s="50"/>
      <c r="F40" s="63"/>
      <c r="G40" s="63"/>
      <c r="H40" s="229"/>
      <c r="I40" s="238"/>
      <c r="J40" s="229"/>
      <c r="K40" s="63"/>
      <c r="L40" s="64"/>
      <c r="M40" s="217"/>
      <c r="N40" s="56"/>
      <c r="O40" s="215">
        <f>ROUND(E40*M40*N40,-3)</f>
        <v>0</v>
      </c>
      <c r="P40" s="215"/>
      <c r="Q40" s="223"/>
    </row>
    <row r="41" spans="1:17" s="23" customFormat="1" ht="116.25" customHeight="1">
      <c r="A41" s="81"/>
      <c r="B41" s="82"/>
      <c r="C41" s="239" t="s">
        <v>270</v>
      </c>
      <c r="D41" s="240" t="s">
        <v>2</v>
      </c>
      <c r="E41" s="240"/>
      <c r="F41" s="241">
        <v>8</v>
      </c>
      <c r="G41" s="240">
        <v>1</v>
      </c>
      <c r="H41" s="242">
        <v>612</v>
      </c>
      <c r="I41" s="242">
        <v>39.5</v>
      </c>
      <c r="J41" s="243">
        <f>H41-I41</f>
        <v>572.5</v>
      </c>
      <c r="K41" s="244" t="s">
        <v>262</v>
      </c>
      <c r="L41" s="89" t="s">
        <v>60</v>
      </c>
      <c r="M41" s="233">
        <f>3420000+(5%*3420000)</f>
        <v>3591000</v>
      </c>
      <c r="N41" s="245">
        <v>1.1</v>
      </c>
      <c r="O41" s="234">
        <f>ROUND(M41*I41*N41,-3)</f>
        <v>156029000</v>
      </c>
      <c r="P41" s="234">
        <f>ROUND(I41*M41*N41,-3)</f>
        <v>156029000</v>
      </c>
      <c r="Q41" s="82" t="s">
        <v>368</v>
      </c>
    </row>
    <row r="42" spans="1:20" ht="36" customHeight="1">
      <c r="A42" s="35">
        <v>3</v>
      </c>
      <c r="B42" s="3"/>
      <c r="C42" s="196" t="s">
        <v>62</v>
      </c>
      <c r="D42" s="197"/>
      <c r="E42" s="197"/>
      <c r="F42" s="197"/>
      <c r="G42" s="198"/>
      <c r="H42" s="199"/>
      <c r="I42" s="199"/>
      <c r="J42" s="199"/>
      <c r="K42" s="200"/>
      <c r="L42" s="35"/>
      <c r="M42" s="236"/>
      <c r="N42" s="201"/>
      <c r="O42" s="202">
        <f>SUM(O44:O61)</f>
        <v>123781000</v>
      </c>
      <c r="P42" s="202">
        <f>SUM(P44:P61)</f>
        <v>123781000</v>
      </c>
      <c r="Q42" s="203"/>
      <c r="R42" s="6"/>
      <c r="S42" s="182"/>
      <c r="T42" s="181"/>
    </row>
    <row r="43" spans="1:20" ht="21" customHeight="1">
      <c r="A43" s="42"/>
      <c r="B43" s="42"/>
      <c r="C43" s="204" t="s">
        <v>8</v>
      </c>
      <c r="D43" s="205"/>
      <c r="E43" s="205"/>
      <c r="F43" s="205"/>
      <c r="G43" s="206"/>
      <c r="H43" s="207"/>
      <c r="I43" s="207"/>
      <c r="J43" s="207"/>
      <c r="K43" s="208"/>
      <c r="L43" s="44"/>
      <c r="M43" s="237"/>
      <c r="N43" s="42"/>
      <c r="O43" s="209"/>
      <c r="P43" s="209"/>
      <c r="Q43" s="47"/>
      <c r="R43" s="6"/>
      <c r="S43" s="7"/>
      <c r="T43" s="181"/>
    </row>
    <row r="44" spans="1:20" ht="29.25" customHeight="1">
      <c r="A44" s="49"/>
      <c r="B44" s="50" t="s">
        <v>375</v>
      </c>
      <c r="C44" s="210" t="s">
        <v>63</v>
      </c>
      <c r="D44" s="178" t="s">
        <v>64</v>
      </c>
      <c r="E44" s="211">
        <v>1</v>
      </c>
      <c r="F44" s="178"/>
      <c r="G44" s="212"/>
      <c r="H44" s="213"/>
      <c r="I44" s="213"/>
      <c r="J44" s="213"/>
      <c r="K44" s="211" t="s">
        <v>65</v>
      </c>
      <c r="L44" s="56"/>
      <c r="M44" s="214">
        <v>1018000</v>
      </c>
      <c r="N44" s="58">
        <f>1.03*1.148</f>
        <v>1.18244</v>
      </c>
      <c r="O44" s="215">
        <f aca="true" t="shared" si="4" ref="O44:O55">+ROUND(N44*M44*E44,-3)</f>
        <v>1204000</v>
      </c>
      <c r="P44" s="215">
        <f aca="true" t="shared" si="5" ref="P44:P55">ROUND(E44*M44*N44,-3)</f>
        <v>1204000</v>
      </c>
      <c r="Q44" s="216"/>
      <c r="R44" s="183"/>
      <c r="S44" s="13"/>
      <c r="T44" s="181"/>
    </row>
    <row r="45" spans="1:20" ht="35.25" customHeight="1">
      <c r="A45" s="49"/>
      <c r="B45" s="50" t="s">
        <v>376</v>
      </c>
      <c r="C45" s="210" t="s">
        <v>294</v>
      </c>
      <c r="D45" s="178" t="s">
        <v>2</v>
      </c>
      <c r="E45" s="211">
        <f>(10.4*2.8)</f>
        <v>29.119999999999997</v>
      </c>
      <c r="F45" s="178"/>
      <c r="G45" s="212"/>
      <c r="H45" s="213"/>
      <c r="I45" s="213"/>
      <c r="J45" s="213"/>
      <c r="K45" s="211" t="s">
        <v>67</v>
      </c>
      <c r="L45" s="56"/>
      <c r="M45" s="214">
        <v>679000</v>
      </c>
      <c r="N45" s="58">
        <f aca="true" t="shared" si="6" ref="N45:N54">1.03*1.148</f>
        <v>1.18244</v>
      </c>
      <c r="O45" s="215">
        <f t="shared" si="4"/>
        <v>23380000</v>
      </c>
      <c r="P45" s="215">
        <f t="shared" si="5"/>
        <v>23380000</v>
      </c>
      <c r="Q45" s="57"/>
      <c r="R45" s="183"/>
      <c r="S45" s="13"/>
      <c r="T45" s="181"/>
    </row>
    <row r="46" spans="1:20" ht="36.75" customHeight="1">
      <c r="A46" s="49"/>
      <c r="B46" s="50" t="s">
        <v>369</v>
      </c>
      <c r="C46" s="210" t="s">
        <v>295</v>
      </c>
      <c r="D46" s="178" t="s">
        <v>16</v>
      </c>
      <c r="E46" s="211">
        <f>(0.4*0.4*3)*2</f>
        <v>0.9600000000000002</v>
      </c>
      <c r="F46" s="178"/>
      <c r="G46" s="212"/>
      <c r="H46" s="213"/>
      <c r="I46" s="213"/>
      <c r="J46" s="213"/>
      <c r="K46" s="211" t="s">
        <v>67</v>
      </c>
      <c r="L46" s="56"/>
      <c r="M46" s="214">
        <v>2828000</v>
      </c>
      <c r="N46" s="58">
        <f t="shared" si="6"/>
        <v>1.18244</v>
      </c>
      <c r="O46" s="215">
        <f t="shared" si="4"/>
        <v>3210000</v>
      </c>
      <c r="P46" s="215">
        <f t="shared" si="5"/>
        <v>3210000</v>
      </c>
      <c r="Q46" s="216"/>
      <c r="R46" s="183"/>
      <c r="S46" s="13"/>
      <c r="T46" s="181"/>
    </row>
    <row r="47" spans="1:20" ht="29.25" customHeight="1">
      <c r="A47" s="49"/>
      <c r="B47" s="50" t="s">
        <v>377</v>
      </c>
      <c r="C47" s="210" t="s">
        <v>296</v>
      </c>
      <c r="D47" s="178" t="s">
        <v>2</v>
      </c>
      <c r="E47" s="211">
        <f>(0.4*2)*8</f>
        <v>6.4</v>
      </c>
      <c r="F47" s="178"/>
      <c r="G47" s="212"/>
      <c r="H47" s="213"/>
      <c r="I47" s="213"/>
      <c r="J47" s="213"/>
      <c r="K47" s="211" t="s">
        <v>67</v>
      </c>
      <c r="L47" s="56"/>
      <c r="M47" s="214">
        <v>396000</v>
      </c>
      <c r="N47" s="58">
        <f t="shared" si="6"/>
        <v>1.18244</v>
      </c>
      <c r="O47" s="215">
        <f t="shared" si="4"/>
        <v>2997000</v>
      </c>
      <c r="P47" s="215">
        <f t="shared" si="5"/>
        <v>2997000</v>
      </c>
      <c r="Q47" s="216"/>
      <c r="R47" s="183"/>
      <c r="S47" s="13"/>
      <c r="T47" s="181"/>
    </row>
    <row r="48" spans="1:20" ht="49.5" customHeight="1">
      <c r="A48" s="49"/>
      <c r="B48" s="50" t="s">
        <v>378</v>
      </c>
      <c r="C48" s="210" t="s">
        <v>297</v>
      </c>
      <c r="D48" s="178" t="s">
        <v>2</v>
      </c>
      <c r="E48" s="211">
        <f>(7.4*5)</f>
        <v>37</v>
      </c>
      <c r="F48" s="211"/>
      <c r="G48" s="212"/>
      <c r="H48" s="213"/>
      <c r="I48" s="213"/>
      <c r="J48" s="213"/>
      <c r="K48" s="211" t="s">
        <v>71</v>
      </c>
      <c r="L48" s="56"/>
      <c r="M48" s="214">
        <f>453000+339000</f>
        <v>792000</v>
      </c>
      <c r="N48" s="58">
        <f t="shared" si="6"/>
        <v>1.18244</v>
      </c>
      <c r="O48" s="215">
        <f t="shared" si="4"/>
        <v>34650000</v>
      </c>
      <c r="P48" s="215">
        <f t="shared" si="5"/>
        <v>34650000</v>
      </c>
      <c r="Q48" s="216"/>
      <c r="R48" s="183"/>
      <c r="S48" s="13"/>
      <c r="T48" s="181"/>
    </row>
    <row r="49" spans="1:20" ht="33" customHeight="1">
      <c r="A49" s="49"/>
      <c r="B49" s="50" t="s">
        <v>287</v>
      </c>
      <c r="C49" s="210" t="s">
        <v>298</v>
      </c>
      <c r="D49" s="178" t="s">
        <v>2</v>
      </c>
      <c r="E49" s="211">
        <f>(1.5*2.8)</f>
        <v>4.199999999999999</v>
      </c>
      <c r="F49" s="211"/>
      <c r="G49" s="212"/>
      <c r="H49" s="213"/>
      <c r="I49" s="213"/>
      <c r="J49" s="213"/>
      <c r="K49" s="211" t="s">
        <v>65</v>
      </c>
      <c r="L49" s="56"/>
      <c r="M49" s="214">
        <v>339000</v>
      </c>
      <c r="N49" s="58">
        <f t="shared" si="6"/>
        <v>1.18244</v>
      </c>
      <c r="O49" s="215">
        <f t="shared" si="4"/>
        <v>1684000</v>
      </c>
      <c r="P49" s="215">
        <f t="shared" si="5"/>
        <v>1684000</v>
      </c>
      <c r="Q49" s="216"/>
      <c r="R49" s="183"/>
      <c r="S49" s="13"/>
      <c r="T49" s="181"/>
    </row>
    <row r="50" spans="1:20" ht="60" customHeight="1">
      <c r="A50" s="49"/>
      <c r="B50" s="50" t="s">
        <v>378</v>
      </c>
      <c r="C50" s="210" t="s">
        <v>299</v>
      </c>
      <c r="D50" s="178" t="s">
        <v>2</v>
      </c>
      <c r="E50" s="211">
        <f>(1.5*6.6)</f>
        <v>9.899999999999999</v>
      </c>
      <c r="F50" s="211"/>
      <c r="G50" s="212"/>
      <c r="H50" s="213"/>
      <c r="I50" s="213"/>
      <c r="J50" s="213"/>
      <c r="K50" s="211" t="s">
        <v>67</v>
      </c>
      <c r="L50" s="56"/>
      <c r="M50" s="214">
        <f>453000+339000</f>
        <v>792000</v>
      </c>
      <c r="N50" s="58">
        <f t="shared" si="6"/>
        <v>1.18244</v>
      </c>
      <c r="O50" s="215">
        <f t="shared" si="4"/>
        <v>9271000</v>
      </c>
      <c r="P50" s="215">
        <f t="shared" si="5"/>
        <v>9271000</v>
      </c>
      <c r="Q50" s="216"/>
      <c r="R50" s="183"/>
      <c r="S50" s="13"/>
      <c r="T50" s="181"/>
    </row>
    <row r="51" spans="1:20" ht="42" customHeight="1">
      <c r="A51" s="49"/>
      <c r="B51" s="246" t="s">
        <v>380</v>
      </c>
      <c r="C51" s="210" t="s">
        <v>300</v>
      </c>
      <c r="D51" s="178" t="s">
        <v>16</v>
      </c>
      <c r="E51" s="211">
        <f>(0.2*0.2*2.3)*4</f>
        <v>0.36800000000000005</v>
      </c>
      <c r="F51" s="178"/>
      <c r="G51" s="212"/>
      <c r="H51" s="213"/>
      <c r="I51" s="213"/>
      <c r="J51" s="213"/>
      <c r="K51" s="211" t="s">
        <v>67</v>
      </c>
      <c r="L51" s="56"/>
      <c r="M51" s="214">
        <v>2828000</v>
      </c>
      <c r="N51" s="58">
        <f t="shared" si="6"/>
        <v>1.18244</v>
      </c>
      <c r="O51" s="215">
        <f t="shared" si="4"/>
        <v>1231000</v>
      </c>
      <c r="P51" s="215">
        <f t="shared" si="5"/>
        <v>1231000</v>
      </c>
      <c r="Q51" s="216"/>
      <c r="R51" s="183"/>
      <c r="S51" s="13"/>
      <c r="T51" s="181"/>
    </row>
    <row r="52" spans="1:17" ht="36" customHeight="1">
      <c r="A52" s="49"/>
      <c r="B52" s="50" t="s">
        <v>381</v>
      </c>
      <c r="C52" s="210" t="s">
        <v>301</v>
      </c>
      <c r="D52" s="178" t="s">
        <v>2</v>
      </c>
      <c r="E52" s="211">
        <f>(2.2*2.4)</f>
        <v>5.28</v>
      </c>
      <c r="F52" s="178"/>
      <c r="G52" s="212"/>
      <c r="H52" s="213"/>
      <c r="I52" s="213"/>
      <c r="J52" s="213"/>
      <c r="K52" s="211" t="s">
        <v>67</v>
      </c>
      <c r="L52" s="64"/>
      <c r="M52" s="217">
        <v>679000</v>
      </c>
      <c r="N52" s="58">
        <f t="shared" si="6"/>
        <v>1.18244</v>
      </c>
      <c r="O52" s="215">
        <f t="shared" si="4"/>
        <v>4239000</v>
      </c>
      <c r="P52" s="215">
        <f t="shared" si="5"/>
        <v>4239000</v>
      </c>
      <c r="Q52" s="218"/>
    </row>
    <row r="53" spans="1:17" s="23" customFormat="1" ht="39" customHeight="1">
      <c r="A53" s="49"/>
      <c r="B53" s="50" t="s">
        <v>382</v>
      </c>
      <c r="C53" s="210" t="s">
        <v>302</v>
      </c>
      <c r="D53" s="178" t="s">
        <v>2</v>
      </c>
      <c r="E53" s="211">
        <f>(5.8*1.7)</f>
        <v>9.86</v>
      </c>
      <c r="F53" s="211"/>
      <c r="G53" s="212"/>
      <c r="H53" s="213"/>
      <c r="I53" s="213"/>
      <c r="J53" s="213"/>
      <c r="K53" s="211" t="s">
        <v>67</v>
      </c>
      <c r="L53" s="69"/>
      <c r="M53" s="217">
        <v>59000</v>
      </c>
      <c r="N53" s="58">
        <f t="shared" si="6"/>
        <v>1.18244</v>
      </c>
      <c r="O53" s="215">
        <f t="shared" si="4"/>
        <v>688000</v>
      </c>
      <c r="P53" s="215">
        <f t="shared" si="5"/>
        <v>688000</v>
      </c>
      <c r="Q53" s="219"/>
    </row>
    <row r="54" spans="1:19" ht="39" customHeight="1">
      <c r="A54" s="49"/>
      <c r="B54" s="50" t="s">
        <v>383</v>
      </c>
      <c r="C54" s="210" t="s">
        <v>77</v>
      </c>
      <c r="D54" s="178" t="s">
        <v>78</v>
      </c>
      <c r="E54" s="211">
        <v>2</v>
      </c>
      <c r="F54" s="178"/>
      <c r="G54" s="212"/>
      <c r="H54" s="213"/>
      <c r="I54" s="213"/>
      <c r="J54" s="213"/>
      <c r="K54" s="211"/>
      <c r="L54" s="49"/>
      <c r="M54" s="217">
        <v>40000</v>
      </c>
      <c r="N54" s="58">
        <f t="shared" si="6"/>
        <v>1.18244</v>
      </c>
      <c r="O54" s="215">
        <f t="shared" si="4"/>
        <v>95000</v>
      </c>
      <c r="P54" s="215">
        <f t="shared" si="5"/>
        <v>95000</v>
      </c>
      <c r="Q54" s="220"/>
      <c r="R54" s="182"/>
      <c r="S54" s="181"/>
    </row>
    <row r="55" spans="1:19" ht="101.25" customHeight="1">
      <c r="A55" s="49"/>
      <c r="B55" s="50" t="s">
        <v>382</v>
      </c>
      <c r="C55" s="210" t="s">
        <v>302</v>
      </c>
      <c r="D55" s="178" t="s">
        <v>2</v>
      </c>
      <c r="E55" s="211">
        <f>(5.8*1.7)</f>
        <v>9.86</v>
      </c>
      <c r="F55" s="211"/>
      <c r="G55" s="212"/>
      <c r="H55" s="213"/>
      <c r="I55" s="213"/>
      <c r="J55" s="213"/>
      <c r="K55" s="211" t="s">
        <v>67</v>
      </c>
      <c r="L55" s="69"/>
      <c r="M55" s="217">
        <v>59000</v>
      </c>
      <c r="N55" s="58">
        <f>1.03*1.148</f>
        <v>1.18244</v>
      </c>
      <c r="O55" s="215">
        <f t="shared" si="4"/>
        <v>688000</v>
      </c>
      <c r="P55" s="215">
        <f t="shared" si="5"/>
        <v>688000</v>
      </c>
      <c r="Q55" s="219" t="s">
        <v>384</v>
      </c>
      <c r="R55" s="182"/>
      <c r="S55" s="181"/>
    </row>
    <row r="56" spans="1:19" ht="36.75" customHeight="1">
      <c r="A56" s="49"/>
      <c r="B56" s="50"/>
      <c r="C56" s="210" t="s">
        <v>303</v>
      </c>
      <c r="D56" s="178" t="s">
        <v>80</v>
      </c>
      <c r="E56" s="211">
        <v>2</v>
      </c>
      <c r="F56" s="178"/>
      <c r="G56" s="212"/>
      <c r="H56" s="213"/>
      <c r="I56" s="213"/>
      <c r="J56" s="213"/>
      <c r="K56" s="211"/>
      <c r="L56" s="49"/>
      <c r="M56" s="217">
        <v>53260</v>
      </c>
      <c r="N56" s="79"/>
      <c r="O56" s="215">
        <f>ROUND(E56*M56,-3)</f>
        <v>107000</v>
      </c>
      <c r="P56" s="215">
        <f>ROUND(E56*M56,-3)</f>
        <v>107000</v>
      </c>
      <c r="Q56" s="220"/>
      <c r="R56" s="7"/>
      <c r="S56" s="181"/>
    </row>
    <row r="57" spans="1:20" ht="31.5" customHeight="1">
      <c r="A57" s="49"/>
      <c r="B57" s="50"/>
      <c r="C57" s="210" t="s">
        <v>40</v>
      </c>
      <c r="D57" s="178" t="s">
        <v>11</v>
      </c>
      <c r="E57" s="211">
        <v>1</v>
      </c>
      <c r="F57" s="178"/>
      <c r="G57" s="212"/>
      <c r="H57" s="213"/>
      <c r="I57" s="213"/>
      <c r="J57" s="213"/>
      <c r="K57" s="211"/>
      <c r="L57" s="56"/>
      <c r="M57" s="214">
        <v>178940</v>
      </c>
      <c r="N57" s="79"/>
      <c r="O57" s="215">
        <f>ROUND(E57*M57,-3)</f>
        <v>179000</v>
      </c>
      <c r="P57" s="215">
        <f>ROUND(E57*M57,-3)</f>
        <v>179000</v>
      </c>
      <c r="Q57" s="216"/>
      <c r="R57" s="183"/>
      <c r="S57" s="13"/>
      <c r="T57" s="181"/>
    </row>
    <row r="58" spans="1:17" ht="26.25" customHeight="1">
      <c r="A58" s="63"/>
      <c r="B58" s="63"/>
      <c r="C58" s="247" t="s">
        <v>9</v>
      </c>
      <c r="D58" s="63"/>
      <c r="E58" s="56"/>
      <c r="F58" s="63"/>
      <c r="G58" s="63"/>
      <c r="H58" s="229"/>
      <c r="I58" s="238"/>
      <c r="J58" s="229"/>
      <c r="K58" s="63"/>
      <c r="L58" s="64"/>
      <c r="M58" s="217"/>
      <c r="N58" s="56"/>
      <c r="O58" s="215">
        <f>ROUND(E58*M58*N58,-3)</f>
        <v>0</v>
      </c>
      <c r="P58" s="215"/>
      <c r="Q58" s="223"/>
    </row>
    <row r="59" spans="1:17" s="23" customFormat="1" ht="119.25" customHeight="1">
      <c r="A59" s="49"/>
      <c r="B59" s="50"/>
      <c r="C59" s="210" t="s">
        <v>17</v>
      </c>
      <c r="D59" s="178" t="s">
        <v>2</v>
      </c>
      <c r="E59" s="178"/>
      <c r="F59" s="224">
        <v>12</v>
      </c>
      <c r="G59" s="178">
        <v>1</v>
      </c>
      <c r="H59" s="225">
        <v>146.3</v>
      </c>
      <c r="I59" s="225">
        <v>23</v>
      </c>
      <c r="J59" s="213">
        <f>H59-I59</f>
        <v>123.30000000000001</v>
      </c>
      <c r="K59" s="226" t="s">
        <v>304</v>
      </c>
      <c r="L59" s="69" t="s">
        <v>19</v>
      </c>
      <c r="M59" s="217">
        <v>36000</v>
      </c>
      <c r="N59" s="79">
        <v>1</v>
      </c>
      <c r="O59" s="227">
        <f>ROUND(M59*I59*N59,-3)</f>
        <v>828000</v>
      </c>
      <c r="P59" s="227">
        <f>ROUND(I59*M59*N59,-3)</f>
        <v>828000</v>
      </c>
      <c r="Q59" s="223"/>
    </row>
    <row r="60" spans="1:17" s="23" customFormat="1" ht="27.75" customHeight="1">
      <c r="A60" s="49"/>
      <c r="B60" s="50"/>
      <c r="C60" s="80" t="s">
        <v>24</v>
      </c>
      <c r="D60" s="50"/>
      <c r="E60" s="50"/>
      <c r="F60" s="67"/>
      <c r="G60" s="50"/>
      <c r="H60" s="228"/>
      <c r="I60" s="228"/>
      <c r="J60" s="229"/>
      <c r="K60" s="78"/>
      <c r="L60" s="69"/>
      <c r="M60" s="217"/>
      <c r="N60" s="79"/>
      <c r="O60" s="227"/>
      <c r="P60" s="227"/>
      <c r="Q60" s="223"/>
    </row>
    <row r="61" spans="1:17" s="23" customFormat="1" ht="48.75" customHeight="1">
      <c r="A61" s="81"/>
      <c r="B61" s="82"/>
      <c r="C61" s="230" t="s">
        <v>373</v>
      </c>
      <c r="D61" s="82"/>
      <c r="E61" s="82"/>
      <c r="F61" s="84"/>
      <c r="G61" s="82"/>
      <c r="H61" s="231"/>
      <c r="I61" s="231">
        <f>+I59</f>
        <v>23</v>
      </c>
      <c r="J61" s="232"/>
      <c r="K61" s="88"/>
      <c r="L61" s="89"/>
      <c r="M61" s="233">
        <v>3420000</v>
      </c>
      <c r="N61" s="95">
        <v>0.5</v>
      </c>
      <c r="O61" s="234">
        <f>ROUND(M61*I61*N61,-3)</f>
        <v>39330000</v>
      </c>
      <c r="P61" s="234">
        <f>ROUND(I61*M61*N61,-3)</f>
        <v>39330000</v>
      </c>
      <c r="Q61" s="82"/>
    </row>
    <row r="62" spans="1:20" ht="33" customHeight="1">
      <c r="A62" s="35">
        <v>4</v>
      </c>
      <c r="B62" s="35"/>
      <c r="C62" s="196" t="s">
        <v>93</v>
      </c>
      <c r="D62" s="197"/>
      <c r="E62" s="197"/>
      <c r="F62" s="197"/>
      <c r="G62" s="198"/>
      <c r="H62" s="199"/>
      <c r="I62" s="199"/>
      <c r="J62" s="199"/>
      <c r="K62" s="200"/>
      <c r="L62" s="35"/>
      <c r="M62" s="236"/>
      <c r="N62" s="201"/>
      <c r="O62" s="202">
        <f>SUM(O64:O75)</f>
        <v>76362000</v>
      </c>
      <c r="P62" s="202">
        <f>SUM(P64:P75)</f>
        <v>76362000</v>
      </c>
      <c r="Q62" s="203"/>
      <c r="R62" s="6"/>
      <c r="S62" s="182"/>
      <c r="T62" s="181"/>
    </row>
    <row r="63" spans="1:20" ht="23.25" customHeight="1">
      <c r="A63" s="42"/>
      <c r="B63" s="42"/>
      <c r="C63" s="204" t="s">
        <v>8</v>
      </c>
      <c r="D63" s="205"/>
      <c r="E63" s="205"/>
      <c r="F63" s="205"/>
      <c r="G63" s="206"/>
      <c r="H63" s="207"/>
      <c r="I63" s="207"/>
      <c r="J63" s="207"/>
      <c r="K63" s="208"/>
      <c r="L63" s="44"/>
      <c r="M63" s="237"/>
      <c r="N63" s="42"/>
      <c r="O63" s="209"/>
      <c r="P63" s="209"/>
      <c r="Q63" s="47"/>
      <c r="R63" s="6"/>
      <c r="S63" s="7"/>
      <c r="T63" s="181"/>
    </row>
    <row r="64" spans="1:20" ht="32.25" customHeight="1">
      <c r="A64" s="49"/>
      <c r="B64" s="50" t="s">
        <v>375</v>
      </c>
      <c r="C64" s="210" t="s">
        <v>63</v>
      </c>
      <c r="D64" s="178" t="s">
        <v>64</v>
      </c>
      <c r="E64" s="211">
        <v>1</v>
      </c>
      <c r="F64" s="178"/>
      <c r="G64" s="212"/>
      <c r="H64" s="213"/>
      <c r="I64" s="213"/>
      <c r="J64" s="213"/>
      <c r="K64" s="211" t="s">
        <v>94</v>
      </c>
      <c r="L64" s="56"/>
      <c r="M64" s="214">
        <v>1018000</v>
      </c>
      <c r="N64" s="58">
        <f>1.03*1.148</f>
        <v>1.18244</v>
      </c>
      <c r="O64" s="215">
        <f aca="true" t="shared" si="7" ref="O64:O69">+ROUND(N64*M64*E64,-3)</f>
        <v>1204000</v>
      </c>
      <c r="P64" s="215">
        <f aca="true" t="shared" si="8" ref="P64:P69">ROUND(E64*M64*N64,-3)</f>
        <v>1204000</v>
      </c>
      <c r="Q64" s="216"/>
      <c r="R64" s="183"/>
      <c r="S64" s="13"/>
      <c r="T64" s="181"/>
    </row>
    <row r="65" spans="1:20" ht="39" customHeight="1">
      <c r="A65" s="49"/>
      <c r="B65" s="50" t="s">
        <v>376</v>
      </c>
      <c r="C65" s="210" t="s">
        <v>305</v>
      </c>
      <c r="D65" s="178" t="s">
        <v>2</v>
      </c>
      <c r="E65" s="211">
        <f>(14.3*2.1)</f>
        <v>30.03</v>
      </c>
      <c r="F65" s="178"/>
      <c r="G65" s="212"/>
      <c r="H65" s="213"/>
      <c r="I65" s="213"/>
      <c r="J65" s="213"/>
      <c r="K65" s="211" t="s">
        <v>94</v>
      </c>
      <c r="L65" s="56"/>
      <c r="M65" s="214">
        <v>679000</v>
      </c>
      <c r="N65" s="58">
        <f aca="true" t="shared" si="9" ref="N65:N71">1.03*1.148</f>
        <v>1.18244</v>
      </c>
      <c r="O65" s="215">
        <f t="shared" si="7"/>
        <v>24110000</v>
      </c>
      <c r="P65" s="215">
        <f t="shared" si="8"/>
        <v>24110000</v>
      </c>
      <c r="Q65" s="57"/>
      <c r="R65" s="183"/>
      <c r="S65" s="13"/>
      <c r="T65" s="181"/>
    </row>
    <row r="66" spans="1:20" ht="36.75" customHeight="1">
      <c r="A66" s="49"/>
      <c r="B66" s="246" t="s">
        <v>380</v>
      </c>
      <c r="C66" s="210" t="s">
        <v>306</v>
      </c>
      <c r="D66" s="178" t="s">
        <v>16</v>
      </c>
      <c r="E66" s="211">
        <f>(0.2*0.2*2.4)*5</f>
        <v>0.4800000000000001</v>
      </c>
      <c r="F66" s="178"/>
      <c r="G66" s="212"/>
      <c r="H66" s="213"/>
      <c r="I66" s="213"/>
      <c r="J66" s="213"/>
      <c r="K66" s="211" t="s">
        <v>94</v>
      </c>
      <c r="L66" s="56"/>
      <c r="M66" s="214">
        <v>2828000</v>
      </c>
      <c r="N66" s="58">
        <f t="shared" si="9"/>
        <v>1.18244</v>
      </c>
      <c r="O66" s="215">
        <f t="shared" si="7"/>
        <v>1605000</v>
      </c>
      <c r="P66" s="215">
        <f t="shared" si="8"/>
        <v>1605000</v>
      </c>
      <c r="Q66" s="216"/>
      <c r="R66" s="183"/>
      <c r="S66" s="13"/>
      <c r="T66" s="181"/>
    </row>
    <row r="67" spans="1:20" ht="34.5" customHeight="1">
      <c r="A67" s="49"/>
      <c r="B67" s="246" t="s">
        <v>380</v>
      </c>
      <c r="C67" s="210" t="s">
        <v>307</v>
      </c>
      <c r="D67" s="178" t="s">
        <v>16</v>
      </c>
      <c r="E67" s="211">
        <f>(0.3*0.45*3)*2</f>
        <v>0.81</v>
      </c>
      <c r="F67" s="178"/>
      <c r="G67" s="212"/>
      <c r="H67" s="213"/>
      <c r="I67" s="213"/>
      <c r="J67" s="213"/>
      <c r="K67" s="211" t="s">
        <v>94</v>
      </c>
      <c r="L67" s="56"/>
      <c r="M67" s="214">
        <v>2828000</v>
      </c>
      <c r="N67" s="58">
        <f t="shared" si="9"/>
        <v>1.18244</v>
      </c>
      <c r="O67" s="215">
        <f t="shared" si="7"/>
        <v>2709000</v>
      </c>
      <c r="P67" s="215">
        <f t="shared" si="8"/>
        <v>2709000</v>
      </c>
      <c r="Q67" s="216"/>
      <c r="R67" s="183"/>
      <c r="S67" s="13"/>
      <c r="T67" s="181"/>
    </row>
    <row r="68" spans="1:20" ht="32.25" customHeight="1">
      <c r="A68" s="49"/>
      <c r="B68" s="50" t="s">
        <v>381</v>
      </c>
      <c r="C68" s="210" t="s">
        <v>308</v>
      </c>
      <c r="D68" s="178" t="s">
        <v>2</v>
      </c>
      <c r="E68" s="211">
        <f>(2.6*1.9)</f>
        <v>4.9399999999999995</v>
      </c>
      <c r="F68" s="178"/>
      <c r="G68" s="212"/>
      <c r="H68" s="213"/>
      <c r="I68" s="213"/>
      <c r="J68" s="213"/>
      <c r="K68" s="211" t="s">
        <v>94</v>
      </c>
      <c r="L68" s="56"/>
      <c r="M68" s="214">
        <v>679000</v>
      </c>
      <c r="N68" s="58">
        <f t="shared" si="9"/>
        <v>1.18244</v>
      </c>
      <c r="O68" s="215">
        <f t="shared" si="7"/>
        <v>3966000</v>
      </c>
      <c r="P68" s="215">
        <f t="shared" si="8"/>
        <v>3966000</v>
      </c>
      <c r="Q68" s="216"/>
      <c r="R68" s="183"/>
      <c r="S68" s="13"/>
      <c r="T68" s="181"/>
    </row>
    <row r="69" spans="1:20" ht="30" customHeight="1">
      <c r="A69" s="49"/>
      <c r="B69" s="50" t="s">
        <v>292</v>
      </c>
      <c r="C69" s="210" t="s">
        <v>309</v>
      </c>
      <c r="D69" s="178" t="s">
        <v>2</v>
      </c>
      <c r="E69" s="211">
        <f>(2.5*7.7)</f>
        <v>19.25</v>
      </c>
      <c r="F69" s="211"/>
      <c r="G69" s="212"/>
      <c r="H69" s="213"/>
      <c r="I69" s="213"/>
      <c r="J69" s="213"/>
      <c r="K69" s="211" t="s">
        <v>94</v>
      </c>
      <c r="L69" s="56"/>
      <c r="M69" s="214">
        <v>284000</v>
      </c>
      <c r="N69" s="58">
        <f t="shared" si="9"/>
        <v>1.18244</v>
      </c>
      <c r="O69" s="215">
        <f t="shared" si="7"/>
        <v>6464000</v>
      </c>
      <c r="P69" s="215">
        <f t="shared" si="8"/>
        <v>6464000</v>
      </c>
      <c r="Q69" s="216"/>
      <c r="R69" s="183"/>
      <c r="S69" s="13"/>
      <c r="T69" s="181"/>
    </row>
    <row r="70" spans="1:20" ht="31.5" customHeight="1">
      <c r="A70" s="49"/>
      <c r="B70" s="49"/>
      <c r="C70" s="210" t="s">
        <v>303</v>
      </c>
      <c r="D70" s="178" t="s">
        <v>80</v>
      </c>
      <c r="E70" s="211">
        <v>4</v>
      </c>
      <c r="F70" s="178"/>
      <c r="G70" s="212"/>
      <c r="H70" s="213"/>
      <c r="I70" s="213"/>
      <c r="J70" s="213"/>
      <c r="K70" s="211"/>
      <c r="L70" s="56"/>
      <c r="M70" s="214">
        <v>53260</v>
      </c>
      <c r="N70" s="79"/>
      <c r="O70" s="215">
        <f>ROUND(E70*M70,-3)</f>
        <v>213000</v>
      </c>
      <c r="P70" s="215">
        <f>ROUND(E70*M70,-3)</f>
        <v>213000</v>
      </c>
      <c r="Q70" s="216"/>
      <c r="R70" s="183"/>
      <c r="S70" s="13"/>
      <c r="T70" s="181"/>
    </row>
    <row r="71" spans="1:20" ht="32.25" customHeight="1">
      <c r="A71" s="49"/>
      <c r="B71" s="50" t="s">
        <v>383</v>
      </c>
      <c r="C71" s="210" t="s">
        <v>77</v>
      </c>
      <c r="D71" s="178" t="s">
        <v>78</v>
      </c>
      <c r="E71" s="211">
        <v>2.6</v>
      </c>
      <c r="F71" s="211"/>
      <c r="G71" s="212"/>
      <c r="H71" s="213"/>
      <c r="I71" s="213"/>
      <c r="J71" s="213"/>
      <c r="K71" s="211"/>
      <c r="L71" s="56"/>
      <c r="M71" s="214">
        <v>40000</v>
      </c>
      <c r="N71" s="58">
        <f t="shared" si="9"/>
        <v>1.18244</v>
      </c>
      <c r="O71" s="215">
        <f>+ROUND(N71*M71*E71,-3)</f>
        <v>123000</v>
      </c>
      <c r="P71" s="215">
        <f>ROUND(E71*M71*N71,-3)</f>
        <v>123000</v>
      </c>
      <c r="Q71" s="216"/>
      <c r="R71" s="183"/>
      <c r="S71" s="13"/>
      <c r="T71" s="181"/>
    </row>
    <row r="72" spans="1:17" ht="29.25" customHeight="1">
      <c r="A72" s="63"/>
      <c r="B72" s="63"/>
      <c r="C72" s="247" t="s">
        <v>9</v>
      </c>
      <c r="D72" s="63"/>
      <c r="E72" s="56"/>
      <c r="F72" s="63"/>
      <c r="G72" s="63"/>
      <c r="H72" s="229"/>
      <c r="I72" s="238"/>
      <c r="J72" s="229"/>
      <c r="K72" s="63"/>
      <c r="L72" s="64"/>
      <c r="M72" s="217"/>
      <c r="N72" s="56"/>
      <c r="O72" s="215">
        <f>ROUND(E72*M72*N72,-3)</f>
        <v>0</v>
      </c>
      <c r="P72" s="215"/>
      <c r="Q72" s="223"/>
    </row>
    <row r="73" spans="1:17" s="23" customFormat="1" ht="88.5" customHeight="1">
      <c r="A73" s="49"/>
      <c r="B73" s="50"/>
      <c r="C73" s="210" t="s">
        <v>17</v>
      </c>
      <c r="D73" s="178" t="s">
        <v>2</v>
      </c>
      <c r="E73" s="178"/>
      <c r="F73" s="224">
        <v>15</v>
      </c>
      <c r="G73" s="178">
        <v>1</v>
      </c>
      <c r="H73" s="225">
        <v>168</v>
      </c>
      <c r="I73" s="225">
        <v>20.6</v>
      </c>
      <c r="J73" s="213">
        <f>H73-I73</f>
        <v>147.4</v>
      </c>
      <c r="K73" s="226" t="s">
        <v>310</v>
      </c>
      <c r="L73" s="69" t="s">
        <v>19</v>
      </c>
      <c r="M73" s="217">
        <v>36000</v>
      </c>
      <c r="N73" s="79">
        <v>1</v>
      </c>
      <c r="O73" s="227">
        <f>ROUND(M73*I73*N73,-3)</f>
        <v>742000</v>
      </c>
      <c r="P73" s="227">
        <f>ROUND(I73*M73*N73,-3)</f>
        <v>742000</v>
      </c>
      <c r="Q73" s="223"/>
    </row>
    <row r="74" spans="1:17" s="23" customFormat="1" ht="29.25" customHeight="1">
      <c r="A74" s="49"/>
      <c r="B74" s="50"/>
      <c r="C74" s="80" t="s">
        <v>24</v>
      </c>
      <c r="D74" s="50"/>
      <c r="E74" s="50"/>
      <c r="F74" s="67"/>
      <c r="G74" s="50"/>
      <c r="H74" s="228"/>
      <c r="I74" s="228"/>
      <c r="J74" s="229"/>
      <c r="K74" s="78"/>
      <c r="L74" s="69"/>
      <c r="M74" s="217"/>
      <c r="N74" s="79"/>
      <c r="O74" s="227"/>
      <c r="P74" s="227"/>
      <c r="Q74" s="223"/>
    </row>
    <row r="75" spans="1:17" s="23" customFormat="1" ht="47.25" customHeight="1">
      <c r="A75" s="81"/>
      <c r="B75" s="82"/>
      <c r="C75" s="230" t="s">
        <v>373</v>
      </c>
      <c r="D75" s="82"/>
      <c r="E75" s="82"/>
      <c r="F75" s="84"/>
      <c r="G75" s="82"/>
      <c r="H75" s="231"/>
      <c r="I75" s="231">
        <f>+I73</f>
        <v>20.6</v>
      </c>
      <c r="J75" s="232"/>
      <c r="K75" s="88"/>
      <c r="L75" s="89"/>
      <c r="M75" s="233">
        <v>3420000</v>
      </c>
      <c r="N75" s="95">
        <v>0.5</v>
      </c>
      <c r="O75" s="234">
        <f>ROUND(M75*I75*N75,-3)</f>
        <v>35226000</v>
      </c>
      <c r="P75" s="234">
        <f>ROUND(I75*M75*N75,-3)</f>
        <v>35226000</v>
      </c>
      <c r="Q75" s="82"/>
    </row>
    <row r="76" spans="1:20" ht="42.75" customHeight="1">
      <c r="A76" s="35">
        <v>5</v>
      </c>
      <c r="B76" s="35"/>
      <c r="C76" s="36" t="s">
        <v>263</v>
      </c>
      <c r="D76" s="3"/>
      <c r="E76" s="3"/>
      <c r="F76" s="3"/>
      <c r="G76" s="35"/>
      <c r="H76" s="248"/>
      <c r="I76" s="248"/>
      <c r="J76" s="248"/>
      <c r="K76" s="249"/>
      <c r="L76" s="35"/>
      <c r="M76" s="236"/>
      <c r="N76" s="201"/>
      <c r="O76" s="202">
        <f>SUM(O77:O84)</f>
        <v>46407000</v>
      </c>
      <c r="P76" s="202">
        <f>SUM(P77:P84)</f>
        <v>46407000</v>
      </c>
      <c r="Q76" s="203"/>
      <c r="R76" s="6"/>
      <c r="S76" s="182"/>
      <c r="T76" s="181"/>
    </row>
    <row r="77" spans="1:20" ht="24" customHeight="1">
      <c r="A77" s="250"/>
      <c r="B77" s="44"/>
      <c r="C77" s="43" t="s">
        <v>8</v>
      </c>
      <c r="D77" s="42"/>
      <c r="E77" s="42"/>
      <c r="F77" s="42"/>
      <c r="G77" s="44"/>
      <c r="H77" s="251"/>
      <c r="I77" s="251"/>
      <c r="J77" s="251"/>
      <c r="K77" s="98"/>
      <c r="L77" s="98"/>
      <c r="M77" s="252"/>
      <c r="N77" s="253"/>
      <c r="O77" s="254">
        <f>+ROUND(N77*M77*E77,-3)</f>
        <v>0</v>
      </c>
      <c r="P77" s="254"/>
      <c r="Q77" s="255"/>
      <c r="R77" s="183"/>
      <c r="S77" s="13"/>
      <c r="T77" s="181"/>
    </row>
    <row r="78" spans="1:20" ht="32.25" customHeight="1">
      <c r="A78" s="256"/>
      <c r="B78" s="50" t="s">
        <v>292</v>
      </c>
      <c r="C78" s="257" t="s">
        <v>311</v>
      </c>
      <c r="D78" s="50" t="s">
        <v>2</v>
      </c>
      <c r="E78" s="56">
        <f>(2.1*9)</f>
        <v>18.900000000000002</v>
      </c>
      <c r="F78" s="50"/>
      <c r="G78" s="49"/>
      <c r="H78" s="229"/>
      <c r="I78" s="229"/>
      <c r="J78" s="229"/>
      <c r="K78" s="56" t="s">
        <v>104</v>
      </c>
      <c r="L78" s="56"/>
      <c r="M78" s="214">
        <v>284000</v>
      </c>
      <c r="N78" s="58">
        <f>1.03*1.148</f>
        <v>1.18244</v>
      </c>
      <c r="O78" s="215">
        <f>+ROUND(N78*M78*E78,-3)</f>
        <v>6347000</v>
      </c>
      <c r="P78" s="215">
        <f>ROUND(E78*M78*N78,-3)</f>
        <v>6347000</v>
      </c>
      <c r="Q78" s="57"/>
      <c r="R78" s="183"/>
      <c r="S78" s="13"/>
      <c r="T78" s="181"/>
    </row>
    <row r="79" spans="1:20" ht="46.5" customHeight="1">
      <c r="A79" s="256"/>
      <c r="B79" s="50" t="s">
        <v>292</v>
      </c>
      <c r="C79" s="257" t="s">
        <v>312</v>
      </c>
      <c r="D79" s="50" t="s">
        <v>2</v>
      </c>
      <c r="E79" s="56">
        <f>(1.2*9)</f>
        <v>10.799999999999999</v>
      </c>
      <c r="F79" s="50"/>
      <c r="G79" s="49"/>
      <c r="H79" s="229"/>
      <c r="I79" s="229"/>
      <c r="J79" s="229"/>
      <c r="K79" s="56" t="s">
        <v>313</v>
      </c>
      <c r="L79" s="56"/>
      <c r="M79" s="214">
        <v>284000</v>
      </c>
      <c r="N79" s="58">
        <f>1.03*1.148</f>
        <v>1.18244</v>
      </c>
      <c r="O79" s="215">
        <f>+ROUND(N79*M79*E79*80%,-3)</f>
        <v>2901000</v>
      </c>
      <c r="P79" s="215">
        <f>ROUND(E79*M79*N79*80%,-3)</f>
        <v>2901000</v>
      </c>
      <c r="Q79" s="216" t="s">
        <v>385</v>
      </c>
      <c r="R79" s="183"/>
      <c r="S79" s="13"/>
      <c r="T79" s="181"/>
    </row>
    <row r="80" spans="1:20" ht="35.25" customHeight="1">
      <c r="A80" s="49"/>
      <c r="B80" s="50" t="s">
        <v>371</v>
      </c>
      <c r="C80" s="51" t="s">
        <v>314</v>
      </c>
      <c r="D80" s="50" t="s">
        <v>2</v>
      </c>
      <c r="E80" s="56">
        <f>(2.7*1.3)</f>
        <v>3.5100000000000002</v>
      </c>
      <c r="F80" s="50"/>
      <c r="G80" s="49"/>
      <c r="H80" s="229"/>
      <c r="I80" s="229"/>
      <c r="J80" s="229"/>
      <c r="K80" s="56" t="s">
        <v>104</v>
      </c>
      <c r="L80" s="56"/>
      <c r="M80" s="214">
        <v>792000</v>
      </c>
      <c r="N80" s="58">
        <f>1.03*1.148</f>
        <v>1.18244</v>
      </c>
      <c r="O80" s="215">
        <f>+ROUND(N80*M80*E80,-3)</f>
        <v>3287000</v>
      </c>
      <c r="P80" s="215">
        <f>ROUND(E80*M80*N80,-3)</f>
        <v>3287000</v>
      </c>
      <c r="Q80" s="216"/>
      <c r="R80" s="183"/>
      <c r="S80" s="13"/>
      <c r="T80" s="181"/>
    </row>
    <row r="81" spans="1:17" ht="24.75" customHeight="1">
      <c r="A81" s="63"/>
      <c r="B81" s="63"/>
      <c r="C81" s="247" t="s">
        <v>9</v>
      </c>
      <c r="D81" s="63"/>
      <c r="E81" s="56"/>
      <c r="F81" s="63"/>
      <c r="G81" s="63"/>
      <c r="H81" s="229"/>
      <c r="I81" s="238"/>
      <c r="J81" s="229"/>
      <c r="K81" s="63"/>
      <c r="L81" s="64"/>
      <c r="M81" s="217"/>
      <c r="N81" s="56"/>
      <c r="O81" s="215">
        <f>ROUND(E81*M81*N81,-3)</f>
        <v>0</v>
      </c>
      <c r="P81" s="215"/>
      <c r="Q81" s="223"/>
    </row>
    <row r="82" spans="1:17" s="23" customFormat="1" ht="84" customHeight="1">
      <c r="A82" s="49"/>
      <c r="B82" s="50"/>
      <c r="C82" s="51" t="s">
        <v>17</v>
      </c>
      <c r="D82" s="50" t="s">
        <v>2</v>
      </c>
      <c r="E82" s="50"/>
      <c r="F82" s="67">
        <v>32</v>
      </c>
      <c r="G82" s="50">
        <v>1</v>
      </c>
      <c r="H82" s="228">
        <v>400.1</v>
      </c>
      <c r="I82" s="228">
        <v>19.4</v>
      </c>
      <c r="J82" s="229">
        <f>H82-I82</f>
        <v>380.70000000000005</v>
      </c>
      <c r="K82" s="78" t="s">
        <v>315</v>
      </c>
      <c r="L82" s="69" t="s">
        <v>19</v>
      </c>
      <c r="M82" s="217">
        <v>36000</v>
      </c>
      <c r="N82" s="79">
        <v>1</v>
      </c>
      <c r="O82" s="227">
        <f>ROUND(M82*I82*N82,-3)</f>
        <v>698000</v>
      </c>
      <c r="P82" s="227">
        <f>ROUND(I82*M82*N82,-3)</f>
        <v>698000</v>
      </c>
      <c r="Q82" s="223"/>
    </row>
    <row r="83" spans="1:17" s="23" customFormat="1" ht="28.5" customHeight="1">
      <c r="A83" s="49"/>
      <c r="B83" s="50"/>
      <c r="C83" s="80" t="s">
        <v>24</v>
      </c>
      <c r="D83" s="50"/>
      <c r="E83" s="50"/>
      <c r="F83" s="67"/>
      <c r="G83" s="50"/>
      <c r="H83" s="228"/>
      <c r="I83" s="228"/>
      <c r="J83" s="229"/>
      <c r="K83" s="78"/>
      <c r="L83" s="69"/>
      <c r="M83" s="217"/>
      <c r="N83" s="79"/>
      <c r="O83" s="227"/>
      <c r="P83" s="227"/>
      <c r="Q83" s="223"/>
    </row>
    <row r="84" spans="1:17" s="23" customFormat="1" ht="49.5" customHeight="1">
      <c r="A84" s="81"/>
      <c r="B84" s="82"/>
      <c r="C84" s="230" t="s">
        <v>373</v>
      </c>
      <c r="D84" s="82"/>
      <c r="E84" s="82"/>
      <c r="F84" s="84"/>
      <c r="G84" s="82"/>
      <c r="H84" s="231"/>
      <c r="I84" s="231">
        <f>+I82</f>
        <v>19.4</v>
      </c>
      <c r="J84" s="232"/>
      <c r="K84" s="88"/>
      <c r="L84" s="89"/>
      <c r="M84" s="233">
        <v>3420000</v>
      </c>
      <c r="N84" s="95">
        <v>0.5</v>
      </c>
      <c r="O84" s="234">
        <f>ROUND(M84*I84*N84,-3)</f>
        <v>33174000</v>
      </c>
      <c r="P84" s="234">
        <f>ROUND(I84*M84*N84,-3)</f>
        <v>33174000</v>
      </c>
      <c r="Q84" s="82"/>
    </row>
    <row r="85" spans="1:20" ht="41.25" customHeight="1">
      <c r="A85" s="35">
        <v>6</v>
      </c>
      <c r="B85" s="35"/>
      <c r="C85" s="196" t="s">
        <v>109</v>
      </c>
      <c r="D85" s="197"/>
      <c r="E85" s="197"/>
      <c r="F85" s="197"/>
      <c r="G85" s="198"/>
      <c r="H85" s="199"/>
      <c r="I85" s="199"/>
      <c r="J85" s="199"/>
      <c r="K85" s="200"/>
      <c r="L85" s="35"/>
      <c r="M85" s="236"/>
      <c r="N85" s="201"/>
      <c r="O85" s="202">
        <f>SUM(O87:O98)</f>
        <v>142562000</v>
      </c>
      <c r="P85" s="202">
        <f>SUM(P87:P98)</f>
        <v>142562000</v>
      </c>
      <c r="Q85" s="203"/>
      <c r="R85" s="6"/>
      <c r="S85" s="182"/>
      <c r="T85" s="181"/>
    </row>
    <row r="86" spans="1:20" ht="27" customHeight="1">
      <c r="A86" s="42"/>
      <c r="B86" s="42"/>
      <c r="C86" s="204" t="s">
        <v>8</v>
      </c>
      <c r="D86" s="205"/>
      <c r="E86" s="205"/>
      <c r="F86" s="205"/>
      <c r="G86" s="206"/>
      <c r="H86" s="207"/>
      <c r="I86" s="207"/>
      <c r="J86" s="207"/>
      <c r="K86" s="208"/>
      <c r="L86" s="44"/>
      <c r="M86" s="237"/>
      <c r="N86" s="42"/>
      <c r="O86" s="209"/>
      <c r="P86" s="209"/>
      <c r="Q86" s="47"/>
      <c r="R86" s="6"/>
      <c r="S86" s="7"/>
      <c r="T86" s="181"/>
    </row>
    <row r="87" spans="1:20" ht="49.5" customHeight="1">
      <c r="A87" s="256"/>
      <c r="B87" s="50" t="s">
        <v>378</v>
      </c>
      <c r="C87" s="210" t="s">
        <v>316</v>
      </c>
      <c r="D87" s="178" t="s">
        <v>2</v>
      </c>
      <c r="E87" s="211">
        <f>(1.5*15.3)</f>
        <v>22.950000000000003</v>
      </c>
      <c r="F87" s="178"/>
      <c r="G87" s="212"/>
      <c r="H87" s="213"/>
      <c r="I87" s="213"/>
      <c r="J87" s="213"/>
      <c r="K87" s="211" t="s">
        <v>112</v>
      </c>
      <c r="L87" s="56"/>
      <c r="M87" s="214">
        <f>453000+339000</f>
        <v>792000</v>
      </c>
      <c r="N87" s="58">
        <f aca="true" t="shared" si="10" ref="N87:N94">1.03*1.148</f>
        <v>1.18244</v>
      </c>
      <c r="O87" s="215">
        <f>+ROUND(N87*M87*E87,-3)</f>
        <v>21493000</v>
      </c>
      <c r="P87" s="215">
        <f>ROUND(E87*M87*N87,-3)</f>
        <v>21493000</v>
      </c>
      <c r="Q87" s="216"/>
      <c r="R87" s="183"/>
      <c r="S87" s="13"/>
      <c r="T87" s="181"/>
    </row>
    <row r="88" spans="1:20" ht="57" customHeight="1">
      <c r="A88" s="256"/>
      <c r="B88" s="50" t="s">
        <v>378</v>
      </c>
      <c r="C88" s="210" t="s">
        <v>317</v>
      </c>
      <c r="D88" s="178" t="s">
        <v>2</v>
      </c>
      <c r="E88" s="211">
        <v>38.2</v>
      </c>
      <c r="F88" s="178"/>
      <c r="G88" s="212"/>
      <c r="H88" s="213"/>
      <c r="I88" s="213"/>
      <c r="J88" s="213"/>
      <c r="K88" s="211" t="s">
        <v>318</v>
      </c>
      <c r="L88" s="56"/>
      <c r="M88" s="214">
        <f>453000+339000</f>
        <v>792000</v>
      </c>
      <c r="N88" s="58">
        <f t="shared" si="10"/>
        <v>1.18244</v>
      </c>
      <c r="O88" s="215">
        <f>+ROUND(N88*M88*E88*80%,-3)</f>
        <v>28619000</v>
      </c>
      <c r="P88" s="215">
        <f>ROUND(E88*M88*N88*80%,-3)</f>
        <v>28619000</v>
      </c>
      <c r="Q88" s="216" t="s">
        <v>385</v>
      </c>
      <c r="R88" s="183"/>
      <c r="S88" s="13"/>
      <c r="T88" s="181"/>
    </row>
    <row r="89" spans="1:20" ht="48.75" customHeight="1">
      <c r="A89" s="256"/>
      <c r="B89" s="50" t="s">
        <v>376</v>
      </c>
      <c r="C89" s="210" t="s">
        <v>319</v>
      </c>
      <c r="D89" s="178" t="s">
        <v>2</v>
      </c>
      <c r="E89" s="211">
        <f>(14.6*2.5)</f>
        <v>36.5</v>
      </c>
      <c r="F89" s="178"/>
      <c r="G89" s="212"/>
      <c r="H89" s="213"/>
      <c r="I89" s="213"/>
      <c r="J89" s="213"/>
      <c r="K89" s="211" t="s">
        <v>112</v>
      </c>
      <c r="L89" s="56"/>
      <c r="M89" s="214">
        <v>679000</v>
      </c>
      <c r="N89" s="58">
        <f t="shared" si="10"/>
        <v>1.18244</v>
      </c>
      <c r="O89" s="215">
        <f aca="true" t="shared" si="11" ref="O89:O94">+ROUND(N89*M89*E89,-3)</f>
        <v>29305000</v>
      </c>
      <c r="P89" s="215">
        <f aca="true" t="shared" si="12" ref="P89:P94">ROUND(E89*M89*N89,-3)</f>
        <v>29305000</v>
      </c>
      <c r="Q89" s="216"/>
      <c r="R89" s="183"/>
      <c r="S89" s="13"/>
      <c r="T89" s="181"/>
    </row>
    <row r="90" spans="1:20" ht="45.75" customHeight="1">
      <c r="A90" s="49"/>
      <c r="B90" s="50" t="s">
        <v>386</v>
      </c>
      <c r="C90" s="210" t="s">
        <v>115</v>
      </c>
      <c r="D90" s="178" t="s">
        <v>78</v>
      </c>
      <c r="E90" s="211">
        <v>4</v>
      </c>
      <c r="F90" s="178"/>
      <c r="G90" s="212"/>
      <c r="H90" s="213"/>
      <c r="I90" s="213"/>
      <c r="J90" s="213"/>
      <c r="K90" s="211" t="s">
        <v>112</v>
      </c>
      <c r="L90" s="56"/>
      <c r="M90" s="214">
        <v>28000</v>
      </c>
      <c r="N90" s="58">
        <f t="shared" si="10"/>
        <v>1.18244</v>
      </c>
      <c r="O90" s="215">
        <f t="shared" si="11"/>
        <v>132000</v>
      </c>
      <c r="P90" s="215">
        <f t="shared" si="12"/>
        <v>132000</v>
      </c>
      <c r="Q90" s="216"/>
      <c r="R90" s="183"/>
      <c r="S90" s="13"/>
      <c r="T90" s="181"/>
    </row>
    <row r="91" spans="1:20" ht="52.5" customHeight="1">
      <c r="A91" s="49"/>
      <c r="B91" s="246" t="s">
        <v>380</v>
      </c>
      <c r="C91" s="210" t="s">
        <v>320</v>
      </c>
      <c r="D91" s="178" t="s">
        <v>16</v>
      </c>
      <c r="E91" s="211">
        <f>(0.6*0.6*3.1)*2</f>
        <v>2.2319999999999998</v>
      </c>
      <c r="F91" s="178"/>
      <c r="G91" s="212"/>
      <c r="H91" s="213"/>
      <c r="I91" s="213"/>
      <c r="J91" s="213"/>
      <c r="K91" s="211" t="s">
        <v>112</v>
      </c>
      <c r="L91" s="56"/>
      <c r="M91" s="214">
        <v>2828000</v>
      </c>
      <c r="N91" s="58">
        <f t="shared" si="10"/>
        <v>1.18244</v>
      </c>
      <c r="O91" s="215">
        <f t="shared" si="11"/>
        <v>7464000</v>
      </c>
      <c r="P91" s="215">
        <f t="shared" si="12"/>
        <v>7464000</v>
      </c>
      <c r="Q91" s="216"/>
      <c r="R91" s="183"/>
      <c r="S91" s="13"/>
      <c r="T91" s="181"/>
    </row>
    <row r="92" spans="1:20" ht="41.25" customHeight="1">
      <c r="A92" s="49"/>
      <c r="B92" s="246" t="s">
        <v>379</v>
      </c>
      <c r="C92" s="210" t="s">
        <v>117</v>
      </c>
      <c r="D92" s="178" t="s">
        <v>2</v>
      </c>
      <c r="E92" s="211">
        <f>(2.4*0.6)*8</f>
        <v>11.52</v>
      </c>
      <c r="F92" s="178"/>
      <c r="G92" s="212"/>
      <c r="H92" s="213"/>
      <c r="I92" s="213"/>
      <c r="J92" s="213"/>
      <c r="K92" s="211" t="s">
        <v>112</v>
      </c>
      <c r="L92" s="56"/>
      <c r="M92" s="214">
        <v>339000</v>
      </c>
      <c r="N92" s="58">
        <f t="shared" si="10"/>
        <v>1.18244</v>
      </c>
      <c r="O92" s="215">
        <f t="shared" si="11"/>
        <v>4618000</v>
      </c>
      <c r="P92" s="215">
        <f t="shared" si="12"/>
        <v>4618000</v>
      </c>
      <c r="Q92" s="216"/>
      <c r="R92" s="183"/>
      <c r="S92" s="13"/>
      <c r="T92" s="181"/>
    </row>
    <row r="93" spans="1:20" ht="40.5" customHeight="1">
      <c r="A93" s="49"/>
      <c r="B93" s="246" t="s">
        <v>381</v>
      </c>
      <c r="C93" s="210" t="s">
        <v>321</v>
      </c>
      <c r="D93" s="178" t="s">
        <v>2</v>
      </c>
      <c r="E93" s="211">
        <f>(4.5*2)</f>
        <v>9</v>
      </c>
      <c r="F93" s="178"/>
      <c r="G93" s="212"/>
      <c r="H93" s="213"/>
      <c r="I93" s="213"/>
      <c r="J93" s="213"/>
      <c r="K93" s="211" t="s">
        <v>112</v>
      </c>
      <c r="L93" s="56"/>
      <c r="M93" s="214">
        <v>679000</v>
      </c>
      <c r="N93" s="58">
        <f t="shared" si="10"/>
        <v>1.18244</v>
      </c>
      <c r="O93" s="215">
        <f t="shared" si="11"/>
        <v>7226000</v>
      </c>
      <c r="P93" s="215">
        <f t="shared" si="12"/>
        <v>7226000</v>
      </c>
      <c r="Q93" s="216"/>
      <c r="R93" s="183"/>
      <c r="S93" s="13"/>
      <c r="T93" s="181"/>
    </row>
    <row r="94" spans="1:20" ht="44.25" customHeight="1">
      <c r="A94" s="49"/>
      <c r="B94" s="50" t="s">
        <v>383</v>
      </c>
      <c r="C94" s="210" t="s">
        <v>322</v>
      </c>
      <c r="D94" s="178" t="s">
        <v>78</v>
      </c>
      <c r="E94" s="211">
        <v>30.7</v>
      </c>
      <c r="F94" s="178"/>
      <c r="G94" s="212"/>
      <c r="H94" s="213"/>
      <c r="I94" s="213"/>
      <c r="J94" s="213"/>
      <c r="K94" s="211" t="s">
        <v>112</v>
      </c>
      <c r="L94" s="56"/>
      <c r="M94" s="214">
        <v>40000</v>
      </c>
      <c r="N94" s="58">
        <f t="shared" si="10"/>
        <v>1.18244</v>
      </c>
      <c r="O94" s="215">
        <f t="shared" si="11"/>
        <v>1452000</v>
      </c>
      <c r="P94" s="215">
        <f t="shared" si="12"/>
        <v>1452000</v>
      </c>
      <c r="Q94" s="216"/>
      <c r="R94" s="183"/>
      <c r="S94" s="13"/>
      <c r="T94" s="181"/>
    </row>
    <row r="95" spans="1:17" ht="26.25" customHeight="1">
      <c r="A95" s="63"/>
      <c r="B95" s="63"/>
      <c r="C95" s="247" t="s">
        <v>9</v>
      </c>
      <c r="D95" s="63"/>
      <c r="E95" s="56"/>
      <c r="F95" s="63"/>
      <c r="G95" s="63"/>
      <c r="H95" s="229"/>
      <c r="I95" s="238"/>
      <c r="J95" s="229"/>
      <c r="K95" s="63"/>
      <c r="L95" s="64"/>
      <c r="M95" s="217"/>
      <c r="N95" s="56"/>
      <c r="O95" s="215">
        <f>ROUND(E95*M95*N95,-3)</f>
        <v>0</v>
      </c>
      <c r="P95" s="215"/>
      <c r="Q95" s="223"/>
    </row>
    <row r="96" spans="1:17" s="23" customFormat="1" ht="93.75" customHeight="1">
      <c r="A96" s="49"/>
      <c r="B96" s="50"/>
      <c r="C96" s="210" t="s">
        <v>17</v>
      </c>
      <c r="D96" s="178" t="s">
        <v>2</v>
      </c>
      <c r="E96" s="178"/>
      <c r="F96" s="224">
        <v>33</v>
      </c>
      <c r="G96" s="178">
        <v>1</v>
      </c>
      <c r="H96" s="225">
        <v>341.2</v>
      </c>
      <c r="I96" s="225">
        <v>24.2</v>
      </c>
      <c r="J96" s="213">
        <f>H96-I96</f>
        <v>317</v>
      </c>
      <c r="K96" s="226" t="s">
        <v>323</v>
      </c>
      <c r="L96" s="69" t="s">
        <v>19</v>
      </c>
      <c r="M96" s="217">
        <v>36000</v>
      </c>
      <c r="N96" s="79">
        <v>1</v>
      </c>
      <c r="O96" s="227">
        <f>ROUND(M96*I96*N96,-3)</f>
        <v>871000</v>
      </c>
      <c r="P96" s="227">
        <f>ROUND(I96*M96*N96,-3)</f>
        <v>871000</v>
      </c>
      <c r="Q96" s="223"/>
    </row>
    <row r="97" spans="1:17" s="23" customFormat="1" ht="26.25" customHeight="1">
      <c r="A97" s="49"/>
      <c r="B97" s="50"/>
      <c r="C97" s="80" t="s">
        <v>24</v>
      </c>
      <c r="D97" s="50"/>
      <c r="E97" s="50"/>
      <c r="F97" s="67"/>
      <c r="G97" s="50"/>
      <c r="H97" s="228"/>
      <c r="I97" s="228"/>
      <c r="J97" s="229"/>
      <c r="K97" s="78"/>
      <c r="L97" s="69"/>
      <c r="M97" s="217"/>
      <c r="N97" s="79"/>
      <c r="O97" s="227"/>
      <c r="P97" s="227"/>
      <c r="Q97" s="223"/>
    </row>
    <row r="98" spans="1:17" s="23" customFormat="1" ht="42" customHeight="1">
      <c r="A98" s="81"/>
      <c r="B98" s="82"/>
      <c r="C98" s="230" t="s">
        <v>373</v>
      </c>
      <c r="D98" s="82"/>
      <c r="E98" s="82"/>
      <c r="F98" s="84"/>
      <c r="G98" s="82"/>
      <c r="H98" s="231"/>
      <c r="I98" s="231">
        <f>+I96</f>
        <v>24.2</v>
      </c>
      <c r="J98" s="232"/>
      <c r="K98" s="88"/>
      <c r="L98" s="89"/>
      <c r="M98" s="233">
        <v>3420000</v>
      </c>
      <c r="N98" s="95">
        <v>0.5</v>
      </c>
      <c r="O98" s="234">
        <f>ROUND(M98*I98*N98,-3)</f>
        <v>41382000</v>
      </c>
      <c r="P98" s="234">
        <f>ROUND(I98*M98*N98,-3)</f>
        <v>41382000</v>
      </c>
      <c r="Q98" s="82"/>
    </row>
    <row r="99" spans="1:20" ht="38.25" customHeight="1">
      <c r="A99" s="35">
        <v>7</v>
      </c>
      <c r="B99" s="35"/>
      <c r="C99" s="196" t="s">
        <v>122</v>
      </c>
      <c r="D99" s="197"/>
      <c r="E99" s="197"/>
      <c r="F99" s="197"/>
      <c r="G99" s="198"/>
      <c r="H99" s="199"/>
      <c r="I99" s="199"/>
      <c r="J99" s="199"/>
      <c r="K99" s="200"/>
      <c r="L99" s="35"/>
      <c r="M99" s="236"/>
      <c r="N99" s="201"/>
      <c r="O99" s="202">
        <f>SUM(O101:O113)</f>
        <v>72010000</v>
      </c>
      <c r="P99" s="202">
        <f>SUM(P101:P113)</f>
        <v>72010000</v>
      </c>
      <c r="Q99" s="203"/>
      <c r="R99" s="6"/>
      <c r="S99" s="182"/>
      <c r="T99" s="181"/>
    </row>
    <row r="100" spans="1:20" ht="21" customHeight="1">
      <c r="A100" s="42"/>
      <c r="B100" s="42"/>
      <c r="C100" s="204" t="s">
        <v>8</v>
      </c>
      <c r="D100" s="205"/>
      <c r="E100" s="205"/>
      <c r="F100" s="205"/>
      <c r="G100" s="206"/>
      <c r="H100" s="207"/>
      <c r="I100" s="207"/>
      <c r="J100" s="207"/>
      <c r="K100" s="208"/>
      <c r="L100" s="44"/>
      <c r="M100" s="237"/>
      <c r="N100" s="42"/>
      <c r="O100" s="209"/>
      <c r="P100" s="209"/>
      <c r="Q100" s="47"/>
      <c r="R100" s="6"/>
      <c r="S100" s="7"/>
      <c r="T100" s="181"/>
    </row>
    <row r="101" spans="1:20" ht="38.25" customHeight="1">
      <c r="A101" s="49"/>
      <c r="B101" s="50" t="s">
        <v>371</v>
      </c>
      <c r="C101" s="210" t="s">
        <v>324</v>
      </c>
      <c r="D101" s="178" t="s">
        <v>2</v>
      </c>
      <c r="E101" s="211">
        <f>(5.8*1)+(3.4*1)</f>
        <v>9.2</v>
      </c>
      <c r="F101" s="178"/>
      <c r="G101" s="212"/>
      <c r="H101" s="213"/>
      <c r="I101" s="213"/>
      <c r="J101" s="213"/>
      <c r="K101" s="211" t="s">
        <v>325</v>
      </c>
      <c r="L101" s="56"/>
      <c r="M101" s="214">
        <v>792000</v>
      </c>
      <c r="N101" s="58">
        <f>1.03*1.148</f>
        <v>1.18244</v>
      </c>
      <c r="O101" s="215">
        <f aca="true" t="shared" si="13" ref="O101:O106">+ROUND(N101*M101*E101,-3)</f>
        <v>8616000</v>
      </c>
      <c r="P101" s="215">
        <f aca="true" t="shared" si="14" ref="P101:P106">ROUND(E101*M101*N101,-3)</f>
        <v>8616000</v>
      </c>
      <c r="Q101" s="216"/>
      <c r="R101" s="183"/>
      <c r="S101" s="13"/>
      <c r="T101" s="181"/>
    </row>
    <row r="102" spans="1:20" ht="37.5" customHeight="1">
      <c r="A102" s="49"/>
      <c r="B102" s="246" t="s">
        <v>380</v>
      </c>
      <c r="C102" s="210" t="s">
        <v>326</v>
      </c>
      <c r="D102" s="178" t="s">
        <v>16</v>
      </c>
      <c r="E102" s="211">
        <f>(0.15*0.15*2.3)*1</f>
        <v>0.05175</v>
      </c>
      <c r="F102" s="178"/>
      <c r="G102" s="212"/>
      <c r="H102" s="213"/>
      <c r="I102" s="213"/>
      <c r="J102" s="213"/>
      <c r="K102" s="211" t="s">
        <v>325</v>
      </c>
      <c r="L102" s="56"/>
      <c r="M102" s="214">
        <v>2828000</v>
      </c>
      <c r="N102" s="58">
        <f aca="true" t="shared" si="15" ref="N102:N107">1.03*1.148</f>
        <v>1.18244</v>
      </c>
      <c r="O102" s="215">
        <f t="shared" si="13"/>
        <v>173000</v>
      </c>
      <c r="P102" s="215">
        <f t="shared" si="14"/>
        <v>173000</v>
      </c>
      <c r="Q102" s="57"/>
      <c r="R102" s="183"/>
      <c r="S102" s="13"/>
      <c r="T102" s="181"/>
    </row>
    <row r="103" spans="1:20" ht="37.5" customHeight="1">
      <c r="A103" s="49"/>
      <c r="B103" s="50" t="s">
        <v>372</v>
      </c>
      <c r="C103" s="210" t="s">
        <v>327</v>
      </c>
      <c r="D103" s="178" t="s">
        <v>2</v>
      </c>
      <c r="E103" s="211">
        <f>(5.8*1.2)</f>
        <v>6.96</v>
      </c>
      <c r="F103" s="178"/>
      <c r="G103" s="212"/>
      <c r="H103" s="213"/>
      <c r="I103" s="213"/>
      <c r="J103" s="213"/>
      <c r="K103" s="211" t="s">
        <v>325</v>
      </c>
      <c r="L103" s="56"/>
      <c r="M103" s="214">
        <v>11000</v>
      </c>
      <c r="N103" s="58">
        <f t="shared" si="15"/>
        <v>1.18244</v>
      </c>
      <c r="O103" s="215">
        <f t="shared" si="13"/>
        <v>91000</v>
      </c>
      <c r="P103" s="215">
        <f t="shared" si="14"/>
        <v>91000</v>
      </c>
      <c r="Q103" s="216"/>
      <c r="R103" s="183"/>
      <c r="S103" s="13"/>
      <c r="T103" s="181"/>
    </row>
    <row r="104" spans="1:20" ht="40.5" customHeight="1">
      <c r="A104" s="49"/>
      <c r="B104" s="246" t="s">
        <v>380</v>
      </c>
      <c r="C104" s="210" t="s">
        <v>328</v>
      </c>
      <c r="D104" s="178" t="s">
        <v>16</v>
      </c>
      <c r="E104" s="211">
        <f>(0.45*0.45*3.2)*2</f>
        <v>1.2960000000000003</v>
      </c>
      <c r="F104" s="178"/>
      <c r="G104" s="212"/>
      <c r="H104" s="213"/>
      <c r="I104" s="213"/>
      <c r="J104" s="213"/>
      <c r="K104" s="211" t="s">
        <v>325</v>
      </c>
      <c r="L104" s="56"/>
      <c r="M104" s="214">
        <v>2828000</v>
      </c>
      <c r="N104" s="58">
        <f t="shared" si="15"/>
        <v>1.18244</v>
      </c>
      <c r="O104" s="215">
        <f t="shared" si="13"/>
        <v>4334000</v>
      </c>
      <c r="P104" s="215">
        <f t="shared" si="14"/>
        <v>4334000</v>
      </c>
      <c r="Q104" s="216"/>
      <c r="R104" s="183"/>
      <c r="S104" s="13"/>
      <c r="T104" s="181"/>
    </row>
    <row r="105" spans="1:20" ht="41.25" customHeight="1">
      <c r="A105" s="49"/>
      <c r="B105" s="50" t="s">
        <v>374</v>
      </c>
      <c r="C105" s="210" t="s">
        <v>329</v>
      </c>
      <c r="D105" s="178" t="s">
        <v>2</v>
      </c>
      <c r="E105" s="211">
        <f>(3.2*1.8)</f>
        <v>5.760000000000001</v>
      </c>
      <c r="F105" s="178"/>
      <c r="G105" s="212"/>
      <c r="H105" s="213"/>
      <c r="I105" s="213"/>
      <c r="J105" s="213"/>
      <c r="K105" s="211" t="s">
        <v>325</v>
      </c>
      <c r="L105" s="56"/>
      <c r="M105" s="214">
        <v>396000</v>
      </c>
      <c r="N105" s="58">
        <f t="shared" si="15"/>
        <v>1.18244</v>
      </c>
      <c r="O105" s="215">
        <f t="shared" si="13"/>
        <v>2697000</v>
      </c>
      <c r="P105" s="215">
        <f t="shared" si="14"/>
        <v>2697000</v>
      </c>
      <c r="Q105" s="216"/>
      <c r="R105" s="183"/>
      <c r="S105" s="13"/>
      <c r="T105" s="181"/>
    </row>
    <row r="106" spans="1:20" ht="37.5" customHeight="1">
      <c r="A106" s="256"/>
      <c r="B106" s="50" t="s">
        <v>292</v>
      </c>
      <c r="C106" s="210" t="s">
        <v>330</v>
      </c>
      <c r="D106" s="178" t="s">
        <v>2</v>
      </c>
      <c r="E106" s="211">
        <f>(10.3*2.5)</f>
        <v>25.75</v>
      </c>
      <c r="F106" s="178"/>
      <c r="G106" s="212"/>
      <c r="H106" s="213"/>
      <c r="I106" s="213"/>
      <c r="J106" s="213"/>
      <c r="K106" s="211" t="s">
        <v>325</v>
      </c>
      <c r="L106" s="56"/>
      <c r="M106" s="214">
        <v>284000</v>
      </c>
      <c r="N106" s="58">
        <f t="shared" si="15"/>
        <v>1.18244</v>
      </c>
      <c r="O106" s="215">
        <f t="shared" si="13"/>
        <v>8647000</v>
      </c>
      <c r="P106" s="215">
        <f t="shared" si="14"/>
        <v>8647000</v>
      </c>
      <c r="Q106" s="216"/>
      <c r="R106" s="183"/>
      <c r="S106" s="13"/>
      <c r="T106" s="181"/>
    </row>
    <row r="107" spans="1:20" ht="60" customHeight="1">
      <c r="A107" s="256"/>
      <c r="B107" s="50" t="s">
        <v>292</v>
      </c>
      <c r="C107" s="210" t="s">
        <v>331</v>
      </c>
      <c r="D107" s="178" t="s">
        <v>2</v>
      </c>
      <c r="E107" s="211">
        <f>(10.3*0.5)</f>
        <v>5.15</v>
      </c>
      <c r="F107" s="178"/>
      <c r="G107" s="212"/>
      <c r="H107" s="213"/>
      <c r="I107" s="213"/>
      <c r="J107" s="213"/>
      <c r="K107" s="211" t="s">
        <v>332</v>
      </c>
      <c r="L107" s="56"/>
      <c r="M107" s="214">
        <v>284000</v>
      </c>
      <c r="N107" s="58">
        <f t="shared" si="15"/>
        <v>1.18244</v>
      </c>
      <c r="O107" s="215">
        <f>+ROUND(N107*M107*80%*E107,-3)</f>
        <v>1384000</v>
      </c>
      <c r="P107" s="215">
        <f>ROUND(E107*M107*N107*80%,-3)</f>
        <v>1384000</v>
      </c>
      <c r="Q107" s="216" t="s">
        <v>385</v>
      </c>
      <c r="R107" s="183"/>
      <c r="S107" s="13"/>
      <c r="T107" s="181"/>
    </row>
    <row r="108" spans="1:20" ht="32.25" customHeight="1">
      <c r="A108" s="256"/>
      <c r="B108" s="258"/>
      <c r="C108" s="210" t="s">
        <v>40</v>
      </c>
      <c r="D108" s="178" t="s">
        <v>11</v>
      </c>
      <c r="E108" s="211">
        <v>4</v>
      </c>
      <c r="F108" s="211"/>
      <c r="G108" s="212"/>
      <c r="H108" s="213"/>
      <c r="I108" s="213"/>
      <c r="J108" s="213"/>
      <c r="K108" s="211"/>
      <c r="L108" s="56"/>
      <c r="M108" s="214">
        <v>178940</v>
      </c>
      <c r="N108" s="79"/>
      <c r="O108" s="215">
        <f>ROUND(E108*M108,-3)</f>
        <v>716000</v>
      </c>
      <c r="P108" s="215">
        <f>ROUND(E108*M108,-3)</f>
        <v>716000</v>
      </c>
      <c r="Q108" s="216"/>
      <c r="R108" s="183"/>
      <c r="S108" s="13"/>
      <c r="T108" s="181"/>
    </row>
    <row r="109" spans="1:20" ht="32.25" customHeight="1">
      <c r="A109" s="49"/>
      <c r="B109" s="49"/>
      <c r="C109" s="210" t="s">
        <v>53</v>
      </c>
      <c r="D109" s="178" t="s">
        <v>11</v>
      </c>
      <c r="E109" s="211">
        <v>1</v>
      </c>
      <c r="F109" s="178"/>
      <c r="G109" s="212"/>
      <c r="H109" s="213"/>
      <c r="I109" s="213"/>
      <c r="J109" s="213"/>
      <c r="K109" s="211"/>
      <c r="L109" s="56"/>
      <c r="M109" s="214">
        <v>131010</v>
      </c>
      <c r="N109" s="79"/>
      <c r="O109" s="215">
        <f>ROUND(E109*M109,-3)</f>
        <v>131000</v>
      </c>
      <c r="P109" s="215">
        <f>ROUND(E109*M109,-3)</f>
        <v>131000</v>
      </c>
      <c r="Q109" s="216"/>
      <c r="R109" s="183"/>
      <c r="S109" s="13"/>
      <c r="T109" s="181"/>
    </row>
    <row r="110" spans="1:17" ht="30" customHeight="1">
      <c r="A110" s="63"/>
      <c r="B110" s="63"/>
      <c r="C110" s="179" t="s">
        <v>9</v>
      </c>
      <c r="D110" s="178"/>
      <c r="E110" s="178"/>
      <c r="F110" s="259"/>
      <c r="G110" s="178"/>
      <c r="H110" s="213"/>
      <c r="I110" s="221"/>
      <c r="J110" s="213"/>
      <c r="K110" s="211"/>
      <c r="L110" s="64"/>
      <c r="M110" s="217"/>
      <c r="N110" s="56"/>
      <c r="O110" s="215">
        <f>ROUND(E110*M110*N110,-3)</f>
        <v>0</v>
      </c>
      <c r="P110" s="215"/>
      <c r="Q110" s="223"/>
    </row>
    <row r="111" spans="1:17" s="23" customFormat="1" ht="82.5" customHeight="1">
      <c r="A111" s="49"/>
      <c r="B111" s="50"/>
      <c r="C111" s="210" t="s">
        <v>17</v>
      </c>
      <c r="D111" s="178" t="s">
        <v>2</v>
      </c>
      <c r="E111" s="178"/>
      <c r="F111" s="224">
        <v>14</v>
      </c>
      <c r="G111" s="178">
        <v>1</v>
      </c>
      <c r="H111" s="225">
        <v>208.2</v>
      </c>
      <c r="I111" s="225">
        <v>25.9</v>
      </c>
      <c r="J111" s="213">
        <f>H111-I111</f>
        <v>182.29999999999998</v>
      </c>
      <c r="K111" s="226" t="s">
        <v>333</v>
      </c>
      <c r="L111" s="69" t="s">
        <v>19</v>
      </c>
      <c r="M111" s="217">
        <v>36000</v>
      </c>
      <c r="N111" s="79">
        <v>1</v>
      </c>
      <c r="O111" s="227">
        <f>ROUND(M111*I111*N111,-3)</f>
        <v>932000</v>
      </c>
      <c r="P111" s="227">
        <f>ROUND(I111*M111*N111,-3)</f>
        <v>932000</v>
      </c>
      <c r="Q111" s="223"/>
    </row>
    <row r="112" spans="1:17" s="23" customFormat="1" ht="22.5" customHeight="1">
      <c r="A112" s="49"/>
      <c r="B112" s="50"/>
      <c r="C112" s="80" t="s">
        <v>24</v>
      </c>
      <c r="D112" s="50"/>
      <c r="E112" s="50"/>
      <c r="F112" s="67"/>
      <c r="G112" s="50"/>
      <c r="H112" s="228"/>
      <c r="I112" s="228"/>
      <c r="J112" s="229"/>
      <c r="K112" s="78"/>
      <c r="L112" s="69"/>
      <c r="M112" s="217"/>
      <c r="N112" s="79"/>
      <c r="O112" s="227"/>
      <c r="P112" s="227"/>
      <c r="Q112" s="223"/>
    </row>
    <row r="113" spans="1:17" s="23" customFormat="1" ht="42.75" customHeight="1">
      <c r="A113" s="81"/>
      <c r="B113" s="82"/>
      <c r="C113" s="230" t="s">
        <v>373</v>
      </c>
      <c r="D113" s="82"/>
      <c r="E113" s="82"/>
      <c r="F113" s="84"/>
      <c r="G113" s="82"/>
      <c r="H113" s="231"/>
      <c r="I113" s="231">
        <f>+I111</f>
        <v>25.9</v>
      </c>
      <c r="J113" s="232"/>
      <c r="K113" s="88"/>
      <c r="L113" s="89"/>
      <c r="M113" s="233">
        <v>3420000</v>
      </c>
      <c r="N113" s="95">
        <v>0.5</v>
      </c>
      <c r="O113" s="234">
        <f>ROUND(M113*I113*N113,-3)</f>
        <v>44289000</v>
      </c>
      <c r="P113" s="234">
        <f>ROUND(I113*M113*N113,-3)</f>
        <v>44289000</v>
      </c>
      <c r="Q113" s="82"/>
    </row>
    <row r="114" spans="1:20" ht="39" customHeight="1">
      <c r="A114" s="35">
        <v>8</v>
      </c>
      <c r="B114" s="35"/>
      <c r="C114" s="196" t="s">
        <v>133</v>
      </c>
      <c r="D114" s="197"/>
      <c r="E114" s="197"/>
      <c r="F114" s="197"/>
      <c r="G114" s="198"/>
      <c r="H114" s="199"/>
      <c r="I114" s="199"/>
      <c r="J114" s="199"/>
      <c r="K114" s="200"/>
      <c r="L114" s="35"/>
      <c r="M114" s="236"/>
      <c r="N114" s="201"/>
      <c r="O114" s="202">
        <f>SUM(O116:O135)</f>
        <v>320632000</v>
      </c>
      <c r="P114" s="202">
        <f>SUM(P116:P135)</f>
        <v>320632000</v>
      </c>
      <c r="Q114" s="203"/>
      <c r="R114" s="6"/>
      <c r="S114" s="182"/>
      <c r="T114" s="181"/>
    </row>
    <row r="115" spans="1:20" ht="22.5" customHeight="1">
      <c r="A115" s="42"/>
      <c r="B115" s="42"/>
      <c r="C115" s="204" t="s">
        <v>8</v>
      </c>
      <c r="D115" s="205"/>
      <c r="E115" s="205"/>
      <c r="F115" s="205"/>
      <c r="G115" s="206"/>
      <c r="H115" s="207"/>
      <c r="I115" s="207"/>
      <c r="J115" s="207"/>
      <c r="K115" s="208"/>
      <c r="L115" s="44"/>
      <c r="M115" s="237"/>
      <c r="N115" s="42"/>
      <c r="O115" s="209"/>
      <c r="P115" s="209"/>
      <c r="Q115" s="47"/>
      <c r="R115" s="6"/>
      <c r="S115" s="7"/>
      <c r="T115" s="181"/>
    </row>
    <row r="116" spans="1:20" ht="39" customHeight="1">
      <c r="A116" s="49"/>
      <c r="B116" s="50" t="s">
        <v>371</v>
      </c>
      <c r="C116" s="210" t="s">
        <v>334</v>
      </c>
      <c r="D116" s="178" t="s">
        <v>2</v>
      </c>
      <c r="E116" s="211">
        <f>(7.4*1.3)</f>
        <v>9.620000000000001</v>
      </c>
      <c r="F116" s="211"/>
      <c r="G116" s="212"/>
      <c r="H116" s="213"/>
      <c r="I116" s="213"/>
      <c r="J116" s="213"/>
      <c r="K116" s="211" t="s">
        <v>20</v>
      </c>
      <c r="L116" s="56"/>
      <c r="M116" s="214">
        <v>792000</v>
      </c>
      <c r="N116" s="58">
        <f>1.03*1.148</f>
        <v>1.18244</v>
      </c>
      <c r="O116" s="215">
        <f aca="true" t="shared" si="16" ref="O116:O125">+ROUND(N116*M116*E116,-3)</f>
        <v>9009000</v>
      </c>
      <c r="P116" s="215">
        <f aca="true" t="shared" si="17" ref="P116:P125">ROUND(E116*M116*N116,-3)</f>
        <v>9009000</v>
      </c>
      <c r="Q116" s="216"/>
      <c r="R116" s="183"/>
      <c r="S116" s="13"/>
      <c r="T116" s="181"/>
    </row>
    <row r="117" spans="1:20" ht="30.75" customHeight="1">
      <c r="A117" s="49"/>
      <c r="B117" s="50" t="s">
        <v>372</v>
      </c>
      <c r="C117" s="210" t="s">
        <v>135</v>
      </c>
      <c r="D117" s="178" t="s">
        <v>2</v>
      </c>
      <c r="E117" s="211">
        <f>(7.4*1.2)</f>
        <v>8.88</v>
      </c>
      <c r="F117" s="211"/>
      <c r="G117" s="212"/>
      <c r="H117" s="213"/>
      <c r="I117" s="213"/>
      <c r="J117" s="213"/>
      <c r="K117" s="211" t="s">
        <v>20</v>
      </c>
      <c r="L117" s="56"/>
      <c r="M117" s="214">
        <v>11000</v>
      </c>
      <c r="N117" s="58">
        <f aca="true" t="shared" si="18" ref="N117:N125">1.03*1.148</f>
        <v>1.18244</v>
      </c>
      <c r="O117" s="215">
        <f t="shared" si="16"/>
        <v>116000</v>
      </c>
      <c r="P117" s="215">
        <f t="shared" si="17"/>
        <v>116000</v>
      </c>
      <c r="Q117" s="57"/>
      <c r="R117" s="183"/>
      <c r="S117" s="13"/>
      <c r="T117" s="181"/>
    </row>
    <row r="118" spans="1:20" ht="39" customHeight="1">
      <c r="A118" s="49"/>
      <c r="B118" s="246" t="s">
        <v>380</v>
      </c>
      <c r="C118" s="210" t="s">
        <v>335</v>
      </c>
      <c r="D118" s="178" t="s">
        <v>16</v>
      </c>
      <c r="E118" s="211">
        <f>(0.15*0.15*2.8)*5</f>
        <v>0.315</v>
      </c>
      <c r="F118" s="211"/>
      <c r="G118" s="212"/>
      <c r="H118" s="213"/>
      <c r="I118" s="213"/>
      <c r="J118" s="213"/>
      <c r="K118" s="211" t="s">
        <v>20</v>
      </c>
      <c r="L118" s="56"/>
      <c r="M118" s="214">
        <v>2828000</v>
      </c>
      <c r="N118" s="58">
        <f t="shared" si="18"/>
        <v>1.18244</v>
      </c>
      <c r="O118" s="215">
        <f t="shared" si="16"/>
        <v>1053000</v>
      </c>
      <c r="P118" s="215">
        <f t="shared" si="17"/>
        <v>1053000</v>
      </c>
      <c r="Q118" s="216"/>
      <c r="R118" s="183"/>
      <c r="S118" s="13"/>
      <c r="T118" s="181"/>
    </row>
    <row r="119" spans="1:20" ht="41.25" customHeight="1">
      <c r="A119" s="49"/>
      <c r="B119" s="246" t="s">
        <v>380</v>
      </c>
      <c r="C119" s="210" t="s">
        <v>336</v>
      </c>
      <c r="D119" s="178" t="s">
        <v>16</v>
      </c>
      <c r="E119" s="211">
        <f>(0.6*0.6*3.6)*2</f>
        <v>2.592</v>
      </c>
      <c r="F119" s="211"/>
      <c r="G119" s="212"/>
      <c r="H119" s="213"/>
      <c r="I119" s="213"/>
      <c r="J119" s="213"/>
      <c r="K119" s="211" t="s">
        <v>20</v>
      </c>
      <c r="L119" s="56"/>
      <c r="M119" s="214">
        <v>2828000</v>
      </c>
      <c r="N119" s="58">
        <f t="shared" si="18"/>
        <v>1.18244</v>
      </c>
      <c r="O119" s="215">
        <f t="shared" si="16"/>
        <v>8667000</v>
      </c>
      <c r="P119" s="215">
        <f t="shared" si="17"/>
        <v>8667000</v>
      </c>
      <c r="Q119" s="216"/>
      <c r="R119" s="183"/>
      <c r="S119" s="13"/>
      <c r="T119" s="181"/>
    </row>
    <row r="120" spans="1:20" ht="35.25" customHeight="1">
      <c r="A120" s="49"/>
      <c r="B120" s="246" t="s">
        <v>379</v>
      </c>
      <c r="C120" s="210" t="s">
        <v>138</v>
      </c>
      <c r="D120" s="178" t="s">
        <v>2</v>
      </c>
      <c r="E120" s="211">
        <f>(0.6*2.6)*8</f>
        <v>12.48</v>
      </c>
      <c r="F120" s="211"/>
      <c r="G120" s="212"/>
      <c r="H120" s="213"/>
      <c r="I120" s="213"/>
      <c r="J120" s="213"/>
      <c r="K120" s="211" t="s">
        <v>20</v>
      </c>
      <c r="L120" s="56"/>
      <c r="M120" s="214">
        <v>339000</v>
      </c>
      <c r="N120" s="58">
        <f t="shared" si="18"/>
        <v>1.18244</v>
      </c>
      <c r="O120" s="215">
        <f t="shared" si="16"/>
        <v>5003000</v>
      </c>
      <c r="P120" s="215">
        <f t="shared" si="17"/>
        <v>5003000</v>
      </c>
      <c r="Q120" s="216"/>
      <c r="R120" s="183"/>
      <c r="S120" s="13"/>
      <c r="T120" s="181"/>
    </row>
    <row r="121" spans="1:20" ht="33" customHeight="1">
      <c r="A121" s="49"/>
      <c r="B121" s="246" t="s">
        <v>381</v>
      </c>
      <c r="C121" s="210" t="s">
        <v>337</v>
      </c>
      <c r="D121" s="178" t="s">
        <v>2</v>
      </c>
      <c r="E121" s="211">
        <f>(2.5*2.4)</f>
        <v>6</v>
      </c>
      <c r="F121" s="211"/>
      <c r="G121" s="212"/>
      <c r="H121" s="213"/>
      <c r="I121" s="213"/>
      <c r="J121" s="213"/>
      <c r="K121" s="211" t="s">
        <v>20</v>
      </c>
      <c r="L121" s="56"/>
      <c r="M121" s="214">
        <v>679000</v>
      </c>
      <c r="N121" s="58">
        <f t="shared" si="18"/>
        <v>1.18244</v>
      </c>
      <c r="O121" s="215">
        <f t="shared" si="16"/>
        <v>4817000</v>
      </c>
      <c r="P121" s="215">
        <f t="shared" si="17"/>
        <v>4817000</v>
      </c>
      <c r="Q121" s="216"/>
      <c r="R121" s="183"/>
      <c r="S121" s="13"/>
      <c r="T121" s="181"/>
    </row>
    <row r="122" spans="1:20" ht="43.5" customHeight="1">
      <c r="A122" s="49"/>
      <c r="B122" s="50" t="s">
        <v>376</v>
      </c>
      <c r="C122" s="210" t="s">
        <v>338</v>
      </c>
      <c r="D122" s="178" t="s">
        <v>2</v>
      </c>
      <c r="E122" s="211">
        <f>(7.1*2)</f>
        <v>14.2</v>
      </c>
      <c r="F122" s="211"/>
      <c r="G122" s="212"/>
      <c r="H122" s="213"/>
      <c r="I122" s="213"/>
      <c r="J122" s="213"/>
      <c r="K122" s="211" t="s">
        <v>20</v>
      </c>
      <c r="L122" s="56"/>
      <c r="M122" s="214">
        <v>679000</v>
      </c>
      <c r="N122" s="58">
        <f t="shared" si="18"/>
        <v>1.18244</v>
      </c>
      <c r="O122" s="215">
        <f t="shared" si="16"/>
        <v>11401000</v>
      </c>
      <c r="P122" s="215">
        <f t="shared" si="17"/>
        <v>11401000</v>
      </c>
      <c r="Q122" s="216"/>
      <c r="R122" s="183"/>
      <c r="S122" s="13"/>
      <c r="T122" s="181"/>
    </row>
    <row r="123" spans="1:20" ht="44.25" customHeight="1">
      <c r="A123" s="49"/>
      <c r="B123" s="246" t="s">
        <v>380</v>
      </c>
      <c r="C123" s="210" t="s">
        <v>339</v>
      </c>
      <c r="D123" s="178" t="s">
        <v>16</v>
      </c>
      <c r="E123" s="211">
        <f>(0.2*0.2*2.1)*4+(0.2*0.2*4.2)*4</f>
        <v>1.0080000000000002</v>
      </c>
      <c r="F123" s="211"/>
      <c r="G123" s="212"/>
      <c r="H123" s="213"/>
      <c r="I123" s="213"/>
      <c r="J123" s="213"/>
      <c r="K123" s="211" t="s">
        <v>20</v>
      </c>
      <c r="L123" s="56"/>
      <c r="M123" s="214">
        <v>2828000</v>
      </c>
      <c r="N123" s="58">
        <f t="shared" si="18"/>
        <v>1.18244</v>
      </c>
      <c r="O123" s="215">
        <f t="shared" si="16"/>
        <v>3371000</v>
      </c>
      <c r="P123" s="215">
        <f t="shared" si="17"/>
        <v>3371000</v>
      </c>
      <c r="Q123" s="216"/>
      <c r="R123" s="183"/>
      <c r="S123" s="13"/>
      <c r="T123" s="181"/>
    </row>
    <row r="124" spans="1:20" ht="33.75" customHeight="1">
      <c r="A124" s="49"/>
      <c r="B124" s="246" t="s">
        <v>387</v>
      </c>
      <c r="C124" s="210" t="s">
        <v>340</v>
      </c>
      <c r="D124" s="178" t="s">
        <v>2</v>
      </c>
      <c r="E124" s="211">
        <f>(0.9*4.2)</f>
        <v>3.7800000000000002</v>
      </c>
      <c r="F124" s="211"/>
      <c r="G124" s="212"/>
      <c r="H124" s="213"/>
      <c r="I124" s="213"/>
      <c r="J124" s="213"/>
      <c r="K124" s="211" t="s">
        <v>20</v>
      </c>
      <c r="L124" s="56"/>
      <c r="M124" s="214">
        <v>1964000</v>
      </c>
      <c r="N124" s="58">
        <f t="shared" si="18"/>
        <v>1.18244</v>
      </c>
      <c r="O124" s="215">
        <f t="shared" si="16"/>
        <v>8778000</v>
      </c>
      <c r="P124" s="215">
        <f t="shared" si="17"/>
        <v>8778000</v>
      </c>
      <c r="Q124" s="216"/>
      <c r="R124" s="183"/>
      <c r="S124" s="13"/>
      <c r="T124" s="181"/>
    </row>
    <row r="125" spans="1:20" ht="33" customHeight="1">
      <c r="A125" s="49"/>
      <c r="B125" s="50" t="s">
        <v>287</v>
      </c>
      <c r="C125" s="210" t="s">
        <v>341</v>
      </c>
      <c r="D125" s="178" t="s">
        <v>2</v>
      </c>
      <c r="E125" s="211">
        <f>(9.5*4.5)</f>
        <v>42.75</v>
      </c>
      <c r="F125" s="211"/>
      <c r="G125" s="212"/>
      <c r="H125" s="213"/>
      <c r="I125" s="213"/>
      <c r="J125" s="213"/>
      <c r="K125" s="211" t="s">
        <v>20</v>
      </c>
      <c r="L125" s="56"/>
      <c r="M125" s="214">
        <v>339000</v>
      </c>
      <c r="N125" s="58">
        <f t="shared" si="18"/>
        <v>1.18244</v>
      </c>
      <c r="O125" s="215">
        <f t="shared" si="16"/>
        <v>17136000</v>
      </c>
      <c r="P125" s="215">
        <f t="shared" si="17"/>
        <v>17136000</v>
      </c>
      <c r="Q125" s="57"/>
      <c r="R125" s="183"/>
      <c r="S125" s="13"/>
      <c r="T125" s="181"/>
    </row>
    <row r="126" spans="1:20" ht="30" customHeight="1">
      <c r="A126" s="49"/>
      <c r="B126" s="49"/>
      <c r="C126" s="210" t="s">
        <v>143</v>
      </c>
      <c r="D126" s="178" t="s">
        <v>11</v>
      </c>
      <c r="E126" s="211">
        <v>2</v>
      </c>
      <c r="F126" s="211"/>
      <c r="G126" s="212"/>
      <c r="H126" s="213"/>
      <c r="I126" s="213"/>
      <c r="J126" s="213"/>
      <c r="K126" s="211"/>
      <c r="L126" s="56"/>
      <c r="M126" s="214">
        <v>165090</v>
      </c>
      <c r="N126" s="79"/>
      <c r="O126" s="215">
        <f aca="true" t="shared" si="19" ref="O126:O133">ROUND(E126*M126,-3)</f>
        <v>330000</v>
      </c>
      <c r="P126" s="215">
        <f aca="true" t="shared" si="20" ref="P126:P133">ROUND(E126*M126,-3)</f>
        <v>330000</v>
      </c>
      <c r="Q126" s="216"/>
      <c r="R126" s="183"/>
      <c r="S126" s="13"/>
      <c r="T126" s="181"/>
    </row>
    <row r="127" spans="1:20" ht="34.5" customHeight="1">
      <c r="A127" s="49"/>
      <c r="B127" s="49"/>
      <c r="C127" s="210" t="s">
        <v>144</v>
      </c>
      <c r="D127" s="178" t="s">
        <v>11</v>
      </c>
      <c r="E127" s="211">
        <v>1</v>
      </c>
      <c r="F127" s="211"/>
      <c r="G127" s="212"/>
      <c r="H127" s="213"/>
      <c r="I127" s="213"/>
      <c r="J127" s="213"/>
      <c r="K127" s="211"/>
      <c r="L127" s="56"/>
      <c r="M127" s="214">
        <v>75620</v>
      </c>
      <c r="N127" s="79"/>
      <c r="O127" s="215">
        <f t="shared" si="19"/>
        <v>76000</v>
      </c>
      <c r="P127" s="215">
        <f t="shared" si="20"/>
        <v>76000</v>
      </c>
      <c r="Q127" s="216"/>
      <c r="R127" s="183"/>
      <c r="S127" s="13"/>
      <c r="T127" s="181"/>
    </row>
    <row r="128" spans="1:20" ht="33.75" customHeight="1">
      <c r="A128" s="49"/>
      <c r="B128" s="49"/>
      <c r="C128" s="210" t="s">
        <v>145</v>
      </c>
      <c r="D128" s="178" t="s">
        <v>11</v>
      </c>
      <c r="E128" s="211">
        <v>2</v>
      </c>
      <c r="F128" s="211"/>
      <c r="G128" s="212"/>
      <c r="H128" s="213"/>
      <c r="I128" s="213"/>
      <c r="J128" s="213"/>
      <c r="K128" s="211"/>
      <c r="L128" s="56"/>
      <c r="M128" s="214">
        <v>106510</v>
      </c>
      <c r="N128" s="79"/>
      <c r="O128" s="215">
        <f t="shared" si="19"/>
        <v>213000</v>
      </c>
      <c r="P128" s="215">
        <f t="shared" si="20"/>
        <v>213000</v>
      </c>
      <c r="Q128" s="216"/>
      <c r="R128" s="183"/>
      <c r="S128" s="13"/>
      <c r="T128" s="181"/>
    </row>
    <row r="129" spans="1:20" ht="35.25" customHeight="1">
      <c r="A129" s="49"/>
      <c r="B129" s="49"/>
      <c r="C129" s="210" t="s">
        <v>146</v>
      </c>
      <c r="D129" s="178" t="s">
        <v>11</v>
      </c>
      <c r="E129" s="211">
        <v>1</v>
      </c>
      <c r="F129" s="211"/>
      <c r="G129" s="212"/>
      <c r="H129" s="213"/>
      <c r="I129" s="213"/>
      <c r="J129" s="213"/>
      <c r="K129" s="211"/>
      <c r="L129" s="56"/>
      <c r="M129" s="214">
        <v>266280</v>
      </c>
      <c r="N129" s="79"/>
      <c r="O129" s="215">
        <f t="shared" si="19"/>
        <v>266000</v>
      </c>
      <c r="P129" s="215">
        <f t="shared" si="20"/>
        <v>266000</v>
      </c>
      <c r="Q129" s="216"/>
      <c r="R129" s="183"/>
      <c r="S129" s="13"/>
      <c r="T129" s="181"/>
    </row>
    <row r="130" spans="1:20" ht="29.25" customHeight="1">
      <c r="A130" s="49"/>
      <c r="B130" s="49"/>
      <c r="C130" s="210" t="s">
        <v>147</v>
      </c>
      <c r="D130" s="178" t="s">
        <v>2</v>
      </c>
      <c r="E130" s="211">
        <v>3</v>
      </c>
      <c r="F130" s="211"/>
      <c r="G130" s="212"/>
      <c r="H130" s="213"/>
      <c r="I130" s="213"/>
      <c r="J130" s="213"/>
      <c r="K130" s="211"/>
      <c r="L130" s="56"/>
      <c r="M130" s="214">
        <v>4220</v>
      </c>
      <c r="N130" s="79"/>
      <c r="O130" s="215">
        <f t="shared" si="19"/>
        <v>13000</v>
      </c>
      <c r="P130" s="215">
        <f t="shared" si="20"/>
        <v>13000</v>
      </c>
      <c r="Q130" s="216"/>
      <c r="R130" s="183"/>
      <c r="S130" s="13"/>
      <c r="T130" s="181"/>
    </row>
    <row r="131" spans="1:20" ht="33.75" customHeight="1">
      <c r="A131" s="49"/>
      <c r="B131" s="49"/>
      <c r="C131" s="210" t="s">
        <v>54</v>
      </c>
      <c r="D131" s="178" t="s">
        <v>11</v>
      </c>
      <c r="E131" s="211">
        <v>4</v>
      </c>
      <c r="F131" s="211"/>
      <c r="G131" s="212"/>
      <c r="H131" s="213"/>
      <c r="I131" s="213"/>
      <c r="J131" s="213"/>
      <c r="K131" s="211"/>
      <c r="L131" s="56"/>
      <c r="M131" s="214">
        <v>43670</v>
      </c>
      <c r="N131" s="79"/>
      <c r="O131" s="215">
        <f t="shared" si="19"/>
        <v>175000</v>
      </c>
      <c r="P131" s="215">
        <f t="shared" si="20"/>
        <v>175000</v>
      </c>
      <c r="Q131" s="216"/>
      <c r="R131" s="183"/>
      <c r="S131" s="13"/>
      <c r="T131" s="181"/>
    </row>
    <row r="132" spans="1:17" ht="36" customHeight="1">
      <c r="A132" s="49"/>
      <c r="B132" s="49"/>
      <c r="C132" s="210" t="s">
        <v>148</v>
      </c>
      <c r="D132" s="178" t="s">
        <v>11</v>
      </c>
      <c r="E132" s="211">
        <v>1</v>
      </c>
      <c r="F132" s="211"/>
      <c r="G132" s="212"/>
      <c r="H132" s="213"/>
      <c r="I132" s="213"/>
      <c r="J132" s="213"/>
      <c r="K132" s="211"/>
      <c r="L132" s="64"/>
      <c r="M132" s="217">
        <v>29290</v>
      </c>
      <c r="N132" s="79"/>
      <c r="O132" s="215">
        <f t="shared" si="19"/>
        <v>29000</v>
      </c>
      <c r="P132" s="215">
        <f t="shared" si="20"/>
        <v>29000</v>
      </c>
      <c r="Q132" s="223"/>
    </row>
    <row r="133" spans="1:17" s="23" customFormat="1" ht="31.5" customHeight="1">
      <c r="A133" s="49"/>
      <c r="B133" s="49"/>
      <c r="C133" s="210" t="s">
        <v>149</v>
      </c>
      <c r="D133" s="178" t="s">
        <v>2</v>
      </c>
      <c r="E133" s="211">
        <v>3</v>
      </c>
      <c r="F133" s="211"/>
      <c r="G133" s="212"/>
      <c r="H133" s="213"/>
      <c r="I133" s="213"/>
      <c r="J133" s="213"/>
      <c r="K133" s="211"/>
      <c r="L133" s="69"/>
      <c r="M133" s="217">
        <v>2110</v>
      </c>
      <c r="N133" s="79"/>
      <c r="O133" s="215">
        <f t="shared" si="19"/>
        <v>6000</v>
      </c>
      <c r="P133" s="215">
        <f t="shared" si="20"/>
        <v>6000</v>
      </c>
      <c r="Q133" s="223"/>
    </row>
    <row r="134" spans="1:17" ht="27" customHeight="1">
      <c r="A134" s="63"/>
      <c r="B134" s="63"/>
      <c r="C134" s="247" t="s">
        <v>9</v>
      </c>
      <c r="D134" s="63"/>
      <c r="E134" s="56"/>
      <c r="F134" s="63"/>
      <c r="G134" s="63"/>
      <c r="H134" s="229"/>
      <c r="I134" s="238"/>
      <c r="J134" s="229"/>
      <c r="K134" s="63"/>
      <c r="L134" s="64"/>
      <c r="M134" s="217"/>
      <c r="N134" s="56"/>
      <c r="O134" s="215">
        <f>ROUND(E134*M134*N134,-3)</f>
        <v>0</v>
      </c>
      <c r="P134" s="215"/>
      <c r="Q134" s="223"/>
    </row>
    <row r="135" spans="1:17" s="23" customFormat="1" ht="84.75" customHeight="1">
      <c r="A135" s="81"/>
      <c r="B135" s="82"/>
      <c r="C135" s="239" t="s">
        <v>270</v>
      </c>
      <c r="D135" s="240" t="s">
        <v>2</v>
      </c>
      <c r="E135" s="240"/>
      <c r="F135" s="241">
        <v>47</v>
      </c>
      <c r="G135" s="240">
        <v>1</v>
      </c>
      <c r="H135" s="242">
        <v>517.9</v>
      </c>
      <c r="I135" s="242">
        <v>66.5</v>
      </c>
      <c r="J135" s="243">
        <f>H135-I135</f>
        <v>451.4</v>
      </c>
      <c r="K135" s="244" t="s">
        <v>366</v>
      </c>
      <c r="L135" s="89" t="s">
        <v>401</v>
      </c>
      <c r="M135" s="233">
        <v>3420000</v>
      </c>
      <c r="N135" s="245">
        <v>1.1</v>
      </c>
      <c r="O135" s="234">
        <f>ROUND(M135*I135*N135,-3)</f>
        <v>250173000</v>
      </c>
      <c r="P135" s="234">
        <f>ROUND(I135*M135*N135,-3)</f>
        <v>250173000</v>
      </c>
      <c r="Q135" s="235"/>
    </row>
    <row r="136" spans="1:20" ht="30.75" customHeight="1">
      <c r="A136" s="35">
        <v>9</v>
      </c>
      <c r="B136" s="35"/>
      <c r="C136" s="196" t="s">
        <v>154</v>
      </c>
      <c r="D136" s="197"/>
      <c r="E136" s="197"/>
      <c r="F136" s="197"/>
      <c r="G136" s="198"/>
      <c r="H136" s="199"/>
      <c r="I136" s="199"/>
      <c r="J136" s="199"/>
      <c r="K136" s="200"/>
      <c r="L136" s="35"/>
      <c r="M136" s="236"/>
      <c r="N136" s="201"/>
      <c r="O136" s="202">
        <f>SUM(O138:O143)</f>
        <v>130767000</v>
      </c>
      <c r="P136" s="202">
        <f>SUM(P138:P143)</f>
        <v>130767000</v>
      </c>
      <c r="Q136" s="203"/>
      <c r="R136" s="6"/>
      <c r="S136" s="182"/>
      <c r="T136" s="181"/>
    </row>
    <row r="137" spans="1:20" ht="19.5" customHeight="1">
      <c r="A137" s="42"/>
      <c r="B137" s="42"/>
      <c r="C137" s="204" t="s">
        <v>8</v>
      </c>
      <c r="D137" s="205"/>
      <c r="E137" s="205"/>
      <c r="F137" s="205"/>
      <c r="G137" s="206"/>
      <c r="H137" s="207"/>
      <c r="I137" s="207"/>
      <c r="J137" s="207"/>
      <c r="K137" s="208"/>
      <c r="L137" s="44"/>
      <c r="M137" s="237"/>
      <c r="N137" s="42"/>
      <c r="O137" s="209"/>
      <c r="P137" s="209"/>
      <c r="Q137" s="47"/>
      <c r="R137" s="6"/>
      <c r="S137" s="7"/>
      <c r="T137" s="181"/>
    </row>
    <row r="138" spans="1:20" ht="51" customHeight="1">
      <c r="A138" s="49"/>
      <c r="B138" s="50" t="s">
        <v>388</v>
      </c>
      <c r="C138" s="210" t="s">
        <v>342</v>
      </c>
      <c r="D138" s="178" t="s">
        <v>2</v>
      </c>
      <c r="E138" s="211">
        <f>(4.2*5)</f>
        <v>21</v>
      </c>
      <c r="F138" s="211"/>
      <c r="G138" s="212"/>
      <c r="H138" s="213"/>
      <c r="I138" s="213"/>
      <c r="J138" s="213"/>
      <c r="K138" s="211" t="s">
        <v>21</v>
      </c>
      <c r="L138" s="56"/>
      <c r="M138" s="214">
        <f>453000+284000</f>
        <v>737000</v>
      </c>
      <c r="N138" s="58">
        <f>1.03*1.148</f>
        <v>1.18244</v>
      </c>
      <c r="O138" s="215">
        <f>+ROUND(N138*M138*E138,-3)</f>
        <v>18301000</v>
      </c>
      <c r="P138" s="215">
        <f>ROUND(E138*M138*N138,-3)</f>
        <v>18301000</v>
      </c>
      <c r="Q138" s="216"/>
      <c r="R138" s="183"/>
      <c r="S138" s="13"/>
      <c r="T138" s="181"/>
    </row>
    <row r="139" spans="1:20" ht="45.75" customHeight="1">
      <c r="A139" s="49"/>
      <c r="B139" s="50" t="s">
        <v>388</v>
      </c>
      <c r="C139" s="210" t="s">
        <v>343</v>
      </c>
      <c r="D139" s="178" t="s">
        <v>2</v>
      </c>
      <c r="E139" s="211">
        <f>(6*4.2)</f>
        <v>25.200000000000003</v>
      </c>
      <c r="F139" s="211"/>
      <c r="G139" s="212"/>
      <c r="H139" s="213"/>
      <c r="I139" s="213"/>
      <c r="J139" s="213"/>
      <c r="K139" s="211" t="s">
        <v>21</v>
      </c>
      <c r="L139" s="56"/>
      <c r="M139" s="214">
        <f>453000+284000</f>
        <v>737000</v>
      </c>
      <c r="N139" s="58">
        <f>1.03*1.148</f>
        <v>1.18244</v>
      </c>
      <c r="O139" s="215">
        <f>+ROUND(N139*M139*E139,-3)</f>
        <v>21961000</v>
      </c>
      <c r="P139" s="215">
        <f>ROUND(E139*M139*N139,-3)</f>
        <v>21961000</v>
      </c>
      <c r="Q139" s="216"/>
      <c r="R139" s="183"/>
      <c r="S139" s="13"/>
      <c r="T139" s="181"/>
    </row>
    <row r="140" spans="1:20" ht="42" customHeight="1">
      <c r="A140" s="49"/>
      <c r="B140" s="50" t="s">
        <v>292</v>
      </c>
      <c r="C140" s="210" t="s">
        <v>344</v>
      </c>
      <c r="D140" s="178" t="s">
        <v>2</v>
      </c>
      <c r="E140" s="211">
        <f>(2*6)</f>
        <v>12</v>
      </c>
      <c r="F140" s="211"/>
      <c r="G140" s="212"/>
      <c r="H140" s="213"/>
      <c r="I140" s="213"/>
      <c r="J140" s="213"/>
      <c r="K140" s="211" t="s">
        <v>345</v>
      </c>
      <c r="L140" s="56"/>
      <c r="M140" s="214">
        <v>284000</v>
      </c>
      <c r="N140" s="58">
        <f>1.03*1.148</f>
        <v>1.18244</v>
      </c>
      <c r="O140" s="215">
        <f>+ROUND(N140*M140*80%*E140,-3)</f>
        <v>3224000</v>
      </c>
      <c r="P140" s="215">
        <f>ROUND(E140*M140*N140*80%,-3)</f>
        <v>3224000</v>
      </c>
      <c r="Q140" s="216" t="s">
        <v>385</v>
      </c>
      <c r="R140" s="183"/>
      <c r="S140" s="13"/>
      <c r="T140" s="181"/>
    </row>
    <row r="141" spans="1:20" ht="77.25" customHeight="1">
      <c r="A141" s="49"/>
      <c r="B141" s="50" t="s">
        <v>45</v>
      </c>
      <c r="C141" s="210" t="s">
        <v>367</v>
      </c>
      <c r="D141" s="178" t="s">
        <v>2</v>
      </c>
      <c r="E141" s="211">
        <f>(4*1.6)</f>
        <v>6.4</v>
      </c>
      <c r="F141" s="178"/>
      <c r="G141" s="212"/>
      <c r="H141" s="213"/>
      <c r="I141" s="213"/>
      <c r="J141" s="213"/>
      <c r="K141" s="211" t="s">
        <v>21</v>
      </c>
      <c r="L141" s="56"/>
      <c r="M141" s="214">
        <v>792000</v>
      </c>
      <c r="N141" s="58">
        <f>1.03*1.148</f>
        <v>1.18244</v>
      </c>
      <c r="O141" s="215">
        <f>+ROUND(N141*M141*E141,-3)</f>
        <v>5994000</v>
      </c>
      <c r="P141" s="215">
        <f>ROUND(E141*M141*N141,-3)</f>
        <v>5994000</v>
      </c>
      <c r="Q141" s="219" t="s">
        <v>384</v>
      </c>
      <c r="R141" s="183"/>
      <c r="S141" s="13"/>
      <c r="T141" s="181"/>
    </row>
    <row r="142" spans="1:17" ht="27" customHeight="1">
      <c r="A142" s="63"/>
      <c r="B142" s="63"/>
      <c r="C142" s="247" t="s">
        <v>9</v>
      </c>
      <c r="D142" s="63"/>
      <c r="E142" s="56"/>
      <c r="F142" s="63"/>
      <c r="G142" s="63"/>
      <c r="H142" s="229"/>
      <c r="I142" s="238"/>
      <c r="J142" s="229"/>
      <c r="K142" s="63"/>
      <c r="L142" s="64"/>
      <c r="M142" s="217"/>
      <c r="N142" s="56"/>
      <c r="O142" s="215">
        <f>ROUND(E142*M142*N142,-3)</f>
        <v>0</v>
      </c>
      <c r="P142" s="215"/>
      <c r="Q142" s="223"/>
    </row>
    <row r="143" spans="1:17" s="23" customFormat="1" ht="90.75" customHeight="1">
      <c r="A143" s="81"/>
      <c r="B143" s="82"/>
      <c r="C143" s="239" t="s">
        <v>270</v>
      </c>
      <c r="D143" s="240" t="s">
        <v>2</v>
      </c>
      <c r="E143" s="240"/>
      <c r="F143" s="241">
        <v>51</v>
      </c>
      <c r="G143" s="240">
        <v>1</v>
      </c>
      <c r="H143" s="242">
        <v>198.7</v>
      </c>
      <c r="I143" s="242">
        <v>20.8</v>
      </c>
      <c r="J143" s="243">
        <f>H143-I143</f>
        <v>177.89999999999998</v>
      </c>
      <c r="K143" s="244" t="s">
        <v>346</v>
      </c>
      <c r="L143" s="89" t="s">
        <v>161</v>
      </c>
      <c r="M143" s="233">
        <f>3420000+(5%*2655000)</f>
        <v>3552750</v>
      </c>
      <c r="N143" s="245">
        <v>1.1</v>
      </c>
      <c r="O143" s="234">
        <f>ROUND(M143*I143*N143,-3)</f>
        <v>81287000</v>
      </c>
      <c r="P143" s="234">
        <f>ROUND(I143*M143*N143,-3)</f>
        <v>81287000</v>
      </c>
      <c r="Q143" s="82"/>
    </row>
    <row r="144" spans="1:20" ht="37.5" customHeight="1">
      <c r="A144" s="35">
        <v>10</v>
      </c>
      <c r="B144" s="35"/>
      <c r="C144" s="196" t="s">
        <v>162</v>
      </c>
      <c r="D144" s="197"/>
      <c r="E144" s="197"/>
      <c r="F144" s="197"/>
      <c r="G144" s="198"/>
      <c r="H144" s="199"/>
      <c r="I144" s="199"/>
      <c r="J144" s="260"/>
      <c r="K144" s="261"/>
      <c r="L144" s="35"/>
      <c r="M144" s="236"/>
      <c r="N144" s="201"/>
      <c r="O144" s="202">
        <f>SUM(O146:O153)</f>
        <v>21446000</v>
      </c>
      <c r="P144" s="202">
        <f>SUM(P146:P153)</f>
        <v>21446000</v>
      </c>
      <c r="Q144" s="203"/>
      <c r="R144" s="6"/>
      <c r="S144" s="182"/>
      <c r="T144" s="181"/>
    </row>
    <row r="145" spans="1:20" ht="21" customHeight="1">
      <c r="A145" s="42"/>
      <c r="B145" s="42"/>
      <c r="C145" s="204" t="s">
        <v>8</v>
      </c>
      <c r="D145" s="205"/>
      <c r="E145" s="205"/>
      <c r="F145" s="205"/>
      <c r="G145" s="206"/>
      <c r="H145" s="207"/>
      <c r="I145" s="207"/>
      <c r="J145" s="262"/>
      <c r="K145" s="263"/>
      <c r="L145" s="44"/>
      <c r="M145" s="237"/>
      <c r="N145" s="42"/>
      <c r="O145" s="209"/>
      <c r="P145" s="209"/>
      <c r="Q145" s="47"/>
      <c r="R145" s="6"/>
      <c r="S145" s="7"/>
      <c r="T145" s="181"/>
    </row>
    <row r="146" spans="1:20" ht="48" customHeight="1">
      <c r="A146" s="256"/>
      <c r="B146" s="50" t="s">
        <v>388</v>
      </c>
      <c r="C146" s="210" t="s">
        <v>347</v>
      </c>
      <c r="D146" s="178" t="s">
        <v>2</v>
      </c>
      <c r="E146" s="211">
        <f>(4.1*1.55)</f>
        <v>6.3549999999999995</v>
      </c>
      <c r="F146" s="178"/>
      <c r="G146" s="212"/>
      <c r="H146" s="213"/>
      <c r="I146" s="213"/>
      <c r="J146" s="213"/>
      <c r="K146" s="211" t="s">
        <v>71</v>
      </c>
      <c r="L146" s="56"/>
      <c r="M146" s="214">
        <f>453000+284000</f>
        <v>737000</v>
      </c>
      <c r="N146" s="58">
        <f>1.03*1.148</f>
        <v>1.18244</v>
      </c>
      <c r="O146" s="215">
        <f>+ROUND(N146*M146*E146,-3)</f>
        <v>5538000</v>
      </c>
      <c r="P146" s="215">
        <f>ROUND(E146*M146*N146,-3)</f>
        <v>5538000</v>
      </c>
      <c r="Q146" s="216"/>
      <c r="R146" s="183"/>
      <c r="S146" s="13"/>
      <c r="T146" s="181"/>
    </row>
    <row r="147" spans="1:20" ht="48.75" customHeight="1">
      <c r="A147" s="256"/>
      <c r="B147" s="50" t="s">
        <v>388</v>
      </c>
      <c r="C147" s="210" t="s">
        <v>348</v>
      </c>
      <c r="D147" s="178" t="s">
        <v>2</v>
      </c>
      <c r="E147" s="211">
        <f>+(4.1*2.65)</f>
        <v>10.864999999999998</v>
      </c>
      <c r="F147" s="178"/>
      <c r="G147" s="212"/>
      <c r="H147" s="213"/>
      <c r="I147" s="213"/>
      <c r="J147" s="213"/>
      <c r="K147" s="211" t="s">
        <v>349</v>
      </c>
      <c r="L147" s="56"/>
      <c r="M147" s="214">
        <f>453000+284000</f>
        <v>737000</v>
      </c>
      <c r="N147" s="58">
        <f>1.03*1.148</f>
        <v>1.18244</v>
      </c>
      <c r="O147" s="215">
        <f>+ROUND(N147*80%*M147*E147,-3)</f>
        <v>7575000</v>
      </c>
      <c r="P147" s="215">
        <f>ROUND(E147*M147*N147*80%,-3)</f>
        <v>7575000</v>
      </c>
      <c r="Q147" s="216" t="s">
        <v>385</v>
      </c>
      <c r="R147" s="183"/>
      <c r="S147" s="13"/>
      <c r="T147" s="181"/>
    </row>
    <row r="148" spans="1:20" ht="39.75" customHeight="1">
      <c r="A148" s="256"/>
      <c r="B148" s="50" t="s">
        <v>371</v>
      </c>
      <c r="C148" s="210" t="s">
        <v>350</v>
      </c>
      <c r="D148" s="178" t="s">
        <v>2</v>
      </c>
      <c r="E148" s="211">
        <f>(3.4*1.1)</f>
        <v>3.74</v>
      </c>
      <c r="F148" s="178"/>
      <c r="G148" s="212"/>
      <c r="H148" s="213"/>
      <c r="I148" s="213"/>
      <c r="J148" s="213"/>
      <c r="K148" s="211" t="s">
        <v>71</v>
      </c>
      <c r="L148" s="56"/>
      <c r="M148" s="214">
        <v>792000</v>
      </c>
      <c r="N148" s="58">
        <f>1.03*1.148</f>
        <v>1.18244</v>
      </c>
      <c r="O148" s="215">
        <f>+ROUND(N148*M148*E148,-3)</f>
        <v>3502000</v>
      </c>
      <c r="P148" s="215">
        <f>ROUND(E148*M148*N148,-3)</f>
        <v>3502000</v>
      </c>
      <c r="Q148" s="216"/>
      <c r="R148" s="183"/>
      <c r="S148" s="13"/>
      <c r="T148" s="181"/>
    </row>
    <row r="149" spans="1:20" ht="33" customHeight="1">
      <c r="A149" s="49"/>
      <c r="B149" s="50" t="s">
        <v>372</v>
      </c>
      <c r="C149" s="210" t="s">
        <v>167</v>
      </c>
      <c r="D149" s="178" t="s">
        <v>2</v>
      </c>
      <c r="E149" s="211">
        <f>(6*1.5)</f>
        <v>9</v>
      </c>
      <c r="F149" s="178"/>
      <c r="G149" s="212"/>
      <c r="H149" s="213"/>
      <c r="I149" s="213"/>
      <c r="J149" s="213"/>
      <c r="K149" s="211" t="s">
        <v>71</v>
      </c>
      <c r="L149" s="56"/>
      <c r="M149" s="214">
        <v>11000</v>
      </c>
      <c r="N149" s="58">
        <f>1.03*1.148</f>
        <v>1.18244</v>
      </c>
      <c r="O149" s="215">
        <f>+ROUND(N149*M149*E149,-3)</f>
        <v>117000</v>
      </c>
      <c r="P149" s="215">
        <f>ROUND(E149*M149*N149,-3)</f>
        <v>117000</v>
      </c>
      <c r="Q149" s="216"/>
      <c r="R149" s="183"/>
      <c r="S149" s="13"/>
      <c r="T149" s="181"/>
    </row>
    <row r="150" spans="1:17" ht="24" customHeight="1">
      <c r="A150" s="63"/>
      <c r="B150" s="63"/>
      <c r="C150" s="247" t="s">
        <v>9</v>
      </c>
      <c r="D150" s="63"/>
      <c r="E150" s="56"/>
      <c r="F150" s="63"/>
      <c r="G150" s="63"/>
      <c r="H150" s="229"/>
      <c r="I150" s="238"/>
      <c r="J150" s="229"/>
      <c r="K150" s="63"/>
      <c r="L150" s="64"/>
      <c r="M150" s="217"/>
      <c r="N150" s="56"/>
      <c r="O150" s="215">
        <f>ROUND(E150*M150*N150,-3)</f>
        <v>0</v>
      </c>
      <c r="P150" s="215"/>
      <c r="Q150" s="223"/>
    </row>
    <row r="151" spans="1:17" s="23" customFormat="1" ht="72" customHeight="1">
      <c r="A151" s="49"/>
      <c r="B151" s="50"/>
      <c r="C151" s="210" t="s">
        <v>17</v>
      </c>
      <c r="D151" s="178" t="s">
        <v>2</v>
      </c>
      <c r="E151" s="178"/>
      <c r="F151" s="224">
        <v>29</v>
      </c>
      <c r="G151" s="178">
        <v>1</v>
      </c>
      <c r="H151" s="225">
        <v>102</v>
      </c>
      <c r="I151" s="213">
        <v>2.7</v>
      </c>
      <c r="J151" s="213">
        <f>H151-I151</f>
        <v>99.3</v>
      </c>
      <c r="K151" s="264" t="s">
        <v>288</v>
      </c>
      <c r="L151" s="69" t="s">
        <v>19</v>
      </c>
      <c r="M151" s="217">
        <v>36000</v>
      </c>
      <c r="N151" s="79">
        <v>1</v>
      </c>
      <c r="O151" s="227">
        <f>ROUND(M151*I151*N151,-3)</f>
        <v>97000</v>
      </c>
      <c r="P151" s="227">
        <f>ROUND(I151*M151*N151,-3)</f>
        <v>97000</v>
      </c>
      <c r="Q151" s="223"/>
    </row>
    <row r="152" spans="1:17" s="23" customFormat="1" ht="24" customHeight="1">
      <c r="A152" s="49"/>
      <c r="B152" s="50"/>
      <c r="C152" s="80" t="s">
        <v>24</v>
      </c>
      <c r="D152" s="50"/>
      <c r="E152" s="50"/>
      <c r="F152" s="67"/>
      <c r="G152" s="50"/>
      <c r="H152" s="228"/>
      <c r="I152" s="228"/>
      <c r="J152" s="229"/>
      <c r="K152" s="78"/>
      <c r="L152" s="69"/>
      <c r="M152" s="217"/>
      <c r="N152" s="79"/>
      <c r="O152" s="227"/>
      <c r="P152" s="227"/>
      <c r="Q152" s="223"/>
    </row>
    <row r="153" spans="1:17" s="23" customFormat="1" ht="52.5" customHeight="1">
      <c r="A153" s="81"/>
      <c r="B153" s="82"/>
      <c r="C153" s="230" t="s">
        <v>373</v>
      </c>
      <c r="D153" s="82"/>
      <c r="E153" s="82"/>
      <c r="F153" s="84"/>
      <c r="G153" s="82"/>
      <c r="H153" s="231"/>
      <c r="I153" s="231">
        <f>+I151</f>
        <v>2.7</v>
      </c>
      <c r="J153" s="232"/>
      <c r="K153" s="88"/>
      <c r="L153" s="89"/>
      <c r="M153" s="233">
        <v>3420000</v>
      </c>
      <c r="N153" s="95">
        <v>0.5</v>
      </c>
      <c r="O153" s="234">
        <f>ROUND(M153*I153*N153,-3)</f>
        <v>4617000</v>
      </c>
      <c r="P153" s="234">
        <f>ROUND(I153*M153*N153,-3)</f>
        <v>4617000</v>
      </c>
      <c r="Q153" s="82"/>
    </row>
    <row r="154" spans="1:20" ht="41.25" customHeight="1">
      <c r="A154" s="35">
        <v>11</v>
      </c>
      <c r="B154" s="35"/>
      <c r="C154" s="196" t="s">
        <v>169</v>
      </c>
      <c r="D154" s="197"/>
      <c r="E154" s="197"/>
      <c r="F154" s="197"/>
      <c r="G154" s="198"/>
      <c r="H154" s="199"/>
      <c r="I154" s="199"/>
      <c r="J154" s="199"/>
      <c r="K154" s="200"/>
      <c r="L154" s="35"/>
      <c r="M154" s="236"/>
      <c r="N154" s="201"/>
      <c r="O154" s="202">
        <f>SUM(O156:O170)</f>
        <v>75051000</v>
      </c>
      <c r="P154" s="202">
        <f>SUM(P156:P170)</f>
        <v>75051000</v>
      </c>
      <c r="Q154" s="203"/>
      <c r="R154" s="6"/>
      <c r="S154" s="182"/>
      <c r="T154" s="181"/>
    </row>
    <row r="155" spans="1:20" ht="26.25" customHeight="1">
      <c r="A155" s="42"/>
      <c r="B155" s="42"/>
      <c r="C155" s="204" t="s">
        <v>8</v>
      </c>
      <c r="D155" s="205"/>
      <c r="E155" s="205"/>
      <c r="F155" s="205"/>
      <c r="G155" s="206"/>
      <c r="H155" s="207"/>
      <c r="I155" s="207"/>
      <c r="J155" s="207"/>
      <c r="K155" s="208"/>
      <c r="L155" s="44"/>
      <c r="M155" s="237"/>
      <c r="N155" s="42"/>
      <c r="O155" s="209"/>
      <c r="P155" s="209"/>
      <c r="Q155" s="47"/>
      <c r="R155" s="6"/>
      <c r="S155" s="7"/>
      <c r="T155" s="181"/>
    </row>
    <row r="156" spans="1:20" ht="42" customHeight="1">
      <c r="A156" s="49"/>
      <c r="B156" s="50" t="s">
        <v>376</v>
      </c>
      <c r="C156" s="210" t="s">
        <v>351</v>
      </c>
      <c r="D156" s="178" t="s">
        <v>2</v>
      </c>
      <c r="E156" s="211">
        <f>(10.2*2.5)</f>
        <v>25.5</v>
      </c>
      <c r="F156" s="211"/>
      <c r="G156" s="212"/>
      <c r="H156" s="213"/>
      <c r="I156" s="213"/>
      <c r="J156" s="213"/>
      <c r="K156" s="211" t="s">
        <v>94</v>
      </c>
      <c r="L156" s="56"/>
      <c r="M156" s="214">
        <v>679000</v>
      </c>
      <c r="N156" s="58">
        <f>1.03*1.148</f>
        <v>1.18244</v>
      </c>
      <c r="O156" s="215">
        <f aca="true" t="shared" si="21" ref="O156:O161">+ROUND(N156*M156*E156,-3)</f>
        <v>20473000</v>
      </c>
      <c r="P156" s="215">
        <f aca="true" t="shared" si="22" ref="P156:P161">ROUND(E156*M156*N156,-3)</f>
        <v>20473000</v>
      </c>
      <c r="Q156" s="216"/>
      <c r="R156" s="183"/>
      <c r="S156" s="13"/>
      <c r="T156" s="181"/>
    </row>
    <row r="157" spans="1:20" ht="42.75" customHeight="1">
      <c r="A157" s="49"/>
      <c r="B157" s="246" t="s">
        <v>380</v>
      </c>
      <c r="C157" s="210" t="s">
        <v>352</v>
      </c>
      <c r="D157" s="178" t="s">
        <v>16</v>
      </c>
      <c r="E157" s="211">
        <f>(0.2*0.2*2.7)*2</f>
        <v>0.21600000000000005</v>
      </c>
      <c r="F157" s="211"/>
      <c r="G157" s="212"/>
      <c r="H157" s="213"/>
      <c r="I157" s="213"/>
      <c r="J157" s="213"/>
      <c r="K157" s="211" t="s">
        <v>94</v>
      </c>
      <c r="L157" s="56"/>
      <c r="M157" s="214">
        <v>2828000</v>
      </c>
      <c r="N157" s="58">
        <f aca="true" t="shared" si="23" ref="N157:N166">1.03*1.148</f>
        <v>1.18244</v>
      </c>
      <c r="O157" s="215">
        <f t="shared" si="21"/>
        <v>722000</v>
      </c>
      <c r="P157" s="215">
        <f t="shared" si="22"/>
        <v>722000</v>
      </c>
      <c r="Q157" s="57"/>
      <c r="R157" s="183"/>
      <c r="S157" s="13"/>
      <c r="T157" s="181"/>
    </row>
    <row r="158" spans="1:20" ht="40.5" customHeight="1">
      <c r="A158" s="49"/>
      <c r="B158" s="246" t="s">
        <v>380</v>
      </c>
      <c r="C158" s="210" t="s">
        <v>353</v>
      </c>
      <c r="D158" s="178" t="s">
        <v>16</v>
      </c>
      <c r="E158" s="211">
        <f>(0.45*0.45*3)*2</f>
        <v>1.215</v>
      </c>
      <c r="F158" s="211"/>
      <c r="G158" s="212"/>
      <c r="H158" s="213"/>
      <c r="I158" s="213"/>
      <c r="J158" s="213"/>
      <c r="K158" s="211" t="s">
        <v>94</v>
      </c>
      <c r="L158" s="56"/>
      <c r="M158" s="214">
        <v>2828000</v>
      </c>
      <c r="N158" s="58">
        <f t="shared" si="23"/>
        <v>1.18244</v>
      </c>
      <c r="O158" s="215">
        <f t="shared" si="21"/>
        <v>4063000</v>
      </c>
      <c r="P158" s="215">
        <f t="shared" si="22"/>
        <v>4063000</v>
      </c>
      <c r="Q158" s="216"/>
      <c r="R158" s="183"/>
      <c r="S158" s="13"/>
      <c r="T158" s="181"/>
    </row>
    <row r="159" spans="1:20" ht="42.75" customHeight="1">
      <c r="A159" s="49"/>
      <c r="B159" s="246" t="s">
        <v>379</v>
      </c>
      <c r="C159" s="210" t="s">
        <v>354</v>
      </c>
      <c r="D159" s="178" t="s">
        <v>2</v>
      </c>
      <c r="E159" s="211">
        <f>(0.3*1.5)*7</f>
        <v>3.1499999999999995</v>
      </c>
      <c r="F159" s="211"/>
      <c r="G159" s="212"/>
      <c r="H159" s="213"/>
      <c r="I159" s="213"/>
      <c r="J159" s="213"/>
      <c r="K159" s="211" t="s">
        <v>94</v>
      </c>
      <c r="L159" s="56"/>
      <c r="M159" s="214">
        <v>339000</v>
      </c>
      <c r="N159" s="58">
        <f t="shared" si="23"/>
        <v>1.18244</v>
      </c>
      <c r="O159" s="215">
        <f t="shared" si="21"/>
        <v>1263000</v>
      </c>
      <c r="P159" s="215">
        <f t="shared" si="22"/>
        <v>1263000</v>
      </c>
      <c r="Q159" s="216"/>
      <c r="R159" s="183"/>
      <c r="S159" s="13"/>
      <c r="T159" s="181"/>
    </row>
    <row r="160" spans="1:20" ht="32.25" customHeight="1">
      <c r="A160" s="49"/>
      <c r="B160" s="50" t="s">
        <v>292</v>
      </c>
      <c r="C160" s="210" t="s">
        <v>355</v>
      </c>
      <c r="D160" s="178" t="s">
        <v>2</v>
      </c>
      <c r="E160" s="211">
        <f>(3.3*2.2)</f>
        <v>7.26</v>
      </c>
      <c r="F160" s="211"/>
      <c r="G160" s="212"/>
      <c r="H160" s="213"/>
      <c r="I160" s="213"/>
      <c r="J160" s="213"/>
      <c r="K160" s="211" t="s">
        <v>94</v>
      </c>
      <c r="L160" s="56"/>
      <c r="M160" s="214">
        <v>284000</v>
      </c>
      <c r="N160" s="58">
        <f t="shared" si="23"/>
        <v>1.18244</v>
      </c>
      <c r="O160" s="215">
        <f t="shared" si="21"/>
        <v>2438000</v>
      </c>
      <c r="P160" s="215">
        <f t="shared" si="22"/>
        <v>2438000</v>
      </c>
      <c r="Q160" s="216"/>
      <c r="R160" s="183"/>
      <c r="S160" s="13"/>
      <c r="T160" s="181"/>
    </row>
    <row r="161" spans="1:20" ht="37.5" customHeight="1">
      <c r="A161" s="49"/>
      <c r="B161" s="50" t="s">
        <v>389</v>
      </c>
      <c r="C161" s="210" t="s">
        <v>356</v>
      </c>
      <c r="D161" s="178" t="s">
        <v>2</v>
      </c>
      <c r="E161" s="211">
        <f>(2.2*1.9)</f>
        <v>4.18</v>
      </c>
      <c r="F161" s="211"/>
      <c r="G161" s="212"/>
      <c r="H161" s="213"/>
      <c r="I161" s="213"/>
      <c r="J161" s="213"/>
      <c r="K161" s="211" t="s">
        <v>94</v>
      </c>
      <c r="L161" s="56"/>
      <c r="M161" s="214">
        <v>735000</v>
      </c>
      <c r="N161" s="58">
        <f t="shared" si="23"/>
        <v>1.18244</v>
      </c>
      <c r="O161" s="215">
        <f t="shared" si="21"/>
        <v>3633000</v>
      </c>
      <c r="P161" s="215">
        <f t="shared" si="22"/>
        <v>3633000</v>
      </c>
      <c r="Q161" s="216"/>
      <c r="R161" s="183"/>
      <c r="S161" s="13"/>
      <c r="T161" s="181"/>
    </row>
    <row r="162" spans="1:20" ht="31.5" customHeight="1">
      <c r="A162" s="49"/>
      <c r="B162" s="49"/>
      <c r="C162" s="210" t="s">
        <v>357</v>
      </c>
      <c r="D162" s="178" t="s">
        <v>11</v>
      </c>
      <c r="E162" s="211">
        <v>2</v>
      </c>
      <c r="F162" s="211"/>
      <c r="G162" s="212"/>
      <c r="H162" s="213"/>
      <c r="I162" s="213"/>
      <c r="J162" s="213"/>
      <c r="K162" s="211"/>
      <c r="L162" s="56"/>
      <c r="M162" s="214">
        <v>532550</v>
      </c>
      <c r="N162" s="79"/>
      <c r="O162" s="215">
        <f>ROUND(E162*M162,-3)</f>
        <v>1065000</v>
      </c>
      <c r="P162" s="215">
        <f>ROUND(E162*M162,-3)</f>
        <v>1065000</v>
      </c>
      <c r="Q162" s="216"/>
      <c r="R162" s="183"/>
      <c r="S162" s="13"/>
      <c r="T162" s="181"/>
    </row>
    <row r="163" spans="1:20" ht="26.25" customHeight="1">
      <c r="A163" s="49"/>
      <c r="B163" s="49"/>
      <c r="C163" s="210" t="s">
        <v>358</v>
      </c>
      <c r="D163" s="178" t="s">
        <v>11</v>
      </c>
      <c r="E163" s="211">
        <v>1</v>
      </c>
      <c r="F163" s="211"/>
      <c r="G163" s="212"/>
      <c r="H163" s="213"/>
      <c r="I163" s="213"/>
      <c r="J163" s="213"/>
      <c r="K163" s="211"/>
      <c r="L163" s="56"/>
      <c r="M163" s="214">
        <v>53260</v>
      </c>
      <c r="N163" s="79"/>
      <c r="O163" s="215">
        <f>ROUND(E163*M163,-3)</f>
        <v>53000</v>
      </c>
      <c r="P163" s="215">
        <f>ROUND(E163*M163,-3)</f>
        <v>53000</v>
      </c>
      <c r="Q163" s="216"/>
      <c r="R163" s="183"/>
      <c r="S163" s="13"/>
      <c r="T163" s="181"/>
    </row>
    <row r="164" spans="1:20" ht="30" customHeight="1">
      <c r="A164" s="49"/>
      <c r="B164" s="49"/>
      <c r="C164" s="210" t="s">
        <v>359</v>
      </c>
      <c r="D164" s="178" t="s">
        <v>11</v>
      </c>
      <c r="E164" s="211">
        <v>1</v>
      </c>
      <c r="F164" s="211"/>
      <c r="G164" s="212"/>
      <c r="H164" s="213"/>
      <c r="I164" s="213"/>
      <c r="J164" s="213"/>
      <c r="K164" s="211"/>
      <c r="L164" s="56"/>
      <c r="M164" s="214">
        <v>213020</v>
      </c>
      <c r="N164" s="79"/>
      <c r="O164" s="215">
        <f>ROUND(E164*M164,-3)</f>
        <v>213000</v>
      </c>
      <c r="P164" s="215">
        <f>ROUND(E164*M164,-3)</f>
        <v>213000</v>
      </c>
      <c r="Q164" s="216"/>
      <c r="R164" s="183"/>
      <c r="S164" s="13"/>
      <c r="T164" s="181"/>
    </row>
    <row r="165" spans="1:20" ht="27" customHeight="1">
      <c r="A165" s="49"/>
      <c r="B165" s="49"/>
      <c r="C165" s="210" t="s">
        <v>179</v>
      </c>
      <c r="D165" s="178" t="s">
        <v>2</v>
      </c>
      <c r="E165" s="211">
        <v>1</v>
      </c>
      <c r="F165" s="211"/>
      <c r="G165" s="212"/>
      <c r="H165" s="213"/>
      <c r="I165" s="213"/>
      <c r="J165" s="213"/>
      <c r="K165" s="211"/>
      <c r="L165" s="56"/>
      <c r="M165" s="214">
        <v>2110</v>
      </c>
      <c r="N165" s="79"/>
      <c r="O165" s="215">
        <f>ROUND(E165*M165,-3)</f>
        <v>2000</v>
      </c>
      <c r="P165" s="215">
        <f>ROUND(E165*M165,-3)</f>
        <v>2000</v>
      </c>
      <c r="Q165" s="57"/>
      <c r="R165" s="183"/>
      <c r="S165" s="13"/>
      <c r="T165" s="181"/>
    </row>
    <row r="166" spans="1:20" ht="41.25" customHeight="1">
      <c r="A166" s="49"/>
      <c r="B166" s="50" t="s">
        <v>383</v>
      </c>
      <c r="C166" s="210" t="s">
        <v>77</v>
      </c>
      <c r="D166" s="178" t="s">
        <v>78</v>
      </c>
      <c r="E166" s="211">
        <v>2</v>
      </c>
      <c r="F166" s="211"/>
      <c r="G166" s="212"/>
      <c r="H166" s="213"/>
      <c r="I166" s="213"/>
      <c r="J166" s="213"/>
      <c r="K166" s="211"/>
      <c r="L166" s="56"/>
      <c r="M166" s="214">
        <v>40000</v>
      </c>
      <c r="N166" s="58">
        <f t="shared" si="23"/>
        <v>1.18244</v>
      </c>
      <c r="O166" s="215">
        <f>+ROUND(N166*M166*E166,-3)</f>
        <v>95000</v>
      </c>
      <c r="P166" s="215">
        <f>ROUND(E166*M166*N166,-3)</f>
        <v>95000</v>
      </c>
      <c r="Q166" s="216"/>
      <c r="R166" s="183"/>
      <c r="S166" s="13"/>
      <c r="T166" s="181"/>
    </row>
    <row r="167" spans="1:17" ht="29.25" customHeight="1">
      <c r="A167" s="63"/>
      <c r="B167" s="63"/>
      <c r="C167" s="247" t="s">
        <v>9</v>
      </c>
      <c r="D167" s="63"/>
      <c r="E167" s="56"/>
      <c r="F167" s="63"/>
      <c r="G167" s="63"/>
      <c r="H167" s="229"/>
      <c r="I167" s="238"/>
      <c r="J167" s="229"/>
      <c r="K167" s="63"/>
      <c r="L167" s="64"/>
      <c r="M167" s="217"/>
      <c r="N167" s="56"/>
      <c r="O167" s="215">
        <f>ROUND(E167*M167*N167,-3)</f>
        <v>0</v>
      </c>
      <c r="P167" s="215"/>
      <c r="Q167" s="223"/>
    </row>
    <row r="168" spans="1:17" s="23" customFormat="1" ht="72.75" customHeight="1">
      <c r="A168" s="49"/>
      <c r="B168" s="50"/>
      <c r="C168" s="210" t="s">
        <v>17</v>
      </c>
      <c r="D168" s="178" t="s">
        <v>2</v>
      </c>
      <c r="E168" s="178"/>
      <c r="F168" s="224">
        <v>13</v>
      </c>
      <c r="G168" s="178">
        <v>1</v>
      </c>
      <c r="H168" s="225">
        <v>945.7</v>
      </c>
      <c r="I168" s="225">
        <v>23.5</v>
      </c>
      <c r="J168" s="213">
        <f>H168-I168</f>
        <v>922.2</v>
      </c>
      <c r="K168" s="226" t="s">
        <v>289</v>
      </c>
      <c r="L168" s="69" t="s">
        <v>19</v>
      </c>
      <c r="M168" s="217">
        <v>36000</v>
      </c>
      <c r="N168" s="79">
        <v>1</v>
      </c>
      <c r="O168" s="227">
        <f>ROUND(M168*I168*N168,-3)</f>
        <v>846000</v>
      </c>
      <c r="P168" s="227">
        <f>ROUND(I168*M168*N168,-3)</f>
        <v>846000</v>
      </c>
      <c r="Q168" s="223"/>
    </row>
    <row r="169" spans="1:17" s="23" customFormat="1" ht="26.25" customHeight="1">
      <c r="A169" s="49"/>
      <c r="B169" s="50"/>
      <c r="C169" s="80" t="s">
        <v>24</v>
      </c>
      <c r="D169" s="50"/>
      <c r="E169" s="50"/>
      <c r="F169" s="67"/>
      <c r="G169" s="50"/>
      <c r="H169" s="228"/>
      <c r="I169" s="228"/>
      <c r="J169" s="229"/>
      <c r="K169" s="78"/>
      <c r="L169" s="69"/>
      <c r="M169" s="217"/>
      <c r="N169" s="79"/>
      <c r="O169" s="227"/>
      <c r="P169" s="227"/>
      <c r="Q169" s="223"/>
    </row>
    <row r="170" spans="1:17" s="23" customFormat="1" ht="41.25" customHeight="1">
      <c r="A170" s="81"/>
      <c r="B170" s="82"/>
      <c r="C170" s="230" t="s">
        <v>373</v>
      </c>
      <c r="D170" s="82"/>
      <c r="E170" s="82"/>
      <c r="F170" s="84"/>
      <c r="G170" s="82"/>
      <c r="H170" s="231"/>
      <c r="I170" s="231">
        <f>+I168</f>
        <v>23.5</v>
      </c>
      <c r="J170" s="232"/>
      <c r="K170" s="88"/>
      <c r="L170" s="89"/>
      <c r="M170" s="233">
        <v>3420000</v>
      </c>
      <c r="N170" s="95">
        <v>0.5</v>
      </c>
      <c r="O170" s="234">
        <f>ROUND(M170*I170*N170,-3)</f>
        <v>40185000</v>
      </c>
      <c r="P170" s="234">
        <f>ROUND(I170*M170*N170,-3)</f>
        <v>40185000</v>
      </c>
      <c r="Q170" s="82"/>
    </row>
    <row r="171" spans="1:20" ht="36" customHeight="1">
      <c r="A171" s="35">
        <v>12</v>
      </c>
      <c r="B171" s="35"/>
      <c r="C171" s="36" t="s">
        <v>235</v>
      </c>
      <c r="D171" s="3"/>
      <c r="E171" s="3"/>
      <c r="F171" s="3"/>
      <c r="G171" s="35"/>
      <c r="H171" s="248"/>
      <c r="I171" s="248"/>
      <c r="J171" s="248"/>
      <c r="K171" s="249"/>
      <c r="L171" s="35"/>
      <c r="M171" s="236"/>
      <c r="N171" s="201"/>
      <c r="O171" s="202">
        <f>SUM(O172:O177)</f>
        <v>21535000</v>
      </c>
      <c r="P171" s="202">
        <f>SUM(P172:P177)</f>
        <v>21535000</v>
      </c>
      <c r="Q171" s="203"/>
      <c r="R171" s="6"/>
      <c r="S171" s="182"/>
      <c r="T171" s="181"/>
    </row>
    <row r="172" spans="1:20" ht="23.25" customHeight="1">
      <c r="A172" s="42"/>
      <c r="B172" s="42"/>
      <c r="C172" s="288" t="s">
        <v>232</v>
      </c>
      <c r="D172" s="288"/>
      <c r="E172" s="288"/>
      <c r="F172" s="42"/>
      <c r="G172" s="44"/>
      <c r="H172" s="251"/>
      <c r="I172" s="251"/>
      <c r="J172" s="251"/>
      <c r="K172" s="98"/>
      <c r="L172" s="44"/>
      <c r="M172" s="237"/>
      <c r="N172" s="42"/>
      <c r="O172" s="209"/>
      <c r="P172" s="209"/>
      <c r="Q172" s="47"/>
      <c r="R172" s="6"/>
      <c r="S172" s="7"/>
      <c r="T172" s="181"/>
    </row>
    <row r="173" spans="1:17" ht="28.5" customHeight="1">
      <c r="A173" s="63"/>
      <c r="B173" s="63"/>
      <c r="C173" s="247" t="s">
        <v>9</v>
      </c>
      <c r="D173" s="63"/>
      <c r="E173" s="56"/>
      <c r="F173" s="63"/>
      <c r="G173" s="63"/>
      <c r="H173" s="229"/>
      <c r="I173" s="238"/>
      <c r="J173" s="229"/>
      <c r="K173" s="63"/>
      <c r="L173" s="64"/>
      <c r="M173" s="217"/>
      <c r="N173" s="56"/>
      <c r="O173" s="215"/>
      <c r="P173" s="215"/>
      <c r="Q173" s="223"/>
    </row>
    <row r="174" spans="1:17" s="23" customFormat="1" ht="98.25" customHeight="1">
      <c r="A174" s="49"/>
      <c r="B174" s="50"/>
      <c r="C174" s="210" t="s">
        <v>17</v>
      </c>
      <c r="D174" s="178" t="s">
        <v>2</v>
      </c>
      <c r="E174" s="178"/>
      <c r="F174" s="224">
        <v>30</v>
      </c>
      <c r="G174" s="178">
        <v>1</v>
      </c>
      <c r="H174" s="225">
        <v>104.1</v>
      </c>
      <c r="I174" s="225">
        <v>3.5</v>
      </c>
      <c r="J174" s="213">
        <f>H174-I174</f>
        <v>100.6</v>
      </c>
      <c r="K174" s="226" t="s">
        <v>290</v>
      </c>
      <c r="L174" s="69" t="s">
        <v>19</v>
      </c>
      <c r="M174" s="217">
        <v>36000</v>
      </c>
      <c r="N174" s="79">
        <v>1</v>
      </c>
      <c r="O174" s="227">
        <f>ROUND(M174*I174*N174,-3)</f>
        <v>126000</v>
      </c>
      <c r="P174" s="227">
        <f>ROUND(I174*M174*N174,-3)</f>
        <v>126000</v>
      </c>
      <c r="Q174" s="223"/>
    </row>
    <row r="175" spans="1:17" s="23" customFormat="1" ht="86.25" customHeight="1">
      <c r="A175" s="49"/>
      <c r="B175" s="50"/>
      <c r="C175" s="210" t="s">
        <v>270</v>
      </c>
      <c r="D175" s="178" t="s">
        <v>2</v>
      </c>
      <c r="E175" s="178"/>
      <c r="F175" s="224">
        <v>31</v>
      </c>
      <c r="G175" s="178">
        <v>1</v>
      </c>
      <c r="H175" s="225">
        <v>99.5</v>
      </c>
      <c r="I175" s="225">
        <v>4.1</v>
      </c>
      <c r="J175" s="213">
        <f>H175-I175</f>
        <v>95.4</v>
      </c>
      <c r="K175" s="226" t="s">
        <v>291</v>
      </c>
      <c r="L175" s="69" t="s">
        <v>400</v>
      </c>
      <c r="M175" s="217">
        <f>3420000</f>
        <v>3420000</v>
      </c>
      <c r="N175" s="79">
        <v>1.1</v>
      </c>
      <c r="O175" s="227">
        <f>ROUND(M175*I175*N175,-3)</f>
        <v>15424000</v>
      </c>
      <c r="P175" s="227">
        <f>ROUND(I175*M175*N175,-3)</f>
        <v>15424000</v>
      </c>
      <c r="Q175" s="223"/>
    </row>
    <row r="176" spans="1:17" s="23" customFormat="1" ht="24.75" customHeight="1">
      <c r="A176" s="49"/>
      <c r="B176" s="50"/>
      <c r="C176" s="80" t="s">
        <v>24</v>
      </c>
      <c r="D176" s="50"/>
      <c r="E176" s="50"/>
      <c r="F176" s="67"/>
      <c r="G176" s="50"/>
      <c r="H176" s="228"/>
      <c r="I176" s="228"/>
      <c r="J176" s="229"/>
      <c r="K176" s="78"/>
      <c r="L176" s="69"/>
      <c r="M176" s="217"/>
      <c r="N176" s="79"/>
      <c r="O176" s="227"/>
      <c r="P176" s="227"/>
      <c r="Q176" s="223"/>
    </row>
    <row r="177" spans="1:17" s="23" customFormat="1" ht="49.5" customHeight="1">
      <c r="A177" s="81"/>
      <c r="B177" s="82"/>
      <c r="C177" s="230" t="s">
        <v>390</v>
      </c>
      <c r="D177" s="82"/>
      <c r="E177" s="82"/>
      <c r="F177" s="84"/>
      <c r="G177" s="82"/>
      <c r="H177" s="231"/>
      <c r="I177" s="231">
        <f>+I174</f>
        <v>3.5</v>
      </c>
      <c r="J177" s="232"/>
      <c r="K177" s="88"/>
      <c r="L177" s="89"/>
      <c r="M177" s="233">
        <f>3420000</f>
        <v>3420000</v>
      </c>
      <c r="N177" s="95">
        <v>0.5</v>
      </c>
      <c r="O177" s="234">
        <f>ROUND(M177*I177*N177,-3)</f>
        <v>5985000</v>
      </c>
      <c r="P177" s="234">
        <f>ROUND(I177*M177*N177,-3)</f>
        <v>5985000</v>
      </c>
      <c r="Q177" s="82"/>
    </row>
    <row r="178" spans="1:20" ht="38.25" customHeight="1">
      <c r="A178" s="35">
        <v>13</v>
      </c>
      <c r="B178" s="35"/>
      <c r="C178" s="196" t="s">
        <v>242</v>
      </c>
      <c r="D178" s="197"/>
      <c r="E178" s="197"/>
      <c r="F178" s="197"/>
      <c r="G178" s="198"/>
      <c r="H178" s="199"/>
      <c r="I178" s="199"/>
      <c r="J178" s="199"/>
      <c r="K178" s="200"/>
      <c r="L178" s="265"/>
      <c r="M178" s="236"/>
      <c r="N178" s="201"/>
      <c r="O178" s="202">
        <f>SUM(O180:O192)</f>
        <v>66110000</v>
      </c>
      <c r="P178" s="202">
        <f>SUM(P180:P192)</f>
        <v>66110000</v>
      </c>
      <c r="Q178" s="203"/>
      <c r="R178" s="6"/>
      <c r="S178" s="182"/>
      <c r="T178" s="181"/>
    </row>
    <row r="179" spans="1:20" ht="24.75" customHeight="1">
      <c r="A179" s="42"/>
      <c r="B179" s="42"/>
      <c r="C179" s="204" t="s">
        <v>8</v>
      </c>
      <c r="D179" s="205"/>
      <c r="E179" s="205"/>
      <c r="F179" s="205"/>
      <c r="G179" s="206"/>
      <c r="H179" s="207"/>
      <c r="I179" s="207"/>
      <c r="J179" s="207"/>
      <c r="K179" s="208"/>
      <c r="L179" s="109"/>
      <c r="M179" s="237"/>
      <c r="N179" s="42"/>
      <c r="O179" s="209"/>
      <c r="P179" s="209"/>
      <c r="Q179" s="47"/>
      <c r="R179" s="6"/>
      <c r="S179" s="7"/>
      <c r="T179" s="181"/>
    </row>
    <row r="180" spans="1:20" ht="39.75" customHeight="1">
      <c r="A180" s="50"/>
      <c r="B180" s="50" t="s">
        <v>371</v>
      </c>
      <c r="C180" s="210" t="s">
        <v>360</v>
      </c>
      <c r="D180" s="178" t="s">
        <v>2</v>
      </c>
      <c r="E180" s="211">
        <f>(3.1*2.4)+(6.4*1.1)</f>
        <v>14.48</v>
      </c>
      <c r="F180" s="211"/>
      <c r="G180" s="212"/>
      <c r="H180" s="213"/>
      <c r="I180" s="213"/>
      <c r="J180" s="213"/>
      <c r="K180" s="211" t="s">
        <v>20</v>
      </c>
      <c r="L180" s="266"/>
      <c r="M180" s="214">
        <v>792000</v>
      </c>
      <c r="N180" s="58">
        <f aca="true" t="shared" si="24" ref="N180:N185">1.03*1.148</f>
        <v>1.18244</v>
      </c>
      <c r="O180" s="215">
        <f aca="true" t="shared" si="25" ref="O180:O185">+ROUND(N180*M180*E180,-3)</f>
        <v>13560000</v>
      </c>
      <c r="P180" s="215">
        <f aca="true" t="shared" si="26" ref="P180:P185">ROUND(E180*M180*N180,-3)</f>
        <v>13560000</v>
      </c>
      <c r="Q180" s="216"/>
      <c r="R180" s="183"/>
      <c r="S180" s="13"/>
      <c r="T180" s="181"/>
    </row>
    <row r="181" spans="1:20" ht="30.75" customHeight="1">
      <c r="A181" s="50"/>
      <c r="B181" s="50" t="s">
        <v>372</v>
      </c>
      <c r="C181" s="210" t="s">
        <v>244</v>
      </c>
      <c r="D181" s="178" t="s">
        <v>2</v>
      </c>
      <c r="E181" s="211">
        <f>(6.4*1.2)</f>
        <v>7.68</v>
      </c>
      <c r="F181" s="211"/>
      <c r="G181" s="212"/>
      <c r="H181" s="213"/>
      <c r="I181" s="213"/>
      <c r="J181" s="213"/>
      <c r="K181" s="211" t="s">
        <v>20</v>
      </c>
      <c r="L181" s="266"/>
      <c r="M181" s="214">
        <v>11000</v>
      </c>
      <c r="N181" s="58">
        <f t="shared" si="24"/>
        <v>1.18244</v>
      </c>
      <c r="O181" s="215">
        <f t="shared" si="25"/>
        <v>100000</v>
      </c>
      <c r="P181" s="215">
        <f t="shared" si="26"/>
        <v>100000</v>
      </c>
      <c r="Q181" s="57"/>
      <c r="R181" s="183"/>
      <c r="S181" s="13"/>
      <c r="T181" s="181"/>
    </row>
    <row r="182" spans="1:20" ht="38.25" customHeight="1">
      <c r="A182" s="50"/>
      <c r="B182" s="246" t="s">
        <v>369</v>
      </c>
      <c r="C182" s="210" t="s">
        <v>361</v>
      </c>
      <c r="D182" s="178" t="s">
        <v>16</v>
      </c>
      <c r="E182" s="211">
        <f>(0.15*0.15*1.8)*2</f>
        <v>0.081</v>
      </c>
      <c r="F182" s="211"/>
      <c r="G182" s="212"/>
      <c r="H182" s="213"/>
      <c r="I182" s="213"/>
      <c r="J182" s="213"/>
      <c r="K182" s="211" t="s">
        <v>20</v>
      </c>
      <c r="L182" s="266"/>
      <c r="M182" s="214">
        <v>2828000</v>
      </c>
      <c r="N182" s="58">
        <f t="shared" si="24"/>
        <v>1.18244</v>
      </c>
      <c r="O182" s="215">
        <f t="shared" si="25"/>
        <v>271000</v>
      </c>
      <c r="P182" s="215">
        <f t="shared" si="26"/>
        <v>271000</v>
      </c>
      <c r="Q182" s="216"/>
      <c r="R182" s="183"/>
      <c r="S182" s="13"/>
      <c r="T182" s="181"/>
    </row>
    <row r="183" spans="1:20" ht="33.75" customHeight="1">
      <c r="A183" s="50"/>
      <c r="B183" s="246" t="s">
        <v>369</v>
      </c>
      <c r="C183" s="210" t="s">
        <v>362</v>
      </c>
      <c r="D183" s="178" t="s">
        <v>16</v>
      </c>
      <c r="E183" s="267">
        <f>(0.4*0.4*3.2)*2</f>
        <v>1.0240000000000002</v>
      </c>
      <c r="F183" s="211"/>
      <c r="G183" s="212"/>
      <c r="H183" s="213"/>
      <c r="I183" s="213"/>
      <c r="J183" s="213"/>
      <c r="K183" s="211" t="s">
        <v>20</v>
      </c>
      <c r="L183" s="266"/>
      <c r="M183" s="214">
        <v>2828000</v>
      </c>
      <c r="N183" s="58">
        <f t="shared" si="24"/>
        <v>1.18244</v>
      </c>
      <c r="O183" s="215">
        <f t="shared" si="25"/>
        <v>3424000</v>
      </c>
      <c r="P183" s="215">
        <f t="shared" si="26"/>
        <v>3424000</v>
      </c>
      <c r="Q183" s="216"/>
      <c r="R183" s="183"/>
      <c r="S183" s="13"/>
      <c r="T183" s="181"/>
    </row>
    <row r="184" spans="1:20" ht="35.25" customHeight="1">
      <c r="A184" s="50"/>
      <c r="B184" s="50" t="s">
        <v>389</v>
      </c>
      <c r="C184" s="210" t="s">
        <v>247</v>
      </c>
      <c r="D184" s="178" t="s">
        <v>2</v>
      </c>
      <c r="E184" s="267">
        <f>(2.4*2.1)</f>
        <v>5.04</v>
      </c>
      <c r="F184" s="211"/>
      <c r="G184" s="212"/>
      <c r="H184" s="213"/>
      <c r="I184" s="213"/>
      <c r="J184" s="213"/>
      <c r="K184" s="211" t="s">
        <v>20</v>
      </c>
      <c r="L184" s="266"/>
      <c r="M184" s="214">
        <v>735000</v>
      </c>
      <c r="N184" s="58">
        <f t="shared" si="24"/>
        <v>1.18244</v>
      </c>
      <c r="O184" s="215">
        <f t="shared" si="25"/>
        <v>4380000</v>
      </c>
      <c r="P184" s="215">
        <f t="shared" si="26"/>
        <v>4380000</v>
      </c>
      <c r="Q184" s="57"/>
      <c r="R184" s="183"/>
      <c r="S184" s="13"/>
      <c r="T184" s="181"/>
    </row>
    <row r="185" spans="1:20" ht="31.5" customHeight="1">
      <c r="A185" s="50"/>
      <c r="B185" s="50" t="s">
        <v>292</v>
      </c>
      <c r="C185" s="210" t="s">
        <v>364</v>
      </c>
      <c r="D185" s="178" t="s">
        <v>2</v>
      </c>
      <c r="E185" s="267">
        <f>(2.4*3.1)</f>
        <v>7.4399999999999995</v>
      </c>
      <c r="F185" s="211"/>
      <c r="G185" s="212"/>
      <c r="H185" s="213"/>
      <c r="I185" s="213"/>
      <c r="J185" s="213"/>
      <c r="K185" s="211" t="s">
        <v>20</v>
      </c>
      <c r="L185" s="266"/>
      <c r="M185" s="214">
        <v>284000</v>
      </c>
      <c r="N185" s="58">
        <f t="shared" si="24"/>
        <v>1.18244</v>
      </c>
      <c r="O185" s="215">
        <f t="shared" si="25"/>
        <v>2498000</v>
      </c>
      <c r="P185" s="215">
        <f t="shared" si="26"/>
        <v>2498000</v>
      </c>
      <c r="Q185" s="216"/>
      <c r="R185" s="183"/>
      <c r="S185" s="13"/>
      <c r="T185" s="181"/>
    </row>
    <row r="186" spans="1:20" ht="27.75" customHeight="1">
      <c r="A186" s="50"/>
      <c r="B186" s="50"/>
      <c r="C186" s="210" t="s">
        <v>40</v>
      </c>
      <c r="D186" s="178" t="s">
        <v>11</v>
      </c>
      <c r="E186" s="267">
        <v>6</v>
      </c>
      <c r="F186" s="211"/>
      <c r="G186" s="212"/>
      <c r="H186" s="213"/>
      <c r="I186" s="213"/>
      <c r="J186" s="213"/>
      <c r="K186" s="211"/>
      <c r="L186" s="266"/>
      <c r="M186" s="214">
        <v>178940</v>
      </c>
      <c r="N186" s="79"/>
      <c r="O186" s="215">
        <f>ROUND(E186*M186,-3)</f>
        <v>1074000</v>
      </c>
      <c r="P186" s="215">
        <f>ROUND(E186*M186,-3)</f>
        <v>1074000</v>
      </c>
      <c r="Q186" s="216"/>
      <c r="R186" s="183"/>
      <c r="S186" s="13"/>
      <c r="T186" s="181"/>
    </row>
    <row r="187" spans="1:20" ht="29.25" customHeight="1">
      <c r="A187" s="50"/>
      <c r="B187" s="50"/>
      <c r="C187" s="210" t="s">
        <v>53</v>
      </c>
      <c r="D187" s="178" t="s">
        <v>11</v>
      </c>
      <c r="E187" s="267">
        <v>2</v>
      </c>
      <c r="F187" s="211"/>
      <c r="G187" s="212"/>
      <c r="H187" s="213"/>
      <c r="I187" s="213"/>
      <c r="J187" s="213"/>
      <c r="K187" s="211"/>
      <c r="L187" s="266"/>
      <c r="M187" s="214">
        <v>131010</v>
      </c>
      <c r="N187" s="79"/>
      <c r="O187" s="215">
        <f>ROUND(E187*M187,-3)</f>
        <v>262000</v>
      </c>
      <c r="P187" s="215">
        <f>ROUND(E187*M187,-3)</f>
        <v>262000</v>
      </c>
      <c r="Q187" s="57"/>
      <c r="R187" s="183"/>
      <c r="S187" s="13"/>
      <c r="T187" s="181"/>
    </row>
    <row r="188" spans="1:20" ht="33" customHeight="1">
      <c r="A188" s="50"/>
      <c r="B188" s="50"/>
      <c r="C188" s="210" t="s">
        <v>39</v>
      </c>
      <c r="D188" s="178" t="s">
        <v>11</v>
      </c>
      <c r="E188" s="211">
        <v>9</v>
      </c>
      <c r="F188" s="211"/>
      <c r="G188" s="212"/>
      <c r="H188" s="213"/>
      <c r="I188" s="213"/>
      <c r="J188" s="213"/>
      <c r="K188" s="211"/>
      <c r="L188" s="266"/>
      <c r="M188" s="214">
        <v>42600</v>
      </c>
      <c r="N188" s="79"/>
      <c r="O188" s="215">
        <f>ROUND(E188*M188,-3)</f>
        <v>383000</v>
      </c>
      <c r="P188" s="215">
        <f>ROUND(E188*M188,-3)</f>
        <v>383000</v>
      </c>
      <c r="Q188" s="216"/>
      <c r="R188" s="183"/>
      <c r="S188" s="13"/>
      <c r="T188" s="181"/>
    </row>
    <row r="189" spans="1:17" ht="21.75" customHeight="1">
      <c r="A189" s="63"/>
      <c r="B189" s="63"/>
      <c r="C189" s="247" t="s">
        <v>9</v>
      </c>
      <c r="D189" s="63"/>
      <c r="E189" s="56"/>
      <c r="F189" s="63"/>
      <c r="G189" s="63"/>
      <c r="H189" s="229"/>
      <c r="I189" s="238"/>
      <c r="J189" s="229"/>
      <c r="K189" s="63"/>
      <c r="L189" s="64"/>
      <c r="M189" s="217"/>
      <c r="N189" s="56"/>
      <c r="O189" s="215"/>
      <c r="P189" s="215"/>
      <c r="Q189" s="223"/>
    </row>
    <row r="190" spans="1:17" s="23" customFormat="1" ht="77.25" customHeight="1">
      <c r="A190" s="49"/>
      <c r="B190" s="50"/>
      <c r="C190" s="210" t="s">
        <v>17</v>
      </c>
      <c r="D190" s="178" t="s">
        <v>2</v>
      </c>
      <c r="E190" s="178"/>
      <c r="F190" s="224">
        <v>17</v>
      </c>
      <c r="G190" s="178">
        <v>1</v>
      </c>
      <c r="H190" s="225">
        <v>663.9</v>
      </c>
      <c r="I190" s="225">
        <v>23</v>
      </c>
      <c r="J190" s="213">
        <f>H190-I190</f>
        <v>640.9</v>
      </c>
      <c r="K190" s="226" t="s">
        <v>363</v>
      </c>
      <c r="L190" s="69" t="s">
        <v>19</v>
      </c>
      <c r="M190" s="217">
        <v>36000</v>
      </c>
      <c r="N190" s="79">
        <v>1</v>
      </c>
      <c r="O190" s="227">
        <f>ROUND(M190*I190*N190,-3)</f>
        <v>828000</v>
      </c>
      <c r="P190" s="227">
        <f>ROUND(I190*M190*N190,-3)</f>
        <v>828000</v>
      </c>
      <c r="Q190" s="223"/>
    </row>
    <row r="191" spans="1:17" s="23" customFormat="1" ht="22.5" customHeight="1">
      <c r="A191" s="49"/>
      <c r="B191" s="50"/>
      <c r="C191" s="80" t="s">
        <v>24</v>
      </c>
      <c r="D191" s="50"/>
      <c r="E191" s="50"/>
      <c r="F191" s="67"/>
      <c r="G191" s="50"/>
      <c r="H191" s="228"/>
      <c r="I191" s="228"/>
      <c r="J191" s="229"/>
      <c r="K191" s="78"/>
      <c r="L191" s="69"/>
      <c r="M191" s="217"/>
      <c r="N191" s="79"/>
      <c r="O191" s="227"/>
      <c r="P191" s="227"/>
      <c r="Q191" s="223"/>
    </row>
    <row r="192" spans="1:17" s="23" customFormat="1" ht="42.75" customHeight="1">
      <c r="A192" s="81"/>
      <c r="B192" s="82"/>
      <c r="C192" s="230" t="s">
        <v>373</v>
      </c>
      <c r="D192" s="82"/>
      <c r="E192" s="82"/>
      <c r="F192" s="84"/>
      <c r="G192" s="82"/>
      <c r="H192" s="231"/>
      <c r="I192" s="231">
        <f>+I190</f>
        <v>23</v>
      </c>
      <c r="J192" s="232"/>
      <c r="K192" s="88"/>
      <c r="L192" s="89"/>
      <c r="M192" s="233">
        <v>3420000</v>
      </c>
      <c r="N192" s="95">
        <v>0.5</v>
      </c>
      <c r="O192" s="234">
        <f>ROUND(M192*I192*N192,-3)</f>
        <v>39330000</v>
      </c>
      <c r="P192" s="234">
        <f>ROUND(I192*M192*N192,-3)</f>
        <v>39330000</v>
      </c>
      <c r="Q192" s="82"/>
    </row>
    <row r="193" spans="1:20" ht="34.5" customHeight="1">
      <c r="A193" s="35">
        <v>14</v>
      </c>
      <c r="B193" s="35"/>
      <c r="C193" s="36" t="s">
        <v>264</v>
      </c>
      <c r="D193" s="3"/>
      <c r="E193" s="3"/>
      <c r="F193" s="3"/>
      <c r="G193" s="35"/>
      <c r="H193" s="248"/>
      <c r="I193" s="248"/>
      <c r="J193" s="248"/>
      <c r="K193" s="249"/>
      <c r="L193" s="265"/>
      <c r="M193" s="236"/>
      <c r="N193" s="201"/>
      <c r="O193" s="202">
        <f>SUM(O195:O201)</f>
        <v>132129000</v>
      </c>
      <c r="P193" s="202">
        <f>SUM(P195:P201)</f>
        <v>132129000</v>
      </c>
      <c r="Q193" s="203"/>
      <c r="R193" s="6"/>
      <c r="S193" s="182"/>
      <c r="T193" s="181"/>
    </row>
    <row r="194" spans="1:20" ht="22.5" customHeight="1">
      <c r="A194" s="42"/>
      <c r="B194" s="42"/>
      <c r="C194" s="43" t="s">
        <v>8</v>
      </c>
      <c r="D194" s="42"/>
      <c r="E194" s="42"/>
      <c r="F194" s="42"/>
      <c r="G194" s="44"/>
      <c r="H194" s="251"/>
      <c r="I194" s="251"/>
      <c r="J194" s="251"/>
      <c r="K194" s="98"/>
      <c r="L194" s="109"/>
      <c r="M194" s="237"/>
      <c r="N194" s="42"/>
      <c r="O194" s="209"/>
      <c r="P194" s="209"/>
      <c r="Q194" s="47"/>
      <c r="R194" s="6"/>
      <c r="S194" s="7"/>
      <c r="T194" s="181"/>
    </row>
    <row r="195" spans="1:20" ht="55.5" customHeight="1">
      <c r="A195" s="50"/>
      <c r="B195" s="246" t="s">
        <v>391</v>
      </c>
      <c r="C195" s="51" t="s">
        <v>265</v>
      </c>
      <c r="D195" s="50" t="s">
        <v>2</v>
      </c>
      <c r="E195" s="56">
        <f>(12.6*5)</f>
        <v>63</v>
      </c>
      <c r="F195" s="50"/>
      <c r="G195" s="49"/>
      <c r="H195" s="229"/>
      <c r="I195" s="229"/>
      <c r="J195" s="229"/>
      <c r="K195" s="56" t="s">
        <v>266</v>
      </c>
      <c r="L195" s="266"/>
      <c r="M195" s="214">
        <f>577000+284000</f>
        <v>861000</v>
      </c>
      <c r="N195" s="58">
        <f>1.03*1.148</f>
        <v>1.18244</v>
      </c>
      <c r="O195" s="215">
        <f>+ROUND(N195*M195*E195,-3)</f>
        <v>64139000</v>
      </c>
      <c r="P195" s="215">
        <f>ROUND(E195*M195*N195,-3)</f>
        <v>64139000</v>
      </c>
      <c r="Q195" s="216"/>
      <c r="R195" s="183"/>
      <c r="S195" s="13"/>
      <c r="T195" s="181"/>
    </row>
    <row r="196" spans="1:20" ht="32.25" customHeight="1">
      <c r="A196" s="50"/>
      <c r="B196" s="50" t="s">
        <v>371</v>
      </c>
      <c r="C196" s="51" t="s">
        <v>267</v>
      </c>
      <c r="D196" s="50" t="s">
        <v>2</v>
      </c>
      <c r="E196" s="56">
        <f>(11*1)</f>
        <v>11</v>
      </c>
      <c r="F196" s="50"/>
      <c r="G196" s="49"/>
      <c r="H196" s="229"/>
      <c r="I196" s="229"/>
      <c r="J196" s="229"/>
      <c r="K196" s="56" t="s">
        <v>266</v>
      </c>
      <c r="L196" s="266"/>
      <c r="M196" s="214">
        <v>792000</v>
      </c>
      <c r="N196" s="58">
        <f>1.03*1.148</f>
        <v>1.18244</v>
      </c>
      <c r="O196" s="215">
        <f>+ROUND(N196*M196*E196,-3)</f>
        <v>10301000</v>
      </c>
      <c r="P196" s="215">
        <f>ROUND(E196*M196*N196,-3)</f>
        <v>10301000</v>
      </c>
      <c r="Q196" s="57"/>
      <c r="R196" s="183"/>
      <c r="S196" s="13"/>
      <c r="T196" s="181"/>
    </row>
    <row r="197" spans="1:20" ht="25.5" customHeight="1">
      <c r="A197" s="50"/>
      <c r="B197" s="50" t="s">
        <v>372</v>
      </c>
      <c r="C197" s="51" t="s">
        <v>268</v>
      </c>
      <c r="D197" s="50" t="s">
        <v>2</v>
      </c>
      <c r="E197" s="56">
        <f>(9.3*1.6)</f>
        <v>14.880000000000003</v>
      </c>
      <c r="F197" s="50"/>
      <c r="G197" s="49"/>
      <c r="H197" s="229"/>
      <c r="I197" s="229"/>
      <c r="J197" s="229"/>
      <c r="K197" s="56" t="s">
        <v>266</v>
      </c>
      <c r="L197" s="266"/>
      <c r="M197" s="214">
        <v>11000</v>
      </c>
      <c r="N197" s="58">
        <f>1.03*1.148</f>
        <v>1.18244</v>
      </c>
      <c r="O197" s="215">
        <f>+ROUND(N197*M197*E197,-3)</f>
        <v>194000</v>
      </c>
      <c r="P197" s="215">
        <f>ROUND(E197*M197*N197,-3)</f>
        <v>194000</v>
      </c>
      <c r="Q197" s="216"/>
      <c r="R197" s="183"/>
      <c r="S197" s="13"/>
      <c r="T197" s="181"/>
    </row>
    <row r="198" spans="1:20" ht="35.25" customHeight="1">
      <c r="A198" s="50"/>
      <c r="B198" s="246" t="s">
        <v>229</v>
      </c>
      <c r="C198" s="51" t="s">
        <v>269</v>
      </c>
      <c r="D198" s="50" t="s">
        <v>16</v>
      </c>
      <c r="E198" s="56">
        <f>(4*2.5*0.15)+(2.9*1.3*0.15)</f>
        <v>2.0655</v>
      </c>
      <c r="F198" s="50"/>
      <c r="G198" s="49"/>
      <c r="H198" s="229"/>
      <c r="I198" s="229"/>
      <c r="J198" s="229"/>
      <c r="K198" s="56" t="s">
        <v>266</v>
      </c>
      <c r="L198" s="266"/>
      <c r="M198" s="214">
        <v>1000000</v>
      </c>
      <c r="N198" s="58">
        <f>1.03*1.148</f>
        <v>1.18244</v>
      </c>
      <c r="O198" s="215">
        <f>+ROUND(N198*M198*E198,-3)</f>
        <v>2442000</v>
      </c>
      <c r="P198" s="215">
        <f>ROUND(E198*M198*N198,-3)</f>
        <v>2442000</v>
      </c>
      <c r="Q198" s="216"/>
      <c r="R198" s="183"/>
      <c r="S198" s="13"/>
      <c r="T198" s="181"/>
    </row>
    <row r="199" spans="1:20" ht="35.25" customHeight="1">
      <c r="A199" s="50"/>
      <c r="B199" s="246" t="s">
        <v>379</v>
      </c>
      <c r="C199" s="51" t="s">
        <v>392</v>
      </c>
      <c r="D199" s="50" t="s">
        <v>2</v>
      </c>
      <c r="E199" s="56">
        <f>(2.9*0.6)+(0.65*0.65)+(0.4*2.9)</f>
        <v>3.3225</v>
      </c>
      <c r="F199" s="50"/>
      <c r="G199" s="49"/>
      <c r="H199" s="229"/>
      <c r="I199" s="229"/>
      <c r="J199" s="229"/>
      <c r="K199" s="56" t="s">
        <v>266</v>
      </c>
      <c r="L199" s="266"/>
      <c r="M199" s="214">
        <v>339000</v>
      </c>
      <c r="N199" s="58">
        <f>1.03*1.148</f>
        <v>1.18244</v>
      </c>
      <c r="O199" s="215">
        <f>+ROUND(N199*M199*E199,-3)</f>
        <v>1332000</v>
      </c>
      <c r="P199" s="215">
        <f>ROUND(E199*M199*N199,-3)</f>
        <v>1332000</v>
      </c>
      <c r="Q199" s="57"/>
      <c r="R199" s="183"/>
      <c r="S199" s="13"/>
      <c r="T199" s="181"/>
    </row>
    <row r="200" spans="1:17" ht="22.5" customHeight="1">
      <c r="A200" s="63"/>
      <c r="B200" s="63"/>
      <c r="C200" s="247" t="s">
        <v>9</v>
      </c>
      <c r="D200" s="63"/>
      <c r="E200" s="56"/>
      <c r="F200" s="63"/>
      <c r="G200" s="63"/>
      <c r="H200" s="229"/>
      <c r="I200" s="238"/>
      <c r="J200" s="229"/>
      <c r="K200" s="63"/>
      <c r="L200" s="64"/>
      <c r="M200" s="217"/>
      <c r="N200" s="56"/>
      <c r="O200" s="215"/>
      <c r="P200" s="215"/>
      <c r="Q200" s="223"/>
    </row>
    <row r="201" spans="1:17" s="23" customFormat="1" ht="99" customHeight="1">
      <c r="A201" s="81"/>
      <c r="B201" s="82"/>
      <c r="C201" s="268" t="s">
        <v>270</v>
      </c>
      <c r="D201" s="82" t="s">
        <v>2</v>
      </c>
      <c r="E201" s="82"/>
      <c r="F201" s="84">
        <v>6</v>
      </c>
      <c r="G201" s="82">
        <v>1</v>
      </c>
      <c r="H201" s="231">
        <v>163.2</v>
      </c>
      <c r="I201" s="231">
        <v>13.6</v>
      </c>
      <c r="J201" s="232">
        <f>+H201-I201</f>
        <v>149.6</v>
      </c>
      <c r="K201" s="88" t="s">
        <v>271</v>
      </c>
      <c r="L201" s="89" t="s">
        <v>272</v>
      </c>
      <c r="M201" s="233">
        <f>3420000+(5%*3420000)</f>
        <v>3591000</v>
      </c>
      <c r="N201" s="245">
        <v>1.1</v>
      </c>
      <c r="O201" s="234">
        <f>ROUND(M201*I201*N201,-3)</f>
        <v>53721000</v>
      </c>
      <c r="P201" s="234">
        <f>ROUND(I201*M201*N201,-3)</f>
        <v>53721000</v>
      </c>
      <c r="Q201" s="82"/>
    </row>
    <row r="202" spans="1:20" ht="30.75" customHeight="1">
      <c r="A202" s="35">
        <v>15</v>
      </c>
      <c r="B202" s="35"/>
      <c r="C202" s="36" t="s">
        <v>273</v>
      </c>
      <c r="D202" s="3"/>
      <c r="E202" s="3"/>
      <c r="F202" s="3"/>
      <c r="G202" s="35"/>
      <c r="H202" s="248"/>
      <c r="I202" s="248"/>
      <c r="J202" s="248"/>
      <c r="K202" s="249"/>
      <c r="L202" s="265"/>
      <c r="M202" s="236"/>
      <c r="N202" s="201"/>
      <c r="O202" s="202">
        <f>SUM(O204:O209)</f>
        <v>76103000</v>
      </c>
      <c r="P202" s="202">
        <f>SUM(P204:P209)</f>
        <v>76103000</v>
      </c>
      <c r="Q202" s="203"/>
      <c r="R202" s="6"/>
      <c r="S202" s="182"/>
      <c r="T202" s="181"/>
    </row>
    <row r="203" spans="1:20" ht="29.25" customHeight="1">
      <c r="A203" s="42"/>
      <c r="B203" s="42"/>
      <c r="C203" s="43" t="s">
        <v>8</v>
      </c>
      <c r="D203" s="42"/>
      <c r="E203" s="42"/>
      <c r="F203" s="42"/>
      <c r="G203" s="44"/>
      <c r="H203" s="251"/>
      <c r="I203" s="251"/>
      <c r="J203" s="251"/>
      <c r="K203" s="98"/>
      <c r="L203" s="109"/>
      <c r="M203" s="237"/>
      <c r="N203" s="42"/>
      <c r="O203" s="209"/>
      <c r="P203" s="209"/>
      <c r="Q203" s="47"/>
      <c r="R203" s="6"/>
      <c r="S203" s="7"/>
      <c r="T203" s="181"/>
    </row>
    <row r="204" spans="1:20" ht="55.5" customHeight="1">
      <c r="A204" s="50"/>
      <c r="B204" s="246" t="s">
        <v>393</v>
      </c>
      <c r="C204" s="51" t="s">
        <v>274</v>
      </c>
      <c r="D204" s="50" t="s">
        <v>2</v>
      </c>
      <c r="E204" s="56">
        <f>(3.3*4.6)</f>
        <v>15.179999999999998</v>
      </c>
      <c r="F204" s="50"/>
      <c r="G204" s="49"/>
      <c r="H204" s="229"/>
      <c r="I204" s="229"/>
      <c r="J204" s="229"/>
      <c r="K204" s="56" t="s">
        <v>275</v>
      </c>
      <c r="L204" s="266"/>
      <c r="M204" s="214">
        <f>453000+284000</f>
        <v>737000</v>
      </c>
      <c r="N204" s="58">
        <f>1.03*1.148</f>
        <v>1.18244</v>
      </c>
      <c r="O204" s="215">
        <f>+ROUND(N204*M204*E204,-3)</f>
        <v>13229000</v>
      </c>
      <c r="P204" s="215">
        <f>ROUND(E204*M204*N204,-3)</f>
        <v>13229000</v>
      </c>
      <c r="Q204" s="216"/>
      <c r="R204" s="183"/>
      <c r="S204" s="13"/>
      <c r="T204" s="181"/>
    </row>
    <row r="205" spans="1:20" ht="54.75" customHeight="1">
      <c r="A205" s="50"/>
      <c r="B205" s="50" t="s">
        <v>278</v>
      </c>
      <c r="C205" s="51" t="s">
        <v>276</v>
      </c>
      <c r="D205" s="50" t="s">
        <v>2</v>
      </c>
      <c r="E205" s="56">
        <f>(1.4*4.4)</f>
        <v>6.16</v>
      </c>
      <c r="F205" s="50"/>
      <c r="G205" s="49"/>
      <c r="H205" s="229"/>
      <c r="I205" s="229"/>
      <c r="J205" s="229"/>
      <c r="K205" s="56" t="s">
        <v>275</v>
      </c>
      <c r="L205" s="266"/>
      <c r="M205" s="214">
        <v>284000</v>
      </c>
      <c r="N205" s="58">
        <f>1.03*1.148</f>
        <v>1.18244</v>
      </c>
      <c r="O205" s="215">
        <f>+ROUND(N205*M205*E205,-3)</f>
        <v>2069000</v>
      </c>
      <c r="P205" s="215">
        <f>ROUND(E205*M205*N205,-3)</f>
        <v>2069000</v>
      </c>
      <c r="Q205" s="57"/>
      <c r="R205" s="183"/>
      <c r="S205" s="13"/>
      <c r="T205" s="181"/>
    </row>
    <row r="206" spans="1:20" ht="51.75" customHeight="1">
      <c r="A206" s="50"/>
      <c r="B206" s="50" t="s">
        <v>371</v>
      </c>
      <c r="C206" s="51" t="s">
        <v>277</v>
      </c>
      <c r="D206" s="50" t="s">
        <v>2</v>
      </c>
      <c r="E206" s="56">
        <f>(3.3*1)</f>
        <v>3.3</v>
      </c>
      <c r="F206" s="50"/>
      <c r="G206" s="49"/>
      <c r="H206" s="229"/>
      <c r="I206" s="229"/>
      <c r="J206" s="229"/>
      <c r="K206" s="56" t="s">
        <v>275</v>
      </c>
      <c r="L206" s="266"/>
      <c r="M206" s="214">
        <v>792000</v>
      </c>
      <c r="N206" s="58">
        <f>1.03*1.148</f>
        <v>1.18244</v>
      </c>
      <c r="O206" s="215">
        <f>+ROUND(N206*M206*E206,-3)</f>
        <v>3090000</v>
      </c>
      <c r="P206" s="215">
        <f>ROUND(E206*M206*N206,-3)</f>
        <v>3090000</v>
      </c>
      <c r="Q206" s="216"/>
      <c r="R206" s="183"/>
      <c r="S206" s="13"/>
      <c r="T206" s="181"/>
    </row>
    <row r="207" spans="1:20" ht="29.25" customHeight="1">
      <c r="A207" s="50"/>
      <c r="B207" s="50" t="s">
        <v>383</v>
      </c>
      <c r="C207" s="51" t="s">
        <v>77</v>
      </c>
      <c r="D207" s="50" t="s">
        <v>78</v>
      </c>
      <c r="E207" s="56">
        <v>3.3</v>
      </c>
      <c r="F207" s="50"/>
      <c r="G207" s="49"/>
      <c r="H207" s="229"/>
      <c r="I207" s="229"/>
      <c r="J207" s="229"/>
      <c r="K207" s="61"/>
      <c r="L207" s="266"/>
      <c r="M207" s="214">
        <v>40000</v>
      </c>
      <c r="N207" s="58">
        <f>1.03*1.148</f>
        <v>1.18244</v>
      </c>
      <c r="O207" s="215">
        <f>+ROUND(N207*M207*E207,-3)</f>
        <v>156000</v>
      </c>
      <c r="P207" s="215">
        <f>ROUND(E207*M207*N207,-3)</f>
        <v>156000</v>
      </c>
      <c r="Q207" s="216"/>
      <c r="R207" s="183"/>
      <c r="S207" s="13"/>
      <c r="T207" s="181"/>
    </row>
    <row r="208" spans="1:17" ht="23.25" customHeight="1">
      <c r="A208" s="63"/>
      <c r="B208" s="63"/>
      <c r="C208" s="180" t="s">
        <v>9</v>
      </c>
      <c r="D208" s="50"/>
      <c r="E208" s="50"/>
      <c r="F208" s="50"/>
      <c r="G208" s="50"/>
      <c r="H208" s="229"/>
      <c r="I208" s="238"/>
      <c r="J208" s="229"/>
      <c r="K208" s="56"/>
      <c r="L208" s="64"/>
      <c r="M208" s="217"/>
      <c r="N208" s="56"/>
      <c r="O208" s="215"/>
      <c r="P208" s="215"/>
      <c r="Q208" s="223"/>
    </row>
    <row r="209" spans="1:17" s="23" customFormat="1" ht="92.25" customHeight="1">
      <c r="A209" s="81"/>
      <c r="B209" s="82"/>
      <c r="C209" s="268" t="s">
        <v>270</v>
      </c>
      <c r="D209" s="82" t="s">
        <v>2</v>
      </c>
      <c r="E209" s="82"/>
      <c r="F209" s="84">
        <v>55</v>
      </c>
      <c r="G209" s="82">
        <v>1</v>
      </c>
      <c r="H209" s="231">
        <v>102.6</v>
      </c>
      <c r="I209" s="231">
        <v>15.3</v>
      </c>
      <c r="J209" s="243">
        <f>H209-I209</f>
        <v>87.3</v>
      </c>
      <c r="K209" s="88" t="s">
        <v>279</v>
      </c>
      <c r="L209" s="89" t="s">
        <v>82</v>
      </c>
      <c r="M209" s="233">
        <f>3420000</f>
        <v>3420000</v>
      </c>
      <c r="N209" s="245">
        <v>1.1</v>
      </c>
      <c r="O209" s="234">
        <f>ROUND(M209*I209*N209,-3)</f>
        <v>57559000</v>
      </c>
      <c r="P209" s="234">
        <f>ROUND(I209*M209*N209,-3)</f>
        <v>57559000</v>
      </c>
      <c r="Q209" s="235"/>
    </row>
    <row r="210" spans="1:20" ht="52.5" customHeight="1">
      <c r="A210" s="35">
        <v>16</v>
      </c>
      <c r="B210" s="35"/>
      <c r="C210" s="36" t="s">
        <v>405</v>
      </c>
      <c r="D210" s="3"/>
      <c r="E210" s="3"/>
      <c r="F210" s="3"/>
      <c r="G210" s="35"/>
      <c r="H210" s="248"/>
      <c r="I210" s="248"/>
      <c r="J210" s="248"/>
      <c r="K210" s="249"/>
      <c r="L210" s="265"/>
      <c r="M210" s="236"/>
      <c r="N210" s="201"/>
      <c r="O210" s="202">
        <f>SUM(O212:O221)</f>
        <v>302498000</v>
      </c>
      <c r="P210" s="202">
        <f>SUM(P212:P221)</f>
        <v>302498000</v>
      </c>
      <c r="Q210" s="203"/>
      <c r="R210" s="6"/>
      <c r="S210" s="182"/>
      <c r="T210" s="181"/>
    </row>
    <row r="211" spans="1:20" ht="25.5" customHeight="1">
      <c r="A211" s="42"/>
      <c r="B211" s="42"/>
      <c r="C211" s="43" t="s">
        <v>8</v>
      </c>
      <c r="D211" s="42"/>
      <c r="E211" s="42"/>
      <c r="F211" s="42"/>
      <c r="G211" s="44"/>
      <c r="H211" s="251"/>
      <c r="I211" s="251"/>
      <c r="J211" s="251"/>
      <c r="K211" s="98"/>
      <c r="L211" s="109"/>
      <c r="M211" s="237"/>
      <c r="N211" s="42"/>
      <c r="O211" s="209"/>
      <c r="P211" s="209"/>
      <c r="Q211" s="47"/>
      <c r="R211" s="6"/>
      <c r="S211" s="7"/>
      <c r="T211" s="181"/>
    </row>
    <row r="212" spans="1:20" ht="34.5" customHeight="1">
      <c r="A212" s="50"/>
      <c r="B212" s="50" t="s">
        <v>375</v>
      </c>
      <c r="C212" s="51" t="s">
        <v>63</v>
      </c>
      <c r="D212" s="50" t="s">
        <v>64</v>
      </c>
      <c r="E212" s="56">
        <v>2</v>
      </c>
      <c r="F212" s="50"/>
      <c r="G212" s="49"/>
      <c r="H212" s="229"/>
      <c r="I212" s="229"/>
      <c r="J212" s="229"/>
      <c r="K212" s="56" t="s">
        <v>280</v>
      </c>
      <c r="L212" s="266"/>
      <c r="M212" s="214">
        <v>1018000</v>
      </c>
      <c r="N212" s="58">
        <f aca="true" t="shared" si="27" ref="N212:N217">1.03*1.148</f>
        <v>1.18244</v>
      </c>
      <c r="O212" s="215">
        <f aca="true" t="shared" si="28" ref="O212:O217">+ROUND(N212*M212*E212,-3)</f>
        <v>2407000</v>
      </c>
      <c r="P212" s="215">
        <f aca="true" t="shared" si="29" ref="P212:P217">ROUND(E212*M212*N212,-3)</f>
        <v>2407000</v>
      </c>
      <c r="Q212" s="216"/>
      <c r="R212" s="183"/>
      <c r="S212" s="13"/>
      <c r="T212" s="181"/>
    </row>
    <row r="213" spans="1:20" ht="47.25" customHeight="1">
      <c r="A213" s="50"/>
      <c r="B213" s="246" t="s">
        <v>391</v>
      </c>
      <c r="C213" s="51" t="s">
        <v>281</v>
      </c>
      <c r="D213" s="50" t="s">
        <v>2</v>
      </c>
      <c r="E213" s="56">
        <f>(1.4*2.5)</f>
        <v>3.5</v>
      </c>
      <c r="F213" s="50"/>
      <c r="G213" s="49"/>
      <c r="H213" s="229"/>
      <c r="I213" s="229"/>
      <c r="J213" s="229"/>
      <c r="K213" s="56" t="s">
        <v>280</v>
      </c>
      <c r="L213" s="266"/>
      <c r="M213" s="214">
        <f>577000+284000</f>
        <v>861000</v>
      </c>
      <c r="N213" s="58">
        <f t="shared" si="27"/>
        <v>1.18244</v>
      </c>
      <c r="O213" s="215">
        <f t="shared" si="28"/>
        <v>3563000</v>
      </c>
      <c r="P213" s="215">
        <f t="shared" si="29"/>
        <v>3563000</v>
      </c>
      <c r="Q213" s="57"/>
      <c r="R213" s="183"/>
      <c r="S213" s="13"/>
      <c r="T213" s="181"/>
    </row>
    <row r="214" spans="1:20" ht="51" customHeight="1">
      <c r="A214" s="50"/>
      <c r="B214" s="246" t="s">
        <v>394</v>
      </c>
      <c r="C214" s="51" t="s">
        <v>282</v>
      </c>
      <c r="D214" s="50" t="s">
        <v>2</v>
      </c>
      <c r="E214" s="56">
        <f>+(4.2*1.4)</f>
        <v>5.88</v>
      </c>
      <c r="F214" s="50"/>
      <c r="G214" s="49"/>
      <c r="H214" s="229"/>
      <c r="I214" s="229"/>
      <c r="J214" s="229"/>
      <c r="K214" s="56" t="s">
        <v>280</v>
      </c>
      <c r="L214" s="266"/>
      <c r="M214" s="214">
        <f>577000+396000</f>
        <v>973000</v>
      </c>
      <c r="N214" s="58">
        <f t="shared" si="27"/>
        <v>1.18244</v>
      </c>
      <c r="O214" s="215">
        <f t="shared" si="28"/>
        <v>6765000</v>
      </c>
      <c r="P214" s="215">
        <f t="shared" si="29"/>
        <v>6765000</v>
      </c>
      <c r="Q214" s="216"/>
      <c r="R214" s="183"/>
      <c r="S214" s="13"/>
      <c r="T214" s="181"/>
    </row>
    <row r="215" spans="1:20" s="194" customFormat="1" ht="75" customHeight="1">
      <c r="A215" s="178"/>
      <c r="B215" s="178" t="s">
        <v>370</v>
      </c>
      <c r="C215" s="210" t="s">
        <v>395</v>
      </c>
      <c r="D215" s="178" t="s">
        <v>2</v>
      </c>
      <c r="E215" s="211">
        <f>(11.5*5.8)</f>
        <v>66.7</v>
      </c>
      <c r="F215" s="178"/>
      <c r="G215" s="212"/>
      <c r="H215" s="213"/>
      <c r="I215" s="213"/>
      <c r="J215" s="213"/>
      <c r="K215" s="211" t="s">
        <v>280</v>
      </c>
      <c r="L215" s="269"/>
      <c r="M215" s="270">
        <v>2975000</v>
      </c>
      <c r="N215" s="271">
        <f t="shared" si="27"/>
        <v>1.18244</v>
      </c>
      <c r="O215" s="272">
        <f t="shared" si="28"/>
        <v>234635000</v>
      </c>
      <c r="P215" s="215">
        <f t="shared" si="29"/>
        <v>234635000</v>
      </c>
      <c r="Q215" s="273" t="s">
        <v>396</v>
      </c>
      <c r="R215" s="191"/>
      <c r="S215" s="192"/>
      <c r="T215" s="193"/>
    </row>
    <row r="216" spans="1:20" ht="36" customHeight="1">
      <c r="A216" s="50"/>
      <c r="B216" s="246" t="s">
        <v>379</v>
      </c>
      <c r="C216" s="51" t="s">
        <v>283</v>
      </c>
      <c r="D216" s="50" t="s">
        <v>2</v>
      </c>
      <c r="E216" s="56">
        <f>(5.3*0.9)+(3.5*0.7)</f>
        <v>7.219999999999999</v>
      </c>
      <c r="F216" s="50"/>
      <c r="G216" s="49"/>
      <c r="H216" s="229"/>
      <c r="I216" s="229"/>
      <c r="J216" s="229"/>
      <c r="K216" s="56" t="s">
        <v>280</v>
      </c>
      <c r="L216" s="266"/>
      <c r="M216" s="214">
        <v>339000</v>
      </c>
      <c r="N216" s="58">
        <f t="shared" si="27"/>
        <v>1.18244</v>
      </c>
      <c r="O216" s="215">
        <f t="shared" si="28"/>
        <v>2894000</v>
      </c>
      <c r="P216" s="215">
        <f t="shared" si="29"/>
        <v>2894000</v>
      </c>
      <c r="Q216" s="216"/>
      <c r="R216" s="183"/>
      <c r="S216" s="13"/>
      <c r="T216" s="181"/>
    </row>
    <row r="217" spans="1:20" ht="39.75" customHeight="1">
      <c r="A217" s="50"/>
      <c r="B217" s="50" t="s">
        <v>379</v>
      </c>
      <c r="C217" s="51" t="s">
        <v>284</v>
      </c>
      <c r="D217" s="50" t="s">
        <v>2</v>
      </c>
      <c r="E217" s="56">
        <f>(2.1*0.3)*8+(2.7*0.3)*10</f>
        <v>13.14</v>
      </c>
      <c r="F217" s="50"/>
      <c r="G217" s="49"/>
      <c r="H217" s="229"/>
      <c r="I217" s="229"/>
      <c r="J217" s="229"/>
      <c r="K217" s="56" t="s">
        <v>280</v>
      </c>
      <c r="L217" s="266"/>
      <c r="M217" s="214">
        <v>339000</v>
      </c>
      <c r="N217" s="58">
        <f t="shared" si="27"/>
        <v>1.18244</v>
      </c>
      <c r="O217" s="215">
        <f t="shared" si="28"/>
        <v>5267000</v>
      </c>
      <c r="P217" s="215">
        <f t="shared" si="29"/>
        <v>5267000</v>
      </c>
      <c r="Q217" s="57"/>
      <c r="R217" s="183"/>
      <c r="S217" s="13"/>
      <c r="T217" s="181"/>
    </row>
    <row r="218" spans="1:17" ht="20.25" customHeight="1">
      <c r="A218" s="63"/>
      <c r="B218" s="63"/>
      <c r="C218" s="180" t="s">
        <v>9</v>
      </c>
      <c r="D218" s="50"/>
      <c r="E218" s="50"/>
      <c r="F218" s="50"/>
      <c r="G218" s="50"/>
      <c r="H218" s="229"/>
      <c r="I218" s="238"/>
      <c r="J218" s="229"/>
      <c r="K218" s="56"/>
      <c r="L218" s="64"/>
      <c r="M218" s="217"/>
      <c r="N218" s="56"/>
      <c r="O218" s="215"/>
      <c r="P218" s="215"/>
      <c r="Q218" s="223"/>
    </row>
    <row r="219" spans="1:17" s="23" customFormat="1" ht="60.75" customHeight="1">
      <c r="A219" s="49"/>
      <c r="B219" s="50"/>
      <c r="C219" s="51" t="s">
        <v>17</v>
      </c>
      <c r="D219" s="50" t="s">
        <v>2</v>
      </c>
      <c r="E219" s="50"/>
      <c r="F219" s="67">
        <v>46</v>
      </c>
      <c r="G219" s="50">
        <v>1</v>
      </c>
      <c r="H219" s="228">
        <v>486.2</v>
      </c>
      <c r="I219" s="228">
        <v>26.9</v>
      </c>
      <c r="J219" s="213">
        <f>H219-I219</f>
        <v>459.3</v>
      </c>
      <c r="K219" s="78" t="s">
        <v>285</v>
      </c>
      <c r="L219" s="69" t="s">
        <v>19</v>
      </c>
      <c r="M219" s="217">
        <v>36000</v>
      </c>
      <c r="N219" s="79">
        <v>1</v>
      </c>
      <c r="O219" s="227">
        <f>ROUND(M219*I219*N219,-3)</f>
        <v>968000</v>
      </c>
      <c r="P219" s="227">
        <f>ROUND(I219*M219*N219,-3)</f>
        <v>968000</v>
      </c>
      <c r="Q219" s="223"/>
    </row>
    <row r="220" spans="1:17" s="23" customFormat="1" ht="26.25" customHeight="1">
      <c r="A220" s="49"/>
      <c r="B220" s="50"/>
      <c r="C220" s="80" t="s">
        <v>24</v>
      </c>
      <c r="D220" s="50"/>
      <c r="E220" s="50"/>
      <c r="F220" s="67"/>
      <c r="G220" s="50"/>
      <c r="H220" s="228"/>
      <c r="I220" s="228"/>
      <c r="J220" s="229"/>
      <c r="K220" s="78"/>
      <c r="L220" s="69"/>
      <c r="M220" s="217"/>
      <c r="N220" s="79"/>
      <c r="O220" s="227"/>
      <c r="P220" s="227"/>
      <c r="Q220" s="223"/>
    </row>
    <row r="221" spans="1:17" s="23" customFormat="1" ht="42.75" customHeight="1">
      <c r="A221" s="81"/>
      <c r="B221" s="82"/>
      <c r="C221" s="230" t="s">
        <v>373</v>
      </c>
      <c r="D221" s="82"/>
      <c r="E221" s="82"/>
      <c r="F221" s="84"/>
      <c r="G221" s="82"/>
      <c r="H221" s="231"/>
      <c r="I221" s="231">
        <f>+I219</f>
        <v>26.9</v>
      </c>
      <c r="J221" s="232"/>
      <c r="K221" s="88"/>
      <c r="L221" s="89"/>
      <c r="M221" s="233">
        <v>3420000</v>
      </c>
      <c r="N221" s="95">
        <v>0.5</v>
      </c>
      <c r="O221" s="234">
        <f>ROUND(M221*I221*N221,-3)</f>
        <v>45999000</v>
      </c>
      <c r="P221" s="234">
        <f>ROUND(I221*M221*N221,-3)</f>
        <v>45999000</v>
      </c>
      <c r="Q221" s="82"/>
    </row>
    <row r="222" spans="1:17" ht="31.5" customHeight="1">
      <c r="A222" s="287" t="s">
        <v>250</v>
      </c>
      <c r="B222" s="287"/>
      <c r="C222" s="287"/>
      <c r="D222" s="287"/>
      <c r="E222" s="287"/>
      <c r="F222" s="287"/>
      <c r="G222" s="287"/>
      <c r="H222" s="287"/>
      <c r="I222" s="287"/>
      <c r="J222" s="287"/>
      <c r="K222" s="187"/>
      <c r="L222" s="188"/>
      <c r="M222" s="195"/>
      <c r="N222" s="189"/>
      <c r="O222" s="274">
        <f>SUM(O6:O221)/2</f>
        <v>1919816000</v>
      </c>
      <c r="P222" s="274">
        <f>SUM(P6:P221)/2</f>
        <v>1919816000</v>
      </c>
      <c r="Q222" s="190"/>
    </row>
    <row r="223" spans="1:17" ht="18.75" customHeight="1">
      <c r="A223" s="279" t="s">
        <v>397</v>
      </c>
      <c r="B223" s="279"/>
      <c r="C223" s="279"/>
      <c r="D223" s="279"/>
      <c r="E223" s="279"/>
      <c r="F223" s="279"/>
      <c r="G223" s="279"/>
      <c r="H223" s="279"/>
      <c r="I223" s="279"/>
      <c r="J223" s="279"/>
      <c r="K223" s="279"/>
      <c r="L223" s="279"/>
      <c r="M223" s="279"/>
      <c r="N223" s="279"/>
      <c r="O223" s="279"/>
      <c r="P223" s="279"/>
      <c r="Q223" s="279"/>
    </row>
    <row r="224" spans="11:17" ht="20.25" customHeight="1">
      <c r="K224" s="275" t="s">
        <v>406</v>
      </c>
      <c r="L224" s="275"/>
      <c r="M224" s="275"/>
      <c r="N224" s="275"/>
      <c r="O224" s="275"/>
      <c r="P224" s="275"/>
      <c r="Q224" s="275"/>
    </row>
    <row r="225" ht="12.75">
      <c r="Q225" s="184"/>
    </row>
    <row r="226" ht="12.75">
      <c r="Q226" s="184"/>
    </row>
  </sheetData>
  <sheetProtection/>
  <mergeCells count="22">
    <mergeCell ref="A222:J222"/>
    <mergeCell ref="C172:E172"/>
    <mergeCell ref="H3:H4"/>
    <mergeCell ref="I3:I4"/>
    <mergeCell ref="O3:O4"/>
    <mergeCell ref="Q3:Q4"/>
    <mergeCell ref="C3:C4"/>
    <mergeCell ref="M3:M4"/>
    <mergeCell ref="D3:D4"/>
    <mergeCell ref="F3:G3"/>
    <mergeCell ref="A1:Q1"/>
    <mergeCell ref="A2:Q2"/>
    <mergeCell ref="K224:Q224"/>
    <mergeCell ref="L3:L4"/>
    <mergeCell ref="A3:A4"/>
    <mergeCell ref="B3:B4"/>
    <mergeCell ref="N3:N4"/>
    <mergeCell ref="J3:J4"/>
    <mergeCell ref="K3:K4"/>
    <mergeCell ref="A223:Q223"/>
    <mergeCell ref="P3:P4"/>
    <mergeCell ref="E3:E4"/>
  </mergeCells>
  <printOptions/>
  <pageMargins left="0.1968503937007874" right="0" top="0" bottom="0" header="0" footer="0"/>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V251"/>
  <sheetViews>
    <sheetView zoomScale="110" zoomScaleNormal="110" zoomScaleSheetLayoutView="110" zoomScalePageLayoutView="0" workbookViewId="0" topLeftCell="A1">
      <selection activeCell="H7" sqref="H7"/>
    </sheetView>
  </sheetViews>
  <sheetFormatPr defaultColWidth="9.140625" defaultRowHeight="15"/>
  <cols>
    <col min="1" max="1" width="4.8515625" style="18" customWidth="1"/>
    <col min="2" max="2" width="10.57421875" style="18" customWidth="1"/>
    <col min="3" max="3" width="29.421875" style="18" customWidth="1"/>
    <col min="4" max="4" width="5.00390625" style="18" customWidth="1"/>
    <col min="5" max="5" width="6.28125" style="18" customWidth="1"/>
    <col min="6" max="7" width="6.140625" style="18" customWidth="1"/>
    <col min="8" max="8" width="6.8515625" style="18" customWidth="1"/>
    <col min="9" max="9" width="8.7109375" style="18" customWidth="1"/>
    <col min="10" max="11" width="6.57421875" style="18" customWidth="1"/>
    <col min="12" max="12" width="35.57421875" style="18" customWidth="1"/>
    <col min="13" max="13" width="9.7109375" style="18" customWidth="1"/>
    <col min="14" max="14" width="6.57421875" style="18" customWidth="1"/>
    <col min="15" max="15" width="9.00390625" style="18" customWidth="1"/>
    <col min="16" max="16" width="7.28125" style="18" customWidth="1"/>
    <col min="17" max="17" width="13.8515625" style="18" customWidth="1"/>
    <col min="18" max="18" width="12.00390625" style="18" customWidth="1"/>
    <col min="19" max="16384" width="9.140625" style="18" customWidth="1"/>
  </cols>
  <sheetData>
    <row r="1" spans="1:18" ht="33" customHeight="1">
      <c r="A1" s="290" t="s">
        <v>29</v>
      </c>
      <c r="B1" s="290"/>
      <c r="C1" s="291"/>
      <c r="D1" s="291"/>
      <c r="E1" s="291"/>
      <c r="F1" s="291"/>
      <c r="G1" s="291"/>
      <c r="H1" s="291"/>
      <c r="I1" s="291"/>
      <c r="J1" s="291"/>
      <c r="K1" s="291"/>
      <c r="L1" s="291"/>
      <c r="M1" s="291"/>
      <c r="N1" s="291"/>
      <c r="O1" s="291"/>
      <c r="P1" s="291"/>
      <c r="Q1" s="291"/>
      <c r="R1" s="291"/>
    </row>
    <row r="2" spans="1:18" ht="16.5" customHeight="1">
      <c r="A2" s="292" t="s">
        <v>30</v>
      </c>
      <c r="B2" s="292"/>
      <c r="C2" s="292"/>
      <c r="D2" s="292"/>
      <c r="E2" s="292"/>
      <c r="F2" s="292"/>
      <c r="G2" s="292"/>
      <c r="H2" s="292"/>
      <c r="I2" s="292"/>
      <c r="J2" s="292"/>
      <c r="K2" s="292"/>
      <c r="L2" s="292"/>
      <c r="M2" s="292"/>
      <c r="N2" s="292"/>
      <c r="O2" s="292"/>
      <c r="P2" s="292"/>
      <c r="Q2" s="292"/>
      <c r="R2" s="292"/>
    </row>
    <row r="3" spans="1:18" ht="80.25" customHeight="1">
      <c r="A3" s="25" t="s">
        <v>23</v>
      </c>
      <c r="B3" s="25" t="s">
        <v>47</v>
      </c>
      <c r="C3" s="25" t="s">
        <v>3</v>
      </c>
      <c r="D3" s="25" t="s">
        <v>4</v>
      </c>
      <c r="E3" s="25" t="s">
        <v>12</v>
      </c>
      <c r="F3" s="1" t="s">
        <v>5</v>
      </c>
      <c r="G3" s="2" t="s">
        <v>14</v>
      </c>
      <c r="H3" s="26" t="s">
        <v>15</v>
      </c>
      <c r="I3" s="26" t="s">
        <v>31</v>
      </c>
      <c r="J3" s="27" t="s">
        <v>13</v>
      </c>
      <c r="K3" s="27" t="s">
        <v>6</v>
      </c>
      <c r="L3" s="25" t="s">
        <v>49</v>
      </c>
      <c r="M3" s="25" t="s">
        <v>10</v>
      </c>
      <c r="N3" s="25" t="s">
        <v>25</v>
      </c>
      <c r="O3" s="28" t="s">
        <v>0</v>
      </c>
      <c r="P3" s="29" t="s">
        <v>28</v>
      </c>
      <c r="Q3" s="30" t="s">
        <v>7</v>
      </c>
      <c r="R3" s="31" t="s">
        <v>1</v>
      </c>
    </row>
    <row r="4" spans="1:18" ht="27.75" customHeight="1">
      <c r="A4" s="32">
        <v>1</v>
      </c>
      <c r="B4" s="33"/>
      <c r="C4" s="32">
        <v>2</v>
      </c>
      <c r="D4" s="32">
        <v>3</v>
      </c>
      <c r="E4" s="32">
        <v>4</v>
      </c>
      <c r="F4" s="32">
        <v>5</v>
      </c>
      <c r="G4" s="32">
        <v>6</v>
      </c>
      <c r="H4" s="32">
        <v>7</v>
      </c>
      <c r="I4" s="32">
        <v>8</v>
      </c>
      <c r="J4" s="32">
        <v>9</v>
      </c>
      <c r="K4" s="32" t="s">
        <v>32</v>
      </c>
      <c r="L4" s="32">
        <v>11</v>
      </c>
      <c r="M4" s="32">
        <v>12</v>
      </c>
      <c r="N4" s="32">
        <v>13</v>
      </c>
      <c r="O4" s="32">
        <v>14</v>
      </c>
      <c r="P4" s="32">
        <v>17</v>
      </c>
      <c r="Q4" s="32" t="s">
        <v>33</v>
      </c>
      <c r="R4" s="34">
        <v>19</v>
      </c>
    </row>
    <row r="5" spans="1:22" s="21" customFormat="1" ht="29.25" customHeight="1">
      <c r="A5" s="35">
        <v>1</v>
      </c>
      <c r="B5" s="3"/>
      <c r="C5" s="36" t="s">
        <v>34</v>
      </c>
      <c r="D5" s="3"/>
      <c r="E5" s="3"/>
      <c r="F5" s="3"/>
      <c r="G5" s="35"/>
      <c r="H5" s="37"/>
      <c r="I5" s="37"/>
      <c r="J5" s="37"/>
      <c r="K5" s="37"/>
      <c r="L5" s="38"/>
      <c r="M5" s="38"/>
      <c r="N5" s="38"/>
      <c r="O5" s="38"/>
      <c r="P5" s="39"/>
      <c r="Q5" s="40">
        <f>SUM(Q7:Q22)</f>
        <v>116190000</v>
      </c>
      <c r="R5" s="41"/>
      <c r="S5" s="8"/>
      <c r="T5" s="9"/>
      <c r="U5" s="10"/>
      <c r="V5" s="20"/>
    </row>
    <row r="6" spans="1:22" s="21" customFormat="1" ht="17.25" customHeight="1">
      <c r="A6" s="42"/>
      <c r="B6" s="42"/>
      <c r="C6" s="43" t="s">
        <v>8</v>
      </c>
      <c r="D6" s="42"/>
      <c r="E6" s="42"/>
      <c r="F6" s="42"/>
      <c r="G6" s="44"/>
      <c r="H6" s="45"/>
      <c r="I6" s="45"/>
      <c r="J6" s="45"/>
      <c r="K6" s="45"/>
      <c r="L6" s="44"/>
      <c r="M6" s="44"/>
      <c r="N6" s="44"/>
      <c r="O6" s="44"/>
      <c r="P6" s="46"/>
      <c r="Q6" s="47"/>
      <c r="R6" s="48"/>
      <c r="S6" s="7"/>
      <c r="T6" s="6"/>
      <c r="U6" s="7"/>
      <c r="V6" s="20"/>
    </row>
    <row r="7" spans="1:22" s="128" customFormat="1" ht="43.5" customHeight="1">
      <c r="A7" s="49"/>
      <c r="B7" s="50" t="s">
        <v>44</v>
      </c>
      <c r="C7" s="51" t="s">
        <v>256</v>
      </c>
      <c r="D7" s="50" t="s">
        <v>16</v>
      </c>
      <c r="E7" s="56">
        <f>(0.15*0.15*2)*9+(0.15*0.15*3.5)</f>
        <v>0.48374999999999996</v>
      </c>
      <c r="F7" s="53"/>
      <c r="G7" s="50"/>
      <c r="H7" s="54"/>
      <c r="I7" s="54"/>
      <c r="J7" s="54"/>
      <c r="K7" s="55"/>
      <c r="L7" s="56" t="s">
        <v>43</v>
      </c>
      <c r="M7" s="56"/>
      <c r="N7" s="56"/>
      <c r="O7" s="57">
        <v>2828000</v>
      </c>
      <c r="P7" s="58">
        <f>1.03*1.148</f>
        <v>1.18244</v>
      </c>
      <c r="Q7" s="57">
        <f>+ROUND(P7*O7*E7,-3)</f>
        <v>1618000</v>
      </c>
      <c r="R7" s="59"/>
      <c r="S7" s="124"/>
      <c r="T7" s="125"/>
      <c r="U7" s="126"/>
      <c r="V7" s="127"/>
    </row>
    <row r="8" spans="1:22" s="128" customFormat="1" ht="30" customHeight="1">
      <c r="A8" s="49"/>
      <c r="B8" s="50" t="s">
        <v>45</v>
      </c>
      <c r="C8" s="51" t="s">
        <v>253</v>
      </c>
      <c r="D8" s="50" t="s">
        <v>2</v>
      </c>
      <c r="E8" s="56">
        <f>(19*1.1)</f>
        <v>20.900000000000002</v>
      </c>
      <c r="F8" s="53"/>
      <c r="G8" s="50"/>
      <c r="H8" s="54"/>
      <c r="I8" s="54"/>
      <c r="J8" s="52"/>
      <c r="K8" s="55"/>
      <c r="L8" s="56" t="s">
        <v>43</v>
      </c>
      <c r="M8" s="56"/>
      <c r="N8" s="56"/>
      <c r="O8" s="57">
        <v>792000</v>
      </c>
      <c r="P8" s="58">
        <f>1.03*1.148</f>
        <v>1.18244</v>
      </c>
      <c r="Q8" s="57">
        <f>ROUND(E8*O8*P8,-3)</f>
        <v>19573000</v>
      </c>
      <c r="R8" s="60"/>
      <c r="S8" s="124"/>
      <c r="T8" s="125"/>
      <c r="U8" s="126"/>
      <c r="V8" s="127"/>
    </row>
    <row r="9" spans="1:22" s="128" customFormat="1" ht="30" customHeight="1">
      <c r="A9" s="49"/>
      <c r="B9" s="50" t="s">
        <v>46</v>
      </c>
      <c r="C9" s="51" t="s">
        <v>35</v>
      </c>
      <c r="D9" s="50" t="s">
        <v>2</v>
      </c>
      <c r="E9" s="56">
        <f>(19*1)</f>
        <v>19</v>
      </c>
      <c r="F9" s="53"/>
      <c r="G9" s="50"/>
      <c r="H9" s="54"/>
      <c r="I9" s="54"/>
      <c r="J9" s="52"/>
      <c r="K9" s="55"/>
      <c r="L9" s="56" t="s">
        <v>43</v>
      </c>
      <c r="M9" s="56"/>
      <c r="N9" s="56"/>
      <c r="O9" s="57">
        <v>11000</v>
      </c>
      <c r="P9" s="58">
        <f>1.03*1.148</f>
        <v>1.18244</v>
      </c>
      <c r="Q9" s="57">
        <f>ROUND(E9*O9*P9,-3)</f>
        <v>247000</v>
      </c>
      <c r="R9" s="59"/>
      <c r="S9" s="124"/>
      <c r="T9" s="125"/>
      <c r="U9" s="126"/>
      <c r="V9" s="127"/>
    </row>
    <row r="10" spans="1:22" s="128" customFormat="1" ht="24.75" customHeight="1">
      <c r="A10" s="49"/>
      <c r="B10" s="50"/>
      <c r="C10" s="51" t="s">
        <v>254</v>
      </c>
      <c r="D10" s="50" t="s">
        <v>11</v>
      </c>
      <c r="E10" s="56">
        <v>46</v>
      </c>
      <c r="F10" s="53"/>
      <c r="G10" s="50"/>
      <c r="H10" s="54"/>
      <c r="I10" s="54"/>
      <c r="J10" s="52"/>
      <c r="K10" s="55"/>
      <c r="L10" s="56"/>
      <c r="M10" s="56"/>
      <c r="N10" s="56"/>
      <c r="O10" s="57">
        <v>26730</v>
      </c>
      <c r="P10" s="56">
        <v>1</v>
      </c>
      <c r="Q10" s="57">
        <f>ROUND(E10*O10*P10,-3)</f>
        <v>1230000</v>
      </c>
      <c r="R10" s="59"/>
      <c r="S10" s="124"/>
      <c r="T10" s="125"/>
      <c r="U10" s="126"/>
      <c r="V10" s="127"/>
    </row>
    <row r="11" spans="1:22" s="128" customFormat="1" ht="24.75" customHeight="1">
      <c r="A11" s="49"/>
      <c r="B11" s="50"/>
      <c r="C11" s="51" t="s">
        <v>36</v>
      </c>
      <c r="D11" s="50" t="s">
        <v>11</v>
      </c>
      <c r="E11" s="56">
        <v>1</v>
      </c>
      <c r="F11" s="53"/>
      <c r="G11" s="50"/>
      <c r="H11" s="54"/>
      <c r="I11" s="54"/>
      <c r="J11" s="52"/>
      <c r="K11" s="55"/>
      <c r="L11" s="61"/>
      <c r="M11" s="56"/>
      <c r="N11" s="56"/>
      <c r="O11" s="57">
        <v>227930</v>
      </c>
      <c r="P11" s="56">
        <v>1</v>
      </c>
      <c r="Q11" s="57">
        <f aca="true" t="shared" si="0" ref="Q11:Q18">ROUND(E11*O11*P11,-3)</f>
        <v>228000</v>
      </c>
      <c r="R11" s="59"/>
      <c r="S11" s="124"/>
      <c r="T11" s="125"/>
      <c r="U11" s="126"/>
      <c r="V11" s="127"/>
    </row>
    <row r="12" spans="1:22" s="128" customFormat="1" ht="24.75" customHeight="1">
      <c r="A12" s="49"/>
      <c r="B12" s="50"/>
      <c r="C12" s="51" t="s">
        <v>37</v>
      </c>
      <c r="D12" s="50" t="s">
        <v>11</v>
      </c>
      <c r="E12" s="56">
        <v>5</v>
      </c>
      <c r="F12" s="53"/>
      <c r="G12" s="50"/>
      <c r="H12" s="54"/>
      <c r="I12" s="54"/>
      <c r="J12" s="52"/>
      <c r="K12" s="55"/>
      <c r="L12" s="61"/>
      <c r="M12" s="56"/>
      <c r="N12" s="56"/>
      <c r="O12" s="57">
        <v>38340</v>
      </c>
      <c r="P12" s="56">
        <v>1</v>
      </c>
      <c r="Q12" s="57">
        <f t="shared" si="0"/>
        <v>192000</v>
      </c>
      <c r="R12" s="59"/>
      <c r="S12" s="124"/>
      <c r="T12" s="125"/>
      <c r="U12" s="126"/>
      <c r="V12" s="127"/>
    </row>
    <row r="13" spans="1:22" s="128" customFormat="1" ht="24.75" customHeight="1">
      <c r="A13" s="49"/>
      <c r="B13" s="50"/>
      <c r="C13" s="51" t="s">
        <v>38</v>
      </c>
      <c r="D13" s="50" t="s">
        <v>11</v>
      </c>
      <c r="E13" s="56">
        <v>4</v>
      </c>
      <c r="F13" s="62"/>
      <c r="G13" s="50"/>
      <c r="H13" s="54"/>
      <c r="I13" s="54"/>
      <c r="J13" s="52"/>
      <c r="K13" s="55"/>
      <c r="L13" s="61"/>
      <c r="M13" s="56"/>
      <c r="N13" s="56"/>
      <c r="O13" s="57">
        <v>532550</v>
      </c>
      <c r="P13" s="56">
        <v>1</v>
      </c>
      <c r="Q13" s="57">
        <f t="shared" si="0"/>
        <v>2130000</v>
      </c>
      <c r="R13" s="59"/>
      <c r="S13" s="124"/>
      <c r="T13" s="125"/>
      <c r="U13" s="126"/>
      <c r="V13" s="127"/>
    </row>
    <row r="14" spans="1:22" s="128" customFormat="1" ht="24.75" customHeight="1">
      <c r="A14" s="49"/>
      <c r="B14" s="50"/>
      <c r="C14" s="51" t="s">
        <v>39</v>
      </c>
      <c r="D14" s="50" t="s">
        <v>11</v>
      </c>
      <c r="E14" s="56">
        <v>7</v>
      </c>
      <c r="F14" s="53"/>
      <c r="G14" s="50"/>
      <c r="H14" s="54"/>
      <c r="I14" s="54"/>
      <c r="J14" s="52"/>
      <c r="K14" s="55"/>
      <c r="L14" s="56"/>
      <c r="M14" s="56"/>
      <c r="N14" s="56"/>
      <c r="O14" s="57">
        <v>42600</v>
      </c>
      <c r="P14" s="56">
        <v>1</v>
      </c>
      <c r="Q14" s="57">
        <f t="shared" si="0"/>
        <v>298000</v>
      </c>
      <c r="R14" s="59"/>
      <c r="S14" s="124"/>
      <c r="T14" s="125"/>
      <c r="U14" s="126"/>
      <c r="V14" s="127"/>
    </row>
    <row r="15" spans="1:18" s="141" customFormat="1" ht="24.75" customHeight="1">
      <c r="A15" s="49"/>
      <c r="B15" s="50"/>
      <c r="C15" s="51" t="s">
        <v>255</v>
      </c>
      <c r="D15" s="50" t="s">
        <v>11</v>
      </c>
      <c r="E15" s="56">
        <v>3</v>
      </c>
      <c r="F15" s="63"/>
      <c r="G15" s="63"/>
      <c r="H15" s="63"/>
      <c r="I15" s="63"/>
      <c r="J15" s="63"/>
      <c r="K15" s="63"/>
      <c r="L15" s="63"/>
      <c r="M15" s="64"/>
      <c r="N15" s="64"/>
      <c r="O15" s="65">
        <v>106510</v>
      </c>
      <c r="P15" s="56">
        <v>1</v>
      </c>
      <c r="Q15" s="57">
        <f t="shared" si="0"/>
        <v>320000</v>
      </c>
      <c r="R15" s="66"/>
    </row>
    <row r="16" spans="1:19" s="5" customFormat="1" ht="24.75" customHeight="1">
      <c r="A16" s="49"/>
      <c r="B16" s="50"/>
      <c r="C16" s="51" t="s">
        <v>40</v>
      </c>
      <c r="D16" s="50" t="s">
        <v>11</v>
      </c>
      <c r="E16" s="56">
        <v>1</v>
      </c>
      <c r="F16" s="67"/>
      <c r="G16" s="50"/>
      <c r="H16" s="68"/>
      <c r="I16" s="68"/>
      <c r="J16" s="54"/>
      <c r="K16" s="54"/>
      <c r="L16" s="50"/>
      <c r="M16" s="69"/>
      <c r="N16" s="69"/>
      <c r="O16" s="65">
        <v>178940</v>
      </c>
      <c r="P16" s="56">
        <v>1</v>
      </c>
      <c r="Q16" s="57">
        <f t="shared" si="0"/>
        <v>179000</v>
      </c>
      <c r="R16" s="70"/>
      <c r="S16" s="132"/>
    </row>
    <row r="17" spans="1:21" s="128" customFormat="1" ht="24.75" customHeight="1">
      <c r="A17" s="49"/>
      <c r="B17" s="50"/>
      <c r="C17" s="51" t="s">
        <v>41</v>
      </c>
      <c r="D17" s="50" t="s">
        <v>11</v>
      </c>
      <c r="E17" s="56">
        <v>1</v>
      </c>
      <c r="F17" s="50"/>
      <c r="G17" s="49"/>
      <c r="H17" s="55"/>
      <c r="I17" s="55"/>
      <c r="J17" s="55"/>
      <c r="K17" s="55"/>
      <c r="L17" s="105"/>
      <c r="M17" s="105"/>
      <c r="N17" s="105"/>
      <c r="O17" s="65">
        <v>213020</v>
      </c>
      <c r="P17" s="56">
        <v>1</v>
      </c>
      <c r="Q17" s="57">
        <f t="shared" si="0"/>
        <v>213000</v>
      </c>
      <c r="R17" s="71"/>
      <c r="S17" s="137"/>
      <c r="T17" s="138"/>
      <c r="U17" s="139"/>
    </row>
    <row r="18" spans="1:21" s="128" customFormat="1" ht="24.75" customHeight="1">
      <c r="A18" s="49"/>
      <c r="B18" s="50"/>
      <c r="C18" s="51" t="s">
        <v>42</v>
      </c>
      <c r="D18" s="50" t="s">
        <v>11</v>
      </c>
      <c r="E18" s="56">
        <v>1</v>
      </c>
      <c r="F18" s="50"/>
      <c r="G18" s="49"/>
      <c r="H18" s="55"/>
      <c r="I18" s="55"/>
      <c r="J18" s="55"/>
      <c r="K18" s="55"/>
      <c r="L18" s="49"/>
      <c r="M18" s="49"/>
      <c r="N18" s="49"/>
      <c r="O18" s="65">
        <v>42600</v>
      </c>
      <c r="P18" s="56">
        <v>1</v>
      </c>
      <c r="Q18" s="57">
        <f t="shared" si="0"/>
        <v>43000</v>
      </c>
      <c r="R18" s="72"/>
      <c r="S18" s="163"/>
      <c r="T18" s="164"/>
      <c r="U18" s="139"/>
    </row>
    <row r="19" spans="1:18" s="22" customFormat="1" ht="16.5" customHeight="1">
      <c r="A19" s="63"/>
      <c r="B19" s="63"/>
      <c r="C19" s="73" t="s">
        <v>9</v>
      </c>
      <c r="D19" s="63"/>
      <c r="E19" s="56"/>
      <c r="F19" s="63"/>
      <c r="G19" s="63"/>
      <c r="H19" s="63"/>
      <c r="I19" s="63"/>
      <c r="J19" s="63"/>
      <c r="K19" s="63"/>
      <c r="L19" s="63"/>
      <c r="M19" s="64"/>
      <c r="N19" s="64"/>
      <c r="O19" s="65"/>
      <c r="P19" s="64"/>
      <c r="Q19" s="64"/>
      <c r="R19" s="74"/>
    </row>
    <row r="20" spans="1:19" s="5" customFormat="1" ht="71.25" customHeight="1">
      <c r="A20" s="49"/>
      <c r="B20" s="50"/>
      <c r="C20" s="51" t="s">
        <v>17</v>
      </c>
      <c r="D20" s="50" t="s">
        <v>2</v>
      </c>
      <c r="E20" s="50"/>
      <c r="F20" s="67">
        <v>7</v>
      </c>
      <c r="G20" s="50">
        <v>1</v>
      </c>
      <c r="H20" s="75">
        <v>654.4</v>
      </c>
      <c r="I20" s="75"/>
      <c r="J20" s="76">
        <v>51.5</v>
      </c>
      <c r="K20" s="77">
        <f>+H20-J20</f>
        <v>602.9</v>
      </c>
      <c r="L20" s="78" t="s">
        <v>257</v>
      </c>
      <c r="M20" s="69" t="s">
        <v>19</v>
      </c>
      <c r="N20" s="69"/>
      <c r="O20" s="65">
        <v>36000</v>
      </c>
      <c r="P20" s="79">
        <v>1</v>
      </c>
      <c r="Q20" s="65">
        <f>ROUND(O20*J20*P20,-3)</f>
        <v>1854000</v>
      </c>
      <c r="R20" s="74"/>
      <c r="S20" s="132"/>
    </row>
    <row r="21" spans="1:19" s="23" customFormat="1" ht="13.5">
      <c r="A21" s="49"/>
      <c r="B21" s="50"/>
      <c r="C21" s="80" t="s">
        <v>24</v>
      </c>
      <c r="D21" s="50"/>
      <c r="E21" s="50"/>
      <c r="F21" s="67"/>
      <c r="G21" s="50"/>
      <c r="H21" s="75"/>
      <c r="I21" s="75"/>
      <c r="J21" s="76"/>
      <c r="K21" s="77"/>
      <c r="L21" s="78"/>
      <c r="M21" s="69"/>
      <c r="N21" s="69"/>
      <c r="O21" s="65"/>
      <c r="P21" s="79"/>
      <c r="Q21" s="65"/>
      <c r="R21" s="74"/>
      <c r="S21" s="4"/>
    </row>
    <row r="22" spans="1:19" s="23" customFormat="1" ht="45.75" customHeight="1">
      <c r="A22" s="81"/>
      <c r="B22" s="82"/>
      <c r="C22" s="83" t="s">
        <v>18</v>
      </c>
      <c r="D22" s="82"/>
      <c r="E22" s="82"/>
      <c r="F22" s="84"/>
      <c r="G22" s="82"/>
      <c r="H22" s="85"/>
      <c r="I22" s="85"/>
      <c r="J22" s="86">
        <f>+J20</f>
        <v>51.5</v>
      </c>
      <c r="K22" s="87"/>
      <c r="L22" s="88"/>
      <c r="M22" s="89" t="s">
        <v>48</v>
      </c>
      <c r="N22" s="89"/>
      <c r="O22" s="90">
        <v>3420000</v>
      </c>
      <c r="P22" s="56">
        <v>0.5</v>
      </c>
      <c r="Q22" s="65">
        <f>ROUND(O22*J22*P22,-3)</f>
        <v>88065000</v>
      </c>
      <c r="R22" s="91"/>
      <c r="S22" s="4"/>
    </row>
    <row r="23" spans="1:22" s="21" customFormat="1" ht="29.25" customHeight="1">
      <c r="A23" s="38">
        <v>2</v>
      </c>
      <c r="B23" s="92"/>
      <c r="C23" s="93" t="s">
        <v>50</v>
      </c>
      <c r="D23" s="92"/>
      <c r="E23" s="92"/>
      <c r="F23" s="3"/>
      <c r="G23" s="35"/>
      <c r="H23" s="37"/>
      <c r="I23" s="37"/>
      <c r="J23" s="37"/>
      <c r="K23" s="37"/>
      <c r="L23" s="38"/>
      <c r="M23" s="38"/>
      <c r="N23" s="38"/>
      <c r="O23" s="38"/>
      <c r="P23" s="39"/>
      <c r="Q23" s="40">
        <f>SUM(Q25:Q42)</f>
        <v>112548000</v>
      </c>
      <c r="R23" s="41"/>
      <c r="S23" s="8"/>
      <c r="T23" s="9"/>
      <c r="U23" s="10"/>
      <c r="V23" s="20"/>
    </row>
    <row r="24" spans="1:22" s="21" customFormat="1" ht="17.25" customHeight="1">
      <c r="A24" s="46"/>
      <c r="B24" s="46"/>
      <c r="C24" s="180" t="s">
        <v>8</v>
      </c>
      <c r="D24" s="50"/>
      <c r="E24" s="50"/>
      <c r="F24" s="42"/>
      <c r="G24" s="44"/>
      <c r="H24" s="45"/>
      <c r="I24" s="45"/>
      <c r="J24" s="45"/>
      <c r="K24" s="45"/>
      <c r="L24" s="44"/>
      <c r="M24" s="44"/>
      <c r="N24" s="44"/>
      <c r="O24" s="44"/>
      <c r="P24" s="46"/>
      <c r="Q24" s="47"/>
      <c r="R24" s="48"/>
      <c r="S24" s="7"/>
      <c r="T24" s="6"/>
      <c r="U24" s="7"/>
      <c r="V24" s="20"/>
    </row>
    <row r="25" spans="1:22" s="128" customFormat="1" ht="43.5" customHeight="1">
      <c r="A25" s="105"/>
      <c r="B25" s="50" t="s">
        <v>45</v>
      </c>
      <c r="C25" s="51" t="s">
        <v>258</v>
      </c>
      <c r="D25" s="50" t="s">
        <v>2</v>
      </c>
      <c r="E25" s="56">
        <f>(4.3*1.1)+(16*1.5)+(4*1.2)</f>
        <v>33.53</v>
      </c>
      <c r="F25" s="53"/>
      <c r="G25" s="50"/>
      <c r="H25" s="54"/>
      <c r="I25" s="54"/>
      <c r="J25" s="54"/>
      <c r="K25" s="55"/>
      <c r="L25" s="56" t="s">
        <v>58</v>
      </c>
      <c r="M25" s="56"/>
      <c r="N25" s="56"/>
      <c r="O25" s="57">
        <v>792000</v>
      </c>
      <c r="P25" s="58">
        <f>1.03*1.148</f>
        <v>1.18244</v>
      </c>
      <c r="Q25" s="57">
        <f>+ROUND(P25*O25*E25,-3)</f>
        <v>31401000</v>
      </c>
      <c r="R25" s="59"/>
      <c r="S25" s="124"/>
      <c r="T25" s="125"/>
      <c r="U25" s="126"/>
      <c r="V25" s="127"/>
    </row>
    <row r="26" spans="1:22" s="128" customFormat="1" ht="25.5" customHeight="1">
      <c r="A26" s="105"/>
      <c r="B26" s="50" t="s">
        <v>46</v>
      </c>
      <c r="C26" s="51" t="s">
        <v>51</v>
      </c>
      <c r="D26" s="50" t="s">
        <v>16</v>
      </c>
      <c r="E26" s="56">
        <f>(20.3*1)</f>
        <v>20.3</v>
      </c>
      <c r="F26" s="53"/>
      <c r="G26" s="50"/>
      <c r="H26" s="54"/>
      <c r="I26" s="54"/>
      <c r="J26" s="52"/>
      <c r="K26" s="55"/>
      <c r="L26" s="56" t="s">
        <v>58</v>
      </c>
      <c r="M26" s="56"/>
      <c r="N26" s="56"/>
      <c r="O26" s="57">
        <v>11000</v>
      </c>
      <c r="P26" s="58">
        <f>1.03*1.148</f>
        <v>1.18244</v>
      </c>
      <c r="Q26" s="57">
        <f>+ROUND(P26*O26*E26,-3)</f>
        <v>264000</v>
      </c>
      <c r="R26" s="60"/>
      <c r="S26" s="124"/>
      <c r="T26" s="125"/>
      <c r="U26" s="126"/>
      <c r="V26" s="127"/>
    </row>
    <row r="27" spans="1:22" s="128" customFormat="1" ht="30" customHeight="1">
      <c r="A27" s="105"/>
      <c r="B27" s="50" t="s">
        <v>44</v>
      </c>
      <c r="C27" s="51" t="s">
        <v>259</v>
      </c>
      <c r="D27" s="50" t="s">
        <v>16</v>
      </c>
      <c r="E27" s="56">
        <f>(0.15*0.15)*7</f>
        <v>0.1575</v>
      </c>
      <c r="F27" s="53"/>
      <c r="G27" s="50"/>
      <c r="H27" s="54"/>
      <c r="I27" s="54"/>
      <c r="J27" s="52"/>
      <c r="K27" s="55"/>
      <c r="L27" s="56" t="s">
        <v>58</v>
      </c>
      <c r="M27" s="56"/>
      <c r="N27" s="56"/>
      <c r="O27" s="57">
        <v>2828000</v>
      </c>
      <c r="P27" s="58">
        <f>1.03*1.148</f>
        <v>1.18244</v>
      </c>
      <c r="Q27" s="57">
        <f>+ROUND(P27*O27*E27,-3)</f>
        <v>527000</v>
      </c>
      <c r="R27" s="59"/>
      <c r="S27" s="124"/>
      <c r="T27" s="125"/>
      <c r="U27" s="126"/>
      <c r="V27" s="127"/>
    </row>
    <row r="28" spans="1:22" s="128" customFormat="1" ht="29.25" customHeight="1">
      <c r="A28" s="105"/>
      <c r="B28" s="50" t="s">
        <v>44</v>
      </c>
      <c r="C28" s="51" t="s">
        <v>260</v>
      </c>
      <c r="D28" s="50" t="s">
        <v>16</v>
      </c>
      <c r="E28" s="56">
        <f>(0.3*0.3*2)*2</f>
        <v>0.36</v>
      </c>
      <c r="F28" s="53"/>
      <c r="G28" s="50"/>
      <c r="H28" s="54"/>
      <c r="I28" s="54"/>
      <c r="J28" s="52"/>
      <c r="K28" s="55"/>
      <c r="L28" s="56" t="s">
        <v>58</v>
      </c>
      <c r="M28" s="56"/>
      <c r="N28" s="56"/>
      <c r="O28" s="57">
        <v>2828000</v>
      </c>
      <c r="P28" s="58">
        <f>1.03*1.148</f>
        <v>1.18244</v>
      </c>
      <c r="Q28" s="57">
        <f>+ROUND(P28*O28*E28,-3)</f>
        <v>1204000</v>
      </c>
      <c r="R28" s="59"/>
      <c r="S28" s="124"/>
      <c r="T28" s="125"/>
      <c r="U28" s="126"/>
      <c r="V28" s="127"/>
    </row>
    <row r="29" spans="1:22" s="128" customFormat="1" ht="31.5" customHeight="1">
      <c r="A29" s="105"/>
      <c r="B29" s="50" t="s">
        <v>59</v>
      </c>
      <c r="C29" s="51" t="s">
        <v>261</v>
      </c>
      <c r="D29" s="50" t="s">
        <v>2</v>
      </c>
      <c r="E29" s="56">
        <f>(2*1.8)</f>
        <v>3.6</v>
      </c>
      <c r="F29" s="53"/>
      <c r="G29" s="50"/>
      <c r="H29" s="54"/>
      <c r="I29" s="54"/>
      <c r="J29" s="52"/>
      <c r="K29" s="55"/>
      <c r="L29" s="56" t="s">
        <v>58</v>
      </c>
      <c r="M29" s="56"/>
      <c r="N29" s="56"/>
      <c r="O29" s="57">
        <v>396000</v>
      </c>
      <c r="P29" s="58">
        <f>1.03*1.148</f>
        <v>1.18244</v>
      </c>
      <c r="Q29" s="57">
        <f>+ROUND(P29*O29*E29,-3)</f>
        <v>1686000</v>
      </c>
      <c r="R29" s="59"/>
      <c r="S29" s="124"/>
      <c r="T29" s="125"/>
      <c r="U29" s="126"/>
      <c r="V29" s="127"/>
    </row>
    <row r="30" spans="1:22" s="128" customFormat="1" ht="24.75" customHeight="1">
      <c r="A30" s="105"/>
      <c r="B30" s="94"/>
      <c r="C30" s="51" t="s">
        <v>254</v>
      </c>
      <c r="D30" s="50" t="s">
        <v>11</v>
      </c>
      <c r="E30" s="56">
        <v>29</v>
      </c>
      <c r="F30" s="53"/>
      <c r="G30" s="50"/>
      <c r="H30" s="54"/>
      <c r="I30" s="54"/>
      <c r="J30" s="52"/>
      <c r="K30" s="55"/>
      <c r="L30" s="61"/>
      <c r="M30" s="56"/>
      <c r="N30" s="56"/>
      <c r="O30" s="57">
        <v>26730</v>
      </c>
      <c r="P30" s="56">
        <v>1</v>
      </c>
      <c r="Q30" s="57">
        <f aca="true" t="shared" si="1" ref="Q30:Q39">ROUND(E30*O30*P30,-3)</f>
        <v>775000</v>
      </c>
      <c r="R30" s="59"/>
      <c r="S30" s="124"/>
      <c r="T30" s="125"/>
      <c r="U30" s="126"/>
      <c r="V30" s="127"/>
    </row>
    <row r="31" spans="1:22" s="128" customFormat="1" ht="24.75" customHeight="1">
      <c r="A31" s="105"/>
      <c r="B31" s="94"/>
      <c r="C31" s="51" t="s">
        <v>52</v>
      </c>
      <c r="D31" s="50" t="s">
        <v>11</v>
      </c>
      <c r="E31" s="56">
        <v>2</v>
      </c>
      <c r="F31" s="62"/>
      <c r="G31" s="50"/>
      <c r="H31" s="54"/>
      <c r="I31" s="54"/>
      <c r="J31" s="52"/>
      <c r="K31" s="55"/>
      <c r="L31" s="61"/>
      <c r="M31" s="56"/>
      <c r="N31" s="56"/>
      <c r="O31" s="57">
        <v>73490</v>
      </c>
      <c r="P31" s="56">
        <v>1</v>
      </c>
      <c r="Q31" s="57">
        <f t="shared" si="1"/>
        <v>147000</v>
      </c>
      <c r="R31" s="59"/>
      <c r="S31" s="124"/>
      <c r="T31" s="125"/>
      <c r="U31" s="126"/>
      <c r="V31" s="127"/>
    </row>
    <row r="32" spans="1:22" s="128" customFormat="1" ht="24.75" customHeight="1">
      <c r="A32" s="105"/>
      <c r="B32" s="94"/>
      <c r="C32" s="51" t="s">
        <v>53</v>
      </c>
      <c r="D32" s="50" t="s">
        <v>11</v>
      </c>
      <c r="E32" s="56">
        <v>1</v>
      </c>
      <c r="F32" s="53"/>
      <c r="G32" s="50"/>
      <c r="H32" s="54"/>
      <c r="I32" s="54"/>
      <c r="J32" s="52"/>
      <c r="K32" s="55"/>
      <c r="L32" s="56"/>
      <c r="M32" s="56"/>
      <c r="N32" s="56"/>
      <c r="O32" s="57">
        <v>131010</v>
      </c>
      <c r="P32" s="56">
        <v>1</v>
      </c>
      <c r="Q32" s="57">
        <f t="shared" si="1"/>
        <v>131000</v>
      </c>
      <c r="R32" s="59"/>
      <c r="S32" s="124"/>
      <c r="T32" s="125"/>
      <c r="U32" s="126"/>
      <c r="V32" s="127"/>
    </row>
    <row r="33" spans="1:18" s="141" customFormat="1" ht="24.75" customHeight="1">
      <c r="A33" s="105"/>
      <c r="B33" s="94"/>
      <c r="C33" s="51" t="s">
        <v>38</v>
      </c>
      <c r="D33" s="50" t="s">
        <v>11</v>
      </c>
      <c r="E33" s="56">
        <v>4</v>
      </c>
      <c r="F33" s="63"/>
      <c r="G33" s="63"/>
      <c r="H33" s="63"/>
      <c r="I33" s="63"/>
      <c r="J33" s="63"/>
      <c r="K33" s="63"/>
      <c r="L33" s="63"/>
      <c r="M33" s="64"/>
      <c r="N33" s="64"/>
      <c r="O33" s="65">
        <v>532550</v>
      </c>
      <c r="P33" s="56">
        <v>1</v>
      </c>
      <c r="Q33" s="57">
        <f t="shared" si="1"/>
        <v>2130000</v>
      </c>
      <c r="R33" s="66"/>
    </row>
    <row r="34" spans="1:19" s="5" customFormat="1" ht="24.75" customHeight="1">
      <c r="A34" s="105"/>
      <c r="B34" s="94"/>
      <c r="C34" s="51" t="s">
        <v>39</v>
      </c>
      <c r="D34" s="50" t="s">
        <v>11</v>
      </c>
      <c r="E34" s="56">
        <v>30</v>
      </c>
      <c r="F34" s="67"/>
      <c r="G34" s="50"/>
      <c r="H34" s="68"/>
      <c r="I34" s="68"/>
      <c r="J34" s="54"/>
      <c r="K34" s="54"/>
      <c r="L34" s="50"/>
      <c r="M34" s="69"/>
      <c r="N34" s="69"/>
      <c r="O34" s="65">
        <v>42600</v>
      </c>
      <c r="P34" s="56">
        <v>1</v>
      </c>
      <c r="Q34" s="57">
        <f t="shared" si="1"/>
        <v>1278000</v>
      </c>
      <c r="R34" s="70"/>
      <c r="S34" s="132"/>
    </row>
    <row r="35" spans="1:21" s="128" customFormat="1" ht="24.75" customHeight="1">
      <c r="A35" s="105"/>
      <c r="B35" s="94"/>
      <c r="C35" s="51" t="s">
        <v>54</v>
      </c>
      <c r="D35" s="50" t="s">
        <v>11</v>
      </c>
      <c r="E35" s="56">
        <v>10</v>
      </c>
      <c r="F35" s="50"/>
      <c r="G35" s="49"/>
      <c r="H35" s="55"/>
      <c r="I35" s="55"/>
      <c r="J35" s="55"/>
      <c r="K35" s="55"/>
      <c r="L35" s="105"/>
      <c r="M35" s="105"/>
      <c r="N35" s="105"/>
      <c r="O35" s="65">
        <v>43670</v>
      </c>
      <c r="P35" s="56">
        <v>1</v>
      </c>
      <c r="Q35" s="57">
        <f t="shared" si="1"/>
        <v>437000</v>
      </c>
      <c r="R35" s="71"/>
      <c r="S35" s="137"/>
      <c r="T35" s="138"/>
      <c r="U35" s="139"/>
    </row>
    <row r="36" spans="1:21" s="128" customFormat="1" ht="24.75" customHeight="1">
      <c r="A36" s="105"/>
      <c r="B36" s="94"/>
      <c r="C36" s="51" t="s">
        <v>55</v>
      </c>
      <c r="D36" s="50" t="s">
        <v>11</v>
      </c>
      <c r="E36" s="56">
        <v>17</v>
      </c>
      <c r="F36" s="50"/>
      <c r="G36" s="49"/>
      <c r="H36" s="55"/>
      <c r="I36" s="55"/>
      <c r="J36" s="55"/>
      <c r="K36" s="55"/>
      <c r="L36" s="49"/>
      <c r="M36" s="49"/>
      <c r="N36" s="49"/>
      <c r="O36" s="65">
        <v>10650</v>
      </c>
      <c r="P36" s="56">
        <v>1</v>
      </c>
      <c r="Q36" s="57">
        <f t="shared" si="1"/>
        <v>181000</v>
      </c>
      <c r="R36" s="72"/>
      <c r="S36" s="163"/>
      <c r="T36" s="164"/>
      <c r="U36" s="139"/>
    </row>
    <row r="37" spans="1:22" s="128" customFormat="1" ht="24.75" customHeight="1">
      <c r="A37" s="105"/>
      <c r="B37" s="94"/>
      <c r="C37" s="51" t="s">
        <v>56</v>
      </c>
      <c r="D37" s="50" t="s">
        <v>11</v>
      </c>
      <c r="E37" s="56">
        <v>6</v>
      </c>
      <c r="F37" s="62"/>
      <c r="G37" s="50"/>
      <c r="H37" s="54"/>
      <c r="I37" s="54"/>
      <c r="J37" s="52"/>
      <c r="K37" s="55"/>
      <c r="L37" s="61"/>
      <c r="M37" s="56"/>
      <c r="N37" s="56"/>
      <c r="O37" s="57">
        <v>4840</v>
      </c>
      <c r="P37" s="56">
        <v>1</v>
      </c>
      <c r="Q37" s="57">
        <f t="shared" si="1"/>
        <v>29000</v>
      </c>
      <c r="R37" s="59"/>
      <c r="S37" s="124"/>
      <c r="T37" s="125"/>
      <c r="U37" s="126"/>
      <c r="V37" s="127"/>
    </row>
    <row r="38" spans="1:22" s="128" customFormat="1" ht="24.75" customHeight="1">
      <c r="A38" s="105"/>
      <c r="B38" s="94"/>
      <c r="C38" s="51" t="s">
        <v>57</v>
      </c>
      <c r="D38" s="50" t="s">
        <v>11</v>
      </c>
      <c r="E38" s="56">
        <v>1</v>
      </c>
      <c r="F38" s="53"/>
      <c r="G38" s="50"/>
      <c r="H38" s="54"/>
      <c r="I38" s="54"/>
      <c r="J38" s="52"/>
      <c r="K38" s="55"/>
      <c r="L38" s="56"/>
      <c r="M38" s="56"/>
      <c r="N38" s="56"/>
      <c r="O38" s="57">
        <v>13850</v>
      </c>
      <c r="P38" s="56">
        <v>1</v>
      </c>
      <c r="Q38" s="57">
        <f t="shared" si="1"/>
        <v>14000</v>
      </c>
      <c r="R38" s="59"/>
      <c r="S38" s="124"/>
      <c r="T38" s="125"/>
      <c r="U38" s="126"/>
      <c r="V38" s="127"/>
    </row>
    <row r="39" spans="1:18" s="22" customFormat="1" ht="16.5" customHeight="1">
      <c r="A39" s="63"/>
      <c r="B39" s="63"/>
      <c r="C39" s="179" t="s">
        <v>9</v>
      </c>
      <c r="D39" s="178"/>
      <c r="E39" s="178"/>
      <c r="F39" s="63"/>
      <c r="G39" s="63"/>
      <c r="H39" s="63"/>
      <c r="I39" s="293">
        <f>+I40+J40</f>
        <v>57.5</v>
      </c>
      <c r="J39" s="294"/>
      <c r="K39" s="63"/>
      <c r="L39" s="63"/>
      <c r="M39" s="64"/>
      <c r="N39" s="64"/>
      <c r="O39" s="65"/>
      <c r="P39" s="56"/>
      <c r="Q39" s="57">
        <f t="shared" si="1"/>
        <v>0</v>
      </c>
      <c r="R39" s="74"/>
    </row>
    <row r="40" spans="1:19" s="5" customFormat="1" ht="138.75" customHeight="1">
      <c r="A40" s="118"/>
      <c r="B40" s="114"/>
      <c r="C40" s="115" t="s">
        <v>17</v>
      </c>
      <c r="D40" s="114" t="s">
        <v>2</v>
      </c>
      <c r="E40" s="114"/>
      <c r="F40" s="129">
        <v>8</v>
      </c>
      <c r="G40" s="114">
        <v>1</v>
      </c>
      <c r="H40" s="156">
        <v>630</v>
      </c>
      <c r="I40" s="156">
        <v>18</v>
      </c>
      <c r="J40" s="157">
        <v>39.5</v>
      </c>
      <c r="K40" s="158">
        <f>+H40-J40-I40</f>
        <v>572.5</v>
      </c>
      <c r="L40" s="159" t="s">
        <v>262</v>
      </c>
      <c r="M40" s="130" t="s">
        <v>19</v>
      </c>
      <c r="N40" s="130"/>
      <c r="O40" s="131">
        <v>36000</v>
      </c>
      <c r="P40" s="134">
        <v>1</v>
      </c>
      <c r="Q40" s="131">
        <f>ROUND(O40*J40*P40,-3)</f>
        <v>1422000</v>
      </c>
      <c r="R40" s="160"/>
      <c r="S40" s="132"/>
    </row>
    <row r="41" spans="1:19" s="23" customFormat="1" ht="13.5">
      <c r="A41" s="49"/>
      <c r="B41" s="50"/>
      <c r="C41" s="80" t="s">
        <v>24</v>
      </c>
      <c r="D41" s="50"/>
      <c r="E41" s="50"/>
      <c r="F41" s="67"/>
      <c r="G41" s="50"/>
      <c r="H41" s="75"/>
      <c r="I41" s="75"/>
      <c r="J41" s="76"/>
      <c r="K41" s="77"/>
      <c r="L41" s="78"/>
      <c r="M41" s="69"/>
      <c r="N41" s="69"/>
      <c r="O41" s="65"/>
      <c r="P41" s="79"/>
      <c r="Q41" s="65"/>
      <c r="R41" s="74"/>
      <c r="S41" s="4"/>
    </row>
    <row r="42" spans="1:19" s="23" customFormat="1" ht="89.25">
      <c r="A42" s="81"/>
      <c r="B42" s="82"/>
      <c r="C42" s="83" t="s">
        <v>18</v>
      </c>
      <c r="D42" s="82"/>
      <c r="E42" s="82"/>
      <c r="F42" s="84"/>
      <c r="G42" s="82"/>
      <c r="H42" s="85"/>
      <c r="I42" s="85"/>
      <c r="J42" s="86">
        <f>+J40</f>
        <v>39.5</v>
      </c>
      <c r="K42" s="87"/>
      <c r="L42" s="88"/>
      <c r="M42" s="89" t="s">
        <v>60</v>
      </c>
      <c r="N42" s="89"/>
      <c r="O42" s="90">
        <f>3420000+(5%*3420000)</f>
        <v>3591000</v>
      </c>
      <c r="P42" s="95">
        <v>0.5</v>
      </c>
      <c r="Q42" s="90">
        <f>ROUND(O42*J42*P42,-3)</f>
        <v>70922000</v>
      </c>
      <c r="R42" s="96" t="s">
        <v>61</v>
      </c>
      <c r="S42" s="4"/>
    </row>
    <row r="43" spans="1:22" s="21" customFormat="1" ht="29.25" customHeight="1">
      <c r="A43" s="38">
        <v>3</v>
      </c>
      <c r="B43" s="92"/>
      <c r="C43" s="93" t="s">
        <v>62</v>
      </c>
      <c r="D43" s="92"/>
      <c r="E43" s="92"/>
      <c r="F43" s="3"/>
      <c r="G43" s="35"/>
      <c r="H43" s="37"/>
      <c r="I43" s="37"/>
      <c r="J43" s="37"/>
      <c r="K43" s="37"/>
      <c r="L43" s="97"/>
      <c r="M43" s="38"/>
      <c r="N43" s="38"/>
      <c r="O43" s="38"/>
      <c r="P43" s="39"/>
      <c r="Q43" s="40">
        <f>SUM(Q45:Q61)</f>
        <v>123093000</v>
      </c>
      <c r="R43" s="41"/>
      <c r="S43" s="8"/>
      <c r="T43" s="9"/>
      <c r="U43" s="10"/>
      <c r="V43" s="20"/>
    </row>
    <row r="44" spans="1:22" s="21" customFormat="1" ht="17.25" customHeight="1">
      <c r="A44" s="46"/>
      <c r="B44" s="46"/>
      <c r="C44" s="111" t="s">
        <v>27</v>
      </c>
      <c r="D44" s="42"/>
      <c r="E44" s="42"/>
      <c r="F44" s="42"/>
      <c r="G44" s="44"/>
      <c r="H44" s="45"/>
      <c r="I44" s="45"/>
      <c r="J44" s="45"/>
      <c r="K44" s="45"/>
      <c r="L44" s="98"/>
      <c r="M44" s="44"/>
      <c r="N44" s="44"/>
      <c r="O44" s="44"/>
      <c r="P44" s="46"/>
      <c r="Q44" s="47"/>
      <c r="R44" s="47"/>
      <c r="S44" s="7"/>
      <c r="T44" s="6"/>
      <c r="U44" s="7"/>
      <c r="V44" s="20"/>
    </row>
    <row r="45" spans="1:22" s="128" customFormat="1" ht="29.25" customHeight="1">
      <c r="A45" s="113"/>
      <c r="B45" s="114" t="s">
        <v>83</v>
      </c>
      <c r="C45" s="115" t="s">
        <v>63</v>
      </c>
      <c r="D45" s="114" t="s">
        <v>64</v>
      </c>
      <c r="E45" s="116">
        <v>1</v>
      </c>
      <c r="F45" s="117"/>
      <c r="G45" s="118"/>
      <c r="H45" s="119"/>
      <c r="I45" s="119"/>
      <c r="J45" s="119"/>
      <c r="K45" s="119"/>
      <c r="L45" s="120" t="s">
        <v>65</v>
      </c>
      <c r="M45" s="120"/>
      <c r="N45" s="120"/>
      <c r="O45" s="121">
        <v>1018000</v>
      </c>
      <c r="P45" s="122">
        <f>1.03*1.148</f>
        <v>1.18244</v>
      </c>
      <c r="Q45" s="121">
        <f>+ROUND(P45*O45*E45,-3)</f>
        <v>1204000</v>
      </c>
      <c r="R45" s="123"/>
      <c r="S45" s="124"/>
      <c r="T45" s="125"/>
      <c r="U45" s="126"/>
      <c r="V45" s="127"/>
    </row>
    <row r="46" spans="1:22" s="128" customFormat="1" ht="33" customHeight="1">
      <c r="A46" s="166"/>
      <c r="B46" s="114" t="s">
        <v>84</v>
      </c>
      <c r="C46" s="167" t="s">
        <v>66</v>
      </c>
      <c r="D46" s="142" t="s">
        <v>2</v>
      </c>
      <c r="E46" s="168">
        <f>(10.4*2.8)</f>
        <v>29.119999999999997</v>
      </c>
      <c r="F46" s="142"/>
      <c r="G46" s="166"/>
      <c r="H46" s="169"/>
      <c r="I46" s="169"/>
      <c r="J46" s="169"/>
      <c r="K46" s="169"/>
      <c r="L46" s="170" t="s">
        <v>67</v>
      </c>
      <c r="M46" s="120"/>
      <c r="N46" s="120"/>
      <c r="O46" s="121">
        <v>679000</v>
      </c>
      <c r="P46" s="122">
        <f aca="true" t="shared" si="2" ref="P46:P55">1.03*1.148</f>
        <v>1.18244</v>
      </c>
      <c r="Q46" s="121">
        <f>+ROUND(P46*O46*E46,-3)</f>
        <v>23380000</v>
      </c>
      <c r="R46" s="121"/>
      <c r="S46" s="124"/>
      <c r="T46" s="125"/>
      <c r="U46" s="126"/>
      <c r="V46" s="127"/>
    </row>
    <row r="47" spans="1:22" s="128" customFormat="1" ht="33" customHeight="1">
      <c r="A47" s="166"/>
      <c r="B47" s="114" t="s">
        <v>44</v>
      </c>
      <c r="C47" s="167" t="s">
        <v>68</v>
      </c>
      <c r="D47" s="142" t="s">
        <v>16</v>
      </c>
      <c r="E47" s="168">
        <f>(0.4*0.4*3)*2</f>
        <v>0.9600000000000002</v>
      </c>
      <c r="F47" s="142"/>
      <c r="G47" s="166"/>
      <c r="H47" s="169"/>
      <c r="I47" s="169"/>
      <c r="J47" s="169"/>
      <c r="K47" s="169"/>
      <c r="L47" s="170" t="s">
        <v>67</v>
      </c>
      <c r="M47" s="120"/>
      <c r="N47" s="120"/>
      <c r="O47" s="121">
        <v>2828000</v>
      </c>
      <c r="P47" s="122">
        <f t="shared" si="2"/>
        <v>1.18244</v>
      </c>
      <c r="Q47" s="121">
        <f aca="true" t="shared" si="3" ref="Q47:Q55">+ROUND(P47*O47*E47,-3)</f>
        <v>3210000</v>
      </c>
      <c r="R47" s="123"/>
      <c r="S47" s="124"/>
      <c r="T47" s="125"/>
      <c r="U47" s="126"/>
      <c r="V47" s="127"/>
    </row>
    <row r="48" spans="1:22" s="128" customFormat="1" ht="29.25" customHeight="1">
      <c r="A48" s="166"/>
      <c r="B48" s="114" t="s">
        <v>85</v>
      </c>
      <c r="C48" s="167" t="s">
        <v>69</v>
      </c>
      <c r="D48" s="142" t="s">
        <v>2</v>
      </c>
      <c r="E48" s="168">
        <f>(0.4*2)*8</f>
        <v>6.4</v>
      </c>
      <c r="F48" s="142"/>
      <c r="G48" s="166"/>
      <c r="H48" s="169"/>
      <c r="I48" s="169"/>
      <c r="J48" s="169"/>
      <c r="K48" s="169"/>
      <c r="L48" s="170" t="s">
        <v>67</v>
      </c>
      <c r="M48" s="120"/>
      <c r="N48" s="120"/>
      <c r="O48" s="121">
        <v>396000</v>
      </c>
      <c r="P48" s="122">
        <f t="shared" si="2"/>
        <v>1.18244</v>
      </c>
      <c r="Q48" s="121">
        <f t="shared" si="3"/>
        <v>2997000</v>
      </c>
      <c r="R48" s="123"/>
      <c r="S48" s="124"/>
      <c r="T48" s="125"/>
      <c r="U48" s="126"/>
      <c r="V48" s="127"/>
    </row>
    <row r="49" spans="1:22" s="128" customFormat="1" ht="51">
      <c r="A49" s="166"/>
      <c r="B49" s="114" t="s">
        <v>87</v>
      </c>
      <c r="C49" s="167" t="s">
        <v>70</v>
      </c>
      <c r="D49" s="142" t="s">
        <v>2</v>
      </c>
      <c r="E49" s="168">
        <f>(7.4*5)</f>
        <v>37</v>
      </c>
      <c r="F49" s="170"/>
      <c r="G49" s="166"/>
      <c r="H49" s="169"/>
      <c r="I49" s="169"/>
      <c r="J49" s="169"/>
      <c r="K49" s="169"/>
      <c r="L49" s="170" t="s">
        <v>71</v>
      </c>
      <c r="M49" s="120"/>
      <c r="N49" s="120"/>
      <c r="O49" s="121">
        <f>453000+339000</f>
        <v>792000</v>
      </c>
      <c r="P49" s="122">
        <f t="shared" si="2"/>
        <v>1.18244</v>
      </c>
      <c r="Q49" s="121">
        <f t="shared" si="3"/>
        <v>34650000</v>
      </c>
      <c r="R49" s="123" t="s">
        <v>86</v>
      </c>
      <c r="S49" s="124"/>
      <c r="T49" s="125"/>
      <c r="U49" s="126"/>
      <c r="V49" s="127"/>
    </row>
    <row r="50" spans="1:22" s="128" customFormat="1" ht="28.5" customHeight="1">
      <c r="A50" s="166"/>
      <c r="B50" s="142" t="s">
        <v>88</v>
      </c>
      <c r="C50" s="167" t="s">
        <v>72</v>
      </c>
      <c r="D50" s="142" t="s">
        <v>2</v>
      </c>
      <c r="E50" s="168">
        <f>(1.5*2.8)</f>
        <v>4.199999999999999</v>
      </c>
      <c r="F50" s="170"/>
      <c r="G50" s="166"/>
      <c r="H50" s="169"/>
      <c r="I50" s="169"/>
      <c r="J50" s="169"/>
      <c r="K50" s="169"/>
      <c r="L50" s="170" t="s">
        <v>65</v>
      </c>
      <c r="M50" s="120"/>
      <c r="N50" s="120"/>
      <c r="O50" s="121">
        <v>339000</v>
      </c>
      <c r="P50" s="122">
        <f t="shared" si="2"/>
        <v>1.18244</v>
      </c>
      <c r="Q50" s="121">
        <f t="shared" si="3"/>
        <v>1684000</v>
      </c>
      <c r="R50" s="123"/>
      <c r="S50" s="124"/>
      <c r="T50" s="125"/>
      <c r="U50" s="126"/>
      <c r="V50" s="127"/>
    </row>
    <row r="51" spans="1:22" s="128" customFormat="1" ht="51">
      <c r="A51" s="166"/>
      <c r="B51" s="114" t="s">
        <v>87</v>
      </c>
      <c r="C51" s="167" t="s">
        <v>73</v>
      </c>
      <c r="D51" s="142" t="s">
        <v>2</v>
      </c>
      <c r="E51" s="168">
        <f>(1.5*6.6)</f>
        <v>9.899999999999999</v>
      </c>
      <c r="F51" s="170"/>
      <c r="G51" s="166"/>
      <c r="H51" s="169"/>
      <c r="I51" s="169"/>
      <c r="J51" s="169"/>
      <c r="K51" s="169"/>
      <c r="L51" s="170" t="s">
        <v>67</v>
      </c>
      <c r="M51" s="120"/>
      <c r="N51" s="120"/>
      <c r="O51" s="121">
        <f>453000+339000</f>
        <v>792000</v>
      </c>
      <c r="P51" s="122">
        <f t="shared" si="2"/>
        <v>1.18244</v>
      </c>
      <c r="Q51" s="121">
        <f t="shared" si="3"/>
        <v>9271000</v>
      </c>
      <c r="R51" s="123" t="s">
        <v>86</v>
      </c>
      <c r="S51" s="124"/>
      <c r="T51" s="125"/>
      <c r="U51" s="126"/>
      <c r="V51" s="127"/>
    </row>
    <row r="52" spans="1:22" s="128" customFormat="1" ht="32.25" customHeight="1">
      <c r="A52" s="166"/>
      <c r="B52" s="171" t="s">
        <v>89</v>
      </c>
      <c r="C52" s="167" t="s">
        <v>74</v>
      </c>
      <c r="D52" s="142" t="s">
        <v>16</v>
      </c>
      <c r="E52" s="168">
        <f>(0.2*0.2*2.3)*4</f>
        <v>0.36800000000000005</v>
      </c>
      <c r="F52" s="142"/>
      <c r="G52" s="166"/>
      <c r="H52" s="169"/>
      <c r="I52" s="169"/>
      <c r="J52" s="169"/>
      <c r="K52" s="169"/>
      <c r="L52" s="170" t="s">
        <v>67</v>
      </c>
      <c r="M52" s="120"/>
      <c r="N52" s="120"/>
      <c r="O52" s="121">
        <v>2828000</v>
      </c>
      <c r="P52" s="122">
        <f t="shared" si="2"/>
        <v>1.18244</v>
      </c>
      <c r="Q52" s="121">
        <f>+ROUND(P52*O52*E52,-3)</f>
        <v>1231000</v>
      </c>
      <c r="R52" s="123"/>
      <c r="S52" s="124"/>
      <c r="T52" s="125"/>
      <c r="U52" s="126"/>
      <c r="V52" s="127"/>
    </row>
    <row r="53" spans="1:18" s="141" customFormat="1" ht="34.5" customHeight="1">
      <c r="A53" s="166"/>
      <c r="B53" s="142" t="s">
        <v>90</v>
      </c>
      <c r="C53" s="167" t="s">
        <v>75</v>
      </c>
      <c r="D53" s="142" t="s">
        <v>2</v>
      </c>
      <c r="E53" s="168">
        <f>(2.2*2.4)</f>
        <v>5.28</v>
      </c>
      <c r="F53" s="142"/>
      <c r="G53" s="166"/>
      <c r="H53" s="169"/>
      <c r="I53" s="169"/>
      <c r="J53" s="169"/>
      <c r="K53" s="169"/>
      <c r="L53" s="170" t="s">
        <v>67</v>
      </c>
      <c r="M53" s="140"/>
      <c r="N53" s="140"/>
      <c r="O53" s="131">
        <v>679000</v>
      </c>
      <c r="P53" s="122">
        <f t="shared" si="2"/>
        <v>1.18244</v>
      </c>
      <c r="Q53" s="121">
        <f t="shared" si="3"/>
        <v>4239000</v>
      </c>
      <c r="R53" s="175"/>
    </row>
    <row r="54" spans="1:19" s="5" customFormat="1" ht="29.25" customHeight="1">
      <c r="A54" s="113"/>
      <c r="B54" s="142" t="s">
        <v>91</v>
      </c>
      <c r="C54" s="115" t="s">
        <v>76</v>
      </c>
      <c r="D54" s="114" t="s">
        <v>2</v>
      </c>
      <c r="E54" s="116">
        <f>(5.8*1.7)</f>
        <v>9.86</v>
      </c>
      <c r="F54" s="135"/>
      <c r="G54" s="118"/>
      <c r="H54" s="119"/>
      <c r="I54" s="119"/>
      <c r="J54" s="119"/>
      <c r="K54" s="119"/>
      <c r="L54" s="120" t="s">
        <v>67</v>
      </c>
      <c r="M54" s="130"/>
      <c r="N54" s="130"/>
      <c r="O54" s="131">
        <v>59000</v>
      </c>
      <c r="P54" s="122">
        <f t="shared" si="2"/>
        <v>1.18244</v>
      </c>
      <c r="Q54" s="121">
        <f t="shared" si="3"/>
        <v>688000</v>
      </c>
      <c r="R54" s="177"/>
      <c r="S54" s="132"/>
    </row>
    <row r="55" spans="1:21" s="128" customFormat="1" ht="27.75" customHeight="1">
      <c r="A55" s="113"/>
      <c r="B55" s="142" t="s">
        <v>92</v>
      </c>
      <c r="C55" s="115" t="s">
        <v>77</v>
      </c>
      <c r="D55" s="114" t="s">
        <v>78</v>
      </c>
      <c r="E55" s="116">
        <v>2</v>
      </c>
      <c r="F55" s="117"/>
      <c r="G55" s="118"/>
      <c r="H55" s="119"/>
      <c r="I55" s="119"/>
      <c r="J55" s="119"/>
      <c r="K55" s="119"/>
      <c r="L55" s="120"/>
      <c r="M55" s="113"/>
      <c r="N55" s="113"/>
      <c r="O55" s="131">
        <v>40000</v>
      </c>
      <c r="P55" s="122">
        <f t="shared" si="2"/>
        <v>1.18244</v>
      </c>
      <c r="Q55" s="121">
        <f t="shared" si="3"/>
        <v>95000</v>
      </c>
      <c r="R55" s="165"/>
      <c r="S55" s="137"/>
      <c r="T55" s="138"/>
      <c r="U55" s="139"/>
    </row>
    <row r="56" spans="1:21" s="128" customFormat="1" ht="29.25" customHeight="1">
      <c r="A56" s="113"/>
      <c r="B56" s="133"/>
      <c r="C56" s="115" t="s">
        <v>79</v>
      </c>
      <c r="D56" s="114" t="s">
        <v>80</v>
      </c>
      <c r="E56" s="116">
        <v>2</v>
      </c>
      <c r="F56" s="117"/>
      <c r="G56" s="118"/>
      <c r="H56" s="119"/>
      <c r="I56" s="119"/>
      <c r="J56" s="119"/>
      <c r="K56" s="119"/>
      <c r="L56" s="120"/>
      <c r="M56" s="118"/>
      <c r="N56" s="118"/>
      <c r="O56" s="131">
        <v>53260</v>
      </c>
      <c r="P56" s="134">
        <v>1</v>
      </c>
      <c r="Q56" s="121">
        <f>+ROUND(P56*O56*E56,-3)</f>
        <v>107000</v>
      </c>
      <c r="R56" s="162"/>
      <c r="S56" s="163"/>
      <c r="T56" s="164"/>
      <c r="U56" s="139"/>
    </row>
    <row r="57" spans="1:22" s="128" customFormat="1" ht="24.75" customHeight="1">
      <c r="A57" s="113"/>
      <c r="B57" s="133"/>
      <c r="C57" s="115" t="s">
        <v>40</v>
      </c>
      <c r="D57" s="114" t="s">
        <v>11</v>
      </c>
      <c r="E57" s="116">
        <v>1</v>
      </c>
      <c r="F57" s="117"/>
      <c r="G57" s="118"/>
      <c r="H57" s="119"/>
      <c r="I57" s="119"/>
      <c r="J57" s="119"/>
      <c r="K57" s="119"/>
      <c r="L57" s="120"/>
      <c r="M57" s="120"/>
      <c r="N57" s="120"/>
      <c r="O57" s="121">
        <v>178940</v>
      </c>
      <c r="P57" s="134">
        <v>1</v>
      </c>
      <c r="Q57" s="121">
        <f>+ROUND(P57*O57*E57,-3)</f>
        <v>179000</v>
      </c>
      <c r="R57" s="123"/>
      <c r="S57" s="124"/>
      <c r="T57" s="125"/>
      <c r="U57" s="126"/>
      <c r="V57" s="127"/>
    </row>
    <row r="58" spans="1:18" s="22" customFormat="1" ht="16.5" customHeight="1">
      <c r="A58" s="63"/>
      <c r="B58" s="63"/>
      <c r="C58" s="73" t="s">
        <v>9</v>
      </c>
      <c r="D58" s="63"/>
      <c r="E58" s="56"/>
      <c r="F58" s="63"/>
      <c r="G58" s="63"/>
      <c r="H58" s="63"/>
      <c r="I58" s="293">
        <f>+I59+J59</f>
        <v>32.7</v>
      </c>
      <c r="J58" s="294"/>
      <c r="K58" s="63"/>
      <c r="L58" s="63"/>
      <c r="M58" s="64"/>
      <c r="N58" s="64"/>
      <c r="O58" s="65"/>
      <c r="P58" s="56"/>
      <c r="Q58" s="57">
        <f>ROUND(E58*O58*P58,-3)</f>
        <v>0</v>
      </c>
      <c r="R58" s="103"/>
    </row>
    <row r="59" spans="1:19" s="5" customFormat="1" ht="107.25" customHeight="1">
      <c r="A59" s="118"/>
      <c r="B59" s="114"/>
      <c r="C59" s="115" t="s">
        <v>17</v>
      </c>
      <c r="D59" s="114" t="s">
        <v>2</v>
      </c>
      <c r="E59" s="114"/>
      <c r="F59" s="129">
        <v>12</v>
      </c>
      <c r="G59" s="114">
        <v>1</v>
      </c>
      <c r="H59" s="156">
        <v>156</v>
      </c>
      <c r="I59" s="156">
        <v>9.7</v>
      </c>
      <c r="J59" s="157">
        <v>23</v>
      </c>
      <c r="K59" s="158">
        <f>H59-J59-I59</f>
        <v>123.3</v>
      </c>
      <c r="L59" s="159" t="s">
        <v>81</v>
      </c>
      <c r="M59" s="130" t="s">
        <v>19</v>
      </c>
      <c r="N59" s="130"/>
      <c r="O59" s="131">
        <v>36000</v>
      </c>
      <c r="P59" s="134">
        <v>1</v>
      </c>
      <c r="Q59" s="131">
        <f>ROUND(O59*J59*P59,-3)</f>
        <v>828000</v>
      </c>
      <c r="R59" s="152"/>
      <c r="S59" s="132"/>
    </row>
    <row r="60" spans="1:19" s="23" customFormat="1" ht="13.5">
      <c r="A60" s="49"/>
      <c r="B60" s="50"/>
      <c r="C60" s="80" t="s">
        <v>24</v>
      </c>
      <c r="D60" s="50"/>
      <c r="E60" s="50"/>
      <c r="F60" s="67"/>
      <c r="G60" s="50"/>
      <c r="H60" s="75"/>
      <c r="I60" s="75"/>
      <c r="J60" s="76"/>
      <c r="K60" s="77"/>
      <c r="L60" s="78"/>
      <c r="M60" s="69"/>
      <c r="N60" s="69"/>
      <c r="O60" s="65"/>
      <c r="P60" s="79"/>
      <c r="Q60" s="65"/>
      <c r="R60" s="103"/>
      <c r="S60" s="4"/>
    </row>
    <row r="61" spans="1:19" s="23" customFormat="1" ht="38.25">
      <c r="A61" s="81"/>
      <c r="B61" s="82"/>
      <c r="C61" s="83" t="s">
        <v>18</v>
      </c>
      <c r="D61" s="82"/>
      <c r="E61" s="82"/>
      <c r="F61" s="84"/>
      <c r="G61" s="82"/>
      <c r="H61" s="85"/>
      <c r="I61" s="85"/>
      <c r="J61" s="86">
        <f>+J59</f>
        <v>23</v>
      </c>
      <c r="K61" s="87"/>
      <c r="L61" s="88"/>
      <c r="M61" s="89" t="s">
        <v>82</v>
      </c>
      <c r="N61" s="89"/>
      <c r="O61" s="90">
        <v>3420000</v>
      </c>
      <c r="P61" s="95">
        <v>0.5</v>
      </c>
      <c r="Q61" s="90">
        <f>ROUND(O61*J61*P61,-3)</f>
        <v>39330000</v>
      </c>
      <c r="R61" s="104"/>
      <c r="S61" s="4"/>
    </row>
    <row r="62" spans="1:22" s="21" customFormat="1" ht="29.25" customHeight="1">
      <c r="A62" s="38">
        <v>4</v>
      </c>
      <c r="B62" s="38"/>
      <c r="C62" s="93" t="s">
        <v>93</v>
      </c>
      <c r="D62" s="92"/>
      <c r="E62" s="92"/>
      <c r="F62" s="3"/>
      <c r="G62" s="35"/>
      <c r="H62" s="37"/>
      <c r="I62" s="37"/>
      <c r="J62" s="37"/>
      <c r="K62" s="37"/>
      <c r="L62" s="97"/>
      <c r="M62" s="38"/>
      <c r="N62" s="38"/>
      <c r="O62" s="38"/>
      <c r="P62" s="39"/>
      <c r="Q62" s="40">
        <f>SUM(Q64:Q75)</f>
        <v>76362000</v>
      </c>
      <c r="R62" s="41"/>
      <c r="S62" s="8"/>
      <c r="T62" s="9"/>
      <c r="U62" s="10"/>
      <c r="V62" s="20"/>
    </row>
    <row r="63" spans="1:22" s="21" customFormat="1" ht="17.25" customHeight="1">
      <c r="A63" s="46"/>
      <c r="B63" s="46"/>
      <c r="C63" s="111" t="s">
        <v>27</v>
      </c>
      <c r="D63" s="42"/>
      <c r="E63" s="42"/>
      <c r="F63" s="42"/>
      <c r="G63" s="44"/>
      <c r="H63" s="45"/>
      <c r="I63" s="45"/>
      <c r="J63" s="45"/>
      <c r="K63" s="45"/>
      <c r="L63" s="98"/>
      <c r="M63" s="44"/>
      <c r="N63" s="44"/>
      <c r="O63" s="44"/>
      <c r="P63" s="46"/>
      <c r="Q63" s="47"/>
      <c r="R63" s="47"/>
      <c r="S63" s="7"/>
      <c r="T63" s="6"/>
      <c r="U63" s="7"/>
      <c r="V63" s="20"/>
    </row>
    <row r="64" spans="1:22" s="128" customFormat="1" ht="29.25" customHeight="1">
      <c r="A64" s="113"/>
      <c r="B64" s="114" t="s">
        <v>83</v>
      </c>
      <c r="C64" s="115" t="s">
        <v>63</v>
      </c>
      <c r="D64" s="114" t="s">
        <v>64</v>
      </c>
      <c r="E64" s="116">
        <v>1</v>
      </c>
      <c r="F64" s="117"/>
      <c r="G64" s="118"/>
      <c r="H64" s="119"/>
      <c r="I64" s="119"/>
      <c r="J64" s="119"/>
      <c r="K64" s="119"/>
      <c r="L64" s="120" t="s">
        <v>94</v>
      </c>
      <c r="M64" s="120"/>
      <c r="N64" s="120"/>
      <c r="O64" s="121">
        <v>1018000</v>
      </c>
      <c r="P64" s="122">
        <f>1.03*1.148</f>
        <v>1.18244</v>
      </c>
      <c r="Q64" s="121">
        <f>+ROUND(P64*O64*E64,-3)</f>
        <v>1204000</v>
      </c>
      <c r="R64" s="123"/>
      <c r="S64" s="124"/>
      <c r="T64" s="125"/>
      <c r="U64" s="126"/>
      <c r="V64" s="127"/>
    </row>
    <row r="65" spans="1:22" s="128" customFormat="1" ht="33" customHeight="1">
      <c r="A65" s="113"/>
      <c r="B65" s="114" t="s">
        <v>84</v>
      </c>
      <c r="C65" s="115" t="s">
        <v>95</v>
      </c>
      <c r="D65" s="114" t="s">
        <v>2</v>
      </c>
      <c r="E65" s="116">
        <f>(14.3*2.1)</f>
        <v>30.03</v>
      </c>
      <c r="F65" s="117"/>
      <c r="G65" s="118"/>
      <c r="H65" s="119"/>
      <c r="I65" s="119"/>
      <c r="J65" s="119"/>
      <c r="K65" s="119"/>
      <c r="L65" s="120" t="s">
        <v>94</v>
      </c>
      <c r="M65" s="120"/>
      <c r="N65" s="120"/>
      <c r="O65" s="121">
        <v>679000</v>
      </c>
      <c r="P65" s="122">
        <f aca="true" t="shared" si="4" ref="P65:P71">1.03*1.148</f>
        <v>1.18244</v>
      </c>
      <c r="Q65" s="121">
        <f aca="true" t="shared" si="5" ref="Q65:Q71">+ROUND(P65*O65*E65,-3)</f>
        <v>24110000</v>
      </c>
      <c r="R65" s="121"/>
      <c r="S65" s="124"/>
      <c r="T65" s="125"/>
      <c r="U65" s="126"/>
      <c r="V65" s="127"/>
    </row>
    <row r="66" spans="1:22" s="128" customFormat="1" ht="33" customHeight="1">
      <c r="A66" s="113"/>
      <c r="B66" s="171" t="s">
        <v>89</v>
      </c>
      <c r="C66" s="115" t="s">
        <v>96</v>
      </c>
      <c r="D66" s="114" t="s">
        <v>16</v>
      </c>
      <c r="E66" s="116">
        <f>(0.2*0.2*2.4)*5</f>
        <v>0.4800000000000001</v>
      </c>
      <c r="F66" s="117"/>
      <c r="G66" s="118"/>
      <c r="H66" s="119"/>
      <c r="I66" s="119"/>
      <c r="J66" s="119"/>
      <c r="K66" s="119"/>
      <c r="L66" s="120" t="s">
        <v>94</v>
      </c>
      <c r="M66" s="120"/>
      <c r="N66" s="120"/>
      <c r="O66" s="121">
        <v>2828000</v>
      </c>
      <c r="P66" s="122">
        <f t="shared" si="4"/>
        <v>1.18244</v>
      </c>
      <c r="Q66" s="121">
        <f t="shared" si="5"/>
        <v>1605000</v>
      </c>
      <c r="R66" s="123"/>
      <c r="S66" s="124"/>
      <c r="T66" s="125"/>
      <c r="U66" s="126"/>
      <c r="V66" s="127"/>
    </row>
    <row r="67" spans="1:22" s="128" customFormat="1" ht="29.25" customHeight="1">
      <c r="A67" s="113"/>
      <c r="B67" s="171" t="s">
        <v>89</v>
      </c>
      <c r="C67" s="115" t="s">
        <v>97</v>
      </c>
      <c r="D67" s="114" t="s">
        <v>16</v>
      </c>
      <c r="E67" s="116">
        <f>(0.3*0.45*3)*2</f>
        <v>0.81</v>
      </c>
      <c r="F67" s="117"/>
      <c r="G67" s="118"/>
      <c r="H67" s="119"/>
      <c r="I67" s="119"/>
      <c r="J67" s="119"/>
      <c r="K67" s="119"/>
      <c r="L67" s="120" t="s">
        <v>94</v>
      </c>
      <c r="M67" s="120"/>
      <c r="N67" s="120"/>
      <c r="O67" s="121">
        <v>2828000</v>
      </c>
      <c r="P67" s="122">
        <f t="shared" si="4"/>
        <v>1.18244</v>
      </c>
      <c r="Q67" s="121">
        <f t="shared" si="5"/>
        <v>2709000</v>
      </c>
      <c r="R67" s="123"/>
      <c r="S67" s="124"/>
      <c r="T67" s="125"/>
      <c r="U67" s="126"/>
      <c r="V67" s="127"/>
    </row>
    <row r="68" spans="1:22" s="128" customFormat="1" ht="25.5">
      <c r="A68" s="113"/>
      <c r="B68" s="142" t="s">
        <v>90</v>
      </c>
      <c r="C68" s="115" t="s">
        <v>98</v>
      </c>
      <c r="D68" s="114" t="s">
        <v>2</v>
      </c>
      <c r="E68" s="116">
        <f>(2.6*1.9)</f>
        <v>4.9399999999999995</v>
      </c>
      <c r="F68" s="117"/>
      <c r="G68" s="118"/>
      <c r="H68" s="119"/>
      <c r="I68" s="119"/>
      <c r="J68" s="119"/>
      <c r="K68" s="119"/>
      <c r="L68" s="120" t="s">
        <v>94</v>
      </c>
      <c r="M68" s="120"/>
      <c r="N68" s="120"/>
      <c r="O68" s="121">
        <v>679000</v>
      </c>
      <c r="P68" s="122">
        <f t="shared" si="4"/>
        <v>1.18244</v>
      </c>
      <c r="Q68" s="121">
        <f t="shared" si="5"/>
        <v>3966000</v>
      </c>
      <c r="R68" s="123"/>
      <c r="S68" s="124"/>
      <c r="T68" s="125"/>
      <c r="U68" s="126"/>
      <c r="V68" s="127"/>
    </row>
    <row r="69" spans="1:22" s="128" customFormat="1" ht="28.5" customHeight="1">
      <c r="A69" s="113"/>
      <c r="B69" s="142" t="s">
        <v>100</v>
      </c>
      <c r="C69" s="115" t="s">
        <v>99</v>
      </c>
      <c r="D69" s="114" t="s">
        <v>2</v>
      </c>
      <c r="E69" s="116">
        <f>(2.5*7.7)</f>
        <v>19.25</v>
      </c>
      <c r="F69" s="135"/>
      <c r="G69" s="118"/>
      <c r="H69" s="119"/>
      <c r="I69" s="119"/>
      <c r="J69" s="119"/>
      <c r="K69" s="119"/>
      <c r="L69" s="120" t="s">
        <v>94</v>
      </c>
      <c r="M69" s="120"/>
      <c r="N69" s="120"/>
      <c r="O69" s="121">
        <v>284000</v>
      </c>
      <c r="P69" s="122">
        <f t="shared" si="4"/>
        <v>1.18244</v>
      </c>
      <c r="Q69" s="121">
        <f t="shared" si="5"/>
        <v>6464000</v>
      </c>
      <c r="R69" s="123"/>
      <c r="S69" s="124"/>
      <c r="T69" s="125"/>
      <c r="U69" s="126"/>
      <c r="V69" s="127"/>
    </row>
    <row r="70" spans="1:22" s="128" customFormat="1" ht="25.5">
      <c r="A70" s="113"/>
      <c r="B70" s="113"/>
      <c r="C70" s="115" t="s">
        <v>79</v>
      </c>
      <c r="D70" s="114" t="s">
        <v>80</v>
      </c>
      <c r="E70" s="116">
        <v>4</v>
      </c>
      <c r="F70" s="117"/>
      <c r="G70" s="118"/>
      <c r="H70" s="119"/>
      <c r="I70" s="119"/>
      <c r="J70" s="119"/>
      <c r="K70" s="119"/>
      <c r="L70" s="120"/>
      <c r="M70" s="120"/>
      <c r="N70" s="120"/>
      <c r="O70" s="121">
        <v>53260</v>
      </c>
      <c r="P70" s="134">
        <v>1</v>
      </c>
      <c r="Q70" s="121">
        <f t="shared" si="5"/>
        <v>213000</v>
      </c>
      <c r="R70" s="123"/>
      <c r="S70" s="124"/>
      <c r="T70" s="125"/>
      <c r="U70" s="126"/>
      <c r="V70" s="127"/>
    </row>
    <row r="71" spans="1:22" s="128" customFormat="1" ht="32.25" customHeight="1">
      <c r="A71" s="113"/>
      <c r="B71" s="142" t="s">
        <v>92</v>
      </c>
      <c r="C71" s="115" t="s">
        <v>77</v>
      </c>
      <c r="D71" s="114" t="s">
        <v>78</v>
      </c>
      <c r="E71" s="116">
        <v>2.6</v>
      </c>
      <c r="F71" s="135"/>
      <c r="G71" s="118"/>
      <c r="H71" s="119"/>
      <c r="I71" s="119"/>
      <c r="J71" s="119"/>
      <c r="K71" s="119"/>
      <c r="L71" s="120"/>
      <c r="M71" s="120"/>
      <c r="N71" s="120"/>
      <c r="O71" s="121">
        <v>40000</v>
      </c>
      <c r="P71" s="122">
        <f t="shared" si="4"/>
        <v>1.18244</v>
      </c>
      <c r="Q71" s="121">
        <f t="shared" si="5"/>
        <v>123000</v>
      </c>
      <c r="R71" s="123"/>
      <c r="S71" s="124"/>
      <c r="T71" s="125"/>
      <c r="U71" s="126"/>
      <c r="V71" s="127"/>
    </row>
    <row r="72" spans="1:18" s="22" customFormat="1" ht="16.5" customHeight="1">
      <c r="A72" s="63"/>
      <c r="B72" s="63"/>
      <c r="C72" s="73" t="s">
        <v>9</v>
      </c>
      <c r="D72" s="63"/>
      <c r="E72" s="56"/>
      <c r="F72" s="63"/>
      <c r="G72" s="63"/>
      <c r="H72" s="63"/>
      <c r="I72" s="295">
        <f>+I73+J73</f>
        <v>20.6</v>
      </c>
      <c r="J72" s="296"/>
      <c r="K72" s="63"/>
      <c r="L72" s="63"/>
      <c r="M72" s="64"/>
      <c r="N72" s="64"/>
      <c r="O72" s="65"/>
      <c r="P72" s="56"/>
      <c r="Q72" s="57">
        <f>ROUND(E72*O72*P72,-3)</f>
        <v>0</v>
      </c>
      <c r="R72" s="103"/>
    </row>
    <row r="73" spans="1:19" s="5" customFormat="1" ht="85.5" customHeight="1">
      <c r="A73" s="118"/>
      <c r="B73" s="114"/>
      <c r="C73" s="115" t="s">
        <v>17</v>
      </c>
      <c r="D73" s="114" t="s">
        <v>2</v>
      </c>
      <c r="E73" s="114"/>
      <c r="F73" s="129">
        <v>15</v>
      </c>
      <c r="G73" s="114">
        <v>1</v>
      </c>
      <c r="H73" s="156">
        <v>168</v>
      </c>
      <c r="I73" s="156"/>
      <c r="J73" s="157">
        <v>20.6</v>
      </c>
      <c r="K73" s="158">
        <f>H73-J73</f>
        <v>147.4</v>
      </c>
      <c r="L73" s="159" t="s">
        <v>101</v>
      </c>
      <c r="M73" s="130" t="s">
        <v>19</v>
      </c>
      <c r="N73" s="130"/>
      <c r="O73" s="131">
        <v>36000</v>
      </c>
      <c r="P73" s="134">
        <v>1</v>
      </c>
      <c r="Q73" s="131">
        <f>ROUND(O73*J73*P73,-3)</f>
        <v>742000</v>
      </c>
      <c r="R73" s="152"/>
      <c r="S73" s="132"/>
    </row>
    <row r="74" spans="1:19" s="23" customFormat="1" ht="13.5">
      <c r="A74" s="49"/>
      <c r="B74" s="50"/>
      <c r="C74" s="80" t="s">
        <v>24</v>
      </c>
      <c r="D74" s="50"/>
      <c r="E74" s="50"/>
      <c r="F74" s="67"/>
      <c r="G74" s="50"/>
      <c r="H74" s="75"/>
      <c r="I74" s="75"/>
      <c r="J74" s="76"/>
      <c r="K74" s="77"/>
      <c r="L74" s="78"/>
      <c r="M74" s="69"/>
      <c r="N74" s="69"/>
      <c r="O74" s="65"/>
      <c r="P74" s="79"/>
      <c r="Q74" s="65"/>
      <c r="R74" s="103"/>
      <c r="S74" s="4"/>
    </row>
    <row r="75" spans="1:19" s="23" customFormat="1" ht="38.25">
      <c r="A75" s="81"/>
      <c r="B75" s="82"/>
      <c r="C75" s="83" t="s">
        <v>18</v>
      </c>
      <c r="D75" s="82"/>
      <c r="E75" s="82"/>
      <c r="F75" s="84"/>
      <c r="G75" s="82"/>
      <c r="H75" s="85"/>
      <c r="I75" s="85"/>
      <c r="J75" s="86">
        <f>+J73</f>
        <v>20.6</v>
      </c>
      <c r="K75" s="87"/>
      <c r="L75" s="88"/>
      <c r="M75" s="89" t="s">
        <v>82</v>
      </c>
      <c r="N75" s="89"/>
      <c r="O75" s="90">
        <v>3420000</v>
      </c>
      <c r="P75" s="95">
        <v>0.5</v>
      </c>
      <c r="Q75" s="90">
        <f>ROUND(O75*J75*P75,-3)</f>
        <v>35226000</v>
      </c>
      <c r="R75" s="104"/>
      <c r="S75" s="4"/>
    </row>
    <row r="76" spans="1:22" s="21" customFormat="1" ht="29.25" customHeight="1">
      <c r="A76" s="38">
        <v>5</v>
      </c>
      <c r="B76" s="38"/>
      <c r="C76" s="93" t="s">
        <v>102</v>
      </c>
      <c r="D76" s="92"/>
      <c r="E76" s="92"/>
      <c r="F76" s="3"/>
      <c r="G76" s="35"/>
      <c r="H76" s="37"/>
      <c r="I76" s="37"/>
      <c r="J76" s="37"/>
      <c r="K76" s="37"/>
      <c r="L76" s="97"/>
      <c r="M76" s="38"/>
      <c r="N76" s="38"/>
      <c r="O76" s="38"/>
      <c r="P76" s="39"/>
      <c r="Q76" s="40">
        <f>SUM(Q78:Q85)</f>
        <v>46407000</v>
      </c>
      <c r="R76" s="41"/>
      <c r="S76" s="8"/>
      <c r="T76" s="9"/>
      <c r="U76" s="10"/>
      <c r="V76" s="20"/>
    </row>
    <row r="77" spans="1:22" s="21" customFormat="1" ht="17.25" customHeight="1">
      <c r="A77" s="46"/>
      <c r="B77" s="46"/>
      <c r="C77" s="111" t="s">
        <v>27</v>
      </c>
      <c r="D77" s="42"/>
      <c r="E77" s="42"/>
      <c r="F77" s="42"/>
      <c r="G77" s="44"/>
      <c r="H77" s="45"/>
      <c r="I77" s="45"/>
      <c r="J77" s="45"/>
      <c r="K77" s="45"/>
      <c r="L77" s="98"/>
      <c r="M77" s="44"/>
      <c r="N77" s="44"/>
      <c r="O77" s="44"/>
      <c r="P77" s="46"/>
      <c r="Q77" s="47"/>
      <c r="R77" s="47"/>
      <c r="S77" s="7"/>
      <c r="T77" s="6"/>
      <c r="U77" s="7"/>
      <c r="V77" s="20"/>
    </row>
    <row r="78" spans="1:22" s="21" customFormat="1" ht="29.25" customHeight="1">
      <c r="A78" s="297"/>
      <c r="B78" s="105"/>
      <c r="C78" s="51" t="s">
        <v>103</v>
      </c>
      <c r="D78" s="50"/>
      <c r="E78" s="52"/>
      <c r="F78" s="99"/>
      <c r="G78" s="49"/>
      <c r="H78" s="54"/>
      <c r="I78" s="54"/>
      <c r="J78" s="54"/>
      <c r="K78" s="54"/>
      <c r="L78" s="56" t="s">
        <v>104</v>
      </c>
      <c r="M78" s="56"/>
      <c r="N78" s="56"/>
      <c r="O78" s="57"/>
      <c r="P78" s="58"/>
      <c r="Q78" s="57">
        <f>+ROUND(P78*O78*E78,-3)</f>
        <v>0</v>
      </c>
      <c r="R78" s="100"/>
      <c r="S78" s="11"/>
      <c r="T78" s="12"/>
      <c r="U78" s="13"/>
      <c r="V78" s="20"/>
    </row>
    <row r="79" spans="1:22" s="21" customFormat="1" ht="33" customHeight="1">
      <c r="A79" s="297"/>
      <c r="B79" s="101" t="s">
        <v>100</v>
      </c>
      <c r="C79" s="106" t="s">
        <v>105</v>
      </c>
      <c r="D79" s="50" t="s">
        <v>2</v>
      </c>
      <c r="E79" s="52">
        <f>(2.1*9)</f>
        <v>18.900000000000002</v>
      </c>
      <c r="F79" s="99"/>
      <c r="G79" s="49"/>
      <c r="H79" s="54"/>
      <c r="I79" s="54"/>
      <c r="J79" s="54"/>
      <c r="K79" s="54"/>
      <c r="L79" s="56" t="s">
        <v>104</v>
      </c>
      <c r="M79" s="56"/>
      <c r="N79" s="56"/>
      <c r="O79" s="57">
        <v>284000</v>
      </c>
      <c r="P79" s="58">
        <f>1.03*1.148</f>
        <v>1.18244</v>
      </c>
      <c r="Q79" s="57">
        <f>+ROUND(P79*O79*E79,-3)</f>
        <v>6347000</v>
      </c>
      <c r="R79" s="57"/>
      <c r="S79" s="11"/>
      <c r="T79" s="12"/>
      <c r="U79" s="13"/>
      <c r="V79" s="20"/>
    </row>
    <row r="80" spans="1:22" s="21" customFormat="1" ht="33" customHeight="1">
      <c r="A80" s="297"/>
      <c r="B80" s="101" t="s">
        <v>100</v>
      </c>
      <c r="C80" s="106" t="s">
        <v>106</v>
      </c>
      <c r="D80" s="50" t="s">
        <v>2</v>
      </c>
      <c r="E80" s="52">
        <f>(1.2*9)</f>
        <v>10.799999999999999</v>
      </c>
      <c r="F80" s="99"/>
      <c r="G80" s="49"/>
      <c r="H80" s="54"/>
      <c r="I80" s="54"/>
      <c r="J80" s="54"/>
      <c r="K80" s="54"/>
      <c r="L80" s="56" t="s">
        <v>104</v>
      </c>
      <c r="M80" s="56"/>
      <c r="N80" s="107">
        <v>0.8</v>
      </c>
      <c r="O80" s="57">
        <v>284000</v>
      </c>
      <c r="P80" s="58">
        <f>1.03*1.148</f>
        <v>1.18244</v>
      </c>
      <c r="Q80" s="57">
        <f>+ROUND(P80*O80*E80*N80,-3)</f>
        <v>2901000</v>
      </c>
      <c r="R80" s="100"/>
      <c r="S80" s="11"/>
      <c r="T80" s="12"/>
      <c r="U80" s="13"/>
      <c r="V80" s="20"/>
    </row>
    <row r="81" spans="1:22" s="128" customFormat="1" ht="29.25" customHeight="1">
      <c r="A81" s="113"/>
      <c r="B81" s="114" t="s">
        <v>45</v>
      </c>
      <c r="C81" s="115" t="s">
        <v>107</v>
      </c>
      <c r="D81" s="114" t="s">
        <v>2</v>
      </c>
      <c r="E81" s="116">
        <f>(2.7*1.3)</f>
        <v>3.5100000000000002</v>
      </c>
      <c r="F81" s="117"/>
      <c r="G81" s="118"/>
      <c r="H81" s="119"/>
      <c r="I81" s="119"/>
      <c r="J81" s="119"/>
      <c r="K81" s="119"/>
      <c r="L81" s="120" t="s">
        <v>104</v>
      </c>
      <c r="M81" s="120"/>
      <c r="N81" s="120"/>
      <c r="O81" s="121">
        <v>792000</v>
      </c>
      <c r="P81" s="122">
        <f>1.03*1.148</f>
        <v>1.18244</v>
      </c>
      <c r="Q81" s="121">
        <f>+ROUND(P81*O81*E81,-3)</f>
        <v>3287000</v>
      </c>
      <c r="R81" s="123"/>
      <c r="S81" s="124"/>
      <c r="T81" s="125"/>
      <c r="U81" s="126"/>
      <c r="V81" s="127"/>
    </row>
    <row r="82" spans="1:18" s="22" customFormat="1" ht="16.5" customHeight="1">
      <c r="A82" s="63"/>
      <c r="B82" s="63"/>
      <c r="C82" s="73" t="s">
        <v>9</v>
      </c>
      <c r="D82" s="63"/>
      <c r="E82" s="56"/>
      <c r="F82" s="63"/>
      <c r="G82" s="63"/>
      <c r="H82" s="63"/>
      <c r="I82" s="295">
        <f>+I83+J83</f>
        <v>19.4</v>
      </c>
      <c r="J82" s="296"/>
      <c r="K82" s="63"/>
      <c r="L82" s="63"/>
      <c r="M82" s="64"/>
      <c r="N82" s="64"/>
      <c r="O82" s="65"/>
      <c r="P82" s="56"/>
      <c r="Q82" s="57">
        <f>ROUND(E82*O82*P82,-3)</f>
        <v>0</v>
      </c>
      <c r="R82" s="103"/>
    </row>
    <row r="83" spans="1:19" s="5" customFormat="1" ht="123.75" customHeight="1">
      <c r="A83" s="118"/>
      <c r="B83" s="114"/>
      <c r="C83" s="115" t="s">
        <v>17</v>
      </c>
      <c r="D83" s="114" t="s">
        <v>2</v>
      </c>
      <c r="E83" s="114"/>
      <c r="F83" s="129">
        <v>32</v>
      </c>
      <c r="G83" s="114">
        <v>1</v>
      </c>
      <c r="H83" s="156">
        <v>400.1</v>
      </c>
      <c r="I83" s="156"/>
      <c r="J83" s="157">
        <v>19.4</v>
      </c>
      <c r="K83" s="158">
        <f>H83-J83</f>
        <v>380.70000000000005</v>
      </c>
      <c r="L83" s="159" t="s">
        <v>108</v>
      </c>
      <c r="M83" s="130" t="s">
        <v>19</v>
      </c>
      <c r="N83" s="130"/>
      <c r="O83" s="131">
        <v>36000</v>
      </c>
      <c r="P83" s="134">
        <v>1</v>
      </c>
      <c r="Q83" s="131">
        <f>ROUND(O83*J83*P83,-3)</f>
        <v>698000</v>
      </c>
      <c r="R83" s="152"/>
      <c r="S83" s="132"/>
    </row>
    <row r="84" spans="1:19" s="23" customFormat="1" ht="13.5">
      <c r="A84" s="49"/>
      <c r="B84" s="50"/>
      <c r="C84" s="80" t="s">
        <v>24</v>
      </c>
      <c r="D84" s="50"/>
      <c r="E84" s="50"/>
      <c r="F84" s="67"/>
      <c r="G84" s="50"/>
      <c r="H84" s="75"/>
      <c r="I84" s="75"/>
      <c r="J84" s="76"/>
      <c r="K84" s="77"/>
      <c r="L84" s="78"/>
      <c r="M84" s="69"/>
      <c r="N84" s="69"/>
      <c r="O84" s="65"/>
      <c r="P84" s="79"/>
      <c r="Q84" s="65"/>
      <c r="R84" s="103"/>
      <c r="S84" s="4"/>
    </row>
    <row r="85" spans="1:19" s="23" customFormat="1" ht="38.25">
      <c r="A85" s="81"/>
      <c r="B85" s="82"/>
      <c r="C85" s="83" t="s">
        <v>18</v>
      </c>
      <c r="D85" s="82"/>
      <c r="E85" s="82"/>
      <c r="F85" s="84"/>
      <c r="G85" s="82"/>
      <c r="H85" s="85"/>
      <c r="I85" s="85"/>
      <c r="J85" s="86">
        <f>+J83</f>
        <v>19.4</v>
      </c>
      <c r="K85" s="87"/>
      <c r="L85" s="88"/>
      <c r="M85" s="89" t="s">
        <v>82</v>
      </c>
      <c r="N85" s="89"/>
      <c r="O85" s="90">
        <v>3420000</v>
      </c>
      <c r="P85" s="95">
        <v>0.5</v>
      </c>
      <c r="Q85" s="90">
        <f>ROUND(O85*J85*P85,-3)</f>
        <v>33174000</v>
      </c>
      <c r="R85" s="104"/>
      <c r="S85" s="4"/>
    </row>
    <row r="86" spans="1:22" s="21" customFormat="1" ht="29.25" customHeight="1">
      <c r="A86" s="38">
        <v>6</v>
      </c>
      <c r="B86" s="38"/>
      <c r="C86" s="93" t="s">
        <v>109</v>
      </c>
      <c r="D86" s="92"/>
      <c r="E86" s="92"/>
      <c r="F86" s="3"/>
      <c r="G86" s="35"/>
      <c r="H86" s="37"/>
      <c r="I86" s="37"/>
      <c r="J86" s="37"/>
      <c r="K86" s="37"/>
      <c r="L86" s="97"/>
      <c r="M86" s="38"/>
      <c r="N86" s="38"/>
      <c r="O86" s="38"/>
      <c r="P86" s="39"/>
      <c r="Q86" s="40">
        <f>SUM(Q88:Q100)</f>
        <v>142562000</v>
      </c>
      <c r="R86" s="41"/>
      <c r="S86" s="8"/>
      <c r="T86" s="9"/>
      <c r="U86" s="10"/>
      <c r="V86" s="20"/>
    </row>
    <row r="87" spans="1:22" s="21" customFormat="1" ht="17.25" customHeight="1">
      <c r="A87" s="46"/>
      <c r="B87" s="46"/>
      <c r="C87" s="111" t="s">
        <v>27</v>
      </c>
      <c r="D87" s="42"/>
      <c r="E87" s="42"/>
      <c r="F87" s="42"/>
      <c r="G87" s="44"/>
      <c r="H87" s="45"/>
      <c r="I87" s="45"/>
      <c r="J87" s="45"/>
      <c r="K87" s="45"/>
      <c r="L87" s="98"/>
      <c r="M87" s="44"/>
      <c r="N87" s="44"/>
      <c r="O87" s="44"/>
      <c r="P87" s="46"/>
      <c r="Q87" s="47"/>
      <c r="R87" s="47"/>
      <c r="S87" s="7"/>
      <c r="T87" s="6"/>
      <c r="U87" s="7"/>
      <c r="V87" s="20"/>
    </row>
    <row r="88" spans="1:22" s="21" customFormat="1" ht="29.25" customHeight="1">
      <c r="A88" s="297"/>
      <c r="B88" s="105"/>
      <c r="C88" s="51" t="s">
        <v>110</v>
      </c>
      <c r="D88" s="50" t="s">
        <v>2</v>
      </c>
      <c r="E88" s="52"/>
      <c r="F88" s="99"/>
      <c r="G88" s="49"/>
      <c r="H88" s="54"/>
      <c r="I88" s="54"/>
      <c r="J88" s="54"/>
      <c r="K88" s="54"/>
      <c r="L88" s="56"/>
      <c r="M88" s="56"/>
      <c r="N88" s="56"/>
      <c r="O88" s="57"/>
      <c r="P88" s="58"/>
      <c r="Q88" s="57">
        <f>+ROUND(P88*O88*E88,-3)</f>
        <v>0</v>
      </c>
      <c r="R88" s="100"/>
      <c r="S88" s="11"/>
      <c r="T88" s="12"/>
      <c r="U88" s="13"/>
      <c r="V88" s="20"/>
    </row>
    <row r="89" spans="1:22" s="21" customFormat="1" ht="40.5" customHeight="1">
      <c r="A89" s="297"/>
      <c r="B89" s="50" t="s">
        <v>119</v>
      </c>
      <c r="C89" s="106" t="s">
        <v>111</v>
      </c>
      <c r="D89" s="50" t="s">
        <v>2</v>
      </c>
      <c r="E89" s="52">
        <f>(1.5*15.3)</f>
        <v>22.950000000000003</v>
      </c>
      <c r="F89" s="99"/>
      <c r="G89" s="49"/>
      <c r="H89" s="54"/>
      <c r="I89" s="54"/>
      <c r="J89" s="54"/>
      <c r="K89" s="54"/>
      <c r="L89" s="56" t="s">
        <v>112</v>
      </c>
      <c r="M89" s="56"/>
      <c r="N89" s="56"/>
      <c r="O89" s="57">
        <f>453000+339000</f>
        <v>792000</v>
      </c>
      <c r="P89" s="58">
        <f aca="true" t="shared" si="6" ref="P89:P95">1.03*1.148</f>
        <v>1.18244</v>
      </c>
      <c r="Q89" s="57">
        <f aca="true" t="shared" si="7" ref="Q89:Q96">+ROUND(P89*O89*E89,-3)</f>
        <v>21493000</v>
      </c>
      <c r="R89" s="57"/>
      <c r="S89" s="11"/>
      <c r="T89" s="12"/>
      <c r="U89" s="13"/>
      <c r="V89" s="20"/>
    </row>
    <row r="90" spans="1:22" s="21" customFormat="1" ht="42" customHeight="1">
      <c r="A90" s="297"/>
      <c r="B90" s="50" t="s">
        <v>119</v>
      </c>
      <c r="C90" s="106" t="s">
        <v>113</v>
      </c>
      <c r="D90" s="50" t="s">
        <v>2</v>
      </c>
      <c r="E90" s="52">
        <v>38.2</v>
      </c>
      <c r="F90" s="99"/>
      <c r="G90" s="49"/>
      <c r="H90" s="54"/>
      <c r="I90" s="54"/>
      <c r="J90" s="54"/>
      <c r="K90" s="54"/>
      <c r="L90" s="56" t="s">
        <v>112</v>
      </c>
      <c r="M90" s="56"/>
      <c r="N90" s="107">
        <v>0.8</v>
      </c>
      <c r="O90" s="57">
        <f>453000+339000</f>
        <v>792000</v>
      </c>
      <c r="P90" s="58">
        <f t="shared" si="6"/>
        <v>1.18244</v>
      </c>
      <c r="Q90" s="57">
        <f>+ROUND(P90*O90*N90*E90,-3)</f>
        <v>28619000</v>
      </c>
      <c r="R90" s="100"/>
      <c r="S90" s="11"/>
      <c r="T90" s="12"/>
      <c r="U90" s="13"/>
      <c r="V90" s="20"/>
    </row>
    <row r="91" spans="1:22" s="128" customFormat="1" ht="29.25" customHeight="1">
      <c r="A91" s="113"/>
      <c r="B91" s="114" t="s">
        <v>84</v>
      </c>
      <c r="C91" s="115" t="s">
        <v>114</v>
      </c>
      <c r="D91" s="114" t="s">
        <v>2</v>
      </c>
      <c r="E91" s="116">
        <f>(14.6*2.5)</f>
        <v>36.5</v>
      </c>
      <c r="F91" s="117"/>
      <c r="G91" s="118"/>
      <c r="H91" s="119"/>
      <c r="I91" s="119"/>
      <c r="J91" s="119"/>
      <c r="K91" s="119"/>
      <c r="L91" s="120" t="s">
        <v>112</v>
      </c>
      <c r="M91" s="120"/>
      <c r="N91" s="120"/>
      <c r="O91" s="121">
        <v>679000</v>
      </c>
      <c r="P91" s="122">
        <f t="shared" si="6"/>
        <v>1.18244</v>
      </c>
      <c r="Q91" s="121">
        <f t="shared" si="7"/>
        <v>29305000</v>
      </c>
      <c r="R91" s="123"/>
      <c r="S91" s="124"/>
      <c r="T91" s="125"/>
      <c r="U91" s="126"/>
      <c r="V91" s="127"/>
    </row>
    <row r="92" spans="1:22" s="128" customFormat="1" ht="29.25" customHeight="1">
      <c r="A92" s="113"/>
      <c r="B92" s="142" t="s">
        <v>120</v>
      </c>
      <c r="C92" s="115" t="s">
        <v>115</v>
      </c>
      <c r="D92" s="114" t="s">
        <v>78</v>
      </c>
      <c r="E92" s="116">
        <v>4</v>
      </c>
      <c r="F92" s="117"/>
      <c r="G92" s="118"/>
      <c r="H92" s="119"/>
      <c r="I92" s="119"/>
      <c r="J92" s="119"/>
      <c r="K92" s="119"/>
      <c r="L92" s="120" t="s">
        <v>112</v>
      </c>
      <c r="M92" s="120"/>
      <c r="N92" s="120"/>
      <c r="O92" s="121">
        <v>28000</v>
      </c>
      <c r="P92" s="122">
        <f t="shared" si="6"/>
        <v>1.18244</v>
      </c>
      <c r="Q92" s="121">
        <f t="shared" si="7"/>
        <v>132000</v>
      </c>
      <c r="R92" s="123"/>
      <c r="S92" s="124"/>
      <c r="T92" s="125"/>
      <c r="U92" s="126"/>
      <c r="V92" s="127"/>
    </row>
    <row r="93" spans="1:22" s="128" customFormat="1" ht="28.5" customHeight="1">
      <c r="A93" s="113"/>
      <c r="B93" s="171" t="s">
        <v>89</v>
      </c>
      <c r="C93" s="115" t="s">
        <v>116</v>
      </c>
      <c r="D93" s="114" t="s">
        <v>16</v>
      </c>
      <c r="E93" s="116">
        <f>(0.6*0.6*3.1)*2</f>
        <v>2.2319999999999998</v>
      </c>
      <c r="F93" s="117"/>
      <c r="G93" s="118"/>
      <c r="H93" s="119"/>
      <c r="I93" s="119"/>
      <c r="J93" s="119"/>
      <c r="K93" s="119"/>
      <c r="L93" s="120" t="s">
        <v>112</v>
      </c>
      <c r="M93" s="120"/>
      <c r="N93" s="120"/>
      <c r="O93" s="121">
        <v>2828000</v>
      </c>
      <c r="P93" s="122">
        <f t="shared" si="6"/>
        <v>1.18244</v>
      </c>
      <c r="Q93" s="121">
        <f t="shared" si="7"/>
        <v>7464000</v>
      </c>
      <c r="R93" s="123"/>
      <c r="S93" s="124"/>
      <c r="T93" s="125"/>
      <c r="U93" s="126"/>
      <c r="V93" s="127"/>
    </row>
    <row r="94" spans="1:22" s="128" customFormat="1" ht="29.25" customHeight="1">
      <c r="A94" s="113"/>
      <c r="B94" s="171" t="s">
        <v>88</v>
      </c>
      <c r="C94" s="115" t="s">
        <v>117</v>
      </c>
      <c r="D94" s="114" t="s">
        <v>2</v>
      </c>
      <c r="E94" s="116">
        <f>(2.4*0.6)*8</f>
        <v>11.52</v>
      </c>
      <c r="F94" s="117"/>
      <c r="G94" s="118"/>
      <c r="H94" s="119"/>
      <c r="I94" s="119"/>
      <c r="J94" s="119"/>
      <c r="K94" s="119"/>
      <c r="L94" s="120" t="s">
        <v>112</v>
      </c>
      <c r="M94" s="120"/>
      <c r="N94" s="120"/>
      <c r="O94" s="121">
        <v>339000</v>
      </c>
      <c r="P94" s="122">
        <f t="shared" si="6"/>
        <v>1.18244</v>
      </c>
      <c r="Q94" s="121">
        <f t="shared" si="7"/>
        <v>4618000</v>
      </c>
      <c r="R94" s="123"/>
      <c r="S94" s="124"/>
      <c r="T94" s="125"/>
      <c r="U94" s="126"/>
      <c r="V94" s="127"/>
    </row>
    <row r="95" spans="1:22" s="128" customFormat="1" ht="32.25" customHeight="1">
      <c r="A95" s="113"/>
      <c r="B95" s="171" t="s">
        <v>90</v>
      </c>
      <c r="C95" s="115" t="s">
        <v>118</v>
      </c>
      <c r="D95" s="114" t="s">
        <v>2</v>
      </c>
      <c r="E95" s="116">
        <f>(4.5*2)</f>
        <v>9</v>
      </c>
      <c r="F95" s="117"/>
      <c r="G95" s="118"/>
      <c r="H95" s="119"/>
      <c r="I95" s="119"/>
      <c r="J95" s="119"/>
      <c r="K95" s="119"/>
      <c r="L95" s="120" t="s">
        <v>112</v>
      </c>
      <c r="M95" s="120"/>
      <c r="N95" s="120"/>
      <c r="O95" s="121">
        <v>679000</v>
      </c>
      <c r="P95" s="122">
        <f t="shared" si="6"/>
        <v>1.18244</v>
      </c>
      <c r="Q95" s="121">
        <f t="shared" si="7"/>
        <v>7226000</v>
      </c>
      <c r="R95" s="123"/>
      <c r="S95" s="124"/>
      <c r="T95" s="125"/>
      <c r="U95" s="126"/>
      <c r="V95" s="127"/>
    </row>
    <row r="96" spans="1:22" s="128" customFormat="1" ht="29.25" customHeight="1">
      <c r="A96" s="113"/>
      <c r="B96" s="142" t="s">
        <v>92</v>
      </c>
      <c r="C96" s="115" t="s">
        <v>77</v>
      </c>
      <c r="D96" s="114" t="s">
        <v>78</v>
      </c>
      <c r="E96" s="116">
        <v>30.7</v>
      </c>
      <c r="F96" s="117"/>
      <c r="G96" s="118"/>
      <c r="H96" s="119"/>
      <c r="I96" s="119"/>
      <c r="J96" s="119"/>
      <c r="K96" s="119"/>
      <c r="L96" s="120" t="s">
        <v>112</v>
      </c>
      <c r="M96" s="120"/>
      <c r="N96" s="120"/>
      <c r="O96" s="121">
        <v>40000</v>
      </c>
      <c r="P96" s="122">
        <f>1.03*1.148</f>
        <v>1.18244</v>
      </c>
      <c r="Q96" s="121">
        <f t="shared" si="7"/>
        <v>1452000</v>
      </c>
      <c r="R96" s="123"/>
      <c r="S96" s="124"/>
      <c r="T96" s="125"/>
      <c r="U96" s="126"/>
      <c r="V96" s="127"/>
    </row>
    <row r="97" spans="1:18" s="22" customFormat="1" ht="16.5" customHeight="1">
      <c r="A97" s="63"/>
      <c r="B97" s="63"/>
      <c r="C97" s="73" t="s">
        <v>9</v>
      </c>
      <c r="D97" s="63"/>
      <c r="E97" s="56"/>
      <c r="F97" s="63"/>
      <c r="G97" s="63"/>
      <c r="H97" s="63"/>
      <c r="I97" s="295">
        <f>+I98+J98</f>
        <v>24.2</v>
      </c>
      <c r="J97" s="296"/>
      <c r="K97" s="63"/>
      <c r="L97" s="63"/>
      <c r="M97" s="64"/>
      <c r="N97" s="64"/>
      <c r="O97" s="65"/>
      <c r="P97" s="56"/>
      <c r="Q97" s="57">
        <f>ROUND(E97*O97*P97,-3)</f>
        <v>0</v>
      </c>
      <c r="R97" s="103"/>
    </row>
    <row r="98" spans="1:19" s="5" customFormat="1" ht="127.5">
      <c r="A98" s="118"/>
      <c r="B98" s="114"/>
      <c r="C98" s="115" t="s">
        <v>17</v>
      </c>
      <c r="D98" s="114" t="s">
        <v>2</v>
      </c>
      <c r="E98" s="114"/>
      <c r="F98" s="129">
        <v>33</v>
      </c>
      <c r="G98" s="114">
        <v>1</v>
      </c>
      <c r="H98" s="156">
        <v>341.2</v>
      </c>
      <c r="I98" s="156"/>
      <c r="J98" s="157">
        <v>24.2</v>
      </c>
      <c r="K98" s="158">
        <f>H98-J98</f>
        <v>317</v>
      </c>
      <c r="L98" s="159" t="s">
        <v>121</v>
      </c>
      <c r="M98" s="130" t="s">
        <v>19</v>
      </c>
      <c r="N98" s="130"/>
      <c r="O98" s="131">
        <v>36000</v>
      </c>
      <c r="P98" s="134">
        <v>1</v>
      </c>
      <c r="Q98" s="131">
        <f>ROUND(O98*J98*P98,-3)</f>
        <v>871000</v>
      </c>
      <c r="R98" s="152"/>
      <c r="S98" s="132"/>
    </row>
    <row r="99" spans="1:19" s="23" customFormat="1" ht="13.5">
      <c r="A99" s="49"/>
      <c r="B99" s="50"/>
      <c r="C99" s="80" t="s">
        <v>24</v>
      </c>
      <c r="D99" s="50"/>
      <c r="E99" s="50"/>
      <c r="F99" s="67"/>
      <c r="G99" s="50"/>
      <c r="H99" s="75"/>
      <c r="I99" s="75"/>
      <c r="J99" s="76"/>
      <c r="K99" s="77"/>
      <c r="L99" s="78"/>
      <c r="M99" s="69"/>
      <c r="N99" s="69"/>
      <c r="O99" s="65"/>
      <c r="P99" s="79"/>
      <c r="Q99" s="65"/>
      <c r="R99" s="103"/>
      <c r="S99" s="4"/>
    </row>
    <row r="100" spans="1:19" s="23" customFormat="1" ht="38.25">
      <c r="A100" s="81"/>
      <c r="B100" s="82"/>
      <c r="C100" s="83" t="s">
        <v>18</v>
      </c>
      <c r="D100" s="82"/>
      <c r="E100" s="82"/>
      <c r="F100" s="84"/>
      <c r="G100" s="82"/>
      <c r="H100" s="85"/>
      <c r="I100" s="85"/>
      <c r="J100" s="86">
        <f>+J98</f>
        <v>24.2</v>
      </c>
      <c r="K100" s="87"/>
      <c r="L100" s="88"/>
      <c r="M100" s="89" t="s">
        <v>82</v>
      </c>
      <c r="N100" s="89"/>
      <c r="O100" s="90">
        <v>3420000</v>
      </c>
      <c r="P100" s="95">
        <v>0.5</v>
      </c>
      <c r="Q100" s="90">
        <f>ROUND(O100*J100*P100,-3)</f>
        <v>41382000</v>
      </c>
      <c r="R100" s="104"/>
      <c r="S100" s="4"/>
    </row>
    <row r="101" spans="1:22" s="21" customFormat="1" ht="29.25" customHeight="1">
      <c r="A101" s="38">
        <v>7</v>
      </c>
      <c r="B101" s="38"/>
      <c r="C101" s="93" t="s">
        <v>122</v>
      </c>
      <c r="D101" s="92"/>
      <c r="E101" s="92"/>
      <c r="F101" s="3"/>
      <c r="G101" s="35"/>
      <c r="H101" s="37"/>
      <c r="I101" s="37"/>
      <c r="J101" s="37"/>
      <c r="K101" s="37"/>
      <c r="L101" s="97"/>
      <c r="M101" s="38"/>
      <c r="N101" s="38"/>
      <c r="O101" s="38"/>
      <c r="P101" s="39"/>
      <c r="Q101" s="40">
        <f>SUM(Q103:Q116)</f>
        <v>72010000</v>
      </c>
      <c r="R101" s="41"/>
      <c r="S101" s="8"/>
      <c r="T101" s="9"/>
      <c r="U101" s="10"/>
      <c r="V101" s="20"/>
    </row>
    <row r="102" spans="1:22" s="21" customFormat="1" ht="17.25" customHeight="1">
      <c r="A102" s="46"/>
      <c r="B102" s="46"/>
      <c r="C102" s="111" t="s">
        <v>27</v>
      </c>
      <c r="D102" s="42"/>
      <c r="E102" s="42"/>
      <c r="F102" s="42"/>
      <c r="G102" s="44"/>
      <c r="H102" s="45"/>
      <c r="I102" s="45"/>
      <c r="J102" s="45"/>
      <c r="K102" s="45"/>
      <c r="L102" s="98"/>
      <c r="M102" s="44"/>
      <c r="N102" s="44"/>
      <c r="O102" s="44"/>
      <c r="P102" s="46"/>
      <c r="Q102" s="47"/>
      <c r="R102" s="47"/>
      <c r="S102" s="7"/>
      <c r="T102" s="6"/>
      <c r="U102" s="7"/>
      <c r="V102" s="20"/>
    </row>
    <row r="103" spans="1:22" s="128" customFormat="1" ht="31.5" customHeight="1">
      <c r="A103" s="113"/>
      <c r="B103" s="114" t="s">
        <v>45</v>
      </c>
      <c r="C103" s="115" t="s">
        <v>123</v>
      </c>
      <c r="D103" s="114" t="s">
        <v>2</v>
      </c>
      <c r="E103" s="116">
        <f>(5.8*1)+(3.4*1)</f>
        <v>9.2</v>
      </c>
      <c r="F103" s="117"/>
      <c r="G103" s="118"/>
      <c r="H103" s="119"/>
      <c r="I103" s="119"/>
      <c r="J103" s="119"/>
      <c r="K103" s="119"/>
      <c r="L103" s="120" t="s">
        <v>124</v>
      </c>
      <c r="M103" s="120"/>
      <c r="N103" s="120"/>
      <c r="O103" s="121">
        <v>792000</v>
      </c>
      <c r="P103" s="122">
        <f>1.03*1.148</f>
        <v>1.18244</v>
      </c>
      <c r="Q103" s="121">
        <f aca="true" t="shared" si="8" ref="Q103:Q109">+ROUND(P103*O103*E103,-3)</f>
        <v>8616000</v>
      </c>
      <c r="R103" s="123"/>
      <c r="S103" s="124"/>
      <c r="T103" s="125"/>
      <c r="U103" s="126"/>
      <c r="V103" s="127"/>
    </row>
    <row r="104" spans="1:22" s="128" customFormat="1" ht="33" customHeight="1">
      <c r="A104" s="113"/>
      <c r="B104" s="171" t="s">
        <v>89</v>
      </c>
      <c r="C104" s="115" t="s">
        <v>125</v>
      </c>
      <c r="D104" s="114" t="s">
        <v>16</v>
      </c>
      <c r="E104" s="116">
        <f>(0.15*0.15*2.3)*1</f>
        <v>0.05175</v>
      </c>
      <c r="F104" s="117"/>
      <c r="G104" s="118"/>
      <c r="H104" s="119"/>
      <c r="I104" s="119"/>
      <c r="J104" s="119"/>
      <c r="K104" s="119"/>
      <c r="L104" s="120" t="s">
        <v>124</v>
      </c>
      <c r="M104" s="120"/>
      <c r="N104" s="120"/>
      <c r="O104" s="121">
        <v>2828000</v>
      </c>
      <c r="P104" s="122">
        <f aca="true" t="shared" si="9" ref="P104:P110">1.03*1.148</f>
        <v>1.18244</v>
      </c>
      <c r="Q104" s="121">
        <f t="shared" si="8"/>
        <v>173000</v>
      </c>
      <c r="R104" s="121"/>
      <c r="S104" s="124"/>
      <c r="T104" s="125"/>
      <c r="U104" s="126"/>
      <c r="V104" s="127"/>
    </row>
    <row r="105" spans="1:22" s="128" customFormat="1" ht="24.75" customHeight="1">
      <c r="A105" s="113"/>
      <c r="B105" s="114" t="s">
        <v>46</v>
      </c>
      <c r="C105" s="115" t="s">
        <v>126</v>
      </c>
      <c r="D105" s="114" t="s">
        <v>2</v>
      </c>
      <c r="E105" s="116">
        <f>(5.8*1.2)</f>
        <v>6.96</v>
      </c>
      <c r="F105" s="117"/>
      <c r="G105" s="118"/>
      <c r="H105" s="119"/>
      <c r="I105" s="119"/>
      <c r="J105" s="119"/>
      <c r="K105" s="119"/>
      <c r="L105" s="120" t="s">
        <v>124</v>
      </c>
      <c r="M105" s="120"/>
      <c r="N105" s="120"/>
      <c r="O105" s="121">
        <v>11000</v>
      </c>
      <c r="P105" s="122">
        <f t="shared" si="9"/>
        <v>1.18244</v>
      </c>
      <c r="Q105" s="121">
        <f t="shared" si="8"/>
        <v>91000</v>
      </c>
      <c r="R105" s="123"/>
      <c r="S105" s="124"/>
      <c r="T105" s="125"/>
      <c r="U105" s="126"/>
      <c r="V105" s="127"/>
    </row>
    <row r="106" spans="1:22" s="128" customFormat="1" ht="33.75" customHeight="1">
      <c r="A106" s="113"/>
      <c r="B106" s="171" t="s">
        <v>89</v>
      </c>
      <c r="C106" s="115" t="s">
        <v>127</v>
      </c>
      <c r="D106" s="114" t="s">
        <v>16</v>
      </c>
      <c r="E106" s="116">
        <f>(0.45*0.45*3.2)*2</f>
        <v>1.2960000000000003</v>
      </c>
      <c r="F106" s="117"/>
      <c r="G106" s="118"/>
      <c r="H106" s="119"/>
      <c r="I106" s="119"/>
      <c r="J106" s="119"/>
      <c r="K106" s="119"/>
      <c r="L106" s="120" t="s">
        <v>124</v>
      </c>
      <c r="M106" s="120"/>
      <c r="N106" s="120"/>
      <c r="O106" s="121">
        <v>2828000</v>
      </c>
      <c r="P106" s="122">
        <f t="shared" si="9"/>
        <v>1.18244</v>
      </c>
      <c r="Q106" s="121">
        <f t="shared" si="8"/>
        <v>4334000</v>
      </c>
      <c r="R106" s="123"/>
      <c r="S106" s="124"/>
      <c r="T106" s="125"/>
      <c r="U106" s="126"/>
      <c r="V106" s="127"/>
    </row>
    <row r="107" spans="1:22" s="128" customFormat="1" ht="32.25" customHeight="1">
      <c r="A107" s="113"/>
      <c r="B107" s="142" t="s">
        <v>59</v>
      </c>
      <c r="C107" s="115" t="s">
        <v>128</v>
      </c>
      <c r="D107" s="114" t="s">
        <v>2</v>
      </c>
      <c r="E107" s="116">
        <f>(3.2*1.8)</f>
        <v>5.760000000000001</v>
      </c>
      <c r="F107" s="117"/>
      <c r="G107" s="118"/>
      <c r="H107" s="119"/>
      <c r="I107" s="119"/>
      <c r="J107" s="119"/>
      <c r="K107" s="119"/>
      <c r="L107" s="120" t="s">
        <v>124</v>
      </c>
      <c r="M107" s="120"/>
      <c r="N107" s="120"/>
      <c r="O107" s="121">
        <v>396000</v>
      </c>
      <c r="P107" s="122">
        <f t="shared" si="9"/>
        <v>1.18244</v>
      </c>
      <c r="Q107" s="121">
        <f t="shared" si="8"/>
        <v>2697000</v>
      </c>
      <c r="R107" s="123"/>
      <c r="S107" s="124"/>
      <c r="T107" s="125"/>
      <c r="U107" s="126"/>
      <c r="V107" s="127"/>
    </row>
    <row r="108" spans="1:22" s="21" customFormat="1" ht="28.5" customHeight="1">
      <c r="A108" s="297"/>
      <c r="B108" s="105"/>
      <c r="C108" s="51" t="s">
        <v>129</v>
      </c>
      <c r="D108" s="50" t="s">
        <v>2</v>
      </c>
      <c r="E108" s="52">
        <f>(10.3*3)</f>
        <v>30.900000000000002</v>
      </c>
      <c r="F108" s="102"/>
      <c r="G108" s="49"/>
      <c r="H108" s="54"/>
      <c r="I108" s="54"/>
      <c r="J108" s="54"/>
      <c r="K108" s="54"/>
      <c r="L108" s="56" t="s">
        <v>124</v>
      </c>
      <c r="M108" s="56"/>
      <c r="N108" s="56"/>
      <c r="O108" s="57"/>
      <c r="P108" s="58">
        <f t="shared" si="9"/>
        <v>1.18244</v>
      </c>
      <c r="Q108" s="57">
        <f t="shared" si="8"/>
        <v>0</v>
      </c>
      <c r="R108" s="100"/>
      <c r="S108" s="11"/>
      <c r="T108" s="12"/>
      <c r="U108" s="13"/>
      <c r="V108" s="20"/>
    </row>
    <row r="109" spans="1:22" s="21" customFormat="1" ht="25.5">
      <c r="A109" s="297"/>
      <c r="B109" s="101" t="s">
        <v>100</v>
      </c>
      <c r="C109" s="106" t="s">
        <v>130</v>
      </c>
      <c r="D109" s="50" t="s">
        <v>2</v>
      </c>
      <c r="E109" s="52">
        <f>(10.3*2.5)</f>
        <v>25.75</v>
      </c>
      <c r="F109" s="99"/>
      <c r="G109" s="49"/>
      <c r="H109" s="54"/>
      <c r="I109" s="54"/>
      <c r="J109" s="54"/>
      <c r="K109" s="54"/>
      <c r="L109" s="56" t="s">
        <v>124</v>
      </c>
      <c r="M109" s="56"/>
      <c r="N109" s="56"/>
      <c r="O109" s="57">
        <v>284000</v>
      </c>
      <c r="P109" s="58">
        <f t="shared" si="9"/>
        <v>1.18244</v>
      </c>
      <c r="Q109" s="57">
        <f t="shared" si="8"/>
        <v>8647000</v>
      </c>
      <c r="R109" s="100"/>
      <c r="S109" s="11"/>
      <c r="T109" s="12"/>
      <c r="U109" s="13"/>
      <c r="V109" s="20"/>
    </row>
    <row r="110" spans="1:22" s="21" customFormat="1" ht="32.25" customHeight="1">
      <c r="A110" s="297"/>
      <c r="B110" s="101" t="s">
        <v>100</v>
      </c>
      <c r="C110" s="106" t="s">
        <v>131</v>
      </c>
      <c r="D110" s="50" t="s">
        <v>2</v>
      </c>
      <c r="E110" s="52">
        <f>(10.3*0.5)</f>
        <v>5.15</v>
      </c>
      <c r="F110" s="99"/>
      <c r="G110" s="49"/>
      <c r="H110" s="54"/>
      <c r="I110" s="54"/>
      <c r="J110" s="54"/>
      <c r="K110" s="54"/>
      <c r="L110" s="56" t="s">
        <v>124</v>
      </c>
      <c r="M110" s="56"/>
      <c r="N110" s="107">
        <v>0.8</v>
      </c>
      <c r="O110" s="57">
        <v>284000</v>
      </c>
      <c r="P110" s="58">
        <f t="shared" si="9"/>
        <v>1.18244</v>
      </c>
      <c r="Q110" s="57">
        <f>+ROUND(P110*O110*N110*E110,-3)</f>
        <v>1384000</v>
      </c>
      <c r="R110" s="100"/>
      <c r="S110" s="11"/>
      <c r="T110" s="12"/>
      <c r="U110" s="13"/>
      <c r="V110" s="20"/>
    </row>
    <row r="111" spans="1:22" s="128" customFormat="1" ht="24.75" customHeight="1">
      <c r="A111" s="113"/>
      <c r="B111" s="113"/>
      <c r="C111" s="115" t="s">
        <v>40</v>
      </c>
      <c r="D111" s="114" t="s">
        <v>11</v>
      </c>
      <c r="E111" s="116">
        <v>4</v>
      </c>
      <c r="F111" s="135"/>
      <c r="G111" s="118"/>
      <c r="H111" s="119"/>
      <c r="I111" s="119"/>
      <c r="J111" s="119"/>
      <c r="K111" s="119"/>
      <c r="L111" s="120"/>
      <c r="M111" s="120"/>
      <c r="N111" s="120"/>
      <c r="O111" s="121">
        <v>178940</v>
      </c>
      <c r="P111" s="134">
        <v>1</v>
      </c>
      <c r="Q111" s="121">
        <f>+ROUND(P111*O111*E111,-3)</f>
        <v>716000</v>
      </c>
      <c r="R111" s="123"/>
      <c r="S111" s="124"/>
      <c r="T111" s="125"/>
      <c r="U111" s="126"/>
      <c r="V111" s="127"/>
    </row>
    <row r="112" spans="1:22" s="128" customFormat="1" ht="24.75" customHeight="1">
      <c r="A112" s="113"/>
      <c r="B112" s="113"/>
      <c r="C112" s="115" t="s">
        <v>53</v>
      </c>
      <c r="D112" s="114" t="s">
        <v>11</v>
      </c>
      <c r="E112" s="116">
        <v>1</v>
      </c>
      <c r="F112" s="117"/>
      <c r="G112" s="118"/>
      <c r="H112" s="119"/>
      <c r="I112" s="119"/>
      <c r="J112" s="119"/>
      <c r="K112" s="119"/>
      <c r="L112" s="120"/>
      <c r="M112" s="120"/>
      <c r="N112" s="120"/>
      <c r="O112" s="121">
        <v>131010</v>
      </c>
      <c r="P112" s="134">
        <v>1</v>
      </c>
      <c r="Q112" s="121">
        <f>+ROUND(P112*O112*E112,-3)</f>
        <v>131000</v>
      </c>
      <c r="R112" s="121"/>
      <c r="S112" s="124"/>
      <c r="T112" s="125"/>
      <c r="U112" s="126"/>
      <c r="V112" s="127"/>
    </row>
    <row r="113" spans="1:18" s="22" customFormat="1" ht="16.5" customHeight="1">
      <c r="A113" s="63"/>
      <c r="B113" s="63"/>
      <c r="C113" s="73" t="s">
        <v>9</v>
      </c>
      <c r="D113" s="63"/>
      <c r="E113" s="56"/>
      <c r="F113" s="63"/>
      <c r="G113" s="63"/>
      <c r="H113" s="63"/>
      <c r="I113" s="295">
        <f>+I114+J114</f>
        <v>25.9</v>
      </c>
      <c r="J113" s="295"/>
      <c r="K113" s="63"/>
      <c r="L113" s="63"/>
      <c r="M113" s="64"/>
      <c r="N113" s="64"/>
      <c r="O113" s="65"/>
      <c r="P113" s="56"/>
      <c r="Q113" s="57">
        <f>ROUND(E113*O113*P113,-3)</f>
        <v>0</v>
      </c>
      <c r="R113" s="103"/>
    </row>
    <row r="114" spans="1:19" s="5" customFormat="1" ht="85.5" customHeight="1">
      <c r="A114" s="118"/>
      <c r="B114" s="114"/>
      <c r="C114" s="115" t="s">
        <v>17</v>
      </c>
      <c r="D114" s="114" t="s">
        <v>2</v>
      </c>
      <c r="E114" s="114"/>
      <c r="F114" s="129">
        <v>14</v>
      </c>
      <c r="G114" s="114">
        <v>1</v>
      </c>
      <c r="H114" s="156">
        <v>208.2</v>
      </c>
      <c r="I114" s="156"/>
      <c r="J114" s="157">
        <v>25.9</v>
      </c>
      <c r="K114" s="158">
        <f>H114-J114</f>
        <v>182.29999999999998</v>
      </c>
      <c r="L114" s="159" t="s">
        <v>132</v>
      </c>
      <c r="M114" s="130" t="s">
        <v>19</v>
      </c>
      <c r="N114" s="130"/>
      <c r="O114" s="131">
        <v>36000</v>
      </c>
      <c r="P114" s="134">
        <v>1</v>
      </c>
      <c r="Q114" s="131">
        <f>ROUND(O114*J114*P114,-3)</f>
        <v>932000</v>
      </c>
      <c r="R114" s="152"/>
      <c r="S114" s="132"/>
    </row>
    <row r="115" spans="1:19" s="23" customFormat="1" ht="13.5">
      <c r="A115" s="49"/>
      <c r="B115" s="50"/>
      <c r="C115" s="80" t="s">
        <v>24</v>
      </c>
      <c r="D115" s="50"/>
      <c r="E115" s="50"/>
      <c r="F115" s="67"/>
      <c r="G115" s="50"/>
      <c r="H115" s="75"/>
      <c r="I115" s="75"/>
      <c r="J115" s="76"/>
      <c r="K115" s="77"/>
      <c r="L115" s="78"/>
      <c r="M115" s="69"/>
      <c r="N115" s="69"/>
      <c r="O115" s="65"/>
      <c r="P115" s="79"/>
      <c r="Q115" s="65"/>
      <c r="R115" s="103"/>
      <c r="S115" s="4"/>
    </row>
    <row r="116" spans="1:19" s="23" customFormat="1" ht="38.25">
      <c r="A116" s="81"/>
      <c r="B116" s="82"/>
      <c r="C116" s="83" t="s">
        <v>18</v>
      </c>
      <c r="D116" s="82"/>
      <c r="E116" s="82"/>
      <c r="F116" s="84"/>
      <c r="G116" s="82"/>
      <c r="H116" s="85"/>
      <c r="I116" s="85"/>
      <c r="J116" s="86">
        <f>+J114</f>
        <v>25.9</v>
      </c>
      <c r="K116" s="87"/>
      <c r="L116" s="88"/>
      <c r="M116" s="89" t="s">
        <v>82</v>
      </c>
      <c r="N116" s="89"/>
      <c r="O116" s="90">
        <v>3420000</v>
      </c>
      <c r="P116" s="95">
        <v>0.5</v>
      </c>
      <c r="Q116" s="90">
        <f>ROUND(O116*J116*P116,-3)</f>
        <v>44289000</v>
      </c>
      <c r="R116" s="104"/>
      <c r="S116" s="4"/>
    </row>
    <row r="117" spans="1:22" s="21" customFormat="1" ht="29.25" customHeight="1">
      <c r="A117" s="38">
        <v>8</v>
      </c>
      <c r="B117" s="38"/>
      <c r="C117" s="93" t="s">
        <v>133</v>
      </c>
      <c r="D117" s="92"/>
      <c r="E117" s="92"/>
      <c r="F117" s="3"/>
      <c r="G117" s="35"/>
      <c r="H117" s="37"/>
      <c r="I117" s="37"/>
      <c r="J117" s="37"/>
      <c r="K117" s="37"/>
      <c r="L117" s="97"/>
      <c r="M117" s="38"/>
      <c r="N117" s="38"/>
      <c r="O117" s="38"/>
      <c r="P117" s="39"/>
      <c r="Q117" s="40">
        <f>SUM(Q119:Q138)</f>
        <v>320632000</v>
      </c>
      <c r="R117" s="41"/>
      <c r="S117" s="8"/>
      <c r="T117" s="9"/>
      <c r="U117" s="10"/>
      <c r="V117" s="20"/>
    </row>
    <row r="118" spans="1:22" s="21" customFormat="1" ht="17.25" customHeight="1">
      <c r="A118" s="46"/>
      <c r="B118" s="46"/>
      <c r="C118" s="111" t="s">
        <v>27</v>
      </c>
      <c r="D118" s="42"/>
      <c r="E118" s="42"/>
      <c r="F118" s="42"/>
      <c r="G118" s="44"/>
      <c r="H118" s="45"/>
      <c r="I118" s="45"/>
      <c r="J118" s="45"/>
      <c r="K118" s="45"/>
      <c r="L118" s="98"/>
      <c r="M118" s="44"/>
      <c r="N118" s="44"/>
      <c r="O118" s="44"/>
      <c r="P118" s="46"/>
      <c r="Q118" s="47"/>
      <c r="R118" s="47"/>
      <c r="S118" s="7"/>
      <c r="T118" s="6"/>
      <c r="U118" s="7"/>
      <c r="V118" s="20"/>
    </row>
    <row r="119" spans="1:22" s="128" customFormat="1" ht="29.25" customHeight="1">
      <c r="A119" s="113"/>
      <c r="B119" s="114" t="s">
        <v>45</v>
      </c>
      <c r="C119" s="115" t="s">
        <v>134</v>
      </c>
      <c r="D119" s="114" t="s">
        <v>2</v>
      </c>
      <c r="E119" s="116">
        <f>(7.4*1.3)</f>
        <v>9.620000000000001</v>
      </c>
      <c r="F119" s="135"/>
      <c r="G119" s="118"/>
      <c r="H119" s="119"/>
      <c r="I119" s="119"/>
      <c r="J119" s="119"/>
      <c r="K119" s="119"/>
      <c r="L119" s="120" t="s">
        <v>20</v>
      </c>
      <c r="M119" s="120"/>
      <c r="N119" s="120"/>
      <c r="O119" s="121">
        <v>792000</v>
      </c>
      <c r="P119" s="122">
        <f>1.03*1.148</f>
        <v>1.18244</v>
      </c>
      <c r="Q119" s="121">
        <f>+ROUND(P119*O119*E119,-3)</f>
        <v>9009000</v>
      </c>
      <c r="R119" s="123"/>
      <c r="S119" s="124"/>
      <c r="T119" s="125"/>
      <c r="U119" s="126"/>
      <c r="V119" s="127"/>
    </row>
    <row r="120" spans="1:22" s="128" customFormat="1" ht="24.75" customHeight="1">
      <c r="A120" s="113"/>
      <c r="B120" s="114" t="s">
        <v>46</v>
      </c>
      <c r="C120" s="115" t="s">
        <v>135</v>
      </c>
      <c r="D120" s="114" t="s">
        <v>2</v>
      </c>
      <c r="E120" s="116">
        <f>(7.4*1.2)</f>
        <v>8.88</v>
      </c>
      <c r="F120" s="135"/>
      <c r="G120" s="118"/>
      <c r="H120" s="119"/>
      <c r="I120" s="119"/>
      <c r="J120" s="119"/>
      <c r="K120" s="119"/>
      <c r="L120" s="120" t="s">
        <v>20</v>
      </c>
      <c r="M120" s="120"/>
      <c r="N120" s="120"/>
      <c r="O120" s="121">
        <v>11000</v>
      </c>
      <c r="P120" s="122">
        <f aca="true" t="shared" si="10" ref="P120:P128">1.03*1.148</f>
        <v>1.18244</v>
      </c>
      <c r="Q120" s="121">
        <f aca="true" t="shared" si="11" ref="Q120:Q133">+ROUND(P120*O120*E120,-3)</f>
        <v>116000</v>
      </c>
      <c r="R120" s="121"/>
      <c r="S120" s="124"/>
      <c r="T120" s="125"/>
      <c r="U120" s="126"/>
      <c r="V120" s="127"/>
    </row>
    <row r="121" spans="1:22" s="128" customFormat="1" ht="33" customHeight="1">
      <c r="A121" s="113"/>
      <c r="B121" s="171" t="s">
        <v>89</v>
      </c>
      <c r="C121" s="115" t="s">
        <v>136</v>
      </c>
      <c r="D121" s="114" t="s">
        <v>16</v>
      </c>
      <c r="E121" s="116">
        <f>(0.15*0.15*2.8)*5</f>
        <v>0.315</v>
      </c>
      <c r="F121" s="135"/>
      <c r="G121" s="118"/>
      <c r="H121" s="119"/>
      <c r="I121" s="119"/>
      <c r="J121" s="119"/>
      <c r="K121" s="119"/>
      <c r="L121" s="120" t="s">
        <v>20</v>
      </c>
      <c r="M121" s="120"/>
      <c r="N121" s="120"/>
      <c r="O121" s="121">
        <v>2828000</v>
      </c>
      <c r="P121" s="122">
        <f t="shared" si="10"/>
        <v>1.18244</v>
      </c>
      <c r="Q121" s="121">
        <f>+ROUND(P121*O121*E121,-3)</f>
        <v>1053000</v>
      </c>
      <c r="R121" s="123"/>
      <c r="S121" s="124"/>
      <c r="T121" s="125"/>
      <c r="U121" s="126"/>
      <c r="V121" s="127"/>
    </row>
    <row r="122" spans="1:22" s="128" customFormat="1" ht="29.25" customHeight="1">
      <c r="A122" s="113"/>
      <c r="B122" s="171" t="s">
        <v>89</v>
      </c>
      <c r="C122" s="115" t="s">
        <v>137</v>
      </c>
      <c r="D122" s="114" t="s">
        <v>16</v>
      </c>
      <c r="E122" s="116">
        <f>(0.6*0.6*3.6)*2</f>
        <v>2.592</v>
      </c>
      <c r="F122" s="135"/>
      <c r="G122" s="118"/>
      <c r="H122" s="119"/>
      <c r="I122" s="119"/>
      <c r="J122" s="119"/>
      <c r="K122" s="119"/>
      <c r="L122" s="120" t="s">
        <v>20</v>
      </c>
      <c r="M122" s="120"/>
      <c r="N122" s="120"/>
      <c r="O122" s="121">
        <v>2828000</v>
      </c>
      <c r="P122" s="122">
        <f t="shared" si="10"/>
        <v>1.18244</v>
      </c>
      <c r="Q122" s="121">
        <f t="shared" si="11"/>
        <v>8667000</v>
      </c>
      <c r="R122" s="123"/>
      <c r="S122" s="124"/>
      <c r="T122" s="125"/>
      <c r="U122" s="126"/>
      <c r="V122" s="127"/>
    </row>
    <row r="123" spans="1:22" s="128" customFormat="1" ht="25.5">
      <c r="A123" s="113"/>
      <c r="B123" s="171" t="s">
        <v>88</v>
      </c>
      <c r="C123" s="115" t="s">
        <v>138</v>
      </c>
      <c r="D123" s="114" t="s">
        <v>2</v>
      </c>
      <c r="E123" s="116">
        <f>(0.6*2.6)*8</f>
        <v>12.48</v>
      </c>
      <c r="F123" s="135"/>
      <c r="G123" s="118"/>
      <c r="H123" s="119"/>
      <c r="I123" s="119"/>
      <c r="J123" s="119"/>
      <c r="K123" s="119"/>
      <c r="L123" s="120" t="s">
        <v>20</v>
      </c>
      <c r="M123" s="120"/>
      <c r="N123" s="120"/>
      <c r="O123" s="121">
        <v>339000</v>
      </c>
      <c r="P123" s="122">
        <f t="shared" si="10"/>
        <v>1.18244</v>
      </c>
      <c r="Q123" s="121">
        <f t="shared" si="11"/>
        <v>5003000</v>
      </c>
      <c r="R123" s="123"/>
      <c r="S123" s="124"/>
      <c r="T123" s="125"/>
      <c r="U123" s="126"/>
      <c r="V123" s="127"/>
    </row>
    <row r="124" spans="1:22" s="128" customFormat="1" ht="28.5" customHeight="1">
      <c r="A124" s="113"/>
      <c r="B124" s="171" t="s">
        <v>90</v>
      </c>
      <c r="C124" s="115" t="s">
        <v>139</v>
      </c>
      <c r="D124" s="114" t="s">
        <v>2</v>
      </c>
      <c r="E124" s="116">
        <f>(2.5*2.4)</f>
        <v>6</v>
      </c>
      <c r="F124" s="135"/>
      <c r="G124" s="118"/>
      <c r="H124" s="119"/>
      <c r="I124" s="119"/>
      <c r="J124" s="119"/>
      <c r="K124" s="119"/>
      <c r="L124" s="120" t="s">
        <v>20</v>
      </c>
      <c r="M124" s="120"/>
      <c r="N124" s="120"/>
      <c r="O124" s="121">
        <v>679000</v>
      </c>
      <c r="P124" s="122">
        <f t="shared" si="10"/>
        <v>1.18244</v>
      </c>
      <c r="Q124" s="121">
        <f t="shared" si="11"/>
        <v>4817000</v>
      </c>
      <c r="R124" s="123"/>
      <c r="S124" s="124"/>
      <c r="T124" s="125"/>
      <c r="U124" s="126"/>
      <c r="V124" s="127"/>
    </row>
    <row r="125" spans="1:22" s="128" customFormat="1" ht="30" customHeight="1">
      <c r="A125" s="113"/>
      <c r="B125" s="114" t="s">
        <v>84</v>
      </c>
      <c r="C125" s="115" t="s">
        <v>140</v>
      </c>
      <c r="D125" s="114" t="s">
        <v>2</v>
      </c>
      <c r="E125" s="116">
        <f>(7.1*2)</f>
        <v>14.2</v>
      </c>
      <c r="F125" s="135"/>
      <c r="G125" s="118"/>
      <c r="H125" s="119"/>
      <c r="I125" s="119"/>
      <c r="J125" s="119"/>
      <c r="K125" s="119"/>
      <c r="L125" s="120" t="s">
        <v>20</v>
      </c>
      <c r="M125" s="120"/>
      <c r="N125" s="120"/>
      <c r="O125" s="121">
        <v>679000</v>
      </c>
      <c r="P125" s="122">
        <f t="shared" si="10"/>
        <v>1.18244</v>
      </c>
      <c r="Q125" s="121">
        <f t="shared" si="11"/>
        <v>11401000</v>
      </c>
      <c r="R125" s="123"/>
      <c r="S125" s="124"/>
      <c r="T125" s="125"/>
      <c r="U125" s="126"/>
      <c r="V125" s="127"/>
    </row>
    <row r="126" spans="1:22" s="128" customFormat="1" ht="42" customHeight="1">
      <c r="A126" s="113"/>
      <c r="B126" s="171" t="s">
        <v>89</v>
      </c>
      <c r="C126" s="115" t="s">
        <v>141</v>
      </c>
      <c r="D126" s="114" t="s">
        <v>16</v>
      </c>
      <c r="E126" s="116">
        <f>(0.2*0.2*2.1)*4+(0.2*0.2*4.2)*4</f>
        <v>1.0080000000000002</v>
      </c>
      <c r="F126" s="135"/>
      <c r="G126" s="118"/>
      <c r="H126" s="119"/>
      <c r="I126" s="119"/>
      <c r="J126" s="119"/>
      <c r="K126" s="119"/>
      <c r="L126" s="120" t="s">
        <v>20</v>
      </c>
      <c r="M126" s="120"/>
      <c r="N126" s="120"/>
      <c r="O126" s="121">
        <v>2828000</v>
      </c>
      <c r="P126" s="122">
        <f t="shared" si="10"/>
        <v>1.18244</v>
      </c>
      <c r="Q126" s="121">
        <f t="shared" si="11"/>
        <v>3371000</v>
      </c>
      <c r="R126" s="123"/>
      <c r="S126" s="124"/>
      <c r="T126" s="125"/>
      <c r="U126" s="126"/>
      <c r="V126" s="127"/>
    </row>
    <row r="127" spans="1:22" s="128" customFormat="1" ht="29.25" customHeight="1">
      <c r="A127" s="113"/>
      <c r="B127" s="171" t="s">
        <v>150</v>
      </c>
      <c r="C127" s="115" t="s">
        <v>252</v>
      </c>
      <c r="D127" s="114" t="s">
        <v>2</v>
      </c>
      <c r="E127" s="116">
        <f>(0.9*4.2)</f>
        <v>3.7800000000000002</v>
      </c>
      <c r="F127" s="135"/>
      <c r="G127" s="118"/>
      <c r="H127" s="119"/>
      <c r="I127" s="119"/>
      <c r="J127" s="119"/>
      <c r="K127" s="119"/>
      <c r="L127" s="120" t="s">
        <v>20</v>
      </c>
      <c r="M127" s="120"/>
      <c r="N127" s="120"/>
      <c r="O127" s="121">
        <v>1964000</v>
      </c>
      <c r="P127" s="122">
        <f t="shared" si="10"/>
        <v>1.18244</v>
      </c>
      <c r="Q127" s="121">
        <f t="shared" si="11"/>
        <v>8778000</v>
      </c>
      <c r="R127" s="123"/>
      <c r="S127" s="124"/>
      <c r="T127" s="125"/>
      <c r="U127" s="126"/>
      <c r="V127" s="127"/>
    </row>
    <row r="128" spans="1:22" s="128" customFormat="1" ht="29.25" customHeight="1">
      <c r="A128" s="113"/>
      <c r="B128" s="142" t="s">
        <v>152</v>
      </c>
      <c r="C128" s="115" t="s">
        <v>142</v>
      </c>
      <c r="D128" s="114" t="s">
        <v>2</v>
      </c>
      <c r="E128" s="116">
        <f>(9.5*4.5)</f>
        <v>42.75</v>
      </c>
      <c r="F128" s="135"/>
      <c r="G128" s="118"/>
      <c r="H128" s="119"/>
      <c r="I128" s="119"/>
      <c r="J128" s="119"/>
      <c r="K128" s="119"/>
      <c r="L128" s="120" t="s">
        <v>20</v>
      </c>
      <c r="M128" s="120"/>
      <c r="N128" s="120"/>
      <c r="O128" s="121">
        <v>339000</v>
      </c>
      <c r="P128" s="122">
        <f t="shared" si="10"/>
        <v>1.18244</v>
      </c>
      <c r="Q128" s="121">
        <f t="shared" si="11"/>
        <v>17136000</v>
      </c>
      <c r="R128" s="121"/>
      <c r="S128" s="124"/>
      <c r="T128" s="125"/>
      <c r="U128" s="126"/>
      <c r="V128" s="127"/>
    </row>
    <row r="129" spans="1:22" s="128" customFormat="1" ht="24.75" customHeight="1">
      <c r="A129" s="113"/>
      <c r="B129" s="113"/>
      <c r="C129" s="115" t="s">
        <v>143</v>
      </c>
      <c r="D129" s="114" t="s">
        <v>11</v>
      </c>
      <c r="E129" s="116">
        <v>2</v>
      </c>
      <c r="F129" s="135"/>
      <c r="G129" s="118"/>
      <c r="H129" s="119"/>
      <c r="I129" s="119"/>
      <c r="J129" s="119"/>
      <c r="K129" s="119"/>
      <c r="L129" s="120"/>
      <c r="M129" s="120"/>
      <c r="N129" s="120"/>
      <c r="O129" s="121">
        <v>165090</v>
      </c>
      <c r="P129" s="134">
        <v>1</v>
      </c>
      <c r="Q129" s="121">
        <f t="shared" si="11"/>
        <v>330000</v>
      </c>
      <c r="R129" s="123"/>
      <c r="S129" s="124"/>
      <c r="T129" s="125"/>
      <c r="U129" s="126"/>
      <c r="V129" s="127"/>
    </row>
    <row r="130" spans="1:22" s="128" customFormat="1" ht="24.75" customHeight="1">
      <c r="A130" s="113"/>
      <c r="B130" s="113"/>
      <c r="C130" s="115" t="s">
        <v>144</v>
      </c>
      <c r="D130" s="114" t="s">
        <v>11</v>
      </c>
      <c r="E130" s="116">
        <v>1</v>
      </c>
      <c r="F130" s="135"/>
      <c r="G130" s="118"/>
      <c r="H130" s="119"/>
      <c r="I130" s="119"/>
      <c r="J130" s="119"/>
      <c r="K130" s="119"/>
      <c r="L130" s="120"/>
      <c r="M130" s="120"/>
      <c r="N130" s="120"/>
      <c r="O130" s="121">
        <v>75620</v>
      </c>
      <c r="P130" s="134">
        <v>1</v>
      </c>
      <c r="Q130" s="121">
        <f t="shared" si="11"/>
        <v>76000</v>
      </c>
      <c r="R130" s="123"/>
      <c r="S130" s="124"/>
      <c r="T130" s="125"/>
      <c r="U130" s="126"/>
      <c r="V130" s="127"/>
    </row>
    <row r="131" spans="1:22" s="128" customFormat="1" ht="24.75" customHeight="1">
      <c r="A131" s="113"/>
      <c r="B131" s="113"/>
      <c r="C131" s="115" t="s">
        <v>145</v>
      </c>
      <c r="D131" s="114" t="s">
        <v>11</v>
      </c>
      <c r="E131" s="116">
        <v>2</v>
      </c>
      <c r="F131" s="135"/>
      <c r="G131" s="118"/>
      <c r="H131" s="119"/>
      <c r="I131" s="119"/>
      <c r="J131" s="119"/>
      <c r="K131" s="119"/>
      <c r="L131" s="120"/>
      <c r="M131" s="120"/>
      <c r="N131" s="120"/>
      <c r="O131" s="121">
        <v>106510</v>
      </c>
      <c r="P131" s="134">
        <v>1</v>
      </c>
      <c r="Q131" s="121">
        <f t="shared" si="11"/>
        <v>213000</v>
      </c>
      <c r="R131" s="123"/>
      <c r="S131" s="124"/>
      <c r="T131" s="125"/>
      <c r="U131" s="126"/>
      <c r="V131" s="127"/>
    </row>
    <row r="132" spans="1:22" s="128" customFormat="1" ht="24.75" customHeight="1">
      <c r="A132" s="113"/>
      <c r="B132" s="113"/>
      <c r="C132" s="115" t="s">
        <v>146</v>
      </c>
      <c r="D132" s="114" t="s">
        <v>11</v>
      </c>
      <c r="E132" s="116">
        <v>1</v>
      </c>
      <c r="F132" s="135"/>
      <c r="G132" s="118"/>
      <c r="H132" s="119"/>
      <c r="I132" s="119"/>
      <c r="J132" s="119"/>
      <c r="K132" s="119"/>
      <c r="L132" s="120"/>
      <c r="M132" s="120"/>
      <c r="N132" s="120"/>
      <c r="O132" s="121">
        <v>266280</v>
      </c>
      <c r="P132" s="134">
        <v>1</v>
      </c>
      <c r="Q132" s="121">
        <f t="shared" si="11"/>
        <v>266000</v>
      </c>
      <c r="R132" s="123"/>
      <c r="S132" s="124"/>
      <c r="T132" s="125"/>
      <c r="U132" s="126"/>
      <c r="V132" s="127"/>
    </row>
    <row r="133" spans="1:22" s="128" customFormat="1" ht="24.75" customHeight="1">
      <c r="A133" s="113"/>
      <c r="B133" s="113"/>
      <c r="C133" s="115" t="s">
        <v>147</v>
      </c>
      <c r="D133" s="114" t="s">
        <v>2</v>
      </c>
      <c r="E133" s="116">
        <v>3</v>
      </c>
      <c r="F133" s="135"/>
      <c r="G133" s="118"/>
      <c r="H133" s="119"/>
      <c r="I133" s="119"/>
      <c r="J133" s="119"/>
      <c r="K133" s="119"/>
      <c r="L133" s="120"/>
      <c r="M133" s="120"/>
      <c r="N133" s="120"/>
      <c r="O133" s="121">
        <v>4220</v>
      </c>
      <c r="P133" s="134">
        <v>1</v>
      </c>
      <c r="Q133" s="121">
        <f t="shared" si="11"/>
        <v>13000</v>
      </c>
      <c r="R133" s="123"/>
      <c r="S133" s="124"/>
      <c r="T133" s="125"/>
      <c r="U133" s="126"/>
      <c r="V133" s="127"/>
    </row>
    <row r="134" spans="1:22" s="128" customFormat="1" ht="24.75" customHeight="1">
      <c r="A134" s="113"/>
      <c r="B134" s="113"/>
      <c r="C134" s="115" t="s">
        <v>54</v>
      </c>
      <c r="D134" s="114" t="s">
        <v>11</v>
      </c>
      <c r="E134" s="116">
        <v>4</v>
      </c>
      <c r="F134" s="135"/>
      <c r="G134" s="118"/>
      <c r="H134" s="119"/>
      <c r="I134" s="119"/>
      <c r="J134" s="119"/>
      <c r="K134" s="119"/>
      <c r="L134" s="120"/>
      <c r="M134" s="120"/>
      <c r="N134" s="120"/>
      <c r="O134" s="121">
        <v>43670</v>
      </c>
      <c r="P134" s="134">
        <v>1</v>
      </c>
      <c r="Q134" s="121">
        <f>+ROUND(P134*O134*E134,-3)</f>
        <v>175000</v>
      </c>
      <c r="R134" s="123"/>
      <c r="S134" s="124"/>
      <c r="T134" s="125"/>
      <c r="U134" s="126"/>
      <c r="V134" s="127"/>
    </row>
    <row r="135" spans="1:18" s="141" customFormat="1" ht="24.75" customHeight="1">
      <c r="A135" s="113"/>
      <c r="B135" s="113"/>
      <c r="C135" s="115" t="s">
        <v>148</v>
      </c>
      <c r="D135" s="114" t="s">
        <v>11</v>
      </c>
      <c r="E135" s="116">
        <v>1</v>
      </c>
      <c r="F135" s="135"/>
      <c r="G135" s="118"/>
      <c r="H135" s="119"/>
      <c r="I135" s="119"/>
      <c r="J135" s="119"/>
      <c r="K135" s="119"/>
      <c r="L135" s="120"/>
      <c r="M135" s="140"/>
      <c r="N135" s="140"/>
      <c r="O135" s="131">
        <v>29290</v>
      </c>
      <c r="P135" s="134">
        <v>1</v>
      </c>
      <c r="Q135" s="121">
        <f>+ROUND(P135*O135*E135,-3)</f>
        <v>29000</v>
      </c>
      <c r="R135" s="152"/>
    </row>
    <row r="136" spans="1:19" s="5" customFormat="1" ht="24.75" customHeight="1">
      <c r="A136" s="113"/>
      <c r="B136" s="113"/>
      <c r="C136" s="115" t="s">
        <v>149</v>
      </c>
      <c r="D136" s="114" t="s">
        <v>2</v>
      </c>
      <c r="E136" s="116">
        <v>3</v>
      </c>
      <c r="F136" s="135"/>
      <c r="G136" s="118"/>
      <c r="H136" s="119"/>
      <c r="I136" s="119"/>
      <c r="J136" s="119"/>
      <c r="K136" s="119"/>
      <c r="L136" s="120"/>
      <c r="M136" s="130"/>
      <c r="N136" s="130"/>
      <c r="O136" s="131">
        <v>2110</v>
      </c>
      <c r="P136" s="134">
        <v>1</v>
      </c>
      <c r="Q136" s="121">
        <f>+ROUND(P136*O136*E136,-3)</f>
        <v>6000</v>
      </c>
      <c r="R136" s="152"/>
      <c r="S136" s="132"/>
    </row>
    <row r="137" spans="1:18" s="22" customFormat="1" ht="16.5" customHeight="1">
      <c r="A137" s="63"/>
      <c r="B137" s="63"/>
      <c r="C137" s="73" t="s">
        <v>9</v>
      </c>
      <c r="D137" s="63"/>
      <c r="E137" s="56"/>
      <c r="F137" s="63"/>
      <c r="G137" s="63"/>
      <c r="H137" s="63"/>
      <c r="I137" s="295">
        <f>+I138+J138</f>
        <v>66.5</v>
      </c>
      <c r="J137" s="295"/>
      <c r="K137" s="63"/>
      <c r="L137" s="63"/>
      <c r="M137" s="64"/>
      <c r="N137" s="64"/>
      <c r="O137" s="65"/>
      <c r="P137" s="56"/>
      <c r="Q137" s="57">
        <f>ROUND(E137*O137*P137,-3)</f>
        <v>0</v>
      </c>
      <c r="R137" s="103"/>
    </row>
    <row r="138" spans="1:19" s="5" customFormat="1" ht="85.5" customHeight="1">
      <c r="A138" s="118"/>
      <c r="B138" s="114"/>
      <c r="C138" s="143" t="s">
        <v>26</v>
      </c>
      <c r="D138" s="144" t="s">
        <v>2</v>
      </c>
      <c r="E138" s="144"/>
      <c r="F138" s="145">
        <v>47</v>
      </c>
      <c r="G138" s="144">
        <v>1</v>
      </c>
      <c r="H138" s="146">
        <v>517.9</v>
      </c>
      <c r="I138" s="146"/>
      <c r="J138" s="147">
        <v>66.5</v>
      </c>
      <c r="K138" s="148">
        <f>H138-J138</f>
        <v>451.4</v>
      </c>
      <c r="L138" s="149" t="s">
        <v>153</v>
      </c>
      <c r="M138" s="150" t="s">
        <v>82</v>
      </c>
      <c r="N138" s="130"/>
      <c r="O138" s="151">
        <v>3420000</v>
      </c>
      <c r="P138" s="134">
        <v>1.1</v>
      </c>
      <c r="Q138" s="131">
        <f>ROUND(O138*J138*P138,-3)</f>
        <v>250173000</v>
      </c>
      <c r="R138" s="152"/>
      <c r="S138" s="132"/>
    </row>
    <row r="139" spans="1:22" s="21" customFormat="1" ht="29.25" customHeight="1">
      <c r="A139" s="38">
        <v>9</v>
      </c>
      <c r="B139" s="38"/>
      <c r="C139" s="93" t="s">
        <v>154</v>
      </c>
      <c r="D139" s="92"/>
      <c r="E139" s="92"/>
      <c r="F139" s="3"/>
      <c r="G139" s="35"/>
      <c r="H139" s="37"/>
      <c r="I139" s="37"/>
      <c r="J139" s="37"/>
      <c r="K139" s="37"/>
      <c r="L139" s="97"/>
      <c r="M139" s="38"/>
      <c r="N139" s="38"/>
      <c r="O139" s="38"/>
      <c r="P139" s="39"/>
      <c r="Q139" s="40">
        <f>SUM(Q141:Q145)</f>
        <v>124773000</v>
      </c>
      <c r="R139" s="41"/>
      <c r="S139" s="8"/>
      <c r="T139" s="9"/>
      <c r="U139" s="10"/>
      <c r="V139" s="20"/>
    </row>
    <row r="140" spans="1:22" s="21" customFormat="1" ht="17.25" customHeight="1">
      <c r="A140" s="46"/>
      <c r="B140" s="46"/>
      <c r="C140" s="111" t="s">
        <v>27</v>
      </c>
      <c r="D140" s="42"/>
      <c r="E140" s="42"/>
      <c r="F140" s="42"/>
      <c r="G140" s="44"/>
      <c r="H140" s="45"/>
      <c r="I140" s="45"/>
      <c r="J140" s="45"/>
      <c r="K140" s="45"/>
      <c r="L140" s="98"/>
      <c r="M140" s="44"/>
      <c r="N140" s="44"/>
      <c r="O140" s="44"/>
      <c r="P140" s="46"/>
      <c r="Q140" s="47"/>
      <c r="R140" s="47"/>
      <c r="S140" s="7"/>
      <c r="T140" s="6"/>
      <c r="U140" s="7"/>
      <c r="V140" s="20"/>
    </row>
    <row r="141" spans="1:22" s="128" customFormat="1" ht="42" customHeight="1">
      <c r="A141" s="113"/>
      <c r="B141" s="114" t="s">
        <v>159</v>
      </c>
      <c r="C141" s="115" t="s">
        <v>155</v>
      </c>
      <c r="D141" s="114" t="s">
        <v>2</v>
      </c>
      <c r="E141" s="116">
        <f>(4.2*5)</f>
        <v>21</v>
      </c>
      <c r="F141" s="135"/>
      <c r="G141" s="118"/>
      <c r="H141" s="119"/>
      <c r="I141" s="119"/>
      <c r="J141" s="119"/>
      <c r="K141" s="119"/>
      <c r="L141" s="120" t="s">
        <v>21</v>
      </c>
      <c r="M141" s="120"/>
      <c r="N141" s="120"/>
      <c r="O141" s="121">
        <f>453000+284000</f>
        <v>737000</v>
      </c>
      <c r="P141" s="122">
        <f>1.03*1.148</f>
        <v>1.18244</v>
      </c>
      <c r="Q141" s="121">
        <f>+ROUND(P141*O141*E141,-3)</f>
        <v>18301000</v>
      </c>
      <c r="R141" s="123" t="s">
        <v>86</v>
      </c>
      <c r="S141" s="124"/>
      <c r="T141" s="125"/>
      <c r="U141" s="126"/>
      <c r="V141" s="127"/>
    </row>
    <row r="142" spans="1:22" s="128" customFormat="1" ht="44.25" customHeight="1">
      <c r="A142" s="113"/>
      <c r="B142" s="114" t="s">
        <v>159</v>
      </c>
      <c r="C142" s="115" t="s">
        <v>156</v>
      </c>
      <c r="D142" s="114" t="s">
        <v>2</v>
      </c>
      <c r="E142" s="116">
        <f>(6*4.2)</f>
        <v>25.200000000000003</v>
      </c>
      <c r="F142" s="135"/>
      <c r="G142" s="118"/>
      <c r="H142" s="119"/>
      <c r="I142" s="119"/>
      <c r="J142" s="119"/>
      <c r="K142" s="119"/>
      <c r="L142" s="120" t="s">
        <v>21</v>
      </c>
      <c r="M142" s="120"/>
      <c r="N142" s="120"/>
      <c r="O142" s="121">
        <f>453000+284000</f>
        <v>737000</v>
      </c>
      <c r="P142" s="122">
        <f>1.03*1.148</f>
        <v>1.18244</v>
      </c>
      <c r="Q142" s="121">
        <f>+ROUND(P142*O142*E142,-3)</f>
        <v>21961000</v>
      </c>
      <c r="R142" s="123" t="s">
        <v>86</v>
      </c>
      <c r="S142" s="124"/>
      <c r="T142" s="125"/>
      <c r="U142" s="126"/>
      <c r="V142" s="127"/>
    </row>
    <row r="143" spans="1:22" s="128" customFormat="1" ht="51">
      <c r="A143" s="113"/>
      <c r="B143" s="142" t="s">
        <v>100</v>
      </c>
      <c r="C143" s="115" t="s">
        <v>157</v>
      </c>
      <c r="D143" s="114" t="s">
        <v>2</v>
      </c>
      <c r="E143" s="116">
        <f>(2*6)</f>
        <v>12</v>
      </c>
      <c r="F143" s="135"/>
      <c r="G143" s="118"/>
      <c r="H143" s="119"/>
      <c r="I143" s="119"/>
      <c r="J143" s="119"/>
      <c r="K143" s="119"/>
      <c r="L143" s="120" t="s">
        <v>21</v>
      </c>
      <c r="M143" s="120"/>
      <c r="N143" s="176">
        <v>0.8</v>
      </c>
      <c r="O143" s="121">
        <v>284000</v>
      </c>
      <c r="P143" s="122">
        <f>1.03*1.148</f>
        <v>1.18244</v>
      </c>
      <c r="Q143" s="121">
        <f>+ROUND(P143*O143*N143*E143,-3)</f>
        <v>3224000</v>
      </c>
      <c r="R143" s="114" t="s">
        <v>158</v>
      </c>
      <c r="S143" s="124"/>
      <c r="T143" s="125"/>
      <c r="U143" s="126"/>
      <c r="V143" s="127"/>
    </row>
    <row r="144" spans="1:18" s="22" customFormat="1" ht="16.5" customHeight="1">
      <c r="A144" s="63"/>
      <c r="B144" s="63"/>
      <c r="C144" s="73" t="s">
        <v>9</v>
      </c>
      <c r="D144" s="63"/>
      <c r="E144" s="56"/>
      <c r="F144" s="63"/>
      <c r="G144" s="63"/>
      <c r="H144" s="63"/>
      <c r="I144" s="295">
        <f>+I145+J145</f>
        <v>20.8</v>
      </c>
      <c r="J144" s="295"/>
      <c r="K144" s="63"/>
      <c r="L144" s="63"/>
      <c r="M144" s="64"/>
      <c r="N144" s="64"/>
      <c r="O144" s="65"/>
      <c r="P144" s="56"/>
      <c r="Q144" s="57">
        <f>ROUND(E144*O144*P144,-3)</f>
        <v>0</v>
      </c>
      <c r="R144" s="103"/>
    </row>
    <row r="145" spans="1:19" s="5" customFormat="1" ht="85.5" customHeight="1">
      <c r="A145" s="118"/>
      <c r="B145" s="114"/>
      <c r="C145" s="143" t="s">
        <v>26</v>
      </c>
      <c r="D145" s="144" t="s">
        <v>2</v>
      </c>
      <c r="E145" s="144"/>
      <c r="F145" s="145">
        <v>51</v>
      </c>
      <c r="G145" s="144">
        <v>1</v>
      </c>
      <c r="H145" s="146">
        <v>198.7</v>
      </c>
      <c r="I145" s="146"/>
      <c r="J145" s="147">
        <v>20.8</v>
      </c>
      <c r="K145" s="148">
        <f>H145-J145</f>
        <v>177.89999999999998</v>
      </c>
      <c r="L145" s="149" t="s">
        <v>160</v>
      </c>
      <c r="M145" s="150" t="s">
        <v>161</v>
      </c>
      <c r="N145" s="130"/>
      <c r="O145" s="151">
        <f>3420000+(5%*2655000)</f>
        <v>3552750</v>
      </c>
      <c r="P145" s="134">
        <v>1.1</v>
      </c>
      <c r="Q145" s="131">
        <f>ROUND(O145*J145*P145,-3)</f>
        <v>81287000</v>
      </c>
      <c r="R145" s="152"/>
      <c r="S145" s="132"/>
    </row>
    <row r="146" spans="1:22" s="21" customFormat="1" ht="29.25" customHeight="1">
      <c r="A146" s="38">
        <v>10</v>
      </c>
      <c r="B146" s="38"/>
      <c r="C146" s="93" t="s">
        <v>162</v>
      </c>
      <c r="D146" s="92"/>
      <c r="E146" s="92"/>
      <c r="F146" s="3"/>
      <c r="G146" s="35"/>
      <c r="H146" s="37"/>
      <c r="I146" s="37"/>
      <c r="J146" s="37"/>
      <c r="K146" s="97"/>
      <c r="L146" s="108"/>
      <c r="M146" s="38"/>
      <c r="N146" s="38"/>
      <c r="O146" s="38"/>
      <c r="P146" s="39"/>
      <c r="Q146" s="40">
        <f>SUM(Q148:Q156)</f>
        <v>21446000</v>
      </c>
      <c r="R146" s="41"/>
      <c r="S146" s="8"/>
      <c r="T146" s="9"/>
      <c r="U146" s="10"/>
      <c r="V146" s="20"/>
    </row>
    <row r="147" spans="1:22" s="21" customFormat="1" ht="17.25" customHeight="1">
      <c r="A147" s="46"/>
      <c r="B147" s="46"/>
      <c r="C147" s="111" t="s">
        <v>27</v>
      </c>
      <c r="D147" s="42"/>
      <c r="E147" s="42"/>
      <c r="F147" s="42"/>
      <c r="G147" s="44"/>
      <c r="H147" s="45"/>
      <c r="I147" s="45"/>
      <c r="J147" s="45"/>
      <c r="K147" s="98"/>
      <c r="L147" s="109"/>
      <c r="M147" s="44"/>
      <c r="N147" s="44"/>
      <c r="O147" s="44"/>
      <c r="P147" s="46"/>
      <c r="Q147" s="47"/>
      <c r="R147" s="47"/>
      <c r="S147" s="7"/>
      <c r="T147" s="6"/>
      <c r="U147" s="7"/>
      <c r="V147" s="20"/>
    </row>
    <row r="148" spans="1:22" s="21" customFormat="1" ht="41.25" customHeight="1">
      <c r="A148" s="297"/>
      <c r="B148" s="105"/>
      <c r="C148" s="51" t="s">
        <v>163</v>
      </c>
      <c r="D148" s="50"/>
      <c r="E148" s="52"/>
      <c r="F148" s="99"/>
      <c r="G148" s="49"/>
      <c r="H148" s="54"/>
      <c r="I148" s="110"/>
      <c r="J148" s="54"/>
      <c r="K148" s="56"/>
      <c r="L148" s="56"/>
      <c r="M148" s="56"/>
      <c r="N148" s="56"/>
      <c r="O148" s="57"/>
      <c r="P148" s="58"/>
      <c r="Q148" s="57">
        <f>+ROUND(P148*O148*E148,-3)</f>
        <v>0</v>
      </c>
      <c r="R148" s="100"/>
      <c r="S148" s="11"/>
      <c r="T148" s="12"/>
      <c r="U148" s="13"/>
      <c r="V148" s="20"/>
    </row>
    <row r="149" spans="1:22" s="21" customFormat="1" ht="42" customHeight="1">
      <c r="A149" s="297"/>
      <c r="B149" s="50" t="s">
        <v>159</v>
      </c>
      <c r="C149" s="106" t="s">
        <v>164</v>
      </c>
      <c r="D149" s="50" t="s">
        <v>2</v>
      </c>
      <c r="E149" s="52">
        <f>(4.1*1.55)</f>
        <v>6.3549999999999995</v>
      </c>
      <c r="F149" s="99"/>
      <c r="G149" s="49"/>
      <c r="H149" s="54"/>
      <c r="I149" s="54"/>
      <c r="J149" s="54"/>
      <c r="K149" s="56"/>
      <c r="L149" s="56" t="s">
        <v>71</v>
      </c>
      <c r="M149" s="56"/>
      <c r="N149" s="56"/>
      <c r="O149" s="57">
        <f>453000+284000</f>
        <v>737000</v>
      </c>
      <c r="P149" s="58">
        <f>1.03*1.148</f>
        <v>1.18244</v>
      </c>
      <c r="Q149" s="57">
        <f>+ROUND(P149*O149*E149,-3)</f>
        <v>5538000</v>
      </c>
      <c r="R149" s="57" t="s">
        <v>86</v>
      </c>
      <c r="S149" s="11"/>
      <c r="T149" s="12"/>
      <c r="U149" s="13"/>
      <c r="V149" s="20"/>
    </row>
    <row r="150" spans="1:22" s="21" customFormat="1" ht="42" customHeight="1">
      <c r="A150" s="297"/>
      <c r="B150" s="50" t="s">
        <v>159</v>
      </c>
      <c r="C150" s="106" t="s">
        <v>165</v>
      </c>
      <c r="D150" s="50" t="s">
        <v>2</v>
      </c>
      <c r="E150" s="52">
        <f>+(4.1*2.65)</f>
        <v>10.864999999999998</v>
      </c>
      <c r="F150" s="99"/>
      <c r="G150" s="49"/>
      <c r="H150" s="54"/>
      <c r="I150" s="54"/>
      <c r="J150" s="54"/>
      <c r="K150" s="56"/>
      <c r="L150" s="56" t="s">
        <v>71</v>
      </c>
      <c r="M150" s="56"/>
      <c r="N150" s="107">
        <v>0.8</v>
      </c>
      <c r="O150" s="57">
        <f>453000+284000</f>
        <v>737000</v>
      </c>
      <c r="P150" s="58">
        <f>1.03*1.148</f>
        <v>1.18244</v>
      </c>
      <c r="Q150" s="57">
        <f>+ROUND(P150*O150*N150*E150,-3)</f>
        <v>7575000</v>
      </c>
      <c r="R150" s="100"/>
      <c r="S150" s="11"/>
      <c r="T150" s="12"/>
      <c r="U150" s="13"/>
      <c r="V150" s="20"/>
    </row>
    <row r="151" spans="1:22" s="128" customFormat="1" ht="35.25" customHeight="1">
      <c r="A151" s="113"/>
      <c r="B151" s="114" t="s">
        <v>45</v>
      </c>
      <c r="C151" s="115" t="s">
        <v>166</v>
      </c>
      <c r="D151" s="114" t="s">
        <v>2</v>
      </c>
      <c r="E151" s="116">
        <f>(3.4*1.1)</f>
        <v>3.74</v>
      </c>
      <c r="F151" s="117"/>
      <c r="G151" s="118"/>
      <c r="H151" s="119"/>
      <c r="I151" s="119"/>
      <c r="J151" s="119"/>
      <c r="K151" s="120"/>
      <c r="L151" s="120" t="s">
        <v>71</v>
      </c>
      <c r="M151" s="120"/>
      <c r="N151" s="120"/>
      <c r="O151" s="121">
        <v>792000</v>
      </c>
      <c r="P151" s="122">
        <f>1.03*1.148</f>
        <v>1.18244</v>
      </c>
      <c r="Q151" s="121">
        <f>+ROUND(P151*O151*E151,-3)</f>
        <v>3502000</v>
      </c>
      <c r="R151" s="123"/>
      <c r="S151" s="124"/>
      <c r="T151" s="125"/>
      <c r="U151" s="126"/>
      <c r="V151" s="127"/>
    </row>
    <row r="152" spans="1:22" s="128" customFormat="1" ht="29.25" customHeight="1">
      <c r="A152" s="113"/>
      <c r="B152" s="114" t="s">
        <v>46</v>
      </c>
      <c r="C152" s="115" t="s">
        <v>167</v>
      </c>
      <c r="D152" s="114" t="s">
        <v>2</v>
      </c>
      <c r="E152" s="116">
        <f>(6*1.5)</f>
        <v>9</v>
      </c>
      <c r="F152" s="117"/>
      <c r="G152" s="118"/>
      <c r="H152" s="119"/>
      <c r="I152" s="119"/>
      <c r="J152" s="119"/>
      <c r="K152" s="120"/>
      <c r="L152" s="120" t="s">
        <v>71</v>
      </c>
      <c r="M152" s="120"/>
      <c r="N152" s="120"/>
      <c r="O152" s="121">
        <v>11000</v>
      </c>
      <c r="P152" s="122">
        <f>1.03*1.148</f>
        <v>1.18244</v>
      </c>
      <c r="Q152" s="121">
        <f>+ROUND(P152*O152*E152,-3)</f>
        <v>117000</v>
      </c>
      <c r="R152" s="123"/>
      <c r="S152" s="124"/>
      <c r="T152" s="125"/>
      <c r="U152" s="126"/>
      <c r="V152" s="127"/>
    </row>
    <row r="153" spans="1:18" s="22" customFormat="1" ht="16.5" customHeight="1">
      <c r="A153" s="63"/>
      <c r="B153" s="63"/>
      <c r="C153" s="73" t="s">
        <v>9</v>
      </c>
      <c r="D153" s="63"/>
      <c r="E153" s="56"/>
      <c r="F153" s="63"/>
      <c r="G153" s="63"/>
      <c r="H153" s="63"/>
      <c r="I153" s="295">
        <f>+I154+J154</f>
        <v>2.7</v>
      </c>
      <c r="J153" s="295"/>
      <c r="K153" s="63"/>
      <c r="L153" s="63"/>
      <c r="M153" s="64"/>
      <c r="N153" s="64"/>
      <c r="O153" s="65"/>
      <c r="P153" s="56"/>
      <c r="Q153" s="57">
        <f>ROUND(E153*O153*P153,-3)</f>
        <v>0</v>
      </c>
      <c r="R153" s="103"/>
    </row>
    <row r="154" spans="1:19" s="5" customFormat="1" ht="121.5" customHeight="1">
      <c r="A154" s="118"/>
      <c r="B154" s="114"/>
      <c r="C154" s="115" t="s">
        <v>17</v>
      </c>
      <c r="D154" s="114" t="s">
        <v>2</v>
      </c>
      <c r="E154" s="114"/>
      <c r="F154" s="129">
        <v>29</v>
      </c>
      <c r="G154" s="114">
        <v>1</v>
      </c>
      <c r="H154" s="156">
        <v>102</v>
      </c>
      <c r="I154" s="157"/>
      <c r="J154" s="158">
        <v>2.7</v>
      </c>
      <c r="K154" s="161">
        <f>+H154-J154</f>
        <v>99.3</v>
      </c>
      <c r="L154" s="130" t="s">
        <v>168</v>
      </c>
      <c r="M154" s="130" t="s">
        <v>19</v>
      </c>
      <c r="N154" s="130"/>
      <c r="O154" s="131">
        <v>36000</v>
      </c>
      <c r="P154" s="134">
        <v>1</v>
      </c>
      <c r="Q154" s="131">
        <f>ROUND(O154*J154*P154,-3)</f>
        <v>97000</v>
      </c>
      <c r="R154" s="152"/>
      <c r="S154" s="132"/>
    </row>
    <row r="155" spans="1:19" s="23" customFormat="1" ht="13.5">
      <c r="A155" s="49"/>
      <c r="B155" s="50"/>
      <c r="C155" s="80" t="s">
        <v>24</v>
      </c>
      <c r="D155" s="50"/>
      <c r="E155" s="50"/>
      <c r="F155" s="67"/>
      <c r="G155" s="50"/>
      <c r="H155" s="75"/>
      <c r="I155" s="75"/>
      <c r="J155" s="76"/>
      <c r="K155" s="77"/>
      <c r="L155" s="78"/>
      <c r="M155" s="69"/>
      <c r="N155" s="69"/>
      <c r="O155" s="65"/>
      <c r="P155" s="79"/>
      <c r="Q155" s="65"/>
      <c r="R155" s="103"/>
      <c r="S155" s="4"/>
    </row>
    <row r="156" spans="1:19" s="23" customFormat="1" ht="40.5" customHeight="1">
      <c r="A156" s="81"/>
      <c r="B156" s="82"/>
      <c r="C156" s="83" t="s">
        <v>18</v>
      </c>
      <c r="D156" s="82"/>
      <c r="E156" s="82"/>
      <c r="F156" s="84"/>
      <c r="G156" s="82"/>
      <c r="H156" s="85"/>
      <c r="I156" s="85"/>
      <c r="J156" s="86">
        <f>+J154</f>
        <v>2.7</v>
      </c>
      <c r="K156" s="87"/>
      <c r="L156" s="88"/>
      <c r="M156" s="89" t="s">
        <v>82</v>
      </c>
      <c r="N156" s="89"/>
      <c r="O156" s="90">
        <v>3420000</v>
      </c>
      <c r="P156" s="95">
        <v>0.5</v>
      </c>
      <c r="Q156" s="90">
        <f>ROUND(O156*J156*P156,-3)</f>
        <v>4617000</v>
      </c>
      <c r="R156" s="104"/>
      <c r="S156" s="4"/>
    </row>
    <row r="157" spans="1:22" s="21" customFormat="1" ht="29.25" customHeight="1">
      <c r="A157" s="38">
        <v>11</v>
      </c>
      <c r="B157" s="38"/>
      <c r="C157" s="93" t="s">
        <v>169</v>
      </c>
      <c r="D157" s="92"/>
      <c r="E157" s="92"/>
      <c r="F157" s="3"/>
      <c r="G157" s="35"/>
      <c r="H157" s="37"/>
      <c r="I157" s="37"/>
      <c r="J157" s="37"/>
      <c r="K157" s="37"/>
      <c r="L157" s="97"/>
      <c r="M157" s="38"/>
      <c r="N157" s="38"/>
      <c r="O157" s="38"/>
      <c r="P157" s="39"/>
      <c r="Q157" s="40">
        <f>SUM(Q159:Q173)</f>
        <v>75051000</v>
      </c>
      <c r="R157" s="41"/>
      <c r="S157" s="8"/>
      <c r="T157" s="9"/>
      <c r="U157" s="10"/>
      <c r="V157" s="20"/>
    </row>
    <row r="158" spans="1:22" s="21" customFormat="1" ht="17.25" customHeight="1">
      <c r="A158" s="46"/>
      <c r="B158" s="46"/>
      <c r="C158" s="111" t="s">
        <v>27</v>
      </c>
      <c r="D158" s="42"/>
      <c r="E158" s="42"/>
      <c r="F158" s="42"/>
      <c r="G158" s="44"/>
      <c r="H158" s="45"/>
      <c r="I158" s="45"/>
      <c r="J158" s="45"/>
      <c r="K158" s="45"/>
      <c r="L158" s="98"/>
      <c r="M158" s="44"/>
      <c r="N158" s="44"/>
      <c r="O158" s="44"/>
      <c r="P158" s="46"/>
      <c r="Q158" s="47"/>
      <c r="R158" s="47"/>
      <c r="S158" s="7"/>
      <c r="T158" s="6"/>
      <c r="U158" s="7"/>
      <c r="V158" s="20"/>
    </row>
    <row r="159" spans="1:22" s="128" customFormat="1" ht="30" customHeight="1">
      <c r="A159" s="113"/>
      <c r="B159" s="114" t="s">
        <v>84</v>
      </c>
      <c r="C159" s="115" t="s">
        <v>170</v>
      </c>
      <c r="D159" s="114" t="s">
        <v>2</v>
      </c>
      <c r="E159" s="116">
        <f>(10.2*2.5)</f>
        <v>25.5</v>
      </c>
      <c r="F159" s="135"/>
      <c r="G159" s="118"/>
      <c r="H159" s="119"/>
      <c r="I159" s="119"/>
      <c r="J159" s="119"/>
      <c r="K159" s="119"/>
      <c r="L159" s="120" t="s">
        <v>94</v>
      </c>
      <c r="M159" s="120"/>
      <c r="N159" s="120"/>
      <c r="O159" s="121">
        <v>679000</v>
      </c>
      <c r="P159" s="122">
        <f>1.03*1.148</f>
        <v>1.18244</v>
      </c>
      <c r="Q159" s="121">
        <f>+ROUND(P159*O159*E159,-3)</f>
        <v>20473000</v>
      </c>
      <c r="R159" s="123"/>
      <c r="S159" s="124"/>
      <c r="T159" s="125"/>
      <c r="U159" s="126"/>
      <c r="V159" s="127"/>
    </row>
    <row r="160" spans="1:22" s="128" customFormat="1" ht="29.25" customHeight="1">
      <c r="A160" s="113"/>
      <c r="B160" s="171" t="s">
        <v>89</v>
      </c>
      <c r="C160" s="115" t="s">
        <v>171</v>
      </c>
      <c r="D160" s="114" t="s">
        <v>16</v>
      </c>
      <c r="E160" s="116">
        <f>(0.2*0.2*2.7)*2</f>
        <v>0.21600000000000005</v>
      </c>
      <c r="F160" s="135"/>
      <c r="G160" s="118"/>
      <c r="H160" s="119"/>
      <c r="I160" s="119"/>
      <c r="J160" s="119"/>
      <c r="K160" s="119"/>
      <c r="L160" s="120" t="s">
        <v>94</v>
      </c>
      <c r="M160" s="120"/>
      <c r="N160" s="120"/>
      <c r="O160" s="121">
        <v>2828000</v>
      </c>
      <c r="P160" s="122">
        <f aca="true" t="shared" si="12" ref="P160:P169">1.03*1.148</f>
        <v>1.18244</v>
      </c>
      <c r="Q160" s="121">
        <f>+ROUND(P160*O160*E160,-3)</f>
        <v>722000</v>
      </c>
      <c r="R160" s="121"/>
      <c r="S160" s="124"/>
      <c r="T160" s="125"/>
      <c r="U160" s="126"/>
      <c r="V160" s="127"/>
    </row>
    <row r="161" spans="1:22" s="128" customFormat="1" ht="33" customHeight="1">
      <c r="A161" s="113"/>
      <c r="B161" s="171" t="s">
        <v>89</v>
      </c>
      <c r="C161" s="115" t="s">
        <v>172</v>
      </c>
      <c r="D161" s="114" t="s">
        <v>16</v>
      </c>
      <c r="E161" s="116">
        <f>(0.45*0.45*3)*2</f>
        <v>1.215</v>
      </c>
      <c r="F161" s="135"/>
      <c r="G161" s="118"/>
      <c r="H161" s="119"/>
      <c r="I161" s="119"/>
      <c r="J161" s="119"/>
      <c r="K161" s="119"/>
      <c r="L161" s="120" t="s">
        <v>94</v>
      </c>
      <c r="M161" s="120"/>
      <c r="N161" s="120"/>
      <c r="O161" s="121">
        <v>2828000</v>
      </c>
      <c r="P161" s="122">
        <f t="shared" si="12"/>
        <v>1.18244</v>
      </c>
      <c r="Q161" s="121">
        <f>+ROUND(P161*O161*E161,-3)</f>
        <v>4063000</v>
      </c>
      <c r="R161" s="123"/>
      <c r="S161" s="124"/>
      <c r="T161" s="125"/>
      <c r="U161" s="126"/>
      <c r="V161" s="127"/>
    </row>
    <row r="162" spans="1:22" s="128" customFormat="1" ht="29.25" customHeight="1">
      <c r="A162" s="113"/>
      <c r="B162" s="171" t="s">
        <v>88</v>
      </c>
      <c r="C162" s="115" t="s">
        <v>173</v>
      </c>
      <c r="D162" s="114" t="s">
        <v>2</v>
      </c>
      <c r="E162" s="116">
        <f>(0.3*1.5)*7</f>
        <v>3.1499999999999995</v>
      </c>
      <c r="F162" s="135"/>
      <c r="G162" s="118"/>
      <c r="H162" s="119"/>
      <c r="I162" s="119"/>
      <c r="J162" s="119"/>
      <c r="K162" s="119"/>
      <c r="L162" s="120" t="s">
        <v>94</v>
      </c>
      <c r="M162" s="120"/>
      <c r="N162" s="120"/>
      <c r="O162" s="121">
        <v>339000</v>
      </c>
      <c r="P162" s="122">
        <f t="shared" si="12"/>
        <v>1.18244</v>
      </c>
      <c r="Q162" s="121">
        <f aca="true" t="shared" si="13" ref="Q162:Q169">+ROUND(P162*O162*E162,-3)</f>
        <v>1263000</v>
      </c>
      <c r="R162" s="123"/>
      <c r="S162" s="124"/>
      <c r="T162" s="125"/>
      <c r="U162" s="126"/>
      <c r="V162" s="127"/>
    </row>
    <row r="163" spans="1:22" s="128" customFormat="1" ht="24.75" customHeight="1">
      <c r="A163" s="113"/>
      <c r="B163" s="142" t="s">
        <v>100</v>
      </c>
      <c r="C163" s="115" t="s">
        <v>174</v>
      </c>
      <c r="D163" s="114" t="s">
        <v>2</v>
      </c>
      <c r="E163" s="116">
        <f>(3.3*2.2)</f>
        <v>7.26</v>
      </c>
      <c r="F163" s="135"/>
      <c r="G163" s="118"/>
      <c r="H163" s="119"/>
      <c r="I163" s="119"/>
      <c r="J163" s="119"/>
      <c r="K163" s="119"/>
      <c r="L163" s="120" t="s">
        <v>94</v>
      </c>
      <c r="M163" s="120"/>
      <c r="N163" s="120"/>
      <c r="O163" s="121">
        <v>284000</v>
      </c>
      <c r="P163" s="122">
        <f t="shared" si="12"/>
        <v>1.18244</v>
      </c>
      <c r="Q163" s="121">
        <f t="shared" si="13"/>
        <v>2438000</v>
      </c>
      <c r="R163" s="123"/>
      <c r="S163" s="124"/>
      <c r="T163" s="125"/>
      <c r="U163" s="126"/>
      <c r="V163" s="127"/>
    </row>
    <row r="164" spans="1:22" s="128" customFormat="1" ht="28.5" customHeight="1">
      <c r="A164" s="113"/>
      <c r="B164" s="114" t="s">
        <v>180</v>
      </c>
      <c r="C164" s="115" t="s">
        <v>175</v>
      </c>
      <c r="D164" s="114" t="s">
        <v>2</v>
      </c>
      <c r="E164" s="116">
        <f>(2.2*1.9)</f>
        <v>4.18</v>
      </c>
      <c r="F164" s="135"/>
      <c r="G164" s="118"/>
      <c r="H164" s="119"/>
      <c r="I164" s="119"/>
      <c r="J164" s="119"/>
      <c r="K164" s="119"/>
      <c r="L164" s="120" t="s">
        <v>94</v>
      </c>
      <c r="M164" s="120"/>
      <c r="N164" s="120"/>
      <c r="O164" s="121">
        <v>735000</v>
      </c>
      <c r="P164" s="122">
        <f t="shared" si="12"/>
        <v>1.18244</v>
      </c>
      <c r="Q164" s="121">
        <f t="shared" si="13"/>
        <v>3633000</v>
      </c>
      <c r="R164" s="123"/>
      <c r="S164" s="124"/>
      <c r="T164" s="125"/>
      <c r="U164" s="126"/>
      <c r="V164" s="127"/>
    </row>
    <row r="165" spans="1:22" s="128" customFormat="1" ht="24.75" customHeight="1">
      <c r="A165" s="113"/>
      <c r="B165" s="113"/>
      <c r="C165" s="115" t="s">
        <v>176</v>
      </c>
      <c r="D165" s="114" t="s">
        <v>11</v>
      </c>
      <c r="E165" s="116">
        <v>2</v>
      </c>
      <c r="F165" s="135"/>
      <c r="G165" s="118"/>
      <c r="H165" s="119"/>
      <c r="I165" s="119"/>
      <c r="J165" s="119"/>
      <c r="K165" s="119"/>
      <c r="L165" s="120"/>
      <c r="M165" s="120"/>
      <c r="N165" s="120"/>
      <c r="O165" s="121">
        <v>532550</v>
      </c>
      <c r="P165" s="134">
        <v>1</v>
      </c>
      <c r="Q165" s="121">
        <f t="shared" si="13"/>
        <v>1065000</v>
      </c>
      <c r="R165" s="123"/>
      <c r="S165" s="124"/>
      <c r="T165" s="125"/>
      <c r="U165" s="126"/>
      <c r="V165" s="127"/>
    </row>
    <row r="166" spans="1:22" s="128" customFormat="1" ht="24.75" customHeight="1">
      <c r="A166" s="113"/>
      <c r="B166" s="113"/>
      <c r="C166" s="115" t="s">
        <v>177</v>
      </c>
      <c r="D166" s="114" t="s">
        <v>11</v>
      </c>
      <c r="E166" s="116">
        <v>1</v>
      </c>
      <c r="F166" s="135"/>
      <c r="G166" s="118"/>
      <c r="H166" s="119"/>
      <c r="I166" s="119"/>
      <c r="J166" s="119"/>
      <c r="K166" s="119"/>
      <c r="L166" s="120"/>
      <c r="M166" s="120"/>
      <c r="N166" s="120"/>
      <c r="O166" s="121">
        <v>53260</v>
      </c>
      <c r="P166" s="134">
        <v>1</v>
      </c>
      <c r="Q166" s="121">
        <f t="shared" si="13"/>
        <v>53000</v>
      </c>
      <c r="R166" s="123"/>
      <c r="S166" s="124"/>
      <c r="T166" s="125"/>
      <c r="U166" s="126"/>
      <c r="V166" s="127"/>
    </row>
    <row r="167" spans="1:22" s="128" customFormat="1" ht="24.75" customHeight="1">
      <c r="A167" s="113"/>
      <c r="B167" s="113"/>
      <c r="C167" s="115" t="s">
        <v>178</v>
      </c>
      <c r="D167" s="114" t="s">
        <v>11</v>
      </c>
      <c r="E167" s="116">
        <v>1</v>
      </c>
      <c r="F167" s="135"/>
      <c r="G167" s="118"/>
      <c r="H167" s="119"/>
      <c r="I167" s="119"/>
      <c r="J167" s="119"/>
      <c r="K167" s="119"/>
      <c r="L167" s="120"/>
      <c r="M167" s="120"/>
      <c r="N167" s="120"/>
      <c r="O167" s="121">
        <v>213020</v>
      </c>
      <c r="P167" s="134">
        <v>1</v>
      </c>
      <c r="Q167" s="121">
        <f t="shared" si="13"/>
        <v>213000</v>
      </c>
      <c r="R167" s="123"/>
      <c r="S167" s="124"/>
      <c r="T167" s="125"/>
      <c r="U167" s="126"/>
      <c r="V167" s="127"/>
    </row>
    <row r="168" spans="1:22" s="128" customFormat="1" ht="24.75" customHeight="1">
      <c r="A168" s="113"/>
      <c r="B168" s="113"/>
      <c r="C168" s="115" t="s">
        <v>179</v>
      </c>
      <c r="D168" s="114" t="s">
        <v>2</v>
      </c>
      <c r="E168" s="116">
        <v>1</v>
      </c>
      <c r="F168" s="135"/>
      <c r="G168" s="118"/>
      <c r="H168" s="119"/>
      <c r="I168" s="119"/>
      <c r="J168" s="119"/>
      <c r="K168" s="119"/>
      <c r="L168" s="120"/>
      <c r="M168" s="120"/>
      <c r="N168" s="120"/>
      <c r="O168" s="121">
        <v>2110</v>
      </c>
      <c r="P168" s="134">
        <v>1</v>
      </c>
      <c r="Q168" s="121">
        <f t="shared" si="13"/>
        <v>2000</v>
      </c>
      <c r="R168" s="121"/>
      <c r="S168" s="124"/>
      <c r="T168" s="125"/>
      <c r="U168" s="126"/>
      <c r="V168" s="127"/>
    </row>
    <row r="169" spans="1:22" s="128" customFormat="1" ht="24.75" customHeight="1">
      <c r="A169" s="113"/>
      <c r="B169" s="142" t="s">
        <v>92</v>
      </c>
      <c r="C169" s="115" t="s">
        <v>77</v>
      </c>
      <c r="D169" s="114" t="s">
        <v>78</v>
      </c>
      <c r="E169" s="116">
        <v>2</v>
      </c>
      <c r="F169" s="135"/>
      <c r="G169" s="118"/>
      <c r="H169" s="119"/>
      <c r="I169" s="119"/>
      <c r="J169" s="119"/>
      <c r="K169" s="119"/>
      <c r="L169" s="120"/>
      <c r="M169" s="120"/>
      <c r="N169" s="120"/>
      <c r="O169" s="121">
        <v>40000</v>
      </c>
      <c r="P169" s="122">
        <f t="shared" si="12"/>
        <v>1.18244</v>
      </c>
      <c r="Q169" s="121">
        <f t="shared" si="13"/>
        <v>95000</v>
      </c>
      <c r="R169" s="123"/>
      <c r="S169" s="124"/>
      <c r="T169" s="125"/>
      <c r="U169" s="126"/>
      <c r="V169" s="127"/>
    </row>
    <row r="170" spans="1:18" s="22" customFormat="1" ht="16.5" customHeight="1">
      <c r="A170" s="63"/>
      <c r="B170" s="63"/>
      <c r="C170" s="73" t="s">
        <v>9</v>
      </c>
      <c r="D170" s="63"/>
      <c r="E170" s="56"/>
      <c r="F170" s="63"/>
      <c r="G170" s="63"/>
      <c r="H170" s="63"/>
      <c r="I170" s="295">
        <f>+I171+J171</f>
        <v>23.5</v>
      </c>
      <c r="J170" s="295"/>
      <c r="K170" s="63"/>
      <c r="L170" s="63"/>
      <c r="M170" s="64"/>
      <c r="N170" s="64"/>
      <c r="O170" s="65"/>
      <c r="P170" s="56"/>
      <c r="Q170" s="57">
        <f>ROUND(E170*O170*P170,-3)</f>
        <v>0</v>
      </c>
      <c r="R170" s="103"/>
    </row>
    <row r="171" spans="1:19" s="5" customFormat="1" ht="121.5" customHeight="1">
      <c r="A171" s="118"/>
      <c r="B171" s="114"/>
      <c r="C171" s="115" t="s">
        <v>17</v>
      </c>
      <c r="D171" s="114" t="s">
        <v>2</v>
      </c>
      <c r="E171" s="114"/>
      <c r="F171" s="129">
        <v>13</v>
      </c>
      <c r="G171" s="114">
        <v>1</v>
      </c>
      <c r="H171" s="156">
        <v>945.7</v>
      </c>
      <c r="I171" s="156"/>
      <c r="J171" s="157">
        <v>23.5</v>
      </c>
      <c r="K171" s="158">
        <f>H171-J171</f>
        <v>922.2</v>
      </c>
      <c r="L171" s="159" t="s">
        <v>181</v>
      </c>
      <c r="M171" s="130" t="s">
        <v>19</v>
      </c>
      <c r="N171" s="130"/>
      <c r="O171" s="131">
        <v>36000</v>
      </c>
      <c r="P171" s="134">
        <v>1</v>
      </c>
      <c r="Q171" s="131">
        <f>ROUND(O171*J171*P171,-3)</f>
        <v>846000</v>
      </c>
      <c r="R171" s="152"/>
      <c r="S171" s="132"/>
    </row>
    <row r="172" spans="1:19" s="23" customFormat="1" ht="13.5">
      <c r="A172" s="49"/>
      <c r="B172" s="50"/>
      <c r="C172" s="80" t="s">
        <v>24</v>
      </c>
      <c r="D172" s="50"/>
      <c r="E172" s="50"/>
      <c r="F172" s="67"/>
      <c r="G172" s="50"/>
      <c r="H172" s="75"/>
      <c r="I172" s="75"/>
      <c r="J172" s="76"/>
      <c r="K172" s="77"/>
      <c r="L172" s="78"/>
      <c r="M172" s="69"/>
      <c r="N172" s="69"/>
      <c r="O172" s="65"/>
      <c r="P172" s="79"/>
      <c r="Q172" s="65"/>
      <c r="R172" s="103"/>
      <c r="S172" s="4"/>
    </row>
    <row r="173" spans="1:19" s="23" customFormat="1" ht="40.5" customHeight="1">
      <c r="A173" s="81"/>
      <c r="B173" s="82"/>
      <c r="C173" s="83" t="s">
        <v>18</v>
      </c>
      <c r="D173" s="82"/>
      <c r="E173" s="82"/>
      <c r="F173" s="84"/>
      <c r="G173" s="82"/>
      <c r="H173" s="85"/>
      <c r="I173" s="85"/>
      <c r="J173" s="86">
        <f>+J171</f>
        <v>23.5</v>
      </c>
      <c r="K173" s="87"/>
      <c r="L173" s="88"/>
      <c r="M173" s="89" t="s">
        <v>82</v>
      </c>
      <c r="N173" s="89"/>
      <c r="O173" s="90">
        <v>3420000</v>
      </c>
      <c r="P173" s="95">
        <v>0.5</v>
      </c>
      <c r="Q173" s="90">
        <f>ROUND(O173*J173*P173,-3)</f>
        <v>40185000</v>
      </c>
      <c r="R173" s="104"/>
      <c r="S173" s="4"/>
    </row>
    <row r="174" spans="1:22" s="21" customFormat="1" ht="29.25" customHeight="1">
      <c r="A174" s="38">
        <v>12</v>
      </c>
      <c r="B174" s="38"/>
      <c r="C174" s="93" t="s">
        <v>182</v>
      </c>
      <c r="D174" s="92"/>
      <c r="E174" s="92"/>
      <c r="F174" s="3"/>
      <c r="G174" s="35"/>
      <c r="H174" s="37"/>
      <c r="I174" s="37"/>
      <c r="J174" s="37"/>
      <c r="K174" s="37"/>
      <c r="L174" s="97"/>
      <c r="M174" s="38"/>
      <c r="N174" s="38"/>
      <c r="O174" s="38"/>
      <c r="P174" s="39"/>
      <c r="Q174" s="40">
        <f>SUM(Q176:Q194)</f>
        <v>581288000</v>
      </c>
      <c r="R174" s="41"/>
      <c r="S174" s="8"/>
      <c r="T174" s="9"/>
      <c r="U174" s="10"/>
      <c r="V174" s="20"/>
    </row>
    <row r="175" spans="1:22" s="21" customFormat="1" ht="17.25" customHeight="1">
      <c r="A175" s="46"/>
      <c r="B175" s="46"/>
      <c r="C175" s="111" t="s">
        <v>27</v>
      </c>
      <c r="D175" s="42"/>
      <c r="E175" s="42"/>
      <c r="F175" s="42"/>
      <c r="G175" s="44"/>
      <c r="H175" s="45"/>
      <c r="I175" s="45"/>
      <c r="J175" s="45"/>
      <c r="K175" s="45"/>
      <c r="L175" s="98"/>
      <c r="M175" s="44"/>
      <c r="N175" s="44"/>
      <c r="O175" s="44"/>
      <c r="P175" s="46"/>
      <c r="Q175" s="47"/>
      <c r="R175" s="47"/>
      <c r="S175" s="7"/>
      <c r="T175" s="6"/>
      <c r="U175" s="7"/>
      <c r="V175" s="20"/>
    </row>
    <row r="176" spans="1:22" s="21" customFormat="1" ht="84" customHeight="1">
      <c r="A176" s="297"/>
      <c r="B176" s="105"/>
      <c r="C176" s="51" t="s">
        <v>183</v>
      </c>
      <c r="D176" s="50" t="s">
        <v>2</v>
      </c>
      <c r="E176" s="52">
        <f>(7*12.2)</f>
        <v>85.39999999999999</v>
      </c>
      <c r="F176" s="102"/>
      <c r="G176" s="49"/>
      <c r="H176" s="54"/>
      <c r="I176" s="54"/>
      <c r="J176" s="54"/>
      <c r="K176" s="54"/>
      <c r="L176" s="56" t="s">
        <v>198</v>
      </c>
      <c r="M176" s="56"/>
      <c r="N176" s="56"/>
      <c r="O176" s="57"/>
      <c r="P176" s="58"/>
      <c r="Q176" s="57">
        <f>+ROUND(P176*O176*E176,-3)</f>
        <v>0</v>
      </c>
      <c r="R176" s="100" t="s">
        <v>86</v>
      </c>
      <c r="S176" s="11"/>
      <c r="T176" s="12"/>
      <c r="U176" s="13"/>
      <c r="V176" s="20"/>
    </row>
    <row r="177" spans="1:22" s="21" customFormat="1" ht="29.25" customHeight="1">
      <c r="A177" s="297"/>
      <c r="B177" s="101" t="s">
        <v>200</v>
      </c>
      <c r="C177" s="106" t="s">
        <v>184</v>
      </c>
      <c r="D177" s="50" t="s">
        <v>2</v>
      </c>
      <c r="E177" s="52">
        <f>+(4.2*12.2)+(2.7*4.4)</f>
        <v>63.120000000000005</v>
      </c>
      <c r="F177" s="102"/>
      <c r="G177" s="49"/>
      <c r="H177" s="54"/>
      <c r="I177" s="54"/>
      <c r="J177" s="54"/>
      <c r="K177" s="54"/>
      <c r="L177" s="56" t="s">
        <v>198</v>
      </c>
      <c r="M177" s="56"/>
      <c r="N177" s="56"/>
      <c r="O177" s="57">
        <v>3371000</v>
      </c>
      <c r="P177" s="58">
        <f aca="true" t="shared" si="14" ref="P177:P190">1.03*1.148</f>
        <v>1.18244</v>
      </c>
      <c r="Q177" s="57">
        <f>+ROUND(P177*O177*E177,-3)</f>
        <v>251597000</v>
      </c>
      <c r="R177" s="57"/>
      <c r="S177" s="11"/>
      <c r="T177" s="12"/>
      <c r="U177" s="13"/>
      <c r="V177" s="20"/>
    </row>
    <row r="178" spans="1:22" s="21" customFormat="1" ht="51">
      <c r="A178" s="297"/>
      <c r="B178" s="101" t="s">
        <v>201</v>
      </c>
      <c r="C178" s="106" t="s">
        <v>185</v>
      </c>
      <c r="D178" s="50" t="s">
        <v>2</v>
      </c>
      <c r="E178" s="52">
        <f>+(2.8*12.2)-(2.7*4.4)</f>
        <v>22.279999999999994</v>
      </c>
      <c r="F178" s="102"/>
      <c r="G178" s="49"/>
      <c r="H178" s="54"/>
      <c r="I178" s="54"/>
      <c r="J178" s="54"/>
      <c r="K178" s="54"/>
      <c r="L178" s="56" t="s">
        <v>198</v>
      </c>
      <c r="M178" s="56"/>
      <c r="N178" s="56"/>
      <c r="O178" s="57">
        <f>3371000-339000</f>
        <v>3032000</v>
      </c>
      <c r="P178" s="58">
        <f t="shared" si="14"/>
        <v>1.18244</v>
      </c>
      <c r="Q178" s="57">
        <f>+ROUND(P178*O178*E178,-3)</f>
        <v>79877000</v>
      </c>
      <c r="R178" s="100"/>
      <c r="S178" s="11"/>
      <c r="T178" s="12"/>
      <c r="U178" s="13"/>
      <c r="V178" s="20"/>
    </row>
    <row r="179" spans="1:22" s="128" customFormat="1" ht="29.25" customHeight="1">
      <c r="A179" s="113"/>
      <c r="B179" s="142" t="s">
        <v>202</v>
      </c>
      <c r="C179" s="115" t="s">
        <v>186</v>
      </c>
      <c r="D179" s="114" t="s">
        <v>2</v>
      </c>
      <c r="E179" s="116">
        <f>(12*4)+(2*6.3)</f>
        <v>60.6</v>
      </c>
      <c r="F179" s="135"/>
      <c r="G179" s="118"/>
      <c r="H179" s="119"/>
      <c r="I179" s="119"/>
      <c r="J179" s="119"/>
      <c r="K179" s="119"/>
      <c r="L179" s="120" t="s">
        <v>198</v>
      </c>
      <c r="M179" s="120"/>
      <c r="N179" s="120"/>
      <c r="O179" s="121">
        <v>385000</v>
      </c>
      <c r="P179" s="122">
        <f t="shared" si="14"/>
        <v>1.18244</v>
      </c>
      <c r="Q179" s="121">
        <f aca="true" t="shared" si="15" ref="Q179:Q186">+ROUND(P179*O179*E179,-3)</f>
        <v>27588000</v>
      </c>
      <c r="R179" s="123"/>
      <c r="S179" s="124"/>
      <c r="T179" s="125"/>
      <c r="U179" s="126"/>
      <c r="V179" s="127"/>
    </row>
    <row r="180" spans="1:22" s="128" customFormat="1" ht="30" customHeight="1">
      <c r="A180" s="113"/>
      <c r="B180" s="142" t="s">
        <v>203</v>
      </c>
      <c r="C180" s="115" t="s">
        <v>187</v>
      </c>
      <c r="D180" s="114" t="s">
        <v>2</v>
      </c>
      <c r="E180" s="116">
        <f>(12*2.6)</f>
        <v>31.200000000000003</v>
      </c>
      <c r="F180" s="135"/>
      <c r="G180" s="118"/>
      <c r="H180" s="119"/>
      <c r="I180" s="119"/>
      <c r="J180" s="119"/>
      <c r="K180" s="119"/>
      <c r="L180" s="120" t="s">
        <v>198</v>
      </c>
      <c r="M180" s="120"/>
      <c r="N180" s="120"/>
      <c r="O180" s="121">
        <v>236000</v>
      </c>
      <c r="P180" s="122">
        <f t="shared" si="14"/>
        <v>1.18244</v>
      </c>
      <c r="Q180" s="121">
        <f t="shared" si="15"/>
        <v>8707000</v>
      </c>
      <c r="R180" s="123"/>
      <c r="S180" s="124"/>
      <c r="T180" s="125"/>
      <c r="U180" s="126"/>
      <c r="V180" s="127"/>
    </row>
    <row r="181" spans="1:22" s="128" customFormat="1" ht="54.75" customHeight="1">
      <c r="A181" s="113"/>
      <c r="B181" s="142" t="s">
        <v>199</v>
      </c>
      <c r="C181" s="115" t="s">
        <v>188</v>
      </c>
      <c r="D181" s="114" t="s">
        <v>2</v>
      </c>
      <c r="E181" s="116">
        <f>(3.8*6.5)</f>
        <v>24.7</v>
      </c>
      <c r="F181" s="135"/>
      <c r="G181" s="118"/>
      <c r="H181" s="119"/>
      <c r="I181" s="119"/>
      <c r="J181" s="119"/>
      <c r="K181" s="119"/>
      <c r="L181" s="120" t="s">
        <v>198</v>
      </c>
      <c r="M181" s="120"/>
      <c r="N181" s="120"/>
      <c r="O181" s="121">
        <v>1131000</v>
      </c>
      <c r="P181" s="122">
        <f t="shared" si="14"/>
        <v>1.18244</v>
      </c>
      <c r="Q181" s="121">
        <f t="shared" si="15"/>
        <v>33032000</v>
      </c>
      <c r="R181" s="123" t="s">
        <v>86</v>
      </c>
      <c r="S181" s="124"/>
      <c r="T181" s="125"/>
      <c r="U181" s="126"/>
      <c r="V181" s="127"/>
    </row>
    <row r="182" spans="1:22" s="128" customFormat="1" ht="43.5" customHeight="1">
      <c r="A182" s="113"/>
      <c r="B182" s="142" t="s">
        <v>204</v>
      </c>
      <c r="C182" s="115" t="s">
        <v>189</v>
      </c>
      <c r="D182" s="114" t="s">
        <v>2</v>
      </c>
      <c r="E182" s="116">
        <v>76.6</v>
      </c>
      <c r="F182" s="135"/>
      <c r="G182" s="118"/>
      <c r="H182" s="119"/>
      <c r="I182" s="119"/>
      <c r="J182" s="119"/>
      <c r="K182" s="119"/>
      <c r="L182" s="120" t="s">
        <v>198</v>
      </c>
      <c r="M182" s="120"/>
      <c r="N182" s="120"/>
      <c r="O182" s="121">
        <v>41000</v>
      </c>
      <c r="P182" s="122">
        <f t="shared" si="14"/>
        <v>1.18244</v>
      </c>
      <c r="Q182" s="121">
        <f t="shared" si="15"/>
        <v>3714000</v>
      </c>
      <c r="R182" s="123"/>
      <c r="S182" s="124"/>
      <c r="T182" s="125"/>
      <c r="U182" s="126"/>
      <c r="V182" s="127"/>
    </row>
    <row r="183" spans="1:22" s="128" customFormat="1" ht="45" customHeight="1">
      <c r="A183" s="113"/>
      <c r="B183" s="142" t="s">
        <v>205</v>
      </c>
      <c r="C183" s="115" t="s">
        <v>190</v>
      </c>
      <c r="D183" s="114" t="s">
        <v>2</v>
      </c>
      <c r="E183" s="116">
        <v>76.6</v>
      </c>
      <c r="F183" s="135"/>
      <c r="G183" s="118"/>
      <c r="H183" s="119"/>
      <c r="I183" s="119"/>
      <c r="J183" s="119"/>
      <c r="K183" s="119"/>
      <c r="L183" s="120" t="s">
        <v>198</v>
      </c>
      <c r="M183" s="120"/>
      <c r="N183" s="120"/>
      <c r="O183" s="121">
        <v>30000</v>
      </c>
      <c r="P183" s="122">
        <f t="shared" si="14"/>
        <v>1.18244</v>
      </c>
      <c r="Q183" s="121">
        <f t="shared" si="15"/>
        <v>2717000</v>
      </c>
      <c r="R183" s="123"/>
      <c r="S183" s="124"/>
      <c r="T183" s="125"/>
      <c r="U183" s="126"/>
      <c r="V183" s="127"/>
    </row>
    <row r="184" spans="1:22" s="128" customFormat="1" ht="30.75" customHeight="1">
      <c r="A184" s="113"/>
      <c r="B184" s="114" t="s">
        <v>84</v>
      </c>
      <c r="C184" s="115" t="s">
        <v>191</v>
      </c>
      <c r="D184" s="114" t="s">
        <v>2</v>
      </c>
      <c r="E184" s="116">
        <f>(13.4*1.5)</f>
        <v>20.1</v>
      </c>
      <c r="F184" s="135"/>
      <c r="G184" s="118"/>
      <c r="H184" s="119"/>
      <c r="I184" s="119"/>
      <c r="J184" s="119"/>
      <c r="K184" s="119"/>
      <c r="L184" s="120" t="s">
        <v>198</v>
      </c>
      <c r="M184" s="120"/>
      <c r="N184" s="120"/>
      <c r="O184" s="121">
        <v>679000</v>
      </c>
      <c r="P184" s="122">
        <f t="shared" si="14"/>
        <v>1.18244</v>
      </c>
      <c r="Q184" s="121">
        <f t="shared" si="15"/>
        <v>16138000</v>
      </c>
      <c r="R184" s="123"/>
      <c r="S184" s="124"/>
      <c r="T184" s="125"/>
      <c r="U184" s="126"/>
      <c r="V184" s="127"/>
    </row>
    <row r="185" spans="1:22" s="128" customFormat="1" ht="29.25" customHeight="1">
      <c r="A185" s="113"/>
      <c r="B185" s="114" t="s">
        <v>45</v>
      </c>
      <c r="C185" s="115" t="s">
        <v>192</v>
      </c>
      <c r="D185" s="114" t="s">
        <v>2</v>
      </c>
      <c r="E185" s="116">
        <f>(3.3*1.1)</f>
        <v>3.63</v>
      </c>
      <c r="F185" s="135"/>
      <c r="G185" s="118"/>
      <c r="H185" s="119"/>
      <c r="I185" s="119"/>
      <c r="J185" s="119"/>
      <c r="K185" s="119"/>
      <c r="L185" s="120" t="s">
        <v>198</v>
      </c>
      <c r="M185" s="120"/>
      <c r="N185" s="120"/>
      <c r="O185" s="121">
        <v>792000</v>
      </c>
      <c r="P185" s="122">
        <f t="shared" si="14"/>
        <v>1.18244</v>
      </c>
      <c r="Q185" s="121">
        <f t="shared" si="15"/>
        <v>3399000</v>
      </c>
      <c r="R185" s="121"/>
      <c r="S185" s="124"/>
      <c r="T185" s="125"/>
      <c r="U185" s="126"/>
      <c r="V185" s="127"/>
    </row>
    <row r="186" spans="1:22" s="128" customFormat="1" ht="29.25" customHeight="1">
      <c r="A186" s="113"/>
      <c r="B186" s="171" t="s">
        <v>89</v>
      </c>
      <c r="C186" s="115" t="s">
        <v>193</v>
      </c>
      <c r="D186" s="114" t="s">
        <v>16</v>
      </c>
      <c r="E186" s="116">
        <f>(0.4*0.4*1.6)*6</f>
        <v>1.5360000000000005</v>
      </c>
      <c r="F186" s="135"/>
      <c r="G186" s="118"/>
      <c r="H186" s="119"/>
      <c r="I186" s="119"/>
      <c r="J186" s="119"/>
      <c r="K186" s="119"/>
      <c r="L186" s="120" t="s">
        <v>198</v>
      </c>
      <c r="M186" s="120"/>
      <c r="N186" s="120"/>
      <c r="O186" s="121">
        <v>2828000</v>
      </c>
      <c r="P186" s="122">
        <f t="shared" si="14"/>
        <v>1.18244</v>
      </c>
      <c r="Q186" s="121">
        <f t="shared" si="15"/>
        <v>5136000</v>
      </c>
      <c r="R186" s="123"/>
      <c r="S186" s="124"/>
      <c r="T186" s="125"/>
      <c r="U186" s="126"/>
      <c r="V186" s="127"/>
    </row>
    <row r="187" spans="1:22" s="128" customFormat="1" ht="41.25" customHeight="1">
      <c r="A187" s="113"/>
      <c r="B187" s="114" t="s">
        <v>159</v>
      </c>
      <c r="C187" s="115" t="s">
        <v>194</v>
      </c>
      <c r="D187" s="114" t="s">
        <v>2</v>
      </c>
      <c r="E187" s="116">
        <f>(12.8*1.6)</f>
        <v>20.480000000000004</v>
      </c>
      <c r="F187" s="135"/>
      <c r="G187" s="118"/>
      <c r="H187" s="119"/>
      <c r="I187" s="119"/>
      <c r="J187" s="119"/>
      <c r="K187" s="119"/>
      <c r="L187" s="120" t="s">
        <v>198</v>
      </c>
      <c r="M187" s="120"/>
      <c r="N187" s="120"/>
      <c r="O187" s="121">
        <f>453000+284000</f>
        <v>737000</v>
      </c>
      <c r="P187" s="122">
        <f>1.03*1.148</f>
        <v>1.18244</v>
      </c>
      <c r="Q187" s="121">
        <f>+ROUND(P187*O187*E187,-3)</f>
        <v>17847000</v>
      </c>
      <c r="R187" s="123"/>
      <c r="S187" s="124"/>
      <c r="T187" s="125"/>
      <c r="U187" s="126"/>
      <c r="V187" s="127"/>
    </row>
    <row r="188" spans="1:22" s="128" customFormat="1" ht="44.25" customHeight="1">
      <c r="A188" s="113"/>
      <c r="B188" s="114" t="s">
        <v>206</v>
      </c>
      <c r="C188" s="115" t="s">
        <v>195</v>
      </c>
      <c r="D188" s="114" t="s">
        <v>2</v>
      </c>
      <c r="E188" s="116">
        <f>(4*4)</f>
        <v>16</v>
      </c>
      <c r="F188" s="135"/>
      <c r="G188" s="118"/>
      <c r="H188" s="119"/>
      <c r="I188" s="119"/>
      <c r="J188" s="119"/>
      <c r="K188" s="119"/>
      <c r="L188" s="120" t="s">
        <v>198</v>
      </c>
      <c r="M188" s="120"/>
      <c r="N188" s="120"/>
      <c r="O188" s="121">
        <f>453000+339000</f>
        <v>792000</v>
      </c>
      <c r="P188" s="122">
        <f t="shared" si="14"/>
        <v>1.18244</v>
      </c>
      <c r="Q188" s="121">
        <f>+ROUND(P188*O188*E188,-3)</f>
        <v>14984000</v>
      </c>
      <c r="R188" s="121"/>
      <c r="S188" s="124"/>
      <c r="T188" s="125"/>
      <c r="U188" s="126"/>
      <c r="V188" s="127"/>
    </row>
    <row r="189" spans="1:22" s="128" customFormat="1" ht="44.25" customHeight="1">
      <c r="A189" s="113"/>
      <c r="B189" s="114" t="s">
        <v>206</v>
      </c>
      <c r="C189" s="115" t="s">
        <v>196</v>
      </c>
      <c r="D189" s="114" t="s">
        <v>2</v>
      </c>
      <c r="E189" s="116">
        <f>(4*3)</f>
        <v>12</v>
      </c>
      <c r="F189" s="135"/>
      <c r="G189" s="118"/>
      <c r="H189" s="119"/>
      <c r="I189" s="119"/>
      <c r="J189" s="119"/>
      <c r="K189" s="119"/>
      <c r="L189" s="120" t="s">
        <v>198</v>
      </c>
      <c r="M189" s="120"/>
      <c r="N189" s="120"/>
      <c r="O189" s="121">
        <f>453000+339000</f>
        <v>792000</v>
      </c>
      <c r="P189" s="122">
        <f t="shared" si="14"/>
        <v>1.18244</v>
      </c>
      <c r="Q189" s="121">
        <f>+ROUND(P189*O189*E189,-3)</f>
        <v>11238000</v>
      </c>
      <c r="R189" s="123" t="s">
        <v>86</v>
      </c>
      <c r="S189" s="124"/>
      <c r="T189" s="125"/>
      <c r="U189" s="126"/>
      <c r="V189" s="127"/>
    </row>
    <row r="190" spans="1:22" s="128" customFormat="1" ht="29.25" customHeight="1">
      <c r="A190" s="113"/>
      <c r="B190" s="142" t="s">
        <v>207</v>
      </c>
      <c r="C190" s="115" t="s">
        <v>197</v>
      </c>
      <c r="D190" s="114" t="s">
        <v>2</v>
      </c>
      <c r="E190" s="116">
        <f>(5.4*0.6)</f>
        <v>3.24</v>
      </c>
      <c r="F190" s="135"/>
      <c r="G190" s="118"/>
      <c r="H190" s="119"/>
      <c r="I190" s="119"/>
      <c r="J190" s="119"/>
      <c r="K190" s="119"/>
      <c r="L190" s="120" t="s">
        <v>198</v>
      </c>
      <c r="M190" s="120"/>
      <c r="N190" s="120"/>
      <c r="O190" s="121">
        <v>396000</v>
      </c>
      <c r="P190" s="122">
        <f t="shared" si="14"/>
        <v>1.18244</v>
      </c>
      <c r="Q190" s="121">
        <f>+ROUND(P190*O190*E190,-3)</f>
        <v>1517000</v>
      </c>
      <c r="R190" s="123"/>
      <c r="S190" s="124"/>
      <c r="T190" s="125"/>
      <c r="U190" s="126"/>
      <c r="V190" s="127"/>
    </row>
    <row r="191" spans="1:18" s="22" customFormat="1" ht="16.5" customHeight="1">
      <c r="A191" s="63"/>
      <c r="B191" s="63"/>
      <c r="C191" s="73" t="s">
        <v>9</v>
      </c>
      <c r="D191" s="63"/>
      <c r="E191" s="56"/>
      <c r="F191" s="63"/>
      <c r="G191" s="63"/>
      <c r="H191" s="63"/>
      <c r="I191" s="295">
        <f>+I192+J192</f>
        <v>57</v>
      </c>
      <c r="J191" s="295"/>
      <c r="K191" s="63"/>
      <c r="L191" s="63"/>
      <c r="M191" s="64"/>
      <c r="N191" s="64"/>
      <c r="O191" s="65"/>
      <c r="P191" s="56"/>
      <c r="Q191" s="57"/>
      <c r="R191" s="103"/>
    </row>
    <row r="192" spans="1:19" s="5" customFormat="1" ht="121.5" customHeight="1">
      <c r="A192" s="118"/>
      <c r="B192" s="114"/>
      <c r="C192" s="115" t="s">
        <v>17</v>
      </c>
      <c r="D192" s="114" t="s">
        <v>2</v>
      </c>
      <c r="E192" s="114"/>
      <c r="F192" s="129">
        <v>16</v>
      </c>
      <c r="G192" s="114">
        <v>1</v>
      </c>
      <c r="H192" s="156">
        <v>291</v>
      </c>
      <c r="I192" s="156"/>
      <c r="J192" s="157">
        <v>57</v>
      </c>
      <c r="K192" s="158">
        <f>H192-J192</f>
        <v>234</v>
      </c>
      <c r="L192" s="159" t="s">
        <v>208</v>
      </c>
      <c r="M192" s="130" t="s">
        <v>19</v>
      </c>
      <c r="N192" s="130"/>
      <c r="O192" s="131">
        <v>36000</v>
      </c>
      <c r="P192" s="134">
        <v>1</v>
      </c>
      <c r="Q192" s="131">
        <f>ROUND(O192*J192*P192,-3)</f>
        <v>2052000</v>
      </c>
      <c r="R192" s="152"/>
      <c r="S192" s="132"/>
    </row>
    <row r="193" spans="1:19" s="23" customFormat="1" ht="13.5">
      <c r="A193" s="49"/>
      <c r="B193" s="50"/>
      <c r="C193" s="80" t="s">
        <v>24</v>
      </c>
      <c r="D193" s="50"/>
      <c r="E193" s="50"/>
      <c r="F193" s="67"/>
      <c r="G193" s="50"/>
      <c r="H193" s="75"/>
      <c r="I193" s="75"/>
      <c r="J193" s="76"/>
      <c r="K193" s="77"/>
      <c r="L193" s="78"/>
      <c r="M193" s="69"/>
      <c r="N193" s="69"/>
      <c r="O193" s="65"/>
      <c r="P193" s="79"/>
      <c r="Q193" s="65"/>
      <c r="R193" s="103"/>
      <c r="S193" s="4"/>
    </row>
    <row r="194" spans="1:19" s="23" customFormat="1" ht="76.5">
      <c r="A194" s="81"/>
      <c r="B194" s="82"/>
      <c r="C194" s="83" t="s">
        <v>18</v>
      </c>
      <c r="D194" s="82"/>
      <c r="E194" s="82"/>
      <c r="F194" s="84"/>
      <c r="G194" s="82"/>
      <c r="H194" s="85"/>
      <c r="I194" s="85"/>
      <c r="J194" s="86">
        <f>+J192</f>
        <v>57</v>
      </c>
      <c r="K194" s="87"/>
      <c r="L194" s="88"/>
      <c r="M194" s="89" t="s">
        <v>251</v>
      </c>
      <c r="N194" s="89"/>
      <c r="O194" s="90">
        <f>3420000+(5%*3000000)</f>
        <v>3570000</v>
      </c>
      <c r="P194" s="95">
        <v>0.5</v>
      </c>
      <c r="Q194" s="90">
        <f>ROUND(O194*J194*P194,-3)</f>
        <v>101745000</v>
      </c>
      <c r="R194" s="104"/>
      <c r="S194" s="4"/>
    </row>
    <row r="195" spans="1:22" s="21" customFormat="1" ht="29.25" customHeight="1">
      <c r="A195" s="38">
        <v>13</v>
      </c>
      <c r="B195" s="38"/>
      <c r="C195" s="93" t="s">
        <v>209</v>
      </c>
      <c r="D195" s="92"/>
      <c r="E195" s="92"/>
      <c r="F195" s="3"/>
      <c r="G195" s="35"/>
      <c r="H195" s="37"/>
      <c r="I195" s="37"/>
      <c r="J195" s="37"/>
      <c r="K195" s="37"/>
      <c r="L195" s="97"/>
      <c r="M195" s="38"/>
      <c r="N195" s="38"/>
      <c r="O195" s="38"/>
      <c r="P195" s="39"/>
      <c r="Q195" s="40">
        <f>SUM(Q197:Q216)</f>
        <v>410014000</v>
      </c>
      <c r="R195" s="41"/>
      <c r="S195" s="8"/>
      <c r="T195" s="9"/>
      <c r="U195" s="10"/>
      <c r="V195" s="20"/>
    </row>
    <row r="196" spans="1:22" s="21" customFormat="1" ht="17.25" customHeight="1">
      <c r="A196" s="46"/>
      <c r="B196" s="46"/>
      <c r="C196" s="111" t="s">
        <v>27</v>
      </c>
      <c r="D196" s="42"/>
      <c r="E196" s="42"/>
      <c r="F196" s="42"/>
      <c r="G196" s="44"/>
      <c r="H196" s="45"/>
      <c r="I196" s="45"/>
      <c r="J196" s="45"/>
      <c r="K196" s="45"/>
      <c r="L196" s="98"/>
      <c r="M196" s="44"/>
      <c r="N196" s="44"/>
      <c r="O196" s="44"/>
      <c r="P196" s="46"/>
      <c r="Q196" s="47"/>
      <c r="R196" s="47"/>
      <c r="S196" s="7"/>
      <c r="T196" s="6"/>
      <c r="U196" s="7"/>
      <c r="V196" s="20"/>
    </row>
    <row r="197" spans="1:22" s="128" customFormat="1" ht="30.75" customHeight="1">
      <c r="A197" s="133"/>
      <c r="B197" s="114" t="s">
        <v>84</v>
      </c>
      <c r="C197" s="115" t="s">
        <v>225</v>
      </c>
      <c r="D197" s="114" t="s">
        <v>2</v>
      </c>
      <c r="E197" s="116">
        <f>(29*3)</f>
        <v>87</v>
      </c>
      <c r="F197" s="135"/>
      <c r="G197" s="118"/>
      <c r="H197" s="119"/>
      <c r="I197" s="119"/>
      <c r="J197" s="119"/>
      <c r="K197" s="119"/>
      <c r="L197" s="120" t="s">
        <v>210</v>
      </c>
      <c r="M197" s="120"/>
      <c r="N197" s="120"/>
      <c r="O197" s="121">
        <v>679000</v>
      </c>
      <c r="P197" s="122">
        <f aca="true" t="shared" si="16" ref="P197:P207">1.03*1.148</f>
        <v>1.18244</v>
      </c>
      <c r="Q197" s="121">
        <f>+ROUND(P197*O197*E197,-3)</f>
        <v>69850000</v>
      </c>
      <c r="R197" s="123"/>
      <c r="S197" s="124"/>
      <c r="T197" s="125"/>
      <c r="U197" s="126"/>
      <c r="V197" s="127"/>
    </row>
    <row r="198" spans="1:22" s="128" customFormat="1" ht="29.25" customHeight="1">
      <c r="A198" s="133"/>
      <c r="B198" s="171" t="s">
        <v>44</v>
      </c>
      <c r="C198" s="115" t="s">
        <v>211</v>
      </c>
      <c r="D198" s="114" t="s">
        <v>16</v>
      </c>
      <c r="E198" s="116">
        <f>0.4*0.4*3.2*8</f>
        <v>4.096000000000001</v>
      </c>
      <c r="F198" s="135"/>
      <c r="G198" s="118"/>
      <c r="H198" s="119"/>
      <c r="I198" s="119"/>
      <c r="J198" s="119"/>
      <c r="K198" s="119"/>
      <c r="L198" s="120" t="s">
        <v>210</v>
      </c>
      <c r="M198" s="120"/>
      <c r="N198" s="120"/>
      <c r="O198" s="121">
        <v>2828000</v>
      </c>
      <c r="P198" s="122">
        <f t="shared" si="16"/>
        <v>1.18244</v>
      </c>
      <c r="Q198" s="121">
        <f>+ROUND(P198*O198*E198,-3)</f>
        <v>13697000</v>
      </c>
      <c r="R198" s="121"/>
      <c r="S198" s="124"/>
      <c r="T198" s="125"/>
      <c r="U198" s="126"/>
      <c r="V198" s="127"/>
    </row>
    <row r="199" spans="1:22" s="128" customFormat="1" ht="45" customHeight="1">
      <c r="A199" s="133"/>
      <c r="B199" s="171" t="s">
        <v>44</v>
      </c>
      <c r="C199" s="115" t="s">
        <v>212</v>
      </c>
      <c r="D199" s="114" t="s">
        <v>16</v>
      </c>
      <c r="E199" s="116">
        <f>(0.5*0.5*4.3)*2+(0.4*0.4*3.6)*2</f>
        <v>3.3020000000000005</v>
      </c>
      <c r="F199" s="135"/>
      <c r="G199" s="118"/>
      <c r="H199" s="119"/>
      <c r="I199" s="119"/>
      <c r="J199" s="119"/>
      <c r="K199" s="119"/>
      <c r="L199" s="120" t="s">
        <v>210</v>
      </c>
      <c r="M199" s="120"/>
      <c r="N199" s="120"/>
      <c r="O199" s="121">
        <v>2828000</v>
      </c>
      <c r="P199" s="122">
        <f t="shared" si="16"/>
        <v>1.18244</v>
      </c>
      <c r="Q199" s="121">
        <f>+ROUND(P199*O199*E199,-3)</f>
        <v>11042000</v>
      </c>
      <c r="R199" s="123"/>
      <c r="S199" s="124"/>
      <c r="T199" s="125"/>
      <c r="U199" s="126"/>
      <c r="V199" s="127"/>
    </row>
    <row r="200" spans="1:22" s="128" customFormat="1" ht="29.25" customHeight="1">
      <c r="A200" s="133"/>
      <c r="B200" s="171" t="s">
        <v>85</v>
      </c>
      <c r="C200" s="115" t="s">
        <v>213</v>
      </c>
      <c r="D200" s="114" t="s">
        <v>2</v>
      </c>
      <c r="E200" s="119">
        <f>(0.5*2.5)*8+(0.4*2.6)*8</f>
        <v>18.32</v>
      </c>
      <c r="F200" s="135"/>
      <c r="G200" s="118"/>
      <c r="H200" s="119"/>
      <c r="I200" s="119"/>
      <c r="J200" s="119"/>
      <c r="K200" s="119"/>
      <c r="L200" s="120" t="s">
        <v>210</v>
      </c>
      <c r="M200" s="120"/>
      <c r="N200" s="120"/>
      <c r="O200" s="121">
        <v>396000</v>
      </c>
      <c r="P200" s="122">
        <f t="shared" si="16"/>
        <v>1.18244</v>
      </c>
      <c r="Q200" s="121">
        <f aca="true" t="shared" si="17" ref="Q200:Q207">+ROUND(P200*O200*E200,-3)</f>
        <v>8578000</v>
      </c>
      <c r="R200" s="123"/>
      <c r="S200" s="124"/>
      <c r="T200" s="125"/>
      <c r="U200" s="126"/>
      <c r="V200" s="127"/>
    </row>
    <row r="201" spans="1:22" s="128" customFormat="1" ht="30" customHeight="1">
      <c r="A201" s="133"/>
      <c r="B201" s="171" t="s">
        <v>226</v>
      </c>
      <c r="C201" s="115" t="s">
        <v>214</v>
      </c>
      <c r="D201" s="114" t="s">
        <v>2</v>
      </c>
      <c r="E201" s="119">
        <f>(0.9*4.5)+(0.7*3.3)</f>
        <v>6.359999999999999</v>
      </c>
      <c r="F201" s="135"/>
      <c r="G201" s="118"/>
      <c r="H201" s="119"/>
      <c r="I201" s="119"/>
      <c r="J201" s="119"/>
      <c r="K201" s="119"/>
      <c r="L201" s="120" t="s">
        <v>210</v>
      </c>
      <c r="M201" s="120"/>
      <c r="N201" s="120"/>
      <c r="O201" s="121">
        <v>1964000</v>
      </c>
      <c r="P201" s="122">
        <f t="shared" si="16"/>
        <v>1.18244</v>
      </c>
      <c r="Q201" s="121">
        <f t="shared" si="17"/>
        <v>14770000</v>
      </c>
      <c r="R201" s="123"/>
      <c r="S201" s="124"/>
      <c r="T201" s="125"/>
      <c r="U201" s="126"/>
      <c r="V201" s="127"/>
    </row>
    <row r="202" spans="1:22" s="128" customFormat="1" ht="29.25" customHeight="1">
      <c r="A202" s="133"/>
      <c r="B202" s="142" t="s">
        <v>227</v>
      </c>
      <c r="C202" s="115" t="s">
        <v>215</v>
      </c>
      <c r="D202" s="114" t="s">
        <v>2</v>
      </c>
      <c r="E202" s="119">
        <f>(3.2*2.6)+(2.4*2.1)</f>
        <v>13.36</v>
      </c>
      <c r="F202" s="135"/>
      <c r="G202" s="118"/>
      <c r="H202" s="119"/>
      <c r="I202" s="119"/>
      <c r="J202" s="119"/>
      <c r="K202" s="119"/>
      <c r="L202" s="120" t="s">
        <v>210</v>
      </c>
      <c r="M202" s="120"/>
      <c r="N202" s="120"/>
      <c r="O202" s="121">
        <v>679000</v>
      </c>
      <c r="P202" s="122">
        <f t="shared" si="16"/>
        <v>1.18244</v>
      </c>
      <c r="Q202" s="121">
        <f t="shared" si="17"/>
        <v>10726000</v>
      </c>
      <c r="R202" s="123"/>
      <c r="S202" s="124"/>
      <c r="T202" s="125"/>
      <c r="U202" s="126"/>
      <c r="V202" s="127"/>
    </row>
    <row r="203" spans="1:22" s="128" customFormat="1" ht="31.5" customHeight="1">
      <c r="A203" s="133"/>
      <c r="B203" s="142" t="s">
        <v>228</v>
      </c>
      <c r="C203" s="115" t="s">
        <v>216</v>
      </c>
      <c r="D203" s="114" t="s">
        <v>2</v>
      </c>
      <c r="E203" s="119">
        <f>(1.6*2.4)</f>
        <v>3.84</v>
      </c>
      <c r="F203" s="135"/>
      <c r="G203" s="118"/>
      <c r="H203" s="119"/>
      <c r="I203" s="119"/>
      <c r="J203" s="119"/>
      <c r="K203" s="119"/>
      <c r="L203" s="120" t="s">
        <v>210</v>
      </c>
      <c r="M203" s="120"/>
      <c r="N203" s="120"/>
      <c r="O203" s="121">
        <f>755000</f>
        <v>755000</v>
      </c>
      <c r="P203" s="122">
        <f t="shared" si="16"/>
        <v>1.18244</v>
      </c>
      <c r="Q203" s="121">
        <f t="shared" si="17"/>
        <v>3428000</v>
      </c>
      <c r="R203" s="123"/>
      <c r="S203" s="124"/>
      <c r="T203" s="125"/>
      <c r="U203" s="126"/>
      <c r="V203" s="127"/>
    </row>
    <row r="204" spans="1:22" s="128" customFormat="1" ht="29.25" customHeight="1">
      <c r="A204" s="133"/>
      <c r="B204" s="142" t="s">
        <v>100</v>
      </c>
      <c r="C204" s="115" t="s">
        <v>217</v>
      </c>
      <c r="D204" s="114" t="s">
        <v>2</v>
      </c>
      <c r="E204" s="119">
        <f>(18*3.4)-((2.1*2.1)*3)</f>
        <v>47.97</v>
      </c>
      <c r="F204" s="135"/>
      <c r="G204" s="118"/>
      <c r="H204" s="119"/>
      <c r="I204" s="119"/>
      <c r="J204" s="119"/>
      <c r="K204" s="119"/>
      <c r="L204" s="120" t="s">
        <v>210</v>
      </c>
      <c r="M204" s="120"/>
      <c r="N204" s="120"/>
      <c r="O204" s="121">
        <v>284000</v>
      </c>
      <c r="P204" s="122">
        <f t="shared" si="16"/>
        <v>1.18244</v>
      </c>
      <c r="Q204" s="121">
        <f t="shared" si="17"/>
        <v>16109000</v>
      </c>
      <c r="R204" s="123"/>
      <c r="S204" s="124"/>
      <c r="T204" s="125"/>
      <c r="U204" s="126"/>
      <c r="V204" s="127"/>
    </row>
    <row r="205" spans="1:22" s="128" customFormat="1" ht="30.75" customHeight="1">
      <c r="A205" s="133"/>
      <c r="B205" s="133" t="s">
        <v>229</v>
      </c>
      <c r="C205" s="115" t="s">
        <v>218</v>
      </c>
      <c r="D205" s="114" t="s">
        <v>16</v>
      </c>
      <c r="E205" s="116">
        <f>(7.2*0.7*0.15)*3+(0.45*0.5*0.15)</f>
        <v>2.3017499999999997</v>
      </c>
      <c r="F205" s="135"/>
      <c r="G205" s="118"/>
      <c r="H205" s="119"/>
      <c r="I205" s="119"/>
      <c r="J205" s="119"/>
      <c r="K205" s="119"/>
      <c r="L205" s="120" t="s">
        <v>210</v>
      </c>
      <c r="M205" s="120"/>
      <c r="N205" s="120"/>
      <c r="O205" s="121">
        <v>1000000</v>
      </c>
      <c r="P205" s="122">
        <f t="shared" si="16"/>
        <v>1.18244</v>
      </c>
      <c r="Q205" s="121">
        <f t="shared" si="17"/>
        <v>2722000</v>
      </c>
      <c r="R205" s="123"/>
      <c r="S205" s="124"/>
      <c r="T205" s="125"/>
      <c r="U205" s="126"/>
      <c r="V205" s="127"/>
    </row>
    <row r="206" spans="1:22" s="128" customFormat="1" ht="29.25" customHeight="1">
      <c r="A206" s="133"/>
      <c r="B206" s="142" t="s">
        <v>151</v>
      </c>
      <c r="C206" s="115" t="s">
        <v>219</v>
      </c>
      <c r="D206" s="114" t="s">
        <v>2</v>
      </c>
      <c r="E206" s="119">
        <f>(12*3.1)</f>
        <v>37.2</v>
      </c>
      <c r="F206" s="135"/>
      <c r="G206" s="118"/>
      <c r="H206" s="119"/>
      <c r="I206" s="119"/>
      <c r="J206" s="119"/>
      <c r="K206" s="119"/>
      <c r="L206" s="120" t="s">
        <v>210</v>
      </c>
      <c r="M206" s="120"/>
      <c r="N206" s="120"/>
      <c r="O206" s="121">
        <v>339000</v>
      </c>
      <c r="P206" s="122">
        <f t="shared" si="16"/>
        <v>1.18244</v>
      </c>
      <c r="Q206" s="121">
        <f t="shared" si="17"/>
        <v>14912000</v>
      </c>
      <c r="R206" s="121"/>
      <c r="S206" s="124"/>
      <c r="T206" s="125"/>
      <c r="U206" s="126"/>
      <c r="V206" s="127"/>
    </row>
    <row r="207" spans="1:22" s="128" customFormat="1" ht="31.5" customHeight="1">
      <c r="A207" s="133"/>
      <c r="B207" s="114" t="s">
        <v>45</v>
      </c>
      <c r="C207" s="115" t="s">
        <v>220</v>
      </c>
      <c r="D207" s="114" t="s">
        <v>2</v>
      </c>
      <c r="E207" s="119">
        <f>(4.5*1)</f>
        <v>4.5</v>
      </c>
      <c r="F207" s="135"/>
      <c r="G207" s="118"/>
      <c r="H207" s="119"/>
      <c r="I207" s="119"/>
      <c r="J207" s="119"/>
      <c r="K207" s="119"/>
      <c r="L207" s="120" t="s">
        <v>210</v>
      </c>
      <c r="M207" s="120"/>
      <c r="N207" s="120"/>
      <c r="O207" s="121">
        <v>792000</v>
      </c>
      <c r="P207" s="122">
        <f t="shared" si="16"/>
        <v>1.18244</v>
      </c>
      <c r="Q207" s="121">
        <f t="shared" si="17"/>
        <v>4214000</v>
      </c>
      <c r="R207" s="123"/>
      <c r="S207" s="124"/>
      <c r="T207" s="125"/>
      <c r="U207" s="126"/>
      <c r="V207" s="127"/>
    </row>
    <row r="208" spans="1:22" s="128" customFormat="1" ht="24.75" customHeight="1">
      <c r="A208" s="133"/>
      <c r="B208" s="114" t="s">
        <v>46</v>
      </c>
      <c r="C208" s="115" t="s">
        <v>221</v>
      </c>
      <c r="D208" s="114" t="s">
        <v>2</v>
      </c>
      <c r="E208" s="119">
        <f>(4.5*1)</f>
        <v>4.5</v>
      </c>
      <c r="F208" s="135"/>
      <c r="G208" s="118"/>
      <c r="H208" s="119"/>
      <c r="I208" s="119"/>
      <c r="J208" s="119"/>
      <c r="K208" s="119"/>
      <c r="L208" s="120" t="s">
        <v>210</v>
      </c>
      <c r="M208" s="120"/>
      <c r="N208" s="120"/>
      <c r="O208" s="121">
        <v>11000</v>
      </c>
      <c r="P208" s="122">
        <f>1.03*1.148</f>
        <v>1.18244</v>
      </c>
      <c r="Q208" s="121">
        <f>+ROUND(P208*O208*E208,-3)</f>
        <v>59000</v>
      </c>
      <c r="R208" s="123"/>
      <c r="S208" s="124"/>
      <c r="T208" s="125"/>
      <c r="U208" s="126"/>
      <c r="V208" s="127"/>
    </row>
    <row r="209" spans="1:22" s="128" customFormat="1" ht="24.75" customHeight="1">
      <c r="A209" s="133"/>
      <c r="B209" s="133"/>
      <c r="C209" s="115" t="s">
        <v>79</v>
      </c>
      <c r="D209" s="114" t="s">
        <v>80</v>
      </c>
      <c r="E209" s="116">
        <v>4</v>
      </c>
      <c r="F209" s="135"/>
      <c r="G209" s="118"/>
      <c r="H209" s="119"/>
      <c r="I209" s="119"/>
      <c r="J209" s="119"/>
      <c r="K209" s="119"/>
      <c r="L209" s="120"/>
      <c r="M209" s="120"/>
      <c r="N209" s="120"/>
      <c r="O209" s="121">
        <v>53260</v>
      </c>
      <c r="P209" s="134">
        <v>1</v>
      </c>
      <c r="Q209" s="121">
        <f>+ROUND(P209*O209*E209,-3)</f>
        <v>213000</v>
      </c>
      <c r="R209" s="121"/>
      <c r="S209" s="124"/>
      <c r="T209" s="125"/>
      <c r="U209" s="126"/>
      <c r="V209" s="127"/>
    </row>
    <row r="210" spans="1:22" s="128" customFormat="1" ht="24.75" customHeight="1">
      <c r="A210" s="133"/>
      <c r="B210" s="133"/>
      <c r="C210" s="115" t="s">
        <v>222</v>
      </c>
      <c r="D210" s="114" t="s">
        <v>11</v>
      </c>
      <c r="E210" s="119">
        <v>5</v>
      </c>
      <c r="F210" s="135"/>
      <c r="G210" s="118"/>
      <c r="H210" s="119"/>
      <c r="I210" s="119"/>
      <c r="J210" s="119"/>
      <c r="K210" s="119"/>
      <c r="L210" s="120"/>
      <c r="M210" s="120"/>
      <c r="N210" s="120"/>
      <c r="O210" s="121">
        <v>1065100</v>
      </c>
      <c r="P210" s="134">
        <v>1</v>
      </c>
      <c r="Q210" s="121">
        <f>+ROUND(P210*O210*E210,-3)</f>
        <v>5326000</v>
      </c>
      <c r="R210" s="123"/>
      <c r="S210" s="124"/>
      <c r="T210" s="125"/>
      <c r="U210" s="126"/>
      <c r="V210" s="127"/>
    </row>
    <row r="211" spans="1:22" s="128" customFormat="1" ht="24.75" customHeight="1">
      <c r="A211" s="133"/>
      <c r="B211" s="133"/>
      <c r="C211" s="115" t="s">
        <v>223</v>
      </c>
      <c r="D211" s="114" t="s">
        <v>11</v>
      </c>
      <c r="E211" s="119">
        <v>1</v>
      </c>
      <c r="F211" s="135"/>
      <c r="G211" s="118"/>
      <c r="H211" s="119"/>
      <c r="I211" s="119"/>
      <c r="J211" s="119"/>
      <c r="K211" s="119"/>
      <c r="L211" s="120"/>
      <c r="M211" s="120"/>
      <c r="N211" s="120"/>
      <c r="O211" s="121">
        <v>35850</v>
      </c>
      <c r="P211" s="134">
        <v>1</v>
      </c>
      <c r="Q211" s="121">
        <f>+ROUND(P211*O211*E211,-3)</f>
        <v>36000</v>
      </c>
      <c r="R211" s="123"/>
      <c r="S211" s="124"/>
      <c r="T211" s="125"/>
      <c r="U211" s="126"/>
      <c r="V211" s="127"/>
    </row>
    <row r="212" spans="1:18" s="141" customFormat="1" ht="24.75" customHeight="1">
      <c r="A212" s="133"/>
      <c r="B212" s="133"/>
      <c r="C212" s="115" t="s">
        <v>224</v>
      </c>
      <c r="D212" s="114" t="s">
        <v>11</v>
      </c>
      <c r="E212" s="119">
        <v>1</v>
      </c>
      <c r="F212" s="172"/>
      <c r="G212" s="114"/>
      <c r="H212" s="119"/>
      <c r="I212" s="119"/>
      <c r="J212" s="173"/>
      <c r="K212" s="119"/>
      <c r="L212" s="174"/>
      <c r="M212" s="140"/>
      <c r="N212" s="140"/>
      <c r="O212" s="131">
        <v>84140</v>
      </c>
      <c r="P212" s="134">
        <v>1</v>
      </c>
      <c r="Q212" s="121">
        <f>+ROUND(P212*O212*E212,-3)</f>
        <v>84000</v>
      </c>
      <c r="R212" s="152"/>
    </row>
    <row r="213" spans="1:18" s="22" customFormat="1" ht="16.5" customHeight="1">
      <c r="A213" s="63"/>
      <c r="B213" s="63"/>
      <c r="C213" s="73" t="s">
        <v>9</v>
      </c>
      <c r="D213" s="63"/>
      <c r="E213" s="56"/>
      <c r="F213" s="63"/>
      <c r="G213" s="63"/>
      <c r="H213" s="63"/>
      <c r="I213" s="295">
        <f>+I214+J214</f>
        <v>178.9</v>
      </c>
      <c r="J213" s="295"/>
      <c r="K213" s="63"/>
      <c r="L213" s="63"/>
      <c r="M213" s="64"/>
      <c r="N213" s="64"/>
      <c r="O213" s="65"/>
      <c r="P213" s="56"/>
      <c r="Q213" s="57"/>
      <c r="R213" s="103"/>
    </row>
    <row r="214" spans="1:19" s="5" customFormat="1" ht="121.5" customHeight="1">
      <c r="A214" s="118"/>
      <c r="B214" s="114"/>
      <c r="C214" s="115" t="s">
        <v>17</v>
      </c>
      <c r="D214" s="114" t="s">
        <v>2</v>
      </c>
      <c r="E214" s="114"/>
      <c r="F214" s="129">
        <v>36</v>
      </c>
      <c r="G214" s="114">
        <v>1</v>
      </c>
      <c r="H214" s="156">
        <v>1071</v>
      </c>
      <c r="I214" s="156">
        <v>51</v>
      </c>
      <c r="J214" s="157">
        <v>127.9</v>
      </c>
      <c r="K214" s="158">
        <f>H214-J214-I214</f>
        <v>892.1</v>
      </c>
      <c r="L214" s="159" t="s">
        <v>230</v>
      </c>
      <c r="M214" s="130" t="s">
        <v>19</v>
      </c>
      <c r="N214" s="130"/>
      <c r="O214" s="131">
        <v>36000</v>
      </c>
      <c r="P214" s="134">
        <v>1</v>
      </c>
      <c r="Q214" s="131">
        <f>ROUND(O214*J214*P214,-3)</f>
        <v>4604000</v>
      </c>
      <c r="R214" s="152"/>
      <c r="S214" s="132"/>
    </row>
    <row r="215" spans="1:19" s="23" customFormat="1" ht="13.5">
      <c r="A215" s="49"/>
      <c r="B215" s="50"/>
      <c r="C215" s="80" t="s">
        <v>24</v>
      </c>
      <c r="D215" s="50"/>
      <c r="E215" s="50"/>
      <c r="F215" s="67"/>
      <c r="G215" s="50"/>
      <c r="H215" s="75"/>
      <c r="I215" s="75"/>
      <c r="J215" s="76"/>
      <c r="K215" s="77"/>
      <c r="L215" s="78"/>
      <c r="M215" s="69"/>
      <c r="N215" s="69"/>
      <c r="O215" s="65"/>
      <c r="P215" s="79"/>
      <c r="Q215" s="65"/>
      <c r="R215" s="103"/>
      <c r="S215" s="4"/>
    </row>
    <row r="216" spans="1:19" s="23" customFormat="1" ht="89.25">
      <c r="A216" s="81"/>
      <c r="B216" s="82"/>
      <c r="C216" s="83" t="s">
        <v>18</v>
      </c>
      <c r="D216" s="82"/>
      <c r="E216" s="82"/>
      <c r="F216" s="84"/>
      <c r="G216" s="82"/>
      <c r="H216" s="85"/>
      <c r="I216" s="85"/>
      <c r="J216" s="86">
        <f>+J214</f>
        <v>127.9</v>
      </c>
      <c r="K216" s="87"/>
      <c r="L216" s="88"/>
      <c r="M216" s="89" t="s">
        <v>231</v>
      </c>
      <c r="N216" s="89"/>
      <c r="O216" s="90">
        <f>3420000+(5%*3420000)</f>
        <v>3591000</v>
      </c>
      <c r="P216" s="95">
        <v>0.5</v>
      </c>
      <c r="Q216" s="90">
        <f>ROUND(O216*J216*P216,-3)</f>
        <v>229644000</v>
      </c>
      <c r="R216" s="104"/>
      <c r="S216" s="4"/>
    </row>
    <row r="217" spans="1:22" s="21" customFormat="1" ht="29.25" customHeight="1">
      <c r="A217" s="38">
        <v>14</v>
      </c>
      <c r="B217" s="38"/>
      <c r="C217" s="93" t="s">
        <v>235</v>
      </c>
      <c r="D217" s="92"/>
      <c r="E217" s="92"/>
      <c r="F217" s="3"/>
      <c r="G217" s="35"/>
      <c r="H217" s="37"/>
      <c r="I217" s="37"/>
      <c r="J217" s="37"/>
      <c r="K217" s="37"/>
      <c r="L217" s="97"/>
      <c r="M217" s="38"/>
      <c r="N217" s="38"/>
      <c r="O217" s="38"/>
      <c r="P217" s="39"/>
      <c r="Q217" s="40">
        <f>SUM(Q219:Q223)</f>
        <v>21535000</v>
      </c>
      <c r="R217" s="41"/>
      <c r="S217" s="8"/>
      <c r="T217" s="9"/>
      <c r="U217" s="10"/>
      <c r="V217" s="20"/>
    </row>
    <row r="218" spans="1:22" s="21" customFormat="1" ht="21" customHeight="1">
      <c r="A218" s="46"/>
      <c r="B218" s="46"/>
      <c r="C218" s="302" t="s">
        <v>232</v>
      </c>
      <c r="D218" s="302"/>
      <c r="E218" s="302"/>
      <c r="F218" s="42"/>
      <c r="G218" s="44"/>
      <c r="H218" s="45"/>
      <c r="I218" s="45"/>
      <c r="J218" s="45"/>
      <c r="K218" s="45"/>
      <c r="L218" s="98"/>
      <c r="M218" s="44"/>
      <c r="N218" s="44"/>
      <c r="O218" s="44"/>
      <c r="P218" s="46"/>
      <c r="Q218" s="47"/>
      <c r="R218" s="47"/>
      <c r="S218" s="7"/>
      <c r="T218" s="6"/>
      <c r="U218" s="7"/>
      <c r="V218" s="20"/>
    </row>
    <row r="219" spans="1:18" s="22" customFormat="1" ht="16.5" customHeight="1">
      <c r="A219" s="63"/>
      <c r="B219" s="63"/>
      <c r="C219" s="73" t="s">
        <v>9</v>
      </c>
      <c r="D219" s="63"/>
      <c r="E219" s="56"/>
      <c r="F219" s="63"/>
      <c r="G219" s="63"/>
      <c r="H219" s="63"/>
      <c r="I219" s="295">
        <f>+I220+J220</f>
        <v>3.5</v>
      </c>
      <c r="J219" s="295"/>
      <c r="K219" s="63"/>
      <c r="L219" s="63"/>
      <c r="M219" s="64"/>
      <c r="N219" s="64"/>
      <c r="O219" s="65"/>
      <c r="P219" s="56"/>
      <c r="Q219" s="57"/>
      <c r="R219" s="103"/>
    </row>
    <row r="220" spans="1:19" s="5" customFormat="1" ht="140.25">
      <c r="A220" s="118"/>
      <c r="B220" s="114"/>
      <c r="C220" s="115" t="s">
        <v>17</v>
      </c>
      <c r="D220" s="114" t="s">
        <v>2</v>
      </c>
      <c r="E220" s="114"/>
      <c r="F220" s="129">
        <v>30</v>
      </c>
      <c r="G220" s="114">
        <v>1</v>
      </c>
      <c r="H220" s="156">
        <v>104.1</v>
      </c>
      <c r="I220" s="156"/>
      <c r="J220" s="157">
        <v>3.5</v>
      </c>
      <c r="K220" s="158">
        <f>H220-J220-I220</f>
        <v>100.6</v>
      </c>
      <c r="L220" s="159" t="s">
        <v>233</v>
      </c>
      <c r="M220" s="130" t="s">
        <v>19</v>
      </c>
      <c r="N220" s="130"/>
      <c r="O220" s="131">
        <v>36000</v>
      </c>
      <c r="P220" s="134">
        <v>1</v>
      </c>
      <c r="Q220" s="131">
        <f>ROUND(O220*J220*P220,-3)</f>
        <v>126000</v>
      </c>
      <c r="R220" s="152"/>
      <c r="S220" s="132"/>
    </row>
    <row r="221" spans="1:19" s="23" customFormat="1" ht="13.5">
      <c r="A221" s="49"/>
      <c r="B221" s="50"/>
      <c r="C221" s="80" t="s">
        <v>24</v>
      </c>
      <c r="D221" s="50"/>
      <c r="E221" s="50"/>
      <c r="F221" s="67"/>
      <c r="G221" s="50"/>
      <c r="H221" s="75"/>
      <c r="I221" s="75"/>
      <c r="J221" s="76"/>
      <c r="K221" s="77"/>
      <c r="L221" s="78"/>
      <c r="M221" s="69"/>
      <c r="N221" s="69"/>
      <c r="O221" s="65"/>
      <c r="P221" s="79"/>
      <c r="Q221" s="65"/>
      <c r="R221" s="103"/>
      <c r="S221" s="4"/>
    </row>
    <row r="222" spans="1:19" s="23" customFormat="1" ht="42" customHeight="1">
      <c r="A222" s="49"/>
      <c r="B222" s="50"/>
      <c r="C222" s="106" t="s">
        <v>18</v>
      </c>
      <c r="D222" s="50"/>
      <c r="E222" s="50"/>
      <c r="F222" s="67"/>
      <c r="G222" s="50"/>
      <c r="H222" s="75"/>
      <c r="I222" s="75"/>
      <c r="J222" s="112">
        <f>+J220</f>
        <v>3.5</v>
      </c>
      <c r="K222" s="77"/>
      <c r="L222" s="78"/>
      <c r="M222" s="69" t="s">
        <v>48</v>
      </c>
      <c r="N222" s="69"/>
      <c r="O222" s="65">
        <f>3420000</f>
        <v>3420000</v>
      </c>
      <c r="P222" s="56">
        <v>0.5</v>
      </c>
      <c r="Q222" s="65">
        <f>ROUND(O222*J222*P222,-3)</f>
        <v>5985000</v>
      </c>
      <c r="R222" s="101"/>
      <c r="S222" s="4"/>
    </row>
    <row r="223" spans="1:19" s="23" customFormat="1" ht="131.25" customHeight="1">
      <c r="A223" s="153"/>
      <c r="B223" s="144"/>
      <c r="C223" s="143" t="s">
        <v>26</v>
      </c>
      <c r="D223" s="144" t="s">
        <v>2</v>
      </c>
      <c r="E223" s="144"/>
      <c r="F223" s="145">
        <v>31</v>
      </c>
      <c r="G223" s="144">
        <v>1</v>
      </c>
      <c r="H223" s="146">
        <v>99.5</v>
      </c>
      <c r="I223" s="146"/>
      <c r="J223" s="147">
        <v>4.1</v>
      </c>
      <c r="K223" s="148">
        <f>H223-J223-I223</f>
        <v>95.4</v>
      </c>
      <c r="L223" s="149" t="s">
        <v>234</v>
      </c>
      <c r="M223" s="150" t="s">
        <v>48</v>
      </c>
      <c r="N223" s="150"/>
      <c r="O223" s="151">
        <f>3420000</f>
        <v>3420000</v>
      </c>
      <c r="P223" s="154">
        <v>1.1</v>
      </c>
      <c r="Q223" s="151">
        <f>ROUND(O223*J223*P223,-3)</f>
        <v>15424000</v>
      </c>
      <c r="R223" s="155"/>
      <c r="S223" s="4"/>
    </row>
    <row r="224" spans="1:22" s="21" customFormat="1" ht="29.25" customHeight="1">
      <c r="A224" s="38">
        <v>15</v>
      </c>
      <c r="B224" s="38"/>
      <c r="C224" s="93" t="s">
        <v>236</v>
      </c>
      <c r="D224" s="92"/>
      <c r="E224" s="92"/>
      <c r="F224" s="3"/>
      <c r="G224" s="35"/>
      <c r="H224" s="37"/>
      <c r="I224" s="37"/>
      <c r="J224" s="37"/>
      <c r="K224" s="37"/>
      <c r="L224" s="97"/>
      <c r="M224" s="38"/>
      <c r="N224" s="38"/>
      <c r="O224" s="38"/>
      <c r="P224" s="39"/>
      <c r="Q224" s="40">
        <f>SUM(Q226:Q232)</f>
        <v>73488000</v>
      </c>
      <c r="R224" s="41"/>
      <c r="S224" s="8"/>
      <c r="T224" s="9"/>
      <c r="U224" s="10"/>
      <c r="V224" s="20"/>
    </row>
    <row r="225" spans="1:22" s="21" customFormat="1" ht="17.25" customHeight="1">
      <c r="A225" s="46"/>
      <c r="B225" s="46"/>
      <c r="C225" s="111" t="s">
        <v>27</v>
      </c>
      <c r="D225" s="42"/>
      <c r="E225" s="42"/>
      <c r="F225" s="42"/>
      <c r="G225" s="44"/>
      <c r="H225" s="45"/>
      <c r="I225" s="45"/>
      <c r="J225" s="45"/>
      <c r="K225" s="45"/>
      <c r="L225" s="98"/>
      <c r="M225" s="44"/>
      <c r="N225" s="44"/>
      <c r="O225" s="44"/>
      <c r="P225" s="46"/>
      <c r="Q225" s="47"/>
      <c r="R225" s="47"/>
      <c r="S225" s="7"/>
      <c r="T225" s="6"/>
      <c r="U225" s="7"/>
      <c r="V225" s="20"/>
    </row>
    <row r="226" spans="1:22" s="128" customFormat="1" ht="28.5" customHeight="1">
      <c r="A226" s="133"/>
      <c r="B226" s="142" t="s">
        <v>100</v>
      </c>
      <c r="C226" s="115" t="s">
        <v>237</v>
      </c>
      <c r="D226" s="114" t="s">
        <v>2</v>
      </c>
      <c r="E226" s="116">
        <f>(9*3)+(0.8*9)</f>
        <v>34.2</v>
      </c>
      <c r="F226" s="135"/>
      <c r="G226" s="118"/>
      <c r="H226" s="119"/>
      <c r="I226" s="119"/>
      <c r="J226" s="119"/>
      <c r="K226" s="119"/>
      <c r="L226" s="120" t="s">
        <v>238</v>
      </c>
      <c r="M226" s="120"/>
      <c r="N226" s="120"/>
      <c r="O226" s="121">
        <v>284000</v>
      </c>
      <c r="P226" s="122">
        <f>1.03*1.148</f>
        <v>1.18244</v>
      </c>
      <c r="Q226" s="121">
        <f>+ROUND(P226*O226*E226,-3)</f>
        <v>11485000</v>
      </c>
      <c r="R226" s="123"/>
      <c r="S226" s="124"/>
      <c r="T226" s="125"/>
      <c r="U226" s="126"/>
      <c r="V226" s="127"/>
    </row>
    <row r="227" spans="1:22" s="128" customFormat="1" ht="42" customHeight="1">
      <c r="A227" s="133"/>
      <c r="B227" s="171" t="s">
        <v>44</v>
      </c>
      <c r="C227" s="115" t="s">
        <v>239</v>
      </c>
      <c r="D227" s="114" t="s">
        <v>16</v>
      </c>
      <c r="E227" s="116">
        <f>(0.1*0.1*3.2)*5+(0.1*0.1*2.1)*1</f>
        <v>0.18100000000000005</v>
      </c>
      <c r="F227" s="135"/>
      <c r="G227" s="118"/>
      <c r="H227" s="119"/>
      <c r="I227" s="119"/>
      <c r="J227" s="119"/>
      <c r="K227" s="119"/>
      <c r="L227" s="120" t="s">
        <v>238</v>
      </c>
      <c r="M227" s="120"/>
      <c r="N227" s="120"/>
      <c r="O227" s="121">
        <v>2828000</v>
      </c>
      <c r="P227" s="122">
        <f>1.03*1.148</f>
        <v>1.18244</v>
      </c>
      <c r="Q227" s="121">
        <f>+ROUND(P227*O227*E227,-3)</f>
        <v>605000</v>
      </c>
      <c r="R227" s="121"/>
      <c r="S227" s="124"/>
      <c r="T227" s="125"/>
      <c r="U227" s="126"/>
      <c r="V227" s="127"/>
    </row>
    <row r="228" spans="1:22" s="128" customFormat="1" ht="33.75" customHeight="1">
      <c r="A228" s="133"/>
      <c r="B228" s="114" t="s">
        <v>45</v>
      </c>
      <c r="C228" s="115" t="s">
        <v>240</v>
      </c>
      <c r="D228" s="114" t="s">
        <v>2</v>
      </c>
      <c r="E228" s="116">
        <f>(0.4*1.7)</f>
        <v>0.68</v>
      </c>
      <c r="F228" s="135"/>
      <c r="G228" s="118"/>
      <c r="H228" s="119"/>
      <c r="I228" s="119"/>
      <c r="J228" s="119"/>
      <c r="K228" s="119"/>
      <c r="L228" s="120" t="s">
        <v>238</v>
      </c>
      <c r="M228" s="120"/>
      <c r="N228" s="120"/>
      <c r="O228" s="121">
        <v>792000</v>
      </c>
      <c r="P228" s="122">
        <f>1.03*1.148</f>
        <v>1.18244</v>
      </c>
      <c r="Q228" s="121">
        <f>+ROUND(P228*O228*E228,-3)</f>
        <v>637000</v>
      </c>
      <c r="R228" s="123"/>
      <c r="S228" s="124"/>
      <c r="T228" s="125"/>
      <c r="U228" s="126"/>
      <c r="V228" s="127"/>
    </row>
    <row r="229" spans="1:18" s="22" customFormat="1" ht="16.5" customHeight="1">
      <c r="A229" s="63"/>
      <c r="B229" s="63"/>
      <c r="C229" s="73" t="s">
        <v>9</v>
      </c>
      <c r="D229" s="63"/>
      <c r="E229" s="56"/>
      <c r="F229" s="63"/>
      <c r="G229" s="63"/>
      <c r="H229" s="63"/>
      <c r="I229" s="295">
        <f>+I230+J230</f>
        <v>44.699999999999996</v>
      </c>
      <c r="J229" s="295"/>
      <c r="K229" s="63"/>
      <c r="L229" s="63"/>
      <c r="M229" s="64"/>
      <c r="N229" s="64"/>
      <c r="O229" s="65"/>
      <c r="P229" s="56"/>
      <c r="Q229" s="57"/>
      <c r="R229" s="103"/>
    </row>
    <row r="230" spans="1:19" s="23" customFormat="1" ht="121.5" customHeight="1">
      <c r="A230" s="118"/>
      <c r="B230" s="114"/>
      <c r="C230" s="115" t="s">
        <v>26</v>
      </c>
      <c r="D230" s="114" t="s">
        <v>2</v>
      </c>
      <c r="E230" s="114"/>
      <c r="F230" s="129">
        <v>26</v>
      </c>
      <c r="G230" s="114">
        <v>1</v>
      </c>
      <c r="H230" s="156">
        <v>709</v>
      </c>
      <c r="I230" s="156">
        <v>9.9</v>
      </c>
      <c r="J230" s="157">
        <v>34.8</v>
      </c>
      <c r="K230" s="158">
        <f>H230-J230-I230</f>
        <v>664.3000000000001</v>
      </c>
      <c r="L230" s="159" t="s">
        <v>241</v>
      </c>
      <c r="M230" s="130" t="s">
        <v>19</v>
      </c>
      <c r="N230" s="130"/>
      <c r="O230" s="131">
        <v>36000</v>
      </c>
      <c r="P230" s="134">
        <v>1</v>
      </c>
      <c r="Q230" s="131">
        <f>ROUND(O230*J230*P230,-3)</f>
        <v>1253000</v>
      </c>
      <c r="R230" s="152"/>
      <c r="S230" s="4"/>
    </row>
    <row r="231" spans="1:19" s="23" customFormat="1" ht="13.5">
      <c r="A231" s="49"/>
      <c r="B231" s="50"/>
      <c r="C231" s="80" t="s">
        <v>24</v>
      </c>
      <c r="D231" s="50"/>
      <c r="E231" s="50"/>
      <c r="F231" s="67"/>
      <c r="G231" s="50"/>
      <c r="H231" s="75"/>
      <c r="I231" s="75"/>
      <c r="J231" s="76"/>
      <c r="K231" s="77"/>
      <c r="L231" s="78"/>
      <c r="M231" s="69"/>
      <c r="N231" s="69"/>
      <c r="O231" s="65"/>
      <c r="P231" s="79"/>
      <c r="Q231" s="65"/>
      <c r="R231" s="103"/>
      <c r="S231" s="4"/>
    </row>
    <row r="232" spans="1:19" s="23" customFormat="1" ht="40.5" customHeight="1">
      <c r="A232" s="81"/>
      <c r="B232" s="82"/>
      <c r="C232" s="83" t="s">
        <v>18</v>
      </c>
      <c r="D232" s="82"/>
      <c r="E232" s="82"/>
      <c r="F232" s="84"/>
      <c r="G232" s="82"/>
      <c r="H232" s="85"/>
      <c r="I232" s="85"/>
      <c r="J232" s="86">
        <f>+J230</f>
        <v>34.8</v>
      </c>
      <c r="K232" s="87"/>
      <c r="L232" s="88"/>
      <c r="M232" s="89" t="s">
        <v>82</v>
      </c>
      <c r="N232" s="89"/>
      <c r="O232" s="90">
        <v>3420000</v>
      </c>
      <c r="P232" s="95">
        <v>0.5</v>
      </c>
      <c r="Q232" s="90">
        <f>ROUND(O232*J232*P232,-3)</f>
        <v>59508000</v>
      </c>
      <c r="R232" s="104"/>
      <c r="S232" s="4"/>
    </row>
    <row r="233" spans="1:22" s="21" customFormat="1" ht="29.25" customHeight="1">
      <c r="A233" s="38">
        <v>16</v>
      </c>
      <c r="B233" s="38"/>
      <c r="C233" s="93" t="s">
        <v>242</v>
      </c>
      <c r="D233" s="92"/>
      <c r="E233" s="92"/>
      <c r="F233" s="3"/>
      <c r="G233" s="35"/>
      <c r="H233" s="37"/>
      <c r="I233" s="37"/>
      <c r="J233" s="37"/>
      <c r="K233" s="37"/>
      <c r="L233" s="97"/>
      <c r="M233" s="108"/>
      <c r="N233" s="38"/>
      <c r="O233" s="38"/>
      <c r="P233" s="39"/>
      <c r="Q233" s="40">
        <f>SUM(Q235:Q247)</f>
        <v>66110000</v>
      </c>
      <c r="R233" s="41"/>
      <c r="S233" s="8"/>
      <c r="T233" s="9"/>
      <c r="U233" s="10"/>
      <c r="V233" s="20"/>
    </row>
    <row r="234" spans="1:22" s="21" customFormat="1" ht="17.25" customHeight="1">
      <c r="A234" s="46"/>
      <c r="B234" s="46"/>
      <c r="C234" s="111" t="s">
        <v>27</v>
      </c>
      <c r="D234" s="42"/>
      <c r="E234" s="42"/>
      <c r="F234" s="42"/>
      <c r="G234" s="44"/>
      <c r="H234" s="45"/>
      <c r="I234" s="45"/>
      <c r="J234" s="45"/>
      <c r="K234" s="45"/>
      <c r="L234" s="98"/>
      <c r="M234" s="109"/>
      <c r="N234" s="44"/>
      <c r="O234" s="44"/>
      <c r="P234" s="46"/>
      <c r="Q234" s="47"/>
      <c r="R234" s="47"/>
      <c r="S234" s="7"/>
      <c r="T234" s="6"/>
      <c r="U234" s="7"/>
      <c r="V234" s="20"/>
    </row>
    <row r="235" spans="1:22" s="128" customFormat="1" ht="28.5" customHeight="1">
      <c r="A235" s="133"/>
      <c r="B235" s="114" t="s">
        <v>45</v>
      </c>
      <c r="C235" s="115" t="s">
        <v>243</v>
      </c>
      <c r="D235" s="114" t="s">
        <v>2</v>
      </c>
      <c r="E235" s="116">
        <f>(3.1*2.4)+(6.4*1.1)</f>
        <v>14.48</v>
      </c>
      <c r="F235" s="135"/>
      <c r="G235" s="118"/>
      <c r="H235" s="119"/>
      <c r="I235" s="119"/>
      <c r="J235" s="119"/>
      <c r="K235" s="119"/>
      <c r="L235" s="120" t="s">
        <v>20</v>
      </c>
      <c r="M235" s="136"/>
      <c r="N235" s="120"/>
      <c r="O235" s="121">
        <v>792000</v>
      </c>
      <c r="P235" s="122">
        <f aca="true" t="shared" si="18" ref="P235:P240">1.03*1.148</f>
        <v>1.18244</v>
      </c>
      <c r="Q235" s="121">
        <f aca="true" t="shared" si="19" ref="Q235:Q243">+ROUND(P235*O235*E235,-3)</f>
        <v>13560000</v>
      </c>
      <c r="R235" s="123"/>
      <c r="S235" s="124"/>
      <c r="T235" s="125"/>
      <c r="U235" s="126"/>
      <c r="V235" s="127"/>
    </row>
    <row r="236" spans="1:22" s="128" customFormat="1" ht="24.75" customHeight="1">
      <c r="A236" s="133"/>
      <c r="B236" s="114" t="s">
        <v>46</v>
      </c>
      <c r="C236" s="115" t="s">
        <v>244</v>
      </c>
      <c r="D236" s="114" t="s">
        <v>2</v>
      </c>
      <c r="E236" s="116">
        <f>(6.4*1.2)</f>
        <v>7.68</v>
      </c>
      <c r="F236" s="135"/>
      <c r="G236" s="118"/>
      <c r="H236" s="119"/>
      <c r="I236" s="119"/>
      <c r="J236" s="119"/>
      <c r="K236" s="119"/>
      <c r="L236" s="120" t="s">
        <v>20</v>
      </c>
      <c r="M236" s="136"/>
      <c r="N236" s="120"/>
      <c r="O236" s="121">
        <v>11000</v>
      </c>
      <c r="P236" s="122">
        <f t="shared" si="18"/>
        <v>1.18244</v>
      </c>
      <c r="Q236" s="121">
        <f t="shared" si="19"/>
        <v>100000</v>
      </c>
      <c r="R236" s="121"/>
      <c r="S236" s="124"/>
      <c r="T236" s="125"/>
      <c r="U236" s="126"/>
      <c r="V236" s="127"/>
    </row>
    <row r="237" spans="1:22" s="128" customFormat="1" ht="33.75" customHeight="1">
      <c r="A237" s="133"/>
      <c r="B237" s="171" t="s">
        <v>44</v>
      </c>
      <c r="C237" s="115" t="s">
        <v>245</v>
      </c>
      <c r="D237" s="114" t="s">
        <v>16</v>
      </c>
      <c r="E237" s="116">
        <f>(0.15*0.15*1.8)*2</f>
        <v>0.081</v>
      </c>
      <c r="F237" s="135"/>
      <c r="G237" s="118"/>
      <c r="H237" s="119"/>
      <c r="I237" s="119"/>
      <c r="J237" s="119"/>
      <c r="K237" s="119"/>
      <c r="L237" s="120" t="s">
        <v>20</v>
      </c>
      <c r="M237" s="136"/>
      <c r="N237" s="120"/>
      <c r="O237" s="121">
        <v>2828000</v>
      </c>
      <c r="P237" s="122">
        <f t="shared" si="18"/>
        <v>1.18244</v>
      </c>
      <c r="Q237" s="121">
        <f t="shared" si="19"/>
        <v>271000</v>
      </c>
      <c r="R237" s="123"/>
      <c r="S237" s="124"/>
      <c r="T237" s="125"/>
      <c r="U237" s="126"/>
      <c r="V237" s="127"/>
    </row>
    <row r="238" spans="1:22" s="128" customFormat="1" ht="28.5" customHeight="1">
      <c r="A238" s="133"/>
      <c r="B238" s="171" t="s">
        <v>44</v>
      </c>
      <c r="C238" s="115" t="s">
        <v>246</v>
      </c>
      <c r="D238" s="114" t="s">
        <v>16</v>
      </c>
      <c r="E238" s="119">
        <f>(0.4*0.4*3.2)*2</f>
        <v>1.0240000000000002</v>
      </c>
      <c r="F238" s="135"/>
      <c r="G238" s="118"/>
      <c r="H238" s="119"/>
      <c r="I238" s="119"/>
      <c r="J238" s="119"/>
      <c r="K238" s="119"/>
      <c r="L238" s="120" t="s">
        <v>20</v>
      </c>
      <c r="M238" s="136"/>
      <c r="N238" s="120"/>
      <c r="O238" s="121">
        <v>2828000</v>
      </c>
      <c r="P238" s="122">
        <f t="shared" si="18"/>
        <v>1.18244</v>
      </c>
      <c r="Q238" s="121">
        <f t="shared" si="19"/>
        <v>3424000</v>
      </c>
      <c r="R238" s="123"/>
      <c r="S238" s="124"/>
      <c r="T238" s="125"/>
      <c r="U238" s="126"/>
      <c r="V238" s="127"/>
    </row>
    <row r="239" spans="1:22" s="128" customFormat="1" ht="30" customHeight="1">
      <c r="A239" s="133"/>
      <c r="B239" s="114" t="s">
        <v>180</v>
      </c>
      <c r="C239" s="115" t="s">
        <v>247</v>
      </c>
      <c r="D239" s="114" t="s">
        <v>2</v>
      </c>
      <c r="E239" s="119">
        <f>(2.4*2.1)</f>
        <v>5.04</v>
      </c>
      <c r="F239" s="135"/>
      <c r="G239" s="118"/>
      <c r="H239" s="119"/>
      <c r="I239" s="119"/>
      <c r="J239" s="119"/>
      <c r="K239" s="119"/>
      <c r="L239" s="120" t="s">
        <v>20</v>
      </c>
      <c r="M239" s="136"/>
      <c r="N239" s="120"/>
      <c r="O239" s="121">
        <v>735000</v>
      </c>
      <c r="P239" s="122">
        <f t="shared" si="18"/>
        <v>1.18244</v>
      </c>
      <c r="Q239" s="121">
        <f t="shared" si="19"/>
        <v>4380000</v>
      </c>
      <c r="R239" s="121"/>
      <c r="S239" s="124"/>
      <c r="T239" s="125"/>
      <c r="U239" s="126"/>
      <c r="V239" s="127"/>
    </row>
    <row r="240" spans="1:22" s="128" customFormat="1" ht="24.75" customHeight="1">
      <c r="A240" s="133"/>
      <c r="B240" s="142" t="s">
        <v>100</v>
      </c>
      <c r="C240" s="115" t="s">
        <v>248</v>
      </c>
      <c r="D240" s="114" t="s">
        <v>2</v>
      </c>
      <c r="E240" s="119">
        <f>(2.4*3.1)</f>
        <v>7.4399999999999995</v>
      </c>
      <c r="F240" s="135"/>
      <c r="G240" s="118"/>
      <c r="H240" s="119"/>
      <c r="I240" s="119"/>
      <c r="J240" s="119"/>
      <c r="K240" s="119"/>
      <c r="L240" s="120" t="s">
        <v>20</v>
      </c>
      <c r="M240" s="136"/>
      <c r="N240" s="120"/>
      <c r="O240" s="121">
        <v>284000</v>
      </c>
      <c r="P240" s="122">
        <f t="shared" si="18"/>
        <v>1.18244</v>
      </c>
      <c r="Q240" s="121">
        <f t="shared" si="19"/>
        <v>2498000</v>
      </c>
      <c r="R240" s="123"/>
      <c r="S240" s="124"/>
      <c r="T240" s="125"/>
      <c r="U240" s="126"/>
      <c r="V240" s="127"/>
    </row>
    <row r="241" spans="1:22" s="128" customFormat="1" ht="24.75" customHeight="1">
      <c r="A241" s="133"/>
      <c r="B241" s="133"/>
      <c r="C241" s="115" t="s">
        <v>40</v>
      </c>
      <c r="D241" s="114" t="s">
        <v>11</v>
      </c>
      <c r="E241" s="119">
        <v>6</v>
      </c>
      <c r="F241" s="135"/>
      <c r="G241" s="118"/>
      <c r="H241" s="119"/>
      <c r="I241" s="119"/>
      <c r="J241" s="119"/>
      <c r="K241" s="119"/>
      <c r="L241" s="120"/>
      <c r="M241" s="136"/>
      <c r="N241" s="120"/>
      <c r="O241" s="121">
        <v>178940</v>
      </c>
      <c r="P241" s="134">
        <v>1</v>
      </c>
      <c r="Q241" s="121">
        <f t="shared" si="19"/>
        <v>1074000</v>
      </c>
      <c r="R241" s="123"/>
      <c r="S241" s="124"/>
      <c r="T241" s="125"/>
      <c r="U241" s="126"/>
      <c r="V241" s="127"/>
    </row>
    <row r="242" spans="1:22" s="128" customFormat="1" ht="24.75" customHeight="1">
      <c r="A242" s="133"/>
      <c r="B242" s="133"/>
      <c r="C242" s="115" t="s">
        <v>53</v>
      </c>
      <c r="D242" s="114" t="s">
        <v>11</v>
      </c>
      <c r="E242" s="119">
        <v>2</v>
      </c>
      <c r="F242" s="135"/>
      <c r="G242" s="118"/>
      <c r="H242" s="119"/>
      <c r="I242" s="119"/>
      <c r="J242" s="119"/>
      <c r="K242" s="119"/>
      <c r="L242" s="120"/>
      <c r="M242" s="136"/>
      <c r="N242" s="120"/>
      <c r="O242" s="121">
        <v>131010</v>
      </c>
      <c r="P242" s="134">
        <v>1</v>
      </c>
      <c r="Q242" s="121">
        <f t="shared" si="19"/>
        <v>262000</v>
      </c>
      <c r="R242" s="121"/>
      <c r="S242" s="124"/>
      <c r="T242" s="125"/>
      <c r="U242" s="126"/>
      <c r="V242" s="127"/>
    </row>
    <row r="243" spans="1:22" s="128" customFormat="1" ht="24.75" customHeight="1">
      <c r="A243" s="133"/>
      <c r="B243" s="133"/>
      <c r="C243" s="115" t="s">
        <v>39</v>
      </c>
      <c r="D243" s="114" t="s">
        <v>11</v>
      </c>
      <c r="E243" s="116">
        <v>9</v>
      </c>
      <c r="F243" s="135"/>
      <c r="G243" s="118"/>
      <c r="H243" s="119"/>
      <c r="I243" s="119"/>
      <c r="J243" s="119"/>
      <c r="K243" s="119"/>
      <c r="L243" s="120"/>
      <c r="M243" s="136"/>
      <c r="N243" s="120"/>
      <c r="O243" s="121">
        <v>42600</v>
      </c>
      <c r="P243" s="134">
        <v>1</v>
      </c>
      <c r="Q243" s="121">
        <f t="shared" si="19"/>
        <v>383000</v>
      </c>
      <c r="R243" s="123"/>
      <c r="S243" s="124"/>
      <c r="T243" s="125"/>
      <c r="U243" s="126"/>
      <c r="V243" s="127"/>
    </row>
    <row r="244" spans="1:18" s="22" customFormat="1" ht="16.5" customHeight="1">
      <c r="A244" s="63"/>
      <c r="B244" s="63"/>
      <c r="C244" s="73" t="s">
        <v>9</v>
      </c>
      <c r="D244" s="63"/>
      <c r="E244" s="56"/>
      <c r="F244" s="63"/>
      <c r="G244" s="63"/>
      <c r="H244" s="63"/>
      <c r="I244" s="295">
        <f>+I245+J245</f>
        <v>23</v>
      </c>
      <c r="J244" s="295"/>
      <c r="K244" s="63"/>
      <c r="L244" s="63"/>
      <c r="M244" s="64"/>
      <c r="N244" s="64"/>
      <c r="O244" s="65"/>
      <c r="P244" s="56"/>
      <c r="Q244" s="57"/>
      <c r="R244" s="103"/>
    </row>
    <row r="245" spans="1:19" s="5" customFormat="1" ht="121.5" customHeight="1">
      <c r="A245" s="118"/>
      <c r="B245" s="114"/>
      <c r="C245" s="115" t="s">
        <v>17</v>
      </c>
      <c r="D245" s="144" t="s">
        <v>2</v>
      </c>
      <c r="E245" s="144"/>
      <c r="F245" s="145">
        <v>17</v>
      </c>
      <c r="G245" s="144">
        <v>1</v>
      </c>
      <c r="H245" s="146">
        <v>663.9</v>
      </c>
      <c r="I245" s="146"/>
      <c r="J245" s="147">
        <v>23</v>
      </c>
      <c r="K245" s="148">
        <f>H245-J245-I245</f>
        <v>640.9</v>
      </c>
      <c r="L245" s="149" t="s">
        <v>249</v>
      </c>
      <c r="M245" s="130" t="s">
        <v>19</v>
      </c>
      <c r="N245" s="130"/>
      <c r="O245" s="131">
        <v>36000</v>
      </c>
      <c r="P245" s="134">
        <v>1</v>
      </c>
      <c r="Q245" s="131">
        <f>ROUND(O245*J245*P245,-3)</f>
        <v>828000</v>
      </c>
      <c r="R245" s="152"/>
      <c r="S245" s="132"/>
    </row>
    <row r="246" spans="1:19" s="23" customFormat="1" ht="13.5">
      <c r="A246" s="49"/>
      <c r="B246" s="50"/>
      <c r="C246" s="80" t="s">
        <v>24</v>
      </c>
      <c r="D246" s="50"/>
      <c r="E246" s="50"/>
      <c r="F246" s="67"/>
      <c r="G246" s="50"/>
      <c r="H246" s="75"/>
      <c r="I246" s="75"/>
      <c r="J246" s="76"/>
      <c r="K246" s="77"/>
      <c r="L246" s="78"/>
      <c r="M246" s="69"/>
      <c r="N246" s="69"/>
      <c r="O246" s="65"/>
      <c r="P246" s="79"/>
      <c r="Q246" s="65"/>
      <c r="R246" s="103"/>
      <c r="S246" s="4"/>
    </row>
    <row r="247" spans="1:19" s="23" customFormat="1" ht="40.5" customHeight="1">
      <c r="A247" s="81"/>
      <c r="B247" s="82"/>
      <c r="C247" s="83" t="s">
        <v>18</v>
      </c>
      <c r="D247" s="82"/>
      <c r="E247" s="82"/>
      <c r="F247" s="84"/>
      <c r="G247" s="82"/>
      <c r="H247" s="85"/>
      <c r="I247" s="85"/>
      <c r="J247" s="86">
        <f>+J245</f>
        <v>23</v>
      </c>
      <c r="K247" s="87"/>
      <c r="L247" s="88"/>
      <c r="M247" s="89" t="s">
        <v>82</v>
      </c>
      <c r="N247" s="89"/>
      <c r="O247" s="90">
        <v>3420000</v>
      </c>
      <c r="P247" s="95">
        <v>0.5</v>
      </c>
      <c r="Q247" s="90">
        <f>ROUND(O247*J247*P247,-3)</f>
        <v>39330000</v>
      </c>
      <c r="R247" s="104"/>
      <c r="S247" s="4"/>
    </row>
    <row r="248" spans="1:18" ht="18.75" customHeight="1">
      <c r="A248" s="298" t="s">
        <v>250</v>
      </c>
      <c r="B248" s="299"/>
      <c r="C248" s="299"/>
      <c r="D248" s="299"/>
      <c r="E248" s="299"/>
      <c r="F248" s="299"/>
      <c r="G248" s="299"/>
      <c r="H248" s="299"/>
      <c r="I248" s="299"/>
      <c r="J248" s="299"/>
      <c r="K248" s="300"/>
      <c r="L248" s="3"/>
      <c r="M248" s="14"/>
      <c r="N248" s="14"/>
      <c r="O248" s="15"/>
      <c r="P248" s="16"/>
      <c r="Q248" s="24">
        <f>SUM(Q5:Q247)/2</f>
        <v>2383509000</v>
      </c>
      <c r="R248" s="17"/>
    </row>
    <row r="249" spans="12:18" ht="12.75">
      <c r="L249" s="301" t="s">
        <v>22</v>
      </c>
      <c r="M249" s="301"/>
      <c r="N249" s="301"/>
      <c r="O249" s="301"/>
      <c r="P249" s="301"/>
      <c r="Q249" s="301"/>
      <c r="R249" s="301"/>
    </row>
    <row r="250" ht="12.75">
      <c r="R250" s="19"/>
    </row>
    <row r="251" ht="12.75">
      <c r="R251" s="19"/>
    </row>
  </sheetData>
  <sheetProtection/>
  <mergeCells count="25">
    <mergeCell ref="L249:R249"/>
    <mergeCell ref="A176:A178"/>
    <mergeCell ref="I191:J191"/>
    <mergeCell ref="I213:J213"/>
    <mergeCell ref="C218:E218"/>
    <mergeCell ref="I219:J219"/>
    <mergeCell ref="I229:J229"/>
    <mergeCell ref="I144:J144"/>
    <mergeCell ref="A148:A150"/>
    <mergeCell ref="I153:J153"/>
    <mergeCell ref="I170:J170"/>
    <mergeCell ref="I244:J244"/>
    <mergeCell ref="A248:K248"/>
    <mergeCell ref="I82:J82"/>
    <mergeCell ref="A88:A90"/>
    <mergeCell ref="I97:J97"/>
    <mergeCell ref="A108:A110"/>
    <mergeCell ref="I113:J113"/>
    <mergeCell ref="I137:J137"/>
    <mergeCell ref="A1:R1"/>
    <mergeCell ref="A2:R2"/>
    <mergeCell ref="I39:J39"/>
    <mergeCell ref="I58:J58"/>
    <mergeCell ref="I72:J72"/>
    <mergeCell ref="A78:A80"/>
  </mergeCells>
  <printOptions/>
  <pageMargins left="0" right="0" top="0" bottom="0"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SAO VIET HUE</cp:lastModifiedBy>
  <cp:lastPrinted>2023-10-25T10:43:55Z</cp:lastPrinted>
  <dcterms:created xsi:type="dcterms:W3CDTF">2021-07-06T07:48:09Z</dcterms:created>
  <dcterms:modified xsi:type="dcterms:W3CDTF">2023-11-01T10:30:47Z</dcterms:modified>
  <cp:category/>
  <cp:version/>
  <cp:contentType/>
  <cp:contentStatus/>
</cp:coreProperties>
</file>