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85" windowHeight="7275" activeTab="0"/>
  </bookViews>
  <sheets>
    <sheet name="Tong du toan" sheetId="1" r:id="rId1"/>
    <sheet name="CP Xay lap" sheetId="2" r:id="rId2"/>
    <sheet name="Du toan chi tiet" sheetId="3" r:id="rId3"/>
    <sheet name="Phan tich don gia" sheetId="4" r:id="rId4"/>
    <sheet name="Gia NC,CM" sheetId="5" r:id="rId5"/>
    <sheet name="Gia VL" sheetId="6" r:id="rId6"/>
    <sheet name="KL,Tien luong" sheetId="7" r:id="rId7"/>
    <sheet name="Tong hop KL VL,NC,M" sheetId="8" r:id="rId8"/>
    <sheet name="Phan tich KL VL,NC,M" sheetId="9" r:id="rId9"/>
  </sheets>
  <definedNames>
    <definedName name="_xlnm.Print_Titles" localSheetId="1">'CP Xay lap'!$7:$7</definedName>
    <definedName name="_xlnm.Print_Titles" localSheetId="2">'Du toan chi tiet'!$7:$8</definedName>
    <definedName name="_xlnm.Print_Titles" localSheetId="4">'Gia NC,CM'!$7:$7</definedName>
    <definedName name="_xlnm.Print_Titles" localSheetId="5">'Gia VL'!$7:$7</definedName>
    <definedName name="_xlnm.Print_Titles" localSheetId="6">'KL,Tien luong'!$7:$7</definedName>
    <definedName name="_xlnm.Print_Titles" localSheetId="3">'Phan tich don gia'!$7:$7</definedName>
    <definedName name="_xlnm.Print_Titles" localSheetId="8">'Phan tich KL VL,NC,M'!$7:$7</definedName>
    <definedName name="_xlnm.Print_Titles" localSheetId="0">'Tong du toan'!$11:$11</definedName>
    <definedName name="_xlnm.Print_Titles" localSheetId="7">'Tong hop KL VL,NC,M'!$7:$7</definedName>
  </definedNames>
  <calcPr fullCalcOnLoad="1"/>
</workbook>
</file>

<file path=xl/sharedStrings.xml><?xml version="1.0" encoding="utf-8"?>
<sst xmlns="http://schemas.openxmlformats.org/spreadsheetml/2006/main" count="8758" uniqueCount="861">
  <si>
    <t/>
  </si>
  <si>
    <t>*\1- Nhµ chu«ng(2 c¸i):</t>
  </si>
  <si>
    <t>1</t>
  </si>
  <si>
    <t>AB.25103</t>
  </si>
  <si>
    <t>§µo mãng b»ng m¸y ®µo &lt;= 0.4m3</t>
  </si>
  <si>
    <t>1 m3</t>
  </si>
  <si>
    <t>ChiÒu réng mãng &lt;= 6m, §Êt cÊp III</t>
  </si>
  <si>
    <t xml:space="preserve">   - Nh©n c«ng bËc 3.0/7N1</t>
  </si>
  <si>
    <t>C«ng</t>
  </si>
  <si>
    <t xml:space="preserve">   - M¸y ®µo &lt;=0.4m3</t>
  </si>
  <si>
    <t>Ca</t>
  </si>
  <si>
    <t>2</t>
  </si>
  <si>
    <t>AB.65110</t>
  </si>
  <si>
    <t>§¾p ®Êt c«ng tr×nh = ®Çm ®Êt cÇm tay 70kg</t>
  </si>
  <si>
    <t>§é chÆt yªu cÇu K=0.85</t>
  </si>
  <si>
    <t xml:space="preserve">   - M¸y ®Çm ®Êt cÇm tay 70kg</t>
  </si>
  <si>
    <t>3</t>
  </si>
  <si>
    <t>AF.11111</t>
  </si>
  <si>
    <t>Bª t«ng ®¸ d¨m 4x6 lãt mãng, M100</t>
  </si>
  <si>
    <t xml:space="preserve">   - Xi m¨ng PCB30</t>
  </si>
  <si>
    <t>Kg</t>
  </si>
  <si>
    <t xml:space="preserve">   - C¸t ®óc</t>
  </si>
  <si>
    <t>m3</t>
  </si>
  <si>
    <t xml:space="preserve">   - §¸ d¨m 4x6</t>
  </si>
  <si>
    <t xml:space="preserve">   - N­íc</t>
  </si>
  <si>
    <t xml:space="preserve">   - Nh©n c«ng bËc 3.0/7N2</t>
  </si>
  <si>
    <t xml:space="preserve">   - M¸y trén BT 250 l</t>
  </si>
  <si>
    <t xml:space="preserve">   - M¸y ®Çm bµn 1KW</t>
  </si>
  <si>
    <t>4</t>
  </si>
  <si>
    <t>AF.11214</t>
  </si>
  <si>
    <t>Bª t«ng mãng chiÒu réng R&lt;=250cm</t>
  </si>
  <si>
    <t>V÷a bª t«ng ®¸ 1x2 M250(§S6-8)</t>
  </si>
  <si>
    <t xml:space="preserve">   - Xi m¨ng PCB40</t>
  </si>
  <si>
    <t xml:space="preserve">   - §¸ d¨m 1x2</t>
  </si>
  <si>
    <t xml:space="preserve">   - M¸y ®Çm dïi 1.5KW</t>
  </si>
  <si>
    <t>5</t>
  </si>
  <si>
    <t>AF.81122</t>
  </si>
  <si>
    <t>V¸n khu«n mãng cét vu«ng, ch÷ nhËt</t>
  </si>
  <si>
    <t>1 m2</t>
  </si>
  <si>
    <t>BT lãt</t>
  </si>
  <si>
    <t xml:space="preserve">   - Gç v¸n</t>
  </si>
  <si>
    <t xml:space="preserve">   - Gç ®µ nÑp</t>
  </si>
  <si>
    <t xml:space="preserve">   - Gç chèng</t>
  </si>
  <si>
    <t xml:space="preserve">   - §inh</t>
  </si>
  <si>
    <t xml:space="preserve">   - Nh©n c«ng bËc 3.5/7N2</t>
  </si>
  <si>
    <t>6</t>
  </si>
  <si>
    <t>AF.81111</t>
  </si>
  <si>
    <t>V¸n khu«n mãng dµi</t>
  </si>
  <si>
    <t>7</t>
  </si>
  <si>
    <t>AF.12214</t>
  </si>
  <si>
    <t>Bª t«ng cæ cét cã tiÕt diÖn &lt;= 0.1 m2</t>
  </si>
  <si>
    <t>v÷a bª t«ng ®¸ 1x2 M250</t>
  </si>
  <si>
    <t>8</t>
  </si>
  <si>
    <t>AF.81132</t>
  </si>
  <si>
    <t>V¸n khu«n cét vu«ng, ch÷ nhËt</t>
  </si>
  <si>
    <t>9</t>
  </si>
  <si>
    <t>AE.81314</t>
  </si>
  <si>
    <t>X©y t­êng mãng B¬l« 10x20x30cm</t>
  </si>
  <si>
    <t>Dµy &lt;= 30 cm, v÷a XM M75</t>
  </si>
  <si>
    <t xml:space="preserve">   - B¬l« 10x20x30</t>
  </si>
  <si>
    <t>Viªn</t>
  </si>
  <si>
    <t xml:space="preserve">   - C¸t x©y</t>
  </si>
  <si>
    <t xml:space="preserve">   - M¸y trén v÷a 150l</t>
  </si>
  <si>
    <t>10</t>
  </si>
  <si>
    <t>AF.12314</t>
  </si>
  <si>
    <t>Bª t«ng xµ, dÇm, gi»ng mãng</t>
  </si>
  <si>
    <t>V÷a bª t«ng ®¸ 1x2 M250</t>
  </si>
  <si>
    <t>11</t>
  </si>
  <si>
    <t>AF.81141</t>
  </si>
  <si>
    <t>V¸n khu«n xµ dÇm, gi»ng mãng</t>
  </si>
  <si>
    <t>12</t>
  </si>
  <si>
    <t>AF.61110</t>
  </si>
  <si>
    <t>Gia c«ng cèt thÐp mãng</t>
  </si>
  <si>
    <t>TÊn</t>
  </si>
  <si>
    <t>§­êng kÝnh cèt thÐp d&lt;=10mm</t>
  </si>
  <si>
    <t xml:space="preserve">   - ThÐp trßn d&lt;=10mm</t>
  </si>
  <si>
    <t xml:space="preserve">   - D©y thÐp</t>
  </si>
  <si>
    <t xml:space="preserve">   - M¸y c¾t uèn cèt thÐp 5KW</t>
  </si>
  <si>
    <t>13</t>
  </si>
  <si>
    <t>AF.61120</t>
  </si>
  <si>
    <t>§­êng kÝnh cèt thÐp d&lt;=18mm</t>
  </si>
  <si>
    <t xml:space="preserve">   - ThÐp trßn d&lt;=18mm</t>
  </si>
  <si>
    <t xml:space="preserve">   - Que hµn</t>
  </si>
  <si>
    <t xml:space="preserve">   - M¸y hµn 23KW</t>
  </si>
  <si>
    <t>14</t>
  </si>
  <si>
    <t>§é chÆt yªu cÇu K=0.85(tËn dông ®Êt ®µo mãng)</t>
  </si>
  <si>
    <t>15</t>
  </si>
  <si>
    <t>AB.66141</t>
  </si>
  <si>
    <t>§¾p bét ®¸ c«ng tr×nh = m¸y ®Çm cãc 70kg</t>
  </si>
  <si>
    <t xml:space="preserve">   - Bét ®¸ ®¾p nÒn</t>
  </si>
  <si>
    <t>16</t>
  </si>
  <si>
    <t>AF.11331</t>
  </si>
  <si>
    <t>Bª t«ng nÒn ®¸ 4x6, M100</t>
  </si>
  <si>
    <t>17</t>
  </si>
  <si>
    <t>AK.31114</t>
  </si>
  <si>
    <t>¤p t­êng g¹ch gèm</t>
  </si>
  <si>
    <t xml:space="preserve">   - G¹ch gèm KT60x240</t>
  </si>
  <si>
    <t>m2</t>
  </si>
  <si>
    <t xml:space="preserve">   - Xi m¨ng tr¾ng</t>
  </si>
  <si>
    <t xml:space="preserve">   - Nh©n c«ng bËc 4.0/7N2</t>
  </si>
  <si>
    <t xml:space="preserve">   - M¸y c¾t g¹ch 1.7KW</t>
  </si>
  <si>
    <t>18</t>
  </si>
  <si>
    <t>AK.24313</t>
  </si>
  <si>
    <t>Tr¸t gê chØ</t>
  </si>
  <si>
    <t>1 m</t>
  </si>
  <si>
    <t>V÷a XM M75</t>
  </si>
  <si>
    <t xml:space="preserve">   - Xi m¨ng PC40</t>
  </si>
  <si>
    <t>19</t>
  </si>
  <si>
    <t>Bª t«ng cét cã tiÕt diÖn &lt;= 0.1 m2</t>
  </si>
  <si>
    <t>Cao &lt;=6m, v÷a bª t«ng ®¸ 1x2 M250</t>
  </si>
  <si>
    <t>20</t>
  </si>
  <si>
    <t>AF.81131</t>
  </si>
  <si>
    <t>V¸n khu«n cét trßn, ®a gi¸c</t>
  </si>
  <si>
    <t>21</t>
  </si>
  <si>
    <t>AK.22123</t>
  </si>
  <si>
    <t>Tr¸t trô, cét cã líp dÝnh b¸m</t>
  </si>
  <si>
    <t>Dµy 1.5 cm, V÷a XM M75</t>
  </si>
  <si>
    <t xml:space="preserve">   - M¸y trén 150l</t>
  </si>
  <si>
    <t>22</t>
  </si>
  <si>
    <t>AF.61411</t>
  </si>
  <si>
    <t>Gia c«ng cèt thÐp cét, trô</t>
  </si>
  <si>
    <t>§/kÝnh cèt thÐp d&lt;=10mm,cao&lt;=6m</t>
  </si>
  <si>
    <t>23</t>
  </si>
  <si>
    <t>AF.61421</t>
  </si>
  <si>
    <t>§/kÝnh cèt thÐp d&lt;=18mm,cao&lt;=6m</t>
  </si>
  <si>
    <t>24</t>
  </si>
  <si>
    <t>Bª t«ng xµ, dÇm, gi»ng nhµ</t>
  </si>
  <si>
    <t>25</t>
  </si>
  <si>
    <t>V¸n khu«n xµ dÇm, gi»ng</t>
  </si>
  <si>
    <t>26</t>
  </si>
  <si>
    <t>AK.23123</t>
  </si>
  <si>
    <t>Tr¸t xµ dÇm, cã b¶ líp b¸m dÝnh</t>
  </si>
  <si>
    <t>27</t>
  </si>
  <si>
    <t>AF.61511</t>
  </si>
  <si>
    <t>Gia c«ng cèt thÐp xµ, dÇm, gi»ng</t>
  </si>
  <si>
    <t>§/kÝnh cèt thÐp d&lt;=10 mm,cao&lt;=6m</t>
  </si>
  <si>
    <t>28</t>
  </si>
  <si>
    <t>AF.61521</t>
  </si>
  <si>
    <t>§/kÝnh cèt thÐp d&lt;=18 mm,cao&lt;=6m</t>
  </si>
  <si>
    <t>29</t>
  </si>
  <si>
    <t>AF.12414</t>
  </si>
  <si>
    <t>Bª t«ng sµn m¸i</t>
  </si>
  <si>
    <t>30</t>
  </si>
  <si>
    <t>AF.81151</t>
  </si>
  <si>
    <t>V¸n khu«n sµn m¸i</t>
  </si>
  <si>
    <t>31</t>
  </si>
  <si>
    <t>AK.23223</t>
  </si>
  <si>
    <t>Tr¸t trÇn, cã b¶ líp b¸m dÝnh</t>
  </si>
  <si>
    <t>32</t>
  </si>
  <si>
    <t>AF.61711</t>
  </si>
  <si>
    <t>Gia c«ng cèt thÐp sµn m¸i</t>
  </si>
  <si>
    <t>§/kÝnh cèt thÐp d&lt;=10 mm,cao&lt;= 28m</t>
  </si>
  <si>
    <t>33</t>
  </si>
  <si>
    <t>AF.12514</t>
  </si>
  <si>
    <t>Bª t«ng lanh t« m¸i h¾t</t>
  </si>
  <si>
    <t>m¸ng n­íc,tÊm ®an, « v¨ng,VM250</t>
  </si>
  <si>
    <t>34</t>
  </si>
  <si>
    <t>AF.81152</t>
  </si>
  <si>
    <t>V¸n khu«n lanh t«,lanh t« liÒn m¸i</t>
  </si>
  <si>
    <t>h¾t, m¸ng n­íc</t>
  </si>
  <si>
    <t>35</t>
  </si>
  <si>
    <t>AF.61611</t>
  </si>
  <si>
    <t>Gia c«ng cèt thÐp lanh t« liÒn m¸i h¾t...</t>
  </si>
  <si>
    <t>36</t>
  </si>
  <si>
    <t>AF.61621</t>
  </si>
  <si>
    <t>§/kÝnh cèt thÐp d&gt; 10 mm,cao&lt;=6m</t>
  </si>
  <si>
    <t xml:space="preserve">   - ThÐp trßn d&gt;10mm</t>
  </si>
  <si>
    <t>37</t>
  </si>
  <si>
    <t>AK.25113</t>
  </si>
  <si>
    <t>Tr¸t sª n«, m¸i h¾t, lam ngang</t>
  </si>
  <si>
    <t>38</t>
  </si>
  <si>
    <t>06.01.52</t>
  </si>
  <si>
    <t>Tr¸t hoa v¨n</t>
  </si>
  <si>
    <t xml:space="preserve">   - Nh©n c«ng bËc 5.0/7N2</t>
  </si>
  <si>
    <t>39</t>
  </si>
  <si>
    <t>AK.51244</t>
  </si>
  <si>
    <t>L¸t nÒn g¹ch H¹ Long KT300x300</t>
  </si>
  <si>
    <t xml:space="preserve">   - G¹ch H¹ Long KT300x300</t>
  </si>
  <si>
    <t>40</t>
  </si>
  <si>
    <t>AK.13115</t>
  </si>
  <si>
    <t>D¸n ngãi mòi hµi 85v/m2 H¹ Long trªn m¸i nghiªng</t>
  </si>
  <si>
    <t xml:space="preserve">   - Ngãi mòi hµi 85v/m2 H¹ Long</t>
  </si>
  <si>
    <t>41</t>
  </si>
  <si>
    <t>02.05.20</t>
  </si>
  <si>
    <t>X©y bê nãc g¹ch thÎ kh«ng nung 6x9.5x20cm</t>
  </si>
  <si>
    <t xml:space="preserve">   - G¹ch ko nung ®Æc 6x9.5x20</t>
  </si>
  <si>
    <t>42</t>
  </si>
  <si>
    <t>AK.23124</t>
  </si>
  <si>
    <t>43</t>
  </si>
  <si>
    <t>05.01.10</t>
  </si>
  <si>
    <t>L¾p con gièng, hå l«, con x¬n</t>
  </si>
  <si>
    <t>1 con</t>
  </si>
  <si>
    <t xml:space="preserve">   - ThÐp c¸c lo¹i</t>
  </si>
  <si>
    <t>kg</t>
  </si>
  <si>
    <t xml:space="preserve">   - ThÐp buéc</t>
  </si>
  <si>
    <t xml:space="preserve">   - Nh©n c«ng bËc 5.0/7N1</t>
  </si>
  <si>
    <t>44</t>
  </si>
  <si>
    <t>MB.1223</t>
  </si>
  <si>
    <t>Mua con gièng ®óc s½n KT1.63x0.55m</t>
  </si>
  <si>
    <t>Con</t>
  </si>
  <si>
    <t xml:space="preserve">   - Mua con gièng ®óc s½n KT1.63x0.55m</t>
  </si>
  <si>
    <t>45</t>
  </si>
  <si>
    <t>MB.1224</t>
  </si>
  <si>
    <t>Mua hå l« ®óc s½n KT0.65x0.36m</t>
  </si>
  <si>
    <t>C¸i</t>
  </si>
  <si>
    <t xml:space="preserve">   - Mua hå l« ®óc s½n KT0.65x0.36m</t>
  </si>
  <si>
    <t>46</t>
  </si>
  <si>
    <t>DC.123</t>
  </si>
  <si>
    <t>§¾p ch©n trô</t>
  </si>
  <si>
    <t xml:space="preserve">   - §¾p ch©n trô</t>
  </si>
  <si>
    <t>47</t>
  </si>
  <si>
    <t>AK.84222</t>
  </si>
  <si>
    <t>S¬n dÇm, trÇn, cét, t­êng trong nhµ kh«ng b¶</t>
  </si>
  <si>
    <t>1m2</t>
  </si>
  <si>
    <t>1 n­íc lãt,2 n­íc phñ = s¬n Joton</t>
  </si>
  <si>
    <t xml:space="preserve">   - S¬n lãt Joton trong nhµ</t>
  </si>
  <si>
    <t>LÝt</t>
  </si>
  <si>
    <t xml:space="preserve">   - S¬n phñ Joton trong nhµ</t>
  </si>
  <si>
    <t>48</t>
  </si>
  <si>
    <t>AK.84224</t>
  </si>
  <si>
    <t>S¬n t­êng ngoµi nhµ kh«ng b¶</t>
  </si>
  <si>
    <t xml:space="preserve">   - S¬n lãt Joton ngoµi nhµ</t>
  </si>
  <si>
    <t xml:space="preserve">   - S¬n phñ Joton ngoµi nhµ</t>
  </si>
  <si>
    <t>49</t>
  </si>
  <si>
    <t>AL.61110</t>
  </si>
  <si>
    <t>L¾p dùng dµn gi¸o thÐp ngoµi</t>
  </si>
  <si>
    <t>ChiÒu cao &lt;=16m</t>
  </si>
  <si>
    <t xml:space="preserve">   - Gi¸o thÐp</t>
  </si>
  <si>
    <t xml:space="preserve">   - ThÐp h×nh</t>
  </si>
  <si>
    <t>50</t>
  </si>
  <si>
    <t>AH.11111</t>
  </si>
  <si>
    <t>S¶n xuÊt l¾p dùng gi¸ chu«ng gç N2</t>
  </si>
  <si>
    <t xml:space="preserve">   - Gç xÎ NII</t>
  </si>
  <si>
    <t>51</t>
  </si>
  <si>
    <t>03.11.10</t>
  </si>
  <si>
    <t>Ch¹m kh¾c gç</t>
  </si>
  <si>
    <t xml:space="preserve">   - Nh©n c«ng bËc 7.0/7N2</t>
  </si>
  <si>
    <t>52</t>
  </si>
  <si>
    <t>PU.123</t>
  </si>
  <si>
    <t>§¸nh PU 3 n­íc</t>
  </si>
  <si>
    <t xml:space="preserve">   - §¸nh PU 3 n­íc</t>
  </si>
  <si>
    <t>53</t>
  </si>
  <si>
    <t>BA.13310</t>
  </si>
  <si>
    <t>L¾p ®Æt ®Ìn èng dµi 1.2m bãng led 1x18W</t>
  </si>
  <si>
    <t>1 Bé</t>
  </si>
  <si>
    <t xml:space="preserve">   - §Ìn èng dµi 1.2m bãng led 1x18W</t>
  </si>
  <si>
    <t>Bé</t>
  </si>
  <si>
    <t>54</t>
  </si>
  <si>
    <t>BA.16202</t>
  </si>
  <si>
    <t>L¾p ®Æt d©y dÉn 2 ruét CV2x1.5mm2</t>
  </si>
  <si>
    <t>1m</t>
  </si>
  <si>
    <t xml:space="preserve">   - D©y dÉn ®iÖn CV2x1.5mm2</t>
  </si>
  <si>
    <t>m</t>
  </si>
  <si>
    <t>55</t>
  </si>
  <si>
    <t>BA.16202'</t>
  </si>
  <si>
    <t>L¾p ®Æt d©y dÉn 2 ruét CV2x2.5mm2</t>
  </si>
  <si>
    <t xml:space="preserve">   - D©y dÉn ®iÖn CV2x2.5mm2</t>
  </si>
  <si>
    <t>*\2- S©n v­ên:</t>
  </si>
  <si>
    <t>56</t>
  </si>
  <si>
    <t>AK.55114</t>
  </si>
  <si>
    <t>L¸t g¹ch s©n, nÒn ®­êng, vØa hÌ</t>
  </si>
  <si>
    <t>G¹ch terazzo 30x30,VM75</t>
  </si>
  <si>
    <t xml:space="preserve">   - G¹ch terazzo KT30x30</t>
  </si>
  <si>
    <t>57</t>
  </si>
  <si>
    <t>AF.11321</t>
  </si>
  <si>
    <t>Bª t«ng nÒn</t>
  </si>
  <si>
    <t>V÷a bª t«ng ®¸ 2x4M150</t>
  </si>
  <si>
    <t xml:space="preserve">   - §¸ d¨m 2x4</t>
  </si>
  <si>
    <t>58</t>
  </si>
  <si>
    <t>AF.81211</t>
  </si>
  <si>
    <t>V¸n khu«n nÒn,s©n b·i</t>
  </si>
  <si>
    <t xml:space="preserve">   - Gç ®µ chèng</t>
  </si>
  <si>
    <t>59</t>
  </si>
  <si>
    <t>60</t>
  </si>
  <si>
    <t>61</t>
  </si>
  <si>
    <t>Bª t«ng ®¸ d¨m 4x6 lãt mãng M100</t>
  </si>
  <si>
    <t>62</t>
  </si>
  <si>
    <t>AE.822814</t>
  </si>
  <si>
    <t>X©y t­êng th¼ng b»ng g¹ch (9.5x6x20)cm</t>
  </si>
  <si>
    <t>v÷a XM M100</t>
  </si>
  <si>
    <t>63</t>
  </si>
  <si>
    <t>AK.21123</t>
  </si>
  <si>
    <t>Tr¸t t­êng ngoµi, bÒ dµy 1.5 cm</t>
  </si>
  <si>
    <t>64</t>
  </si>
  <si>
    <t>*\3- C©y xanh:</t>
  </si>
  <si>
    <t>65</t>
  </si>
  <si>
    <t>CX1.02.102</t>
  </si>
  <si>
    <t>Ph¸t th¶m cá</t>
  </si>
  <si>
    <t>1 m2/L</t>
  </si>
  <si>
    <t xml:space="preserve">   - Nh©n c«ng bËc 4.0/7N1</t>
  </si>
  <si>
    <t xml:space="preserve">   - M¸y c¾t cá cÇm tay 0.8KW</t>
  </si>
  <si>
    <t>66</t>
  </si>
  <si>
    <t>CX3.07.001</t>
  </si>
  <si>
    <t>C¾t thÊp t¸n, khèng chÕ chiÒu cao</t>
  </si>
  <si>
    <t>1c©y</t>
  </si>
  <si>
    <t>C©y lo¹i 1</t>
  </si>
  <si>
    <t xml:space="preserve">   - S¬n</t>
  </si>
  <si>
    <t xml:space="preserve">   - X¨ng (Kg)</t>
  </si>
  <si>
    <t xml:space="preserve">   - Nh©n c«ng bËc 4.0/7</t>
  </si>
  <si>
    <t xml:space="preserve">   - Xe thang cao 12m</t>
  </si>
  <si>
    <t xml:space="preserve">   - ¤t« t¶i 2.5T</t>
  </si>
  <si>
    <t>67</t>
  </si>
  <si>
    <t>BS.IV.18.01.e</t>
  </si>
  <si>
    <t>§¸nh c©y sanh vµ vËn chuyÓn c©y</t>
  </si>
  <si>
    <t>C©y</t>
  </si>
  <si>
    <t xml:space="preserve">   - Nh©n c«ng bËc 3.5/7</t>
  </si>
  <si>
    <t>68</t>
  </si>
  <si>
    <t>CX2.01.011</t>
  </si>
  <si>
    <t>Trång l¹i c©y sanh</t>
  </si>
  <si>
    <t>kÝch th­íc bÇu 0.8x0.8x0.8 m</t>
  </si>
  <si>
    <t xml:space="preserve">   - NÑp gç 0.03x0.05 dµi 0.3m</t>
  </si>
  <si>
    <t xml:space="preserve">   - Cäc chèng dµi bq 2.5m</t>
  </si>
  <si>
    <t xml:space="preserve">   - Bao bè</t>
  </si>
  <si>
    <t xml:space="preserve">   - Ph©n h÷u c¬</t>
  </si>
  <si>
    <t xml:space="preserve">   - §Êt</t>
  </si>
  <si>
    <t>69</t>
  </si>
  <si>
    <t>CX2.01.032b</t>
  </si>
  <si>
    <t>T­íi n­íc c©y sanh</t>
  </si>
  <si>
    <t>N­íc m¸y</t>
  </si>
  <si>
    <t>70</t>
  </si>
  <si>
    <t>SA.41114</t>
  </si>
  <si>
    <t>VÖ sinh khu«n viªn b»ng hãa chÊt</t>
  </si>
  <si>
    <t xml:space="preserve">   - ChÊt tÈy HT01</t>
  </si>
  <si>
    <t>lÝt</t>
  </si>
  <si>
    <t>*\4- BËc cÊp ®¸:</t>
  </si>
  <si>
    <t>71</t>
  </si>
  <si>
    <t>SA.32212</t>
  </si>
  <si>
    <t>C¾t bËc cÊp bª t«ng b»ng m¸y</t>
  </si>
  <si>
    <t xml:space="preserve">   - §¸ c¾t</t>
  </si>
  <si>
    <t>viªn</t>
  </si>
  <si>
    <t xml:space="preserve">   - §¸ mµi</t>
  </si>
  <si>
    <t xml:space="preserve">   - M¸y c¾t bª t«ng 1.5KW</t>
  </si>
  <si>
    <t xml:space="preserve">   - M¸y mµi 1KW</t>
  </si>
  <si>
    <t>72</t>
  </si>
  <si>
    <t>AA.22310</t>
  </si>
  <si>
    <t>Ph¸ dì kÕt cÊu bª t«ng = m¸y ®µo 1.25m3</t>
  </si>
  <si>
    <t>g¾n ®Çu bóa thñy lùc</t>
  </si>
  <si>
    <t xml:space="preserve">   - M¸y ®µo 1.25m3 g¾n ®Çu bóa thñy lùc</t>
  </si>
  <si>
    <t>73</t>
  </si>
  <si>
    <t>74</t>
  </si>
  <si>
    <t>AF.11110</t>
  </si>
  <si>
    <t>Bª t«ng ®¸ d¨m lãt mãng, R&lt;=250cm</t>
  </si>
  <si>
    <t>V÷a bª t«ng ®¸ 4x6 M</t>
  </si>
  <si>
    <t>75</t>
  </si>
  <si>
    <t>AK.57110</t>
  </si>
  <si>
    <t>L¾p bã vØa bt ®óc s½n lo¹i 0.9m</t>
  </si>
  <si>
    <t>(®· bao gåm líp v÷a ®Öm)</t>
  </si>
  <si>
    <t>76</t>
  </si>
  <si>
    <t>TT.12345</t>
  </si>
  <si>
    <t>Mua bã vØa ®¸ Granit tù nhiªn KT200x300x900mm</t>
  </si>
  <si>
    <t xml:space="preserve">   - Bã vØa ®¸ tù nhiªn KT200x300x900mm</t>
  </si>
  <si>
    <t>77</t>
  </si>
  <si>
    <t>AB.41413</t>
  </si>
  <si>
    <t>VËn chuyÓn ®Êt b»ng « t« tù ®æ 5T</t>
  </si>
  <si>
    <t>Ph¹m vi &lt;=1000m, §Êt cÊp III</t>
  </si>
  <si>
    <t xml:space="preserve">   - ¤ t« tù ®æ 5T</t>
  </si>
  <si>
    <t>78</t>
  </si>
  <si>
    <t>AB.42113</t>
  </si>
  <si>
    <t>VËn chuyÓn ®Êt 1km tiÕp theo=« t« tù ®æ 5T</t>
  </si>
  <si>
    <t>Cù ly &lt;= 1km, §Êt cÊp III</t>
  </si>
  <si>
    <t>*\5- T­îng ®µi:</t>
  </si>
  <si>
    <t>79</t>
  </si>
  <si>
    <t>VÖ sinh b»ng hãa chÊt</t>
  </si>
  <si>
    <t>80</t>
  </si>
  <si>
    <t>*\5- C­íc vËn chuyÓn:</t>
  </si>
  <si>
    <t>81</t>
  </si>
  <si>
    <t>AM.11212</t>
  </si>
  <si>
    <t>Bèc xÕp vËt liÖu kh¸c b»ng thñ c«ng</t>
  </si>
  <si>
    <t>1000v</t>
  </si>
  <si>
    <t>Bèc xuèng - G¹ch x©y c¸c lo¹i</t>
  </si>
  <si>
    <t>82</t>
  </si>
  <si>
    <t>AM.11222</t>
  </si>
  <si>
    <t>Bèc xuèng - G¹ch èp, l¸t c¸c lo¹i</t>
  </si>
  <si>
    <t>83</t>
  </si>
  <si>
    <t>AM.11242</t>
  </si>
  <si>
    <t>Bèc xuèng - Xi m¨ng bao</t>
  </si>
  <si>
    <t>84</t>
  </si>
  <si>
    <t>AM.11252</t>
  </si>
  <si>
    <t>Bèc xuèng - Gç c¸c lo¹i</t>
  </si>
  <si>
    <t>85</t>
  </si>
  <si>
    <t>AM.11282</t>
  </si>
  <si>
    <t>Bèc xuèng - ThÐp c¸c lo¹i</t>
  </si>
  <si>
    <t>86</t>
  </si>
  <si>
    <t>AM.23111</t>
  </si>
  <si>
    <t>VËn chuyÓn c¸t x©y dùng = « t« tù ®æ 7T</t>
  </si>
  <si>
    <t>10m3/km</t>
  </si>
  <si>
    <t>Trong ph¹m vi &lt;=1km</t>
  </si>
  <si>
    <t xml:space="preserve">   - ¤ t« tù ®æ 7T</t>
  </si>
  <si>
    <t>87</t>
  </si>
  <si>
    <t>AM.23112</t>
  </si>
  <si>
    <t>Trong ph¹m vi &lt;=10km</t>
  </si>
  <si>
    <t>88</t>
  </si>
  <si>
    <t>AM.23113</t>
  </si>
  <si>
    <t>Trong ph¹m vi &lt;=60km</t>
  </si>
  <si>
    <t>89</t>
  </si>
  <si>
    <t>AM.23411</t>
  </si>
  <si>
    <t>VËn chuyÓn ®¸ d¨m c¸c lo¹i = « t« tù ®æ 7T</t>
  </si>
  <si>
    <t>90</t>
  </si>
  <si>
    <t>AM.23412</t>
  </si>
  <si>
    <t>91</t>
  </si>
  <si>
    <t>AM.23413</t>
  </si>
  <si>
    <t>92</t>
  </si>
  <si>
    <t>AM.24111</t>
  </si>
  <si>
    <t>V/chuyÓn g¹ch x©y c¸c lo¹i= « t« vËn t¶i thïng 7T</t>
  </si>
  <si>
    <t>10tÊn/km</t>
  </si>
  <si>
    <t xml:space="preserve">   - ¤ t« vËn t¶i thïng 7T</t>
  </si>
  <si>
    <t>93</t>
  </si>
  <si>
    <t>AM.24112</t>
  </si>
  <si>
    <t>94</t>
  </si>
  <si>
    <t>AM.24113</t>
  </si>
  <si>
    <t>95</t>
  </si>
  <si>
    <t>AM.24211</t>
  </si>
  <si>
    <t>VC g¹ch èp l¸t c¸c lo¹i= « t« vËn t¶i thïng 7T</t>
  </si>
  <si>
    <t>96</t>
  </si>
  <si>
    <t>AM.24212</t>
  </si>
  <si>
    <t>97</t>
  </si>
  <si>
    <t>AM.24213</t>
  </si>
  <si>
    <t>98</t>
  </si>
  <si>
    <t>AM.24511</t>
  </si>
  <si>
    <t>V/chuyÓn thÐp c¸c lo¹i= « t« vËn t¶i thïng 7T</t>
  </si>
  <si>
    <t>99</t>
  </si>
  <si>
    <t>AM.24512</t>
  </si>
  <si>
    <t>100</t>
  </si>
  <si>
    <t>AM.24513</t>
  </si>
  <si>
    <t>101</t>
  </si>
  <si>
    <t>AM.24711</t>
  </si>
  <si>
    <t>V/chuyÓn gç c¸c lo¹i= « t« vËn t¶i thïng 7T</t>
  </si>
  <si>
    <t>102</t>
  </si>
  <si>
    <t>AM.24712</t>
  </si>
  <si>
    <t>103</t>
  </si>
  <si>
    <t>AM.24713</t>
  </si>
  <si>
    <t xml:space="preserve">   A5</t>
  </si>
  <si>
    <t>A5</t>
  </si>
  <si>
    <t xml:space="preserve">  -5- T­îng ®µi:</t>
  </si>
  <si>
    <t xml:space="preserve">   A4</t>
  </si>
  <si>
    <t>A4</t>
  </si>
  <si>
    <t xml:space="preserve">  -4- BËc cÊp ®¸:</t>
  </si>
  <si>
    <t xml:space="preserve">   A3</t>
  </si>
  <si>
    <t>A3</t>
  </si>
  <si>
    <t xml:space="preserve">  -3- C©y xanh:</t>
  </si>
  <si>
    <t xml:space="preserve">   A2</t>
  </si>
  <si>
    <t>A2</t>
  </si>
  <si>
    <t xml:space="preserve">  -2- S©n v­ên:</t>
  </si>
  <si>
    <t xml:space="preserve">   A1</t>
  </si>
  <si>
    <t>A1</t>
  </si>
  <si>
    <t xml:space="preserve">  -1- Nhµ chu«ng(2 c¸i):</t>
  </si>
  <si>
    <t xml:space="preserve"> G+VAT</t>
  </si>
  <si>
    <t>Gxd</t>
  </si>
  <si>
    <t>+ Chi phÝ x©y dùng sau thuÕ</t>
  </si>
  <si>
    <t>*.</t>
  </si>
  <si>
    <t xml:space="preserve"> G*10%</t>
  </si>
  <si>
    <t>VAT</t>
  </si>
  <si>
    <t>+ ThuÕ gi¸ trÞ gia t¨ng</t>
  </si>
  <si>
    <t xml:space="preserve"> T+GT+TL</t>
  </si>
  <si>
    <t>G</t>
  </si>
  <si>
    <t xml:space="preserve"> - Chi phÝ x©y dùng tr­íc thuÕ</t>
  </si>
  <si>
    <t xml:space="preserve"> (T+GT)*5.5%</t>
  </si>
  <si>
    <t>TL</t>
  </si>
  <si>
    <t>+ Thu nhËp chÞu thuÕ tÝnh tr­íc</t>
  </si>
  <si>
    <t xml:space="preserve"> C+LT+TT</t>
  </si>
  <si>
    <t>GT</t>
  </si>
  <si>
    <t>+ Chi phÝ gi¸n tiÕp</t>
  </si>
  <si>
    <t xml:space="preserve"> T*2.5%</t>
  </si>
  <si>
    <t>TT</t>
  </si>
  <si>
    <t xml:space="preserve">   Chi phÝ c«ng viÖc kh«ng x¸c ®Þnh KLTK</t>
  </si>
  <si>
    <t xml:space="preserve"> T*1.1%</t>
  </si>
  <si>
    <t>LT</t>
  </si>
  <si>
    <t xml:space="preserve">   Chi phÝ nhµ t¹m, nhµ ®iÒu hµnh thi c«ng</t>
  </si>
  <si>
    <t xml:space="preserve"> T*7.3%</t>
  </si>
  <si>
    <t>C</t>
  </si>
  <si>
    <t xml:space="preserve">   Chi phÝ chung</t>
  </si>
  <si>
    <t xml:space="preserve"> VL+NC+M</t>
  </si>
  <si>
    <t>T</t>
  </si>
  <si>
    <t>+ Chi phÝ trùc tiÕp</t>
  </si>
  <si>
    <t xml:space="preserve">   M</t>
  </si>
  <si>
    <t>M</t>
  </si>
  <si>
    <t xml:space="preserve">   Chi phÝ m¸y thi c«ng</t>
  </si>
  <si>
    <t xml:space="preserve">   NC</t>
  </si>
  <si>
    <t>NC</t>
  </si>
  <si>
    <t xml:space="preserve">   Chi phÝ nh©n c«ng</t>
  </si>
  <si>
    <t xml:space="preserve">   VL</t>
  </si>
  <si>
    <t>VL</t>
  </si>
  <si>
    <t xml:space="preserve">   Chi phÝ vËt liÖu</t>
  </si>
  <si>
    <t xml:space="preserve"> 6</t>
  </si>
  <si>
    <t xml:space="preserve"> 5</t>
  </si>
  <si>
    <t xml:space="preserve"> 4</t>
  </si>
  <si>
    <t xml:space="preserve"> 3</t>
  </si>
  <si>
    <t xml:space="preserve"> 2</t>
  </si>
  <si>
    <t xml:space="preserve"> 1</t>
  </si>
  <si>
    <t>Trong ph¹m vi &lt;=60km: 1=1.000</t>
  </si>
  <si>
    <t xml:space="preserve"> 92</t>
  </si>
  <si>
    <t>Trong ph¹m vi &lt;=10km: 1=1.000</t>
  </si>
  <si>
    <t xml:space="preserve"> 91</t>
  </si>
  <si>
    <t>Trong ph¹m vi &lt;=1km: 1=1.000</t>
  </si>
  <si>
    <t xml:space="preserve"> 90</t>
  </si>
  <si>
    <t xml:space="preserve"> 89</t>
  </si>
  <si>
    <t xml:space="preserve"> 88</t>
  </si>
  <si>
    <t xml:space="preserve"> 87</t>
  </si>
  <si>
    <t xml:space="preserve"> 86</t>
  </si>
  <si>
    <t xml:space="preserve"> 85</t>
  </si>
  <si>
    <t xml:space="preserve"> 84</t>
  </si>
  <si>
    <t xml:space="preserve"> 83</t>
  </si>
  <si>
    <t xml:space="preserve"> 82</t>
  </si>
  <si>
    <t xml:space="preserve"> 81</t>
  </si>
  <si>
    <t xml:space="preserve"> 80</t>
  </si>
  <si>
    <t xml:space="preserve"> 79</t>
  </si>
  <si>
    <t xml:space="preserve"> 78</t>
  </si>
  <si>
    <t xml:space="preserve"> 77</t>
  </si>
  <si>
    <t xml:space="preserve"> 76</t>
  </si>
  <si>
    <t xml:space="preserve"> 75</t>
  </si>
  <si>
    <t>Bèc xuèng - ThÐp c¸c lo¹i: 1=1.000</t>
  </si>
  <si>
    <t xml:space="preserve"> 74</t>
  </si>
  <si>
    <t>Bèc xuèng - Gç c¸c lo¹i: 1=1.000</t>
  </si>
  <si>
    <t xml:space="preserve"> 73</t>
  </si>
  <si>
    <t>Bèc xuèng - Xi m¨ng bao: 1=1.000</t>
  </si>
  <si>
    <t xml:space="preserve"> 72</t>
  </si>
  <si>
    <t>Bèc xuèng - G¹ch èp, l¸t c¸c lo¹i: 1=1.000</t>
  </si>
  <si>
    <t xml:space="preserve"> 71</t>
  </si>
  <si>
    <t>Bèc xuèng - G¹ch x©y c¸c lo¹i: 1=1.000</t>
  </si>
  <si>
    <t xml:space="preserve"> 70</t>
  </si>
  <si>
    <t xml:space="preserve"> 45</t>
  </si>
  <si>
    <t xml:space="preserve"> 62</t>
  </si>
  <si>
    <t xml:space="preserve"> 69</t>
  </si>
  <si>
    <t xml:space="preserve"> 68</t>
  </si>
  <si>
    <t xml:space="preserve"> 67</t>
  </si>
  <si>
    <t xml:space="preserve"> 66</t>
  </si>
  <si>
    <t xml:space="preserve"> 65</t>
  </si>
  <si>
    <t xml:space="preserve">  1</t>
  </si>
  <si>
    <t xml:space="preserve"> 64</t>
  </si>
  <si>
    <t xml:space="preserve"> 63</t>
  </si>
  <si>
    <t>N­íc m¸y: 2=2.000</t>
  </si>
  <si>
    <t xml:space="preserve"> 61</t>
  </si>
  <si>
    <t>kÝch th­íc bÇu 0.8x0.8x0.8 m: 2=2.000</t>
  </si>
  <si>
    <t xml:space="preserve"> 60</t>
  </si>
  <si>
    <t>: 2=2.000</t>
  </si>
  <si>
    <t xml:space="preserve"> 59</t>
  </si>
  <si>
    <t>C©y lo¹i 1: 4=4.000</t>
  </si>
  <si>
    <t xml:space="preserve"> 58</t>
  </si>
  <si>
    <t xml:space="preserve"> 57</t>
  </si>
  <si>
    <t xml:space="preserve"> 16</t>
  </si>
  <si>
    <t xml:space="preserve"> 56</t>
  </si>
  <si>
    <t xml:space="preserve"> 55</t>
  </si>
  <si>
    <t xml:space="preserve">  3</t>
  </si>
  <si>
    <t xml:space="preserve">  2</t>
  </si>
  <si>
    <t xml:space="preserve"> 54</t>
  </si>
  <si>
    <t xml:space="preserve"> 53</t>
  </si>
  <si>
    <t xml:space="preserve"> 52</t>
  </si>
  <si>
    <t>+ S©n</t>
  </si>
  <si>
    <t xml:space="preserve"> 51</t>
  </si>
  <si>
    <t xml:space="preserve"> 50</t>
  </si>
  <si>
    <t xml:space="preserve"> 49</t>
  </si>
  <si>
    <t>+) HÖ thèng ®iÖn</t>
  </si>
  <si>
    <t xml:space="preserve"> 48</t>
  </si>
  <si>
    <t xml:space="preserve"> 47</t>
  </si>
  <si>
    <t xml:space="preserve"> 46</t>
  </si>
  <si>
    <t xml:space="preserve"> 44</t>
  </si>
  <si>
    <t xml:space="preserve"> 43</t>
  </si>
  <si>
    <t xml:space="preserve"> 42</t>
  </si>
  <si>
    <t xml:space="preserve"> 41</t>
  </si>
  <si>
    <t xml:space="preserve"> 40</t>
  </si>
  <si>
    <t>: 50=50.000</t>
  </si>
  <si>
    <t xml:space="preserve"> 39</t>
  </si>
  <si>
    <t xml:space="preserve"> 38</t>
  </si>
  <si>
    <t xml:space="preserve"> 37</t>
  </si>
  <si>
    <t xml:space="preserve"> 36</t>
  </si>
  <si>
    <t xml:space="preserve"> 35</t>
  </si>
  <si>
    <t>: 5*6+2.2*6=43.200</t>
  </si>
  <si>
    <t xml:space="preserve"> 34</t>
  </si>
  <si>
    <t>V÷a XM M75: 71.904=71.904</t>
  </si>
  <si>
    <t xml:space="preserve"> 33</t>
  </si>
  <si>
    <t xml:space="preserve"> 32</t>
  </si>
  <si>
    <t xml:space="preserve"> 31</t>
  </si>
  <si>
    <t xml:space="preserve"> 30</t>
  </si>
  <si>
    <t xml:space="preserve"> 29</t>
  </si>
  <si>
    <t xml:space="preserve"> 28</t>
  </si>
  <si>
    <t>V÷a XM M75: 132.858=132.858</t>
  </si>
  <si>
    <t xml:space="preserve"> 27</t>
  </si>
  <si>
    <t xml:space="preserve"> 26</t>
  </si>
  <si>
    <t xml:space="preserve"> 25</t>
  </si>
  <si>
    <t xml:space="preserve"> 24</t>
  </si>
  <si>
    <t xml:space="preserve"> 23</t>
  </si>
  <si>
    <t>V÷a XM M75: 77.508=77.508</t>
  </si>
  <si>
    <t xml:space="preserve"> 22</t>
  </si>
  <si>
    <t xml:space="preserve"> 11</t>
  </si>
  <si>
    <t xml:space="preserve"> 10</t>
  </si>
  <si>
    <t xml:space="preserve"> 21</t>
  </si>
  <si>
    <t xml:space="preserve"> 20</t>
  </si>
  <si>
    <t>Dµy 1.5 cm, V÷a XM M75: 61.983=61.983</t>
  </si>
  <si>
    <t xml:space="preserve"> 19</t>
  </si>
  <si>
    <t xml:space="preserve"> 18</t>
  </si>
  <si>
    <t xml:space="preserve">  7</t>
  </si>
  <si>
    <t>V÷a XM M75: 45.72=45.720</t>
  </si>
  <si>
    <t xml:space="preserve"> 17</t>
  </si>
  <si>
    <t xml:space="preserve"> 15</t>
  </si>
  <si>
    <t xml:space="preserve"> 14</t>
  </si>
  <si>
    <t xml:space="preserve"> 13</t>
  </si>
  <si>
    <t xml:space="preserve"> 12</t>
  </si>
  <si>
    <t xml:space="preserve">  9</t>
  </si>
  <si>
    <t xml:space="preserve">  8</t>
  </si>
  <si>
    <t xml:space="preserve">  6</t>
  </si>
  <si>
    <t xml:space="preserve">  5</t>
  </si>
  <si>
    <t xml:space="preserve">  4</t>
  </si>
  <si>
    <t>C- M¸y thi c«ng :</t>
  </si>
  <si>
    <t>B- Nh©n c«ng :</t>
  </si>
  <si>
    <t>A- VËt liÖu :</t>
  </si>
  <si>
    <t>%</t>
  </si>
  <si>
    <t xml:space="preserve">   - M¸y kh¸c</t>
  </si>
  <si>
    <t xml:space="preserve"> C- M¸y thi c«ng :</t>
  </si>
  <si>
    <t xml:space="preserve"> B- Nh©n c«ng :</t>
  </si>
  <si>
    <t xml:space="preserve">   - VËt liÖu kh¸c</t>
  </si>
  <si>
    <t xml:space="preserve"> A- VËt liÖu :</t>
  </si>
  <si>
    <t>madm</t>
  </si>
  <si>
    <t>1x2/4N4</t>
  </si>
  <si>
    <t>31*Diezel</t>
  </si>
  <si>
    <t>M106.0105</t>
  </si>
  <si>
    <t>46*Diezel</t>
  </si>
  <si>
    <t>M106.0203</t>
  </si>
  <si>
    <t>41*Diezel</t>
  </si>
  <si>
    <t>M106.0202</t>
  </si>
  <si>
    <t>1x3/7N4</t>
  </si>
  <si>
    <t>4*Xang</t>
  </si>
  <si>
    <t>M101.0803</t>
  </si>
  <si>
    <t>7*KWh</t>
  </si>
  <si>
    <t>M112.1301</t>
  </si>
  <si>
    <t>5*KWh</t>
  </si>
  <si>
    <t>M112.1101</t>
  </si>
  <si>
    <t>1x4/7N4</t>
  </si>
  <si>
    <t>43*Diezel</t>
  </si>
  <si>
    <t>M101.0101</t>
  </si>
  <si>
    <t>83*Diezel</t>
  </si>
  <si>
    <t>M101.0115</t>
  </si>
  <si>
    <t>8*KWh</t>
  </si>
  <si>
    <t>M104.0202</t>
  </si>
  <si>
    <t>11*KWh</t>
  </si>
  <si>
    <t>M104.0102</t>
  </si>
  <si>
    <t>2*KWh</t>
  </si>
  <si>
    <t>M112.3701</t>
  </si>
  <si>
    <t>48*KWh</t>
  </si>
  <si>
    <t>M112.4003</t>
  </si>
  <si>
    <t>9*KWh</t>
  </si>
  <si>
    <t>M112.2601</t>
  </si>
  <si>
    <t>3*KWh</t>
  </si>
  <si>
    <t>M112.2102</t>
  </si>
  <si>
    <t>M112.2701</t>
  </si>
  <si>
    <t>2.7*KWh</t>
  </si>
  <si>
    <t>M112.2101</t>
  </si>
  <si>
    <t>449646.1</t>
  </si>
  <si>
    <t>321886.8</t>
  </si>
  <si>
    <t>305039.5</t>
  </si>
  <si>
    <t>273769.7</t>
  </si>
  <si>
    <t>259440.8</t>
  </si>
  <si>
    <t>188805</t>
  </si>
  <si>
    <t>252200.0</t>
  </si>
  <si>
    <t>175978</t>
  </si>
  <si>
    <t>230630.3</t>
  </si>
  <si>
    <t>218559.2</t>
  </si>
  <si>
    <t xml:space="preserve">     0</t>
  </si>
  <si>
    <t>- §Ìn èng dµi 1.2m bãng led 1x18W</t>
  </si>
  <si>
    <t>- §Êt</t>
  </si>
  <si>
    <t>- §¾p ch©n trô</t>
  </si>
  <si>
    <t>- §¸nh PU 3 n­íc</t>
  </si>
  <si>
    <t>- §¸ mµi</t>
  </si>
  <si>
    <t>C«ng tr×nh</t>
  </si>
  <si>
    <t xml:space="preserve">  AM.23412: « t« tù ®æ 7T, cù ly &lt;10km</t>
  </si>
  <si>
    <t>Tr­êng S¬n</t>
  </si>
  <si>
    <t xml:space="preserve">  AM.23411: « t« tù ®æ 7T, cù ly &lt;1km</t>
  </si>
  <si>
    <t xml:space="preserve">     3</t>
  </si>
  <si>
    <t>- §¸ d¨m 4x6</t>
  </si>
  <si>
    <t>- §¸ d¨m 2x4</t>
  </si>
  <si>
    <t>- §¸ d¨m 1x2</t>
  </si>
  <si>
    <t>- §¸ c¾t</t>
  </si>
  <si>
    <t>- §inh</t>
  </si>
  <si>
    <t>- X¨ng (Kg)</t>
  </si>
  <si>
    <t>- Xi m¨ng tr¾ng</t>
  </si>
  <si>
    <t xml:space="preserve">  AM.11242: thñ c«ng - bèc xuèng xe</t>
  </si>
  <si>
    <t>- Xi m¨ng PCB40</t>
  </si>
  <si>
    <t>- Xi m¨ng PCB30</t>
  </si>
  <si>
    <t>- Xi m¨ng PC40</t>
  </si>
  <si>
    <t xml:space="preserve">  AM.11282: thñ c«ng - bèc xuèng xe</t>
  </si>
  <si>
    <t>- ThÐp trßn d&gt;10mm</t>
  </si>
  <si>
    <t>- ThÐp trßn d&lt;=18mm</t>
  </si>
  <si>
    <t>- ThÐp trßn d&lt;=10mm</t>
  </si>
  <si>
    <t>- ThÐp h×nh</t>
  </si>
  <si>
    <t>- ThÐp c¸c lo¹i</t>
  </si>
  <si>
    <t>- ThÐp buéc</t>
  </si>
  <si>
    <t>- S¬n phñ Joton trong nhµ</t>
  </si>
  <si>
    <t>- S¬n phñ Joton ngoµi nhµ</t>
  </si>
  <si>
    <t>- S¬n lãt Joton trong nhµ</t>
  </si>
  <si>
    <t>- S¬n lãt Joton ngoµi nhµ</t>
  </si>
  <si>
    <t>- S¬n</t>
  </si>
  <si>
    <t>- Que hµn</t>
  </si>
  <si>
    <t>- Ph©n h÷u c¬</t>
  </si>
  <si>
    <t>- NÑp gç 0.03x0.05 dµi 0.3m</t>
  </si>
  <si>
    <t>- N­íc</t>
  </si>
  <si>
    <t>- Ngãi mòi hµi 85v/m2 H¹ Long</t>
  </si>
  <si>
    <t>- Mua hå l« ®óc s½n KT0.65x0.36m</t>
  </si>
  <si>
    <t>- Mua con gièng ®óc s½n KT1.63x0.55m</t>
  </si>
  <si>
    <t xml:space="preserve">  AM.11252: thñ c«ng - bèc xuèng xe</t>
  </si>
  <si>
    <t>- Gç ®µ nÑp</t>
  </si>
  <si>
    <t>- Gç ®µ chèng</t>
  </si>
  <si>
    <t>- Gç xÎ NII</t>
  </si>
  <si>
    <t>- Gç v¸n</t>
  </si>
  <si>
    <t>- Gç chèng</t>
  </si>
  <si>
    <t xml:space="preserve">  AM.11222: thñ c«ng - bèc xuèng xe</t>
  </si>
  <si>
    <t>Tø H¹</t>
  </si>
  <si>
    <t xml:space="preserve">  AM.24211: « t« t¶i thïng 7T, cù ly &lt;1km</t>
  </si>
  <si>
    <t xml:space="preserve">     1</t>
  </si>
  <si>
    <t>- G¹ch terazzo KT30x30</t>
  </si>
  <si>
    <t xml:space="preserve">  AM.11212: thñ c«ng - bèc xuèng xe</t>
  </si>
  <si>
    <t xml:space="preserve">  AM.24111: « t« t¶i thïng 7T, cù ly &lt;1km</t>
  </si>
  <si>
    <t>- G¹ch ko nung ®Æc 6x9.5x20</t>
  </si>
  <si>
    <t>- G¹ch H¹ Long KT300x300</t>
  </si>
  <si>
    <t>- G¹ch gèm KT60x240</t>
  </si>
  <si>
    <t>- Gi¸o thÐp</t>
  </si>
  <si>
    <t>- D©y thÐp</t>
  </si>
  <si>
    <t>- D©y dÉn ®iÖn CV2x2.5mm2</t>
  </si>
  <si>
    <t>- D©y dÉn ®iÖn CV2x1.5mm2</t>
  </si>
  <si>
    <t>- Cäc chèng dµi bq 2.5m</t>
  </si>
  <si>
    <t xml:space="preserve">  AM.23112: « t« tù ®æ 7T, cù ly &lt;10km</t>
  </si>
  <si>
    <t>An Lç</t>
  </si>
  <si>
    <t xml:space="preserve">  AM.23111: « t« tù ®æ 7T, cù ly &lt;1km</t>
  </si>
  <si>
    <t xml:space="preserve">     4</t>
  </si>
  <si>
    <t>- C¸t ®óc</t>
  </si>
  <si>
    <t>- C¸t x©y</t>
  </si>
  <si>
    <t>- ChÊt tÈy HT01</t>
  </si>
  <si>
    <t>- Bét ®¸ ®¾p nÒn</t>
  </si>
  <si>
    <t>- Bã vØa ®¸ tù nhiªn KT200x300x900mm</t>
  </si>
  <si>
    <t>- B¬l« 10x20x30</t>
  </si>
  <si>
    <t>- Bao bè</t>
  </si>
  <si>
    <t>*C - XE MAY</t>
  </si>
  <si>
    <t>*B - NH¢N C¤NG</t>
  </si>
  <si>
    <t>*A - V¢T LI£U</t>
  </si>
  <si>
    <t>Céng hoµ x· héi chñ nghÜa ViÖt Nam</t>
  </si>
  <si>
    <t>§éc lËp - Tù do - H¹nh phóc</t>
  </si>
  <si>
    <t>=======@@@=======</t>
  </si>
  <si>
    <t>C«ng tr×nh : §µi t­ëng niÖm c¸c anh hïng liÖt sÜ thÞ x· H­¬ng trµ</t>
  </si>
  <si>
    <t>h¹ng môc : nhµ chu«ng vµ chØnh trang khu«n viªn</t>
  </si>
  <si>
    <t>®Þa ®iÓm : thÞ x· h­¬ng trµ, tØnh thõa thiªn huÕ</t>
  </si>
  <si>
    <t>H¹ng môc chi phÝ</t>
  </si>
  <si>
    <t>Ký
hiÖu</t>
  </si>
  <si>
    <t>C¸ch tÝnh</t>
  </si>
  <si>
    <t>Thµnh tiÒn
tr­íc thuÕ</t>
  </si>
  <si>
    <t>ThuÕ
VAT</t>
  </si>
  <si>
    <t>Thµnh tiÒn
sau thuÕ</t>
  </si>
  <si>
    <t>B¶ng tæng hîp chi phÝ x©y l¾p</t>
  </si>
  <si>
    <t>Thµnh tiÒn</t>
  </si>
  <si>
    <t>B¶ng dù to¸n chi tiÕt</t>
  </si>
  <si>
    <t>§¬n gi¸</t>
  </si>
  <si>
    <t>Sè hiÖu
®Þnh møc</t>
  </si>
  <si>
    <t>H¹ng môc c«ng t¸c</t>
  </si>
  <si>
    <t>§¬n
vÞ</t>
  </si>
  <si>
    <t>Khèi
l­îng</t>
  </si>
  <si>
    <t>VËt liÖu</t>
  </si>
  <si>
    <t>Nh©n c«ng</t>
  </si>
  <si>
    <t>Ca m¸y</t>
  </si>
  <si>
    <t>M¸y thi c«ng</t>
  </si>
  <si>
    <t>B¶ng ph©n tÝch ®¬n gi¸</t>
  </si>
  <si>
    <t>Sè hiÖu
§Þnh møc</t>
  </si>
  <si>
    <t>§¬n 
vÞ</t>
  </si>
  <si>
    <t>§Þnh møc</t>
  </si>
  <si>
    <t>B¶ng gi¸ nh©n c«ng vµ ca m¸y</t>
  </si>
  <si>
    <t>TT
M· m¸y</t>
  </si>
  <si>
    <t>Lo¹i nh©n c«ng
&amp; M¸y thi c«ng</t>
  </si>
  <si>
    <t>§¬n 
VÞ</t>
  </si>
  <si>
    <t>Sè
Ca/
n¨m</t>
  </si>
  <si>
    <t>§m
KhÊu
hao</t>
  </si>
  <si>
    <t>§m
S÷a
ch÷a</t>
  </si>
  <si>
    <t>§m
C.phÝ
kh¸c</t>
  </si>
  <si>
    <t>§Þnh møc
nhiªn liÖu</t>
  </si>
  <si>
    <t>Thµnh phÇn
bËc thî</t>
  </si>
  <si>
    <t>Gi¸ tÝnh
khÊu hao
(1000 ®)</t>
  </si>
  <si>
    <t>Chi phÝ
khÊu hao
VN§</t>
  </si>
  <si>
    <t>Chi phÝ
s÷a ch÷a
VN§</t>
  </si>
  <si>
    <t>Chi phÝ
nh. liÖu
n.l­îng</t>
  </si>
  <si>
    <t>Chi phÝ
l­¬ng
thî m¸y</t>
  </si>
  <si>
    <t>Chi phÝ
kh¸c
VN§</t>
  </si>
  <si>
    <t>§¬n gi¸
1 c«ng vµ
1 ca m¸y</t>
  </si>
  <si>
    <t>B¶ng tÝnh gi¸ vËt liÖu ®Õn ch©n c«ng tr×nh</t>
  </si>
  <si>
    <t>Tªn vËt liÖu</t>
  </si>
  <si>
    <t>§iÓm ®Çu</t>
  </si>
  <si>
    <t>§iÓm cuèi</t>
  </si>
  <si>
    <t>BËc
hµng</t>
  </si>
  <si>
    <t>Lo¹i
®­êng</t>
  </si>
  <si>
    <t>Cù
ly
lÎ</t>
  </si>
  <si>
    <t>Tæng
cù ly</t>
  </si>
  <si>
    <t>C­íc
vËn chuyÓn</t>
  </si>
  <si>
    <t>HÖ sè
®c.bËc
hµng</t>
  </si>
  <si>
    <t>HÖ sè
träng 
l­îng</t>
  </si>
  <si>
    <t>HÖ sè
n©ng
h¹ben</t>
  </si>
  <si>
    <t>Gi¸ c­íc
vËn chuyÓn</t>
  </si>
  <si>
    <t>C­íc
bèc dì</t>
  </si>
  <si>
    <t>Gi¸ th¸ng</t>
  </si>
  <si>
    <t>Gi¸ thµnh</t>
  </si>
  <si>
    <t>B¶ng tÝnh khèi l­îng - tiªn l­îng</t>
  </si>
  <si>
    <t>Sè
l­îng</t>
  </si>
  <si>
    <t>Dµi</t>
  </si>
  <si>
    <t>Réng</t>
  </si>
  <si>
    <t>Cao</t>
  </si>
  <si>
    <t>Sè phô</t>
  </si>
  <si>
    <t>C«ng thøc</t>
  </si>
  <si>
    <t>Khèi l­îng
chi tiÕt</t>
  </si>
  <si>
    <t>B¶ng tæng hîp khèi l­îng vµ chi phÝ VL,NC,M</t>
  </si>
  <si>
    <t>Lo¹i vËt liÖu...</t>
  </si>
  <si>
    <t>Khèi l­îng</t>
  </si>
  <si>
    <t>B¶ng ph©n tÝch khèi l­îng</t>
  </si>
  <si>
    <t>1.</t>
  </si>
  <si>
    <t>Chi phÝ x©y dùng:</t>
  </si>
  <si>
    <t>G1</t>
  </si>
  <si>
    <t xml:space="preserve"> A1+...+A5</t>
  </si>
  <si>
    <t>2.</t>
  </si>
  <si>
    <t>Chi phÝ qu¶n lý dù ¸n:</t>
  </si>
  <si>
    <t>G2</t>
  </si>
  <si>
    <t xml:space="preserve"> G1*3.446%/1.1</t>
  </si>
  <si>
    <t>3.</t>
  </si>
  <si>
    <t>Chi phÝ t­ vÊn ®Çu t­ x©y dùng:</t>
  </si>
  <si>
    <t>G3</t>
  </si>
  <si>
    <t xml:space="preserve"> TV1+...+TV4</t>
  </si>
  <si>
    <t xml:space="preserve">  - LËp b¸o c¸o kinh tÕ kü thuËt</t>
  </si>
  <si>
    <t>TV1</t>
  </si>
  <si>
    <t xml:space="preserve"> G1*6.5%</t>
  </si>
  <si>
    <t xml:space="preserve">  - ThÈm tra thiÕt kÕ x©y dùng</t>
  </si>
  <si>
    <t>TV2</t>
  </si>
  <si>
    <t>Tèi thiÓu</t>
  </si>
  <si>
    <t xml:space="preserve">  - ThÈm tra dù to¸n x©y dùng</t>
  </si>
  <si>
    <t>TV3</t>
  </si>
  <si>
    <t xml:space="preserve">  - Gi¸m s¸t thi c«ng x©y dùng</t>
  </si>
  <si>
    <t>TV4</t>
  </si>
  <si>
    <t xml:space="preserve"> G1*3.285%</t>
  </si>
  <si>
    <t>4.</t>
  </si>
  <si>
    <t>Chi phÝ kh¸c:</t>
  </si>
  <si>
    <t>G4</t>
  </si>
  <si>
    <t xml:space="preserve"> K1+...+K3</t>
  </si>
  <si>
    <t xml:space="preserve">  - PhÝ thÈm tra phª duyÖt quyÕt to¸n</t>
  </si>
  <si>
    <t>K1</t>
  </si>
  <si>
    <t>(TM-DP1)*0.57%</t>
  </si>
  <si>
    <t xml:space="preserve">  - PhÝ thÈm ®Þnh BCKT-KT</t>
  </si>
  <si>
    <t>K2</t>
  </si>
  <si>
    <t>TM*0.019%*50%</t>
  </si>
  <si>
    <t xml:space="preserve">  - Chi phÝ b¶o hiÓm c«ng tr×nh</t>
  </si>
  <si>
    <t>K3</t>
  </si>
  <si>
    <t xml:space="preserve"> G1*0.08%</t>
  </si>
  <si>
    <t xml:space="preserve">  - PhÝ thÈm ®Þnh gÝa</t>
  </si>
  <si>
    <t>K4</t>
  </si>
  <si>
    <t>T¹m tÝnh</t>
  </si>
  <si>
    <t>5.</t>
  </si>
  <si>
    <t>Chi phÝ dù phßng:</t>
  </si>
  <si>
    <t>G5</t>
  </si>
  <si>
    <t xml:space="preserve"> DP1</t>
  </si>
  <si>
    <t xml:space="preserve">  - Do yÕu tè khèi l­îng ph¸t sinh</t>
  </si>
  <si>
    <t>DP1</t>
  </si>
  <si>
    <t xml:space="preserve"> G-(G1+…+G4)</t>
  </si>
  <si>
    <t>6.</t>
  </si>
  <si>
    <t>Tæng céng(1+2+3+4+5)</t>
  </si>
  <si>
    <t xml:space="preserve"> Round(G1+...+G5,-3)</t>
  </si>
  <si>
    <t>Bª t«ng nÒn ®¸ 2x4, M100</t>
  </si>
  <si>
    <t>BS.IV.18.01.f</t>
  </si>
  <si>
    <t>C«ng tr×nh: §µi t­ëng niÖm c¸c anh hïng liÖt sÜ thÞ x· H­¬ng trµ</t>
  </si>
  <si>
    <t>h¹ng môc: nhµ chu«ng vµ chØnh trang khu«n viªn</t>
  </si>
  <si>
    <t>BẢNG TỔNG MỨC ĐẦU TƯ</t>
  </si>
  <si>
    <t>(Kèm theo Quyết định số        /QĐ-UBND ngày    /4/2023 của UBND thị xã)</t>
  </si>
  <si>
    <t>ĐVT: Triệu đồng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</si>
</sst>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"/>
    <numFmt numFmtId="166" formatCode="#,##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64">
    <font>
      <sz val="12"/>
      <color theme="1"/>
      <name val=".VnTime"/>
      <family val="2"/>
    </font>
    <font>
      <sz val="12"/>
      <color indexed="8"/>
      <name val=".VnTime"/>
      <family val="2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u val="single"/>
      <sz val="12"/>
      <color indexed="25"/>
      <name val=".VnTime"/>
      <family val="2"/>
    </font>
    <font>
      <sz val="12"/>
      <color indexed="17"/>
      <name val=".VnTime"/>
      <family val="2"/>
    </font>
    <font>
      <b/>
      <sz val="15"/>
      <color indexed="54"/>
      <name val=".VnTime"/>
      <family val="2"/>
    </font>
    <font>
      <b/>
      <sz val="13"/>
      <color indexed="54"/>
      <name val=".VnTime"/>
      <family val="2"/>
    </font>
    <font>
      <b/>
      <sz val="11"/>
      <color indexed="54"/>
      <name val=".VnTime"/>
      <family val="2"/>
    </font>
    <font>
      <u val="single"/>
      <sz val="12"/>
      <color indexed="30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sz val="18"/>
      <color indexed="54"/>
      <name val="Calibri Light"/>
      <family val="2"/>
    </font>
    <font>
      <b/>
      <sz val="12"/>
      <color indexed="8"/>
      <name val=".VnTime"/>
      <family val="2"/>
    </font>
    <font>
      <sz val="12"/>
      <color indexed="10"/>
      <name val=".VnTime"/>
      <family val="2"/>
    </font>
    <font>
      <sz val="11"/>
      <color indexed="8"/>
      <name val=".VnTimeH"/>
      <family val="2"/>
    </font>
    <font>
      <sz val="11"/>
      <color indexed="8"/>
      <name val=".VnArial Narrow"/>
      <family val="2"/>
    </font>
    <font>
      <b/>
      <sz val="11"/>
      <color indexed="8"/>
      <name val=".VnArial Narrow"/>
      <family val="2"/>
    </font>
    <font>
      <sz val="10"/>
      <color indexed="8"/>
      <name val=".VnArial Narrow"/>
      <family val="2"/>
    </font>
    <font>
      <b/>
      <sz val="10"/>
      <color indexed="8"/>
      <name val=".VnArial Narrow"/>
      <family val="2"/>
    </font>
    <font>
      <u val="single"/>
      <sz val="11"/>
      <color indexed="8"/>
      <name val=".VnArial Narrow"/>
      <family val="2"/>
    </font>
    <font>
      <b/>
      <sz val="9"/>
      <color indexed="8"/>
      <name val=".VnArial Narrow"/>
      <family val="2"/>
    </font>
    <font>
      <b/>
      <sz val="11"/>
      <color indexed="8"/>
      <name val=".VnTimeH"/>
      <family val="2"/>
    </font>
    <font>
      <b/>
      <sz val="13"/>
      <color indexed="8"/>
      <name val=".VnArialH"/>
      <family val="2"/>
    </font>
    <font>
      <b/>
      <i/>
      <sz val="12"/>
      <color indexed="8"/>
      <name val=".VnTime"/>
      <family val="2"/>
    </font>
    <font>
      <b/>
      <sz val="13"/>
      <color indexed="8"/>
      <name val="Times New Roman"/>
      <family val="1"/>
    </font>
    <font>
      <i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u val="single"/>
      <sz val="12"/>
      <color theme="11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u val="single"/>
      <sz val="12"/>
      <color theme="10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sz val="18"/>
      <color theme="3"/>
      <name val="Calibri Light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  <font>
      <sz val="11"/>
      <color theme="1"/>
      <name val=".VnTimeH"/>
      <family val="2"/>
    </font>
    <font>
      <sz val="11"/>
      <color theme="1"/>
      <name val=".VnArial Narrow"/>
      <family val="2"/>
    </font>
    <font>
      <b/>
      <sz val="11"/>
      <color theme="1"/>
      <name val=".VnArial Narrow"/>
      <family val="2"/>
    </font>
    <font>
      <sz val="10"/>
      <color theme="1"/>
      <name val=".VnArial Narrow"/>
      <family val="2"/>
    </font>
    <font>
      <b/>
      <sz val="10"/>
      <color theme="1"/>
      <name val=".VnArial Narrow"/>
      <family val="2"/>
    </font>
    <font>
      <u val="single"/>
      <sz val="11"/>
      <color theme="1"/>
      <name val=".VnArial Narrow"/>
      <family val="2"/>
    </font>
    <font>
      <b/>
      <sz val="9"/>
      <color theme="1"/>
      <name val=".VnArial Narrow"/>
      <family val="2"/>
    </font>
    <font>
      <b/>
      <sz val="11"/>
      <color theme="1"/>
      <name val=".VnTimeH"/>
      <family val="2"/>
    </font>
    <font>
      <b/>
      <sz val="13"/>
      <color theme="1"/>
      <name val=".VnArialH"/>
      <family val="2"/>
    </font>
    <font>
      <b/>
      <i/>
      <sz val="12"/>
      <color theme="1"/>
      <name val=".VnTime"/>
      <family val="2"/>
    </font>
    <font>
      <b/>
      <sz val="13"/>
      <color theme="1"/>
      <name val="Times New Roman"/>
      <family val="1"/>
    </font>
    <font>
      <i/>
      <sz val="11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13">
    <xf numFmtId="0" fontId="0" fillId="0" borderId="0" xfId="0" applyAlignment="1">
      <alignment/>
    </xf>
    <xf numFmtId="165" fontId="49" fillId="0" borderId="0" xfId="0" applyNumberFormat="1" applyFont="1" applyAlignment="1">
      <alignment/>
    </xf>
    <xf numFmtId="0" fontId="49" fillId="0" borderId="0" xfId="0" applyFont="1" applyAlignment="1">
      <alignment/>
    </xf>
    <xf numFmtId="164" fontId="49" fillId="0" borderId="0" xfId="0" applyNumberFormat="1" applyFont="1" applyAlignment="1">
      <alignment/>
    </xf>
    <xf numFmtId="3" fontId="49" fillId="0" borderId="0" xfId="0" applyNumberFormat="1" applyFont="1" applyAlignment="1">
      <alignment/>
    </xf>
    <xf numFmtId="4" fontId="49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9" fillId="0" borderId="18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 wrapText="1"/>
    </xf>
    <xf numFmtId="3" fontId="49" fillId="0" borderId="19" xfId="0" applyNumberFormat="1" applyFont="1" applyBorder="1" applyAlignment="1">
      <alignment horizontal="center" vertical="center" wrapText="1"/>
    </xf>
    <xf numFmtId="3" fontId="49" fillId="0" borderId="20" xfId="0" applyNumberFormat="1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49" fillId="0" borderId="10" xfId="0" applyFont="1" applyBorder="1" applyAlignment="1">
      <alignment/>
    </xf>
    <xf numFmtId="0" fontId="49" fillId="0" borderId="11" xfId="0" applyFont="1" applyBorder="1" applyAlignment="1">
      <alignment/>
    </xf>
    <xf numFmtId="3" fontId="49" fillId="0" borderId="12" xfId="0" applyNumberFormat="1" applyFont="1" applyBorder="1" applyAlignment="1">
      <alignment/>
    </xf>
    <xf numFmtId="0" fontId="49" fillId="0" borderId="16" xfId="0" applyFont="1" applyBorder="1" applyAlignment="1">
      <alignment/>
    </xf>
    <xf numFmtId="0" fontId="49" fillId="0" borderId="17" xfId="0" applyFont="1" applyBorder="1" applyAlignment="1">
      <alignment/>
    </xf>
    <xf numFmtId="3" fontId="49" fillId="0" borderId="21" xfId="0" applyNumberFormat="1" applyFont="1" applyBorder="1" applyAlignment="1">
      <alignment/>
    </xf>
    <xf numFmtId="0" fontId="49" fillId="0" borderId="16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3" fontId="49" fillId="0" borderId="20" xfId="0" applyNumberFormat="1" applyFont="1" applyBorder="1" applyAlignment="1">
      <alignment horizontal="center" vertical="center"/>
    </xf>
    <xf numFmtId="0" fontId="52" fillId="0" borderId="0" xfId="0" applyFont="1" applyAlignment="1">
      <alignment/>
    </xf>
    <xf numFmtId="165" fontId="52" fillId="0" borderId="0" xfId="0" applyNumberFormat="1" applyFont="1" applyAlignment="1">
      <alignment/>
    </xf>
    <xf numFmtId="3" fontId="52" fillId="0" borderId="0" xfId="0" applyNumberFormat="1" applyFont="1" applyAlignment="1">
      <alignment/>
    </xf>
    <xf numFmtId="0" fontId="53" fillId="0" borderId="0" xfId="0" applyFont="1" applyAlignment="1">
      <alignment/>
    </xf>
    <xf numFmtId="165" fontId="53" fillId="0" borderId="0" xfId="0" applyNumberFormat="1" applyFont="1" applyAlignment="1">
      <alignment/>
    </xf>
    <xf numFmtId="3" fontId="53" fillId="0" borderId="0" xfId="0" applyNumberFormat="1" applyFont="1" applyAlignment="1">
      <alignment/>
    </xf>
    <xf numFmtId="0" fontId="52" fillId="0" borderId="22" xfId="0" applyFont="1" applyBorder="1" applyAlignment="1">
      <alignment/>
    </xf>
    <xf numFmtId="0" fontId="52" fillId="0" borderId="23" xfId="0" applyFont="1" applyBorder="1" applyAlignment="1">
      <alignment/>
    </xf>
    <xf numFmtId="0" fontId="52" fillId="0" borderId="10" xfId="0" applyFont="1" applyBorder="1" applyAlignment="1">
      <alignment/>
    </xf>
    <xf numFmtId="0" fontId="52" fillId="0" borderId="11" xfId="0" applyFont="1" applyBorder="1" applyAlignment="1">
      <alignment/>
    </xf>
    <xf numFmtId="165" fontId="52" fillId="0" borderId="11" xfId="0" applyNumberFormat="1" applyFont="1" applyBorder="1" applyAlignment="1">
      <alignment/>
    </xf>
    <xf numFmtId="3" fontId="52" fillId="0" borderId="11" xfId="0" applyNumberFormat="1" applyFont="1" applyBorder="1" applyAlignment="1">
      <alignment/>
    </xf>
    <xf numFmtId="3" fontId="52" fillId="0" borderId="12" xfId="0" applyNumberFormat="1" applyFont="1" applyBorder="1" applyAlignment="1">
      <alignment/>
    </xf>
    <xf numFmtId="0" fontId="53" fillId="0" borderId="10" xfId="0" applyFont="1" applyBorder="1" applyAlignment="1">
      <alignment/>
    </xf>
    <xf numFmtId="0" fontId="53" fillId="0" borderId="11" xfId="0" applyFont="1" applyBorder="1" applyAlignment="1">
      <alignment/>
    </xf>
    <xf numFmtId="165" fontId="53" fillId="0" borderId="11" xfId="0" applyNumberFormat="1" applyFont="1" applyBorder="1" applyAlignment="1">
      <alignment/>
    </xf>
    <xf numFmtId="3" fontId="53" fillId="0" borderId="11" xfId="0" applyNumberFormat="1" applyFont="1" applyBorder="1" applyAlignment="1">
      <alignment/>
    </xf>
    <xf numFmtId="3" fontId="53" fillId="0" borderId="12" xfId="0" applyNumberFormat="1" applyFont="1" applyBorder="1" applyAlignment="1">
      <alignment/>
    </xf>
    <xf numFmtId="0" fontId="52" fillId="0" borderId="13" xfId="0" applyFont="1" applyBorder="1" applyAlignment="1">
      <alignment/>
    </xf>
    <xf numFmtId="0" fontId="52" fillId="0" borderId="14" xfId="0" applyFont="1" applyBorder="1" applyAlignment="1">
      <alignment/>
    </xf>
    <xf numFmtId="165" fontId="52" fillId="0" borderId="14" xfId="0" applyNumberFormat="1" applyFont="1" applyBorder="1" applyAlignment="1">
      <alignment/>
    </xf>
    <xf numFmtId="3" fontId="52" fillId="0" borderId="14" xfId="0" applyNumberFormat="1" applyFont="1" applyBorder="1" applyAlignment="1">
      <alignment/>
    </xf>
    <xf numFmtId="3" fontId="52" fillId="0" borderId="15" xfId="0" applyNumberFormat="1" applyFont="1" applyBorder="1" applyAlignment="1">
      <alignment/>
    </xf>
    <xf numFmtId="0" fontId="53" fillId="0" borderId="16" xfId="0" applyFont="1" applyBorder="1" applyAlignment="1">
      <alignment/>
    </xf>
    <xf numFmtId="0" fontId="53" fillId="0" borderId="17" xfId="0" applyFont="1" applyBorder="1" applyAlignment="1">
      <alignment/>
    </xf>
    <xf numFmtId="165" fontId="53" fillId="0" borderId="17" xfId="0" applyNumberFormat="1" applyFont="1" applyBorder="1" applyAlignment="1">
      <alignment/>
    </xf>
    <xf numFmtId="3" fontId="53" fillId="0" borderId="17" xfId="0" applyNumberFormat="1" applyFont="1" applyBorder="1" applyAlignment="1">
      <alignment/>
    </xf>
    <xf numFmtId="3" fontId="53" fillId="0" borderId="21" xfId="0" applyNumberFormat="1" applyFont="1" applyBorder="1" applyAlignment="1">
      <alignment/>
    </xf>
    <xf numFmtId="164" fontId="52" fillId="0" borderId="0" xfId="0" applyNumberFormat="1" applyFont="1" applyAlignment="1">
      <alignment horizontal="right"/>
    </xf>
    <xf numFmtId="164" fontId="53" fillId="0" borderId="17" xfId="0" applyNumberFormat="1" applyFont="1" applyBorder="1" applyAlignment="1">
      <alignment horizontal="right"/>
    </xf>
    <xf numFmtId="164" fontId="52" fillId="0" borderId="11" xfId="0" applyNumberFormat="1" applyFont="1" applyBorder="1" applyAlignment="1">
      <alignment horizontal="right"/>
    </xf>
    <xf numFmtId="164" fontId="53" fillId="0" borderId="11" xfId="0" applyNumberFormat="1" applyFont="1" applyBorder="1" applyAlignment="1">
      <alignment horizontal="right"/>
    </xf>
    <xf numFmtId="164" fontId="52" fillId="0" borderId="14" xfId="0" applyNumberFormat="1" applyFont="1" applyBorder="1" applyAlignment="1">
      <alignment horizontal="right"/>
    </xf>
    <xf numFmtId="164" fontId="53" fillId="0" borderId="0" xfId="0" applyNumberFormat="1" applyFont="1" applyAlignment="1">
      <alignment horizontal="right"/>
    </xf>
    <xf numFmtId="165" fontId="53" fillId="0" borderId="24" xfId="0" applyNumberFormat="1" applyFont="1" applyBorder="1" applyAlignment="1">
      <alignment horizontal="center" vertical="center"/>
    </xf>
    <xf numFmtId="3" fontId="53" fillId="0" borderId="24" xfId="0" applyNumberFormat="1" applyFont="1" applyBorder="1" applyAlignment="1">
      <alignment horizontal="center" vertical="center"/>
    </xf>
    <xf numFmtId="3" fontId="53" fillId="0" borderId="25" xfId="0" applyNumberFormat="1" applyFont="1" applyBorder="1" applyAlignment="1">
      <alignment horizontal="center" vertical="center"/>
    </xf>
    <xf numFmtId="166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6" fontId="0" fillId="0" borderId="11" xfId="0" applyNumberFormat="1" applyFont="1" applyBorder="1" applyAlignment="1">
      <alignment/>
    </xf>
    <xf numFmtId="165" fontId="0" fillId="0" borderId="11" xfId="0" applyNumberFormat="1" applyFont="1" applyBorder="1" applyAlignment="1">
      <alignment/>
    </xf>
    <xf numFmtId="165" fontId="0" fillId="0" borderId="12" xfId="0" applyNumberFormat="1" applyFont="1" applyBorder="1" applyAlignment="1">
      <alignment/>
    </xf>
    <xf numFmtId="165" fontId="49" fillId="0" borderId="12" xfId="0" applyNumberFormat="1" applyFont="1" applyBorder="1" applyAlignment="1">
      <alignment/>
    </xf>
    <xf numFmtId="166" fontId="0" fillId="0" borderId="14" xfId="0" applyNumberFormat="1" applyFont="1" applyBorder="1" applyAlignment="1">
      <alignment/>
    </xf>
    <xf numFmtId="165" fontId="0" fillId="0" borderId="14" xfId="0" applyNumberFormat="1" applyFont="1" applyBorder="1" applyAlignment="1">
      <alignment/>
    </xf>
    <xf numFmtId="165" fontId="0" fillId="0" borderId="15" xfId="0" applyNumberFormat="1" applyFont="1" applyBorder="1" applyAlignment="1">
      <alignment/>
    </xf>
    <xf numFmtId="166" fontId="0" fillId="0" borderId="17" xfId="0" applyNumberFormat="1" applyFont="1" applyBorder="1" applyAlignment="1">
      <alignment/>
    </xf>
    <xf numFmtId="165" fontId="0" fillId="0" borderId="17" xfId="0" applyNumberFormat="1" applyFont="1" applyBorder="1" applyAlignment="1">
      <alignment/>
    </xf>
    <xf numFmtId="165" fontId="0" fillId="0" borderId="21" xfId="0" applyNumberFormat="1" applyFont="1" applyBorder="1" applyAlignment="1">
      <alignment/>
    </xf>
    <xf numFmtId="166" fontId="49" fillId="0" borderId="0" xfId="0" applyNumberFormat="1" applyFont="1" applyAlignment="1">
      <alignment/>
    </xf>
    <xf numFmtId="166" fontId="49" fillId="0" borderId="19" xfId="0" applyNumberFormat="1" applyFont="1" applyBorder="1" applyAlignment="1">
      <alignment horizontal="center" vertical="center"/>
    </xf>
    <xf numFmtId="165" fontId="49" fillId="0" borderId="19" xfId="0" applyNumberFormat="1" applyFont="1" applyBorder="1" applyAlignment="1">
      <alignment horizontal="center" vertical="center"/>
    </xf>
    <xf numFmtId="165" fontId="49" fillId="0" borderId="20" xfId="0" applyNumberFormat="1" applyFont="1" applyBorder="1" applyAlignment="1">
      <alignment horizontal="center" vertical="center"/>
    </xf>
    <xf numFmtId="0" fontId="54" fillId="0" borderId="0" xfId="0" applyFont="1" applyAlignment="1">
      <alignment/>
    </xf>
    <xf numFmtId="3" fontId="54" fillId="0" borderId="0" xfId="0" applyNumberFormat="1" applyFont="1" applyAlignment="1">
      <alignment/>
    </xf>
    <xf numFmtId="4" fontId="54" fillId="0" borderId="0" xfId="0" applyNumberFormat="1" applyFont="1" applyAlignment="1">
      <alignment/>
    </xf>
    <xf numFmtId="165" fontId="54" fillId="0" borderId="0" xfId="0" applyNumberFormat="1" applyFont="1" applyAlignment="1">
      <alignment/>
    </xf>
    <xf numFmtId="0" fontId="54" fillId="0" borderId="10" xfId="0" applyFont="1" applyBorder="1" applyAlignment="1">
      <alignment/>
    </xf>
    <xf numFmtId="0" fontId="54" fillId="0" borderId="11" xfId="0" applyFont="1" applyBorder="1" applyAlignment="1">
      <alignment/>
    </xf>
    <xf numFmtId="3" fontId="54" fillId="0" borderId="11" xfId="0" applyNumberFormat="1" applyFont="1" applyBorder="1" applyAlignment="1">
      <alignment/>
    </xf>
    <xf numFmtId="4" fontId="54" fillId="0" borderId="11" xfId="0" applyNumberFormat="1" applyFont="1" applyBorder="1" applyAlignment="1">
      <alignment/>
    </xf>
    <xf numFmtId="165" fontId="54" fillId="0" borderId="11" xfId="0" applyNumberFormat="1" applyFont="1" applyBorder="1" applyAlignment="1">
      <alignment/>
    </xf>
    <xf numFmtId="165" fontId="54" fillId="0" borderId="12" xfId="0" applyNumberFormat="1" applyFont="1" applyBorder="1" applyAlignment="1">
      <alignment/>
    </xf>
    <xf numFmtId="0" fontId="54" fillId="0" borderId="13" xfId="0" applyFont="1" applyBorder="1" applyAlignment="1">
      <alignment/>
    </xf>
    <xf numFmtId="0" fontId="54" fillId="0" borderId="14" xfId="0" applyFont="1" applyBorder="1" applyAlignment="1">
      <alignment/>
    </xf>
    <xf numFmtId="3" fontId="54" fillId="0" borderId="14" xfId="0" applyNumberFormat="1" applyFont="1" applyBorder="1" applyAlignment="1">
      <alignment/>
    </xf>
    <xf numFmtId="4" fontId="54" fillId="0" borderId="14" xfId="0" applyNumberFormat="1" applyFont="1" applyBorder="1" applyAlignment="1">
      <alignment/>
    </xf>
    <xf numFmtId="165" fontId="54" fillId="0" borderId="14" xfId="0" applyNumberFormat="1" applyFont="1" applyBorder="1" applyAlignment="1">
      <alignment/>
    </xf>
    <xf numFmtId="165" fontId="54" fillId="0" borderId="15" xfId="0" applyNumberFormat="1" applyFont="1" applyBorder="1" applyAlignment="1">
      <alignment/>
    </xf>
    <xf numFmtId="0" fontId="54" fillId="0" borderId="16" xfId="0" applyFont="1" applyBorder="1" applyAlignment="1">
      <alignment/>
    </xf>
    <xf numFmtId="0" fontId="54" fillId="0" borderId="17" xfId="0" applyFont="1" applyBorder="1" applyAlignment="1">
      <alignment/>
    </xf>
    <xf numFmtId="3" fontId="54" fillId="0" borderId="17" xfId="0" applyNumberFormat="1" applyFont="1" applyBorder="1" applyAlignment="1">
      <alignment/>
    </xf>
    <xf numFmtId="4" fontId="54" fillId="0" borderId="17" xfId="0" applyNumberFormat="1" applyFont="1" applyBorder="1" applyAlignment="1">
      <alignment/>
    </xf>
    <xf numFmtId="165" fontId="54" fillId="0" borderId="17" xfId="0" applyNumberFormat="1" applyFont="1" applyBorder="1" applyAlignment="1">
      <alignment/>
    </xf>
    <xf numFmtId="165" fontId="54" fillId="0" borderId="21" xfId="0" applyNumberFormat="1" applyFont="1" applyBorder="1" applyAlignment="1">
      <alignment/>
    </xf>
    <xf numFmtId="0" fontId="55" fillId="0" borderId="0" xfId="0" applyFont="1" applyAlignment="1">
      <alignment/>
    </xf>
    <xf numFmtId="3" fontId="55" fillId="0" borderId="0" xfId="0" applyNumberFormat="1" applyFont="1" applyAlignment="1">
      <alignment/>
    </xf>
    <xf numFmtId="4" fontId="55" fillId="0" borderId="0" xfId="0" applyNumberFormat="1" applyFont="1" applyAlignment="1">
      <alignment/>
    </xf>
    <xf numFmtId="165" fontId="55" fillId="0" borderId="0" xfId="0" applyNumberFormat="1" applyFont="1" applyAlignment="1">
      <alignment/>
    </xf>
    <xf numFmtId="0" fontId="55" fillId="0" borderId="18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3" fontId="55" fillId="0" borderId="19" xfId="0" applyNumberFormat="1" applyFont="1" applyBorder="1" applyAlignment="1">
      <alignment horizontal="center" vertical="center" wrapText="1"/>
    </xf>
    <xf numFmtId="4" fontId="55" fillId="0" borderId="19" xfId="0" applyNumberFormat="1" applyFont="1" applyBorder="1" applyAlignment="1">
      <alignment horizontal="center" vertical="center" wrapText="1"/>
    </xf>
    <xf numFmtId="165" fontId="55" fillId="0" borderId="19" xfId="0" applyNumberFormat="1" applyFont="1" applyBorder="1" applyAlignment="1">
      <alignment horizontal="center" vertical="center" wrapText="1"/>
    </xf>
    <xf numFmtId="165" fontId="55" fillId="0" borderId="20" xfId="0" applyNumberFormat="1" applyFont="1" applyBorder="1" applyAlignment="1">
      <alignment horizontal="center" vertical="center" wrapText="1"/>
    </xf>
    <xf numFmtId="4" fontId="52" fillId="0" borderId="0" xfId="0" applyNumberFormat="1" applyFont="1" applyAlignment="1">
      <alignment/>
    </xf>
    <xf numFmtId="4" fontId="52" fillId="0" borderId="23" xfId="0" applyNumberFormat="1" applyFont="1" applyBorder="1" applyAlignment="1">
      <alignment/>
    </xf>
    <xf numFmtId="165" fontId="56" fillId="0" borderId="11" xfId="0" applyNumberFormat="1" applyFont="1" applyBorder="1" applyAlignment="1">
      <alignment/>
    </xf>
    <xf numFmtId="165" fontId="56" fillId="0" borderId="12" xfId="0" applyNumberFormat="1" applyFont="1" applyBorder="1" applyAlignment="1">
      <alignment/>
    </xf>
    <xf numFmtId="165" fontId="52" fillId="0" borderId="12" xfId="0" applyNumberFormat="1" applyFont="1" applyBorder="1" applyAlignment="1">
      <alignment/>
    </xf>
    <xf numFmtId="165" fontId="56" fillId="0" borderId="14" xfId="0" applyNumberFormat="1" applyFont="1" applyBorder="1" applyAlignment="1">
      <alignment/>
    </xf>
    <xf numFmtId="165" fontId="56" fillId="0" borderId="15" xfId="0" applyNumberFormat="1" applyFont="1" applyBorder="1" applyAlignment="1">
      <alignment/>
    </xf>
    <xf numFmtId="0" fontId="52" fillId="0" borderId="0" xfId="0" applyFont="1" applyAlignment="1">
      <alignment horizontal="right"/>
    </xf>
    <xf numFmtId="0" fontId="52" fillId="0" borderId="11" xfId="0" applyFont="1" applyBorder="1" applyAlignment="1">
      <alignment horizontal="right"/>
    </xf>
    <xf numFmtId="0" fontId="52" fillId="0" borderId="14" xfId="0" applyFont="1" applyBorder="1" applyAlignment="1">
      <alignment horizontal="right"/>
    </xf>
    <xf numFmtId="4" fontId="52" fillId="0" borderId="0" xfId="0" applyNumberFormat="1" applyFont="1" applyAlignment="1">
      <alignment horizontal="center"/>
    </xf>
    <xf numFmtId="4" fontId="52" fillId="0" borderId="11" xfId="0" applyNumberFormat="1" applyFont="1" applyBorder="1" applyAlignment="1">
      <alignment horizontal="center"/>
    </xf>
    <xf numFmtId="4" fontId="52" fillId="0" borderId="14" xfId="0" applyNumberFormat="1" applyFont="1" applyBorder="1" applyAlignment="1">
      <alignment horizontal="center"/>
    </xf>
    <xf numFmtId="0" fontId="52" fillId="0" borderId="16" xfId="0" applyFont="1" applyBorder="1" applyAlignment="1">
      <alignment/>
    </xf>
    <xf numFmtId="0" fontId="52" fillId="0" borderId="17" xfId="0" applyFont="1" applyBorder="1" applyAlignment="1">
      <alignment/>
    </xf>
    <xf numFmtId="0" fontId="52" fillId="0" borderId="17" xfId="0" applyFont="1" applyBorder="1" applyAlignment="1">
      <alignment horizontal="right"/>
    </xf>
    <xf numFmtId="165" fontId="52" fillId="0" borderId="17" xfId="0" applyNumberFormat="1" applyFont="1" applyBorder="1" applyAlignment="1">
      <alignment/>
    </xf>
    <xf numFmtId="4" fontId="52" fillId="0" borderId="17" xfId="0" applyNumberFormat="1" applyFont="1" applyBorder="1" applyAlignment="1">
      <alignment horizontal="center"/>
    </xf>
    <xf numFmtId="165" fontId="56" fillId="0" borderId="17" xfId="0" applyNumberFormat="1" applyFont="1" applyBorder="1" applyAlignment="1">
      <alignment/>
    </xf>
    <xf numFmtId="165" fontId="56" fillId="0" borderId="21" xfId="0" applyNumberFormat="1" applyFont="1" applyBorder="1" applyAlignment="1">
      <alignment/>
    </xf>
    <xf numFmtId="0" fontId="53" fillId="0" borderId="0" xfId="0" applyFont="1" applyAlignment="1">
      <alignment horizontal="right"/>
    </xf>
    <xf numFmtId="4" fontId="53" fillId="0" borderId="0" xfId="0" applyNumberFormat="1" applyFont="1" applyAlignment="1">
      <alignment horizontal="center"/>
    </xf>
    <xf numFmtId="0" fontId="57" fillId="0" borderId="19" xfId="0" applyFont="1" applyBorder="1" applyAlignment="1">
      <alignment horizontal="center" vertical="center" wrapText="1"/>
    </xf>
    <xf numFmtId="165" fontId="57" fillId="0" borderId="19" xfId="0" applyNumberFormat="1" applyFont="1" applyBorder="1" applyAlignment="1">
      <alignment horizontal="center" vertical="center" wrapText="1"/>
    </xf>
    <xf numFmtId="4" fontId="57" fillId="0" borderId="19" xfId="0" applyNumberFormat="1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 wrapText="1"/>
    </xf>
    <xf numFmtId="165" fontId="53" fillId="0" borderId="19" xfId="0" applyNumberFormat="1" applyFont="1" applyBorder="1" applyAlignment="1">
      <alignment horizontal="center" vertical="center" wrapText="1"/>
    </xf>
    <xf numFmtId="165" fontId="53" fillId="0" borderId="19" xfId="0" applyNumberFormat="1" applyFont="1" applyBorder="1" applyAlignment="1">
      <alignment horizontal="center" vertical="center"/>
    </xf>
    <xf numFmtId="165" fontId="53" fillId="0" borderId="20" xfId="0" applyNumberFormat="1" applyFont="1" applyBorder="1" applyAlignment="1">
      <alignment horizontal="center" vertical="center"/>
    </xf>
    <xf numFmtId="4" fontId="52" fillId="0" borderId="0" xfId="0" applyNumberFormat="1" applyFont="1" applyAlignment="1">
      <alignment horizontal="right"/>
    </xf>
    <xf numFmtId="4" fontId="52" fillId="0" borderId="23" xfId="0" applyNumberFormat="1" applyFont="1" applyBorder="1" applyAlignment="1">
      <alignment horizontal="right"/>
    </xf>
    <xf numFmtId="164" fontId="52" fillId="0" borderId="26" xfId="0" applyNumberFormat="1" applyFont="1" applyBorder="1" applyAlignment="1">
      <alignment horizontal="right"/>
    </xf>
    <xf numFmtId="4" fontId="53" fillId="0" borderId="0" xfId="0" applyNumberFormat="1" applyFont="1" applyAlignment="1">
      <alignment horizontal="right"/>
    </xf>
    <xf numFmtId="4" fontId="53" fillId="0" borderId="0" xfId="0" applyNumberFormat="1" applyFont="1" applyAlignment="1">
      <alignment/>
    </xf>
    <xf numFmtId="4" fontId="53" fillId="0" borderId="19" xfId="0" applyNumberFormat="1" applyFont="1" applyBorder="1" applyAlignment="1">
      <alignment horizontal="center" vertical="center" wrapText="1"/>
    </xf>
    <xf numFmtId="4" fontId="53" fillId="0" borderId="19" xfId="0" applyNumberFormat="1" applyFont="1" applyBorder="1" applyAlignment="1">
      <alignment horizontal="center" vertical="center"/>
    </xf>
    <xf numFmtId="164" fontId="53" fillId="0" borderId="2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4" fontId="49" fillId="0" borderId="11" xfId="0" applyNumberFormat="1" applyFont="1" applyBorder="1" applyAlignment="1">
      <alignment/>
    </xf>
    <xf numFmtId="4" fontId="49" fillId="0" borderId="12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49" fillId="0" borderId="17" xfId="0" applyNumberFormat="1" applyFont="1" applyBorder="1" applyAlignment="1">
      <alignment/>
    </xf>
    <xf numFmtId="4" fontId="49" fillId="0" borderId="21" xfId="0" applyNumberFormat="1" applyFont="1" applyBorder="1" applyAlignment="1">
      <alignment/>
    </xf>
    <xf numFmtId="4" fontId="49" fillId="0" borderId="19" xfId="0" applyNumberFormat="1" applyFont="1" applyBorder="1" applyAlignment="1">
      <alignment horizontal="center" vertical="center"/>
    </xf>
    <xf numFmtId="4" fontId="49" fillId="0" borderId="20" xfId="0" applyNumberFormat="1" applyFont="1" applyBorder="1" applyAlignment="1">
      <alignment horizontal="center" vertical="center"/>
    </xf>
    <xf numFmtId="164" fontId="0" fillId="0" borderId="0" xfId="0" applyNumberFormat="1" applyFont="1" applyAlignment="1">
      <alignment/>
    </xf>
    <xf numFmtId="164" fontId="49" fillId="0" borderId="11" xfId="0" applyNumberFormat="1" applyFont="1" applyBorder="1" applyAlignment="1">
      <alignment/>
    </xf>
    <xf numFmtId="164" fontId="49" fillId="0" borderId="12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164" fontId="0" fillId="0" borderId="15" xfId="0" applyNumberFormat="1" applyFont="1" applyBorder="1" applyAlignment="1">
      <alignment/>
    </xf>
    <xf numFmtId="164" fontId="49" fillId="0" borderId="17" xfId="0" applyNumberFormat="1" applyFont="1" applyBorder="1" applyAlignment="1">
      <alignment/>
    </xf>
    <xf numFmtId="164" fontId="49" fillId="0" borderId="21" xfId="0" applyNumberFormat="1" applyFont="1" applyBorder="1" applyAlignment="1">
      <alignment/>
    </xf>
    <xf numFmtId="164" fontId="49" fillId="0" borderId="19" xfId="0" applyNumberFormat="1" applyFont="1" applyBorder="1" applyAlignment="1">
      <alignment horizontal="center" vertical="center"/>
    </xf>
    <xf numFmtId="164" fontId="49" fillId="0" borderId="20" xfId="0" applyNumberFormat="1" applyFont="1" applyBorder="1" applyAlignment="1">
      <alignment horizontal="center" vertical="center" wrapText="1"/>
    </xf>
    <xf numFmtId="3" fontId="49" fillId="0" borderId="17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49" fillId="0" borderId="11" xfId="0" applyNumberFormat="1" applyFont="1" applyBorder="1" applyAlignment="1">
      <alignment/>
    </xf>
    <xf numFmtId="3" fontId="49" fillId="0" borderId="27" xfId="0" applyNumberFormat="1" applyFont="1" applyBorder="1" applyAlignment="1">
      <alignment/>
    </xf>
    <xf numFmtId="164" fontId="52" fillId="33" borderId="11" xfId="0" applyNumberFormat="1" applyFont="1" applyFill="1" applyBorder="1" applyAlignment="1">
      <alignment horizontal="right"/>
    </xf>
    <xf numFmtId="0" fontId="5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Alignment="1" quotePrefix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53" fillId="0" borderId="28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3" fillId="0" borderId="28" xfId="0" applyFont="1" applyBorder="1" applyAlignment="1">
      <alignment horizontal="center" vertical="center" wrapText="1"/>
    </xf>
    <xf numFmtId="164" fontId="53" fillId="0" borderId="28" xfId="0" applyNumberFormat="1" applyFont="1" applyBorder="1" applyAlignment="1">
      <alignment horizontal="center" vertical="center" wrapText="1"/>
    </xf>
    <xf numFmtId="165" fontId="53" fillId="0" borderId="29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3" fontId="53" fillId="0" borderId="29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3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61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62" fillId="0" borderId="0" xfId="0" applyFont="1" applyAlignment="1">
      <alignment/>
    </xf>
    <xf numFmtId="0" fontId="62" fillId="0" borderId="0" xfId="0" applyFont="1" applyAlignment="1">
      <alignment horizontal="right"/>
    </xf>
    <xf numFmtId="3" fontId="63" fillId="0" borderId="0" xfId="0" applyNumberFormat="1" applyFont="1" applyAlignment="1">
      <alignment horizontal="right" vertical="center" wrapText="1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showZeros="0" tabSelected="1" zoomScalePageLayoutView="0" workbookViewId="0" topLeftCell="A10">
      <selection activeCell="G24" sqref="G24"/>
    </sheetView>
  </sheetViews>
  <sheetFormatPr defaultColWidth="8.796875" defaultRowHeight="15"/>
  <cols>
    <col min="1" max="1" width="4.59765625" style="18" customWidth="1"/>
    <col min="2" max="2" width="35.59765625" style="6" customWidth="1"/>
    <col min="3" max="3" width="6.59765625" style="18" customWidth="1"/>
    <col min="4" max="4" width="20.59765625" style="6" customWidth="1"/>
    <col min="5" max="5" width="15.59765625" style="7" hidden="1" customWidth="1"/>
    <col min="6" max="6" width="5.59765625" style="18" hidden="1" customWidth="1"/>
    <col min="7" max="7" width="15.59765625" style="7" customWidth="1"/>
    <col min="8" max="8" width="9" style="6" customWidth="1"/>
    <col min="9" max="9" width="12.8984375" style="6" bestFit="1" customWidth="1"/>
    <col min="10" max="10" width="12.19921875" style="6" bestFit="1" customWidth="1"/>
    <col min="11" max="11" width="12.3984375" style="6" customWidth="1"/>
    <col min="12" max="16384" width="9" style="6" customWidth="1"/>
  </cols>
  <sheetData>
    <row r="1" spans="1:7" ht="15.75">
      <c r="A1" s="193" t="s">
        <v>732</v>
      </c>
      <c r="B1" s="193"/>
      <c r="C1" s="193"/>
      <c r="D1" s="193"/>
      <c r="E1" s="193"/>
      <c r="F1" s="193"/>
      <c r="G1" s="193"/>
    </row>
    <row r="2" spans="1:7" ht="15.75">
      <c r="A2" s="193" t="s">
        <v>733</v>
      </c>
      <c r="B2" s="193"/>
      <c r="C2" s="193"/>
      <c r="D2" s="193"/>
      <c r="E2" s="193"/>
      <c r="F2" s="193"/>
      <c r="G2" s="193"/>
    </row>
    <row r="3" spans="1:7" ht="15.75">
      <c r="A3" s="194" t="s">
        <v>734</v>
      </c>
      <c r="B3" s="194"/>
      <c r="C3" s="194"/>
      <c r="D3" s="194"/>
      <c r="E3" s="194"/>
      <c r="F3" s="194"/>
      <c r="G3" s="194"/>
    </row>
    <row r="4" spans="1:7" ht="6" customHeight="1">
      <c r="A4" s="23"/>
      <c r="B4" s="2"/>
      <c r="C4" s="23"/>
      <c r="D4" s="2"/>
      <c r="E4" s="4"/>
      <c r="F4" s="23"/>
      <c r="G4" s="4"/>
    </row>
    <row r="5" spans="1:7" ht="16.5">
      <c r="A5" s="208" t="s">
        <v>858</v>
      </c>
      <c r="B5" s="208"/>
      <c r="C5" s="208"/>
      <c r="D5" s="208"/>
      <c r="E5" s="208"/>
      <c r="F5" s="208"/>
      <c r="G5" s="208"/>
    </row>
    <row r="6" spans="1:7" ht="9" customHeight="1">
      <c r="A6" s="23"/>
      <c r="B6" s="2"/>
      <c r="C6" s="23"/>
      <c r="D6" s="2"/>
      <c r="E6" s="4"/>
      <c r="F6" s="23"/>
      <c r="G6" s="4"/>
    </row>
    <row r="7" spans="1:7" s="29" customFormat="1" ht="16.5">
      <c r="A7" s="192" t="s">
        <v>856</v>
      </c>
      <c r="B7" s="192"/>
      <c r="C7" s="192"/>
      <c r="D7" s="192"/>
      <c r="E7" s="192"/>
      <c r="F7" s="192"/>
      <c r="G7" s="192"/>
    </row>
    <row r="8" spans="1:7" s="29" customFormat="1" ht="16.5">
      <c r="A8" s="192" t="s">
        <v>857</v>
      </c>
      <c r="B8" s="192"/>
      <c r="C8" s="192"/>
      <c r="D8" s="192"/>
      <c r="E8" s="192"/>
      <c r="F8" s="192"/>
      <c r="G8" s="192"/>
    </row>
    <row r="9" spans="1:7" s="29" customFormat="1" ht="15.75">
      <c r="A9" s="209" t="s">
        <v>859</v>
      </c>
      <c r="B9" s="209"/>
      <c r="C9" s="209"/>
      <c r="D9" s="209"/>
      <c r="E9" s="209"/>
      <c r="F9" s="209"/>
      <c r="G9" s="209"/>
    </row>
    <row r="10" spans="1:13" ht="16.5" thickBot="1">
      <c r="A10" s="23"/>
      <c r="B10" s="2"/>
      <c r="C10" s="23"/>
      <c r="D10" s="2"/>
      <c r="E10" s="4"/>
      <c r="F10" s="23"/>
      <c r="G10" s="211" t="s">
        <v>860</v>
      </c>
      <c r="H10" s="210"/>
      <c r="I10" s="210"/>
      <c r="J10" s="210"/>
      <c r="K10" s="210"/>
      <c r="L10" s="210"/>
      <c r="M10" s="210"/>
    </row>
    <row r="11" spans="1:7" ht="36" customHeight="1">
      <c r="A11" s="24" t="s">
        <v>463</v>
      </c>
      <c r="B11" s="25" t="s">
        <v>738</v>
      </c>
      <c r="C11" s="26" t="s">
        <v>739</v>
      </c>
      <c r="D11" s="25" t="s">
        <v>740</v>
      </c>
      <c r="E11" s="27" t="s">
        <v>741</v>
      </c>
      <c r="F11" s="26" t="s">
        <v>742</v>
      </c>
      <c r="G11" s="28" t="s">
        <v>743</v>
      </c>
    </row>
    <row r="12" spans="1:11" ht="15.75">
      <c r="A12" s="36" t="s">
        <v>805</v>
      </c>
      <c r="B12" s="34" t="s">
        <v>806</v>
      </c>
      <c r="C12" s="38" t="s">
        <v>807</v>
      </c>
      <c r="D12" s="34" t="s">
        <v>808</v>
      </c>
      <c r="E12" s="187">
        <f>ROUND(SUM(E13:E17),-3)</f>
        <v>885214000</v>
      </c>
      <c r="F12" s="38"/>
      <c r="G12" s="35">
        <f>ROUND(SUM(G13:G17),-3)</f>
        <v>885214000</v>
      </c>
      <c r="I12" s="7"/>
      <c r="J12" s="7"/>
      <c r="K12" s="7"/>
    </row>
    <row r="13" spans="1:11" ht="15">
      <c r="A13" s="19" t="s">
        <v>0</v>
      </c>
      <c r="B13" s="17" t="s">
        <v>445</v>
      </c>
      <c r="C13" s="21" t="s">
        <v>444</v>
      </c>
      <c r="D13" s="9" t="s">
        <v>443</v>
      </c>
      <c r="E13" s="10">
        <f>ROUND('CP Xay lap'!E20,-3)</f>
        <v>761784000</v>
      </c>
      <c r="F13" s="21"/>
      <c r="G13" s="11">
        <f>E13</f>
        <v>761784000</v>
      </c>
      <c r="I13" s="7"/>
      <c r="J13" s="7"/>
      <c r="K13" s="7"/>
    </row>
    <row r="14" spans="1:11" ht="15">
      <c r="A14" s="19" t="s">
        <v>0</v>
      </c>
      <c r="B14" s="9" t="s">
        <v>442</v>
      </c>
      <c r="C14" s="21" t="s">
        <v>441</v>
      </c>
      <c r="D14" s="9" t="s">
        <v>440</v>
      </c>
      <c r="E14" s="10">
        <f>ROUND('CP Xay lap'!E34,-3)</f>
        <v>19228000</v>
      </c>
      <c r="F14" s="21"/>
      <c r="G14" s="11">
        <f>E14</f>
        <v>19228000</v>
      </c>
      <c r="I14" s="7"/>
      <c r="J14" s="7"/>
      <c r="K14" s="7"/>
    </row>
    <row r="15" spans="1:11" ht="15">
      <c r="A15" s="19" t="s">
        <v>0</v>
      </c>
      <c r="B15" s="9" t="s">
        <v>439</v>
      </c>
      <c r="C15" s="21" t="s">
        <v>438</v>
      </c>
      <c r="D15" s="9" t="s">
        <v>437</v>
      </c>
      <c r="E15" s="10">
        <f>ROUND('CP Xay lap'!E48,-3)</f>
        <v>58636000</v>
      </c>
      <c r="F15" s="21"/>
      <c r="G15" s="11">
        <f>E15</f>
        <v>58636000</v>
      </c>
      <c r="I15" s="188">
        <v>888726000</v>
      </c>
      <c r="J15" s="188">
        <f>G12</f>
        <v>885214000</v>
      </c>
      <c r="K15" s="188">
        <f aca="true" t="shared" si="0" ref="K15:K20">J15-I15</f>
        <v>-3512000</v>
      </c>
    </row>
    <row r="16" spans="1:11" ht="15">
      <c r="A16" s="19" t="s">
        <v>0</v>
      </c>
      <c r="B16" s="9" t="s">
        <v>436</v>
      </c>
      <c r="C16" s="21" t="s">
        <v>435</v>
      </c>
      <c r="D16" s="9" t="s">
        <v>434</v>
      </c>
      <c r="E16" s="10">
        <f>ROUND('CP Xay lap'!E62,-3)</f>
        <v>21833000</v>
      </c>
      <c r="F16" s="21"/>
      <c r="G16" s="11">
        <f>E16</f>
        <v>21833000</v>
      </c>
      <c r="I16" s="188">
        <v>30625000</v>
      </c>
      <c r="J16" s="188">
        <f>G18</f>
        <v>27731000</v>
      </c>
      <c r="K16" s="188">
        <f t="shared" si="0"/>
        <v>-2894000</v>
      </c>
    </row>
    <row r="17" spans="1:11" ht="15">
      <c r="A17" s="19" t="s">
        <v>0</v>
      </c>
      <c r="B17" s="9" t="s">
        <v>433</v>
      </c>
      <c r="C17" s="21" t="s">
        <v>432</v>
      </c>
      <c r="D17" s="9" t="s">
        <v>431</v>
      </c>
      <c r="E17" s="10">
        <f>ROUND('CP Xay lap'!E76,-3)</f>
        <v>23733000</v>
      </c>
      <c r="F17" s="21"/>
      <c r="G17" s="11">
        <f>E17</f>
        <v>23733000</v>
      </c>
      <c r="I17" s="188">
        <v>95201000</v>
      </c>
      <c r="J17" s="188">
        <f>G19</f>
        <v>91018000</v>
      </c>
      <c r="K17" s="188">
        <f t="shared" si="0"/>
        <v>-4183000</v>
      </c>
    </row>
    <row r="18" spans="1:11" ht="15.75">
      <c r="A18" s="37" t="s">
        <v>809</v>
      </c>
      <c r="B18" s="31" t="s">
        <v>810</v>
      </c>
      <c r="C18" s="39" t="s">
        <v>811</v>
      </c>
      <c r="D18" s="31" t="s">
        <v>812</v>
      </c>
      <c r="E18" s="189">
        <f>ROUND(E12*3.446%/1.1,-3)</f>
        <v>27731000</v>
      </c>
      <c r="F18" s="39"/>
      <c r="G18" s="32">
        <f>ROUND(E18,-3)</f>
        <v>27731000</v>
      </c>
      <c r="I18" s="188">
        <v>13581000</v>
      </c>
      <c r="J18" s="188">
        <f>G24</f>
        <v>10592000</v>
      </c>
      <c r="K18" s="188">
        <f t="shared" si="0"/>
        <v>-2989000</v>
      </c>
    </row>
    <row r="19" spans="1:11" ht="15.75">
      <c r="A19" s="37" t="s">
        <v>813</v>
      </c>
      <c r="B19" s="31" t="s">
        <v>814</v>
      </c>
      <c r="C19" s="39" t="s">
        <v>815</v>
      </c>
      <c r="D19" s="31" t="s">
        <v>816</v>
      </c>
      <c r="E19" s="189">
        <f>ROUND(SUM(E20:E23),-3)</f>
        <v>91018000</v>
      </c>
      <c r="F19" s="39"/>
      <c r="G19" s="32">
        <f>ROUND(SUM(G20:G23),-3)</f>
        <v>91018000</v>
      </c>
      <c r="I19" s="188">
        <v>34867000</v>
      </c>
      <c r="J19" s="188">
        <f>G29</f>
        <v>48435000</v>
      </c>
      <c r="K19" s="188">
        <f t="shared" si="0"/>
        <v>13568000</v>
      </c>
    </row>
    <row r="20" spans="1:11" ht="15.75">
      <c r="A20" s="19" t="s">
        <v>0</v>
      </c>
      <c r="B20" s="9" t="s">
        <v>817</v>
      </c>
      <c r="C20" s="21" t="s">
        <v>818</v>
      </c>
      <c r="D20" s="9" t="s">
        <v>819</v>
      </c>
      <c r="E20" s="10">
        <f>ROUND(E12*6.5/100,-3)</f>
        <v>57539000</v>
      </c>
      <c r="F20" s="21"/>
      <c r="G20" s="11">
        <f aca="true" t="shared" si="1" ref="G20:G32">E20*(1+F20/100)</f>
        <v>57539000</v>
      </c>
      <c r="I20" s="190">
        <f>SUM(I15:I19)</f>
        <v>1063000000</v>
      </c>
      <c r="J20" s="190">
        <f>SUM(J15:J19)</f>
        <v>1062990000</v>
      </c>
      <c r="K20" s="190">
        <f t="shared" si="0"/>
        <v>-10000</v>
      </c>
    </row>
    <row r="21" spans="1:11" ht="15">
      <c r="A21" s="19" t="s">
        <v>0</v>
      </c>
      <c r="B21" s="9" t="s">
        <v>820</v>
      </c>
      <c r="C21" s="21" t="s">
        <v>821</v>
      </c>
      <c r="D21" s="9" t="s">
        <v>822</v>
      </c>
      <c r="E21" s="10">
        <v>2200000</v>
      </c>
      <c r="F21" s="21"/>
      <c r="G21" s="11">
        <f t="shared" si="1"/>
        <v>2200000</v>
      </c>
      <c r="I21" s="7"/>
      <c r="J21" s="7"/>
      <c r="K21" s="7"/>
    </row>
    <row r="22" spans="1:11" ht="15">
      <c r="A22" s="19" t="s">
        <v>0</v>
      </c>
      <c r="B22" s="9" t="s">
        <v>823</v>
      </c>
      <c r="C22" s="21" t="s">
        <v>824</v>
      </c>
      <c r="D22" s="9" t="s">
        <v>822</v>
      </c>
      <c r="E22" s="10">
        <v>2200000</v>
      </c>
      <c r="F22" s="21"/>
      <c r="G22" s="11">
        <f t="shared" si="1"/>
        <v>2200000</v>
      </c>
      <c r="I22" s="7"/>
      <c r="J22" s="7"/>
      <c r="K22" s="7"/>
    </row>
    <row r="23" spans="1:11" ht="15">
      <c r="A23" s="19" t="s">
        <v>0</v>
      </c>
      <c r="B23" s="9" t="s">
        <v>825</v>
      </c>
      <c r="C23" s="21" t="s">
        <v>826</v>
      </c>
      <c r="D23" s="9" t="s">
        <v>827</v>
      </c>
      <c r="E23" s="10">
        <f>ROUND(E12*3.285/100,-3)</f>
        <v>29079000</v>
      </c>
      <c r="F23" s="21"/>
      <c r="G23" s="11">
        <f t="shared" si="1"/>
        <v>29079000</v>
      </c>
      <c r="I23" s="7"/>
      <c r="J23" s="7"/>
      <c r="K23" s="7"/>
    </row>
    <row r="24" spans="1:11" ht="15.75">
      <c r="A24" s="37" t="s">
        <v>828</v>
      </c>
      <c r="B24" s="31" t="s">
        <v>829</v>
      </c>
      <c r="C24" s="39" t="s">
        <v>830</v>
      </c>
      <c r="D24" s="31" t="s">
        <v>831</v>
      </c>
      <c r="E24" s="189">
        <f>SUM(E25:E28)</f>
        <v>10602000</v>
      </c>
      <c r="F24" s="39"/>
      <c r="G24" s="32">
        <f>ROUND(SUM(G25:G28),-3)</f>
        <v>10592000</v>
      </c>
      <c r="I24" s="7"/>
      <c r="J24" s="7"/>
      <c r="K24" s="7"/>
    </row>
    <row r="25" spans="1:11" ht="18.75">
      <c r="A25" s="19" t="s">
        <v>0</v>
      </c>
      <c r="B25" s="9" t="s">
        <v>832</v>
      </c>
      <c r="C25" s="21" t="s">
        <v>833</v>
      </c>
      <c r="D25" s="9" t="s">
        <v>834</v>
      </c>
      <c r="E25" s="10">
        <f>ROUND(I30*0.57%,-3)</f>
        <v>5793000</v>
      </c>
      <c r="F25" s="21"/>
      <c r="G25" s="11">
        <v>5783000</v>
      </c>
      <c r="I25" s="7"/>
      <c r="J25" s="7"/>
      <c r="K25" s="212">
        <v>885214000</v>
      </c>
    </row>
    <row r="26" spans="1:11" ht="18.75">
      <c r="A26" s="19" t="s">
        <v>0</v>
      </c>
      <c r="B26" s="9" t="s">
        <v>835</v>
      </c>
      <c r="C26" s="21" t="s">
        <v>836</v>
      </c>
      <c r="D26" s="9" t="s">
        <v>837</v>
      </c>
      <c r="E26" s="10">
        <f>ROUND(I31*0.019/100*50/100,-3)</f>
        <v>101000</v>
      </c>
      <c r="F26" s="21"/>
      <c r="G26" s="11">
        <f t="shared" si="1"/>
        <v>101000</v>
      </c>
      <c r="I26" s="7"/>
      <c r="J26" s="7"/>
      <c r="K26" s="212">
        <v>27731000</v>
      </c>
    </row>
    <row r="27" spans="1:11" ht="18.75">
      <c r="A27" s="19" t="s">
        <v>0</v>
      </c>
      <c r="B27" s="9" t="s">
        <v>838</v>
      </c>
      <c r="C27" s="21" t="s">
        <v>839</v>
      </c>
      <c r="D27" s="9" t="s">
        <v>840</v>
      </c>
      <c r="E27" s="10">
        <f>ROUND(E12*0.08/100,-3)</f>
        <v>708000</v>
      </c>
      <c r="F27" s="21"/>
      <c r="G27" s="11">
        <f t="shared" si="1"/>
        <v>708000</v>
      </c>
      <c r="I27" s="7"/>
      <c r="J27" s="7"/>
      <c r="K27" s="212">
        <v>91018000</v>
      </c>
    </row>
    <row r="28" spans="1:11" ht="18.75">
      <c r="A28" s="19"/>
      <c r="B28" s="9" t="s">
        <v>841</v>
      </c>
      <c r="C28" s="21" t="s">
        <v>842</v>
      </c>
      <c r="D28" s="9" t="s">
        <v>843</v>
      </c>
      <c r="E28" s="10">
        <v>4000000</v>
      </c>
      <c r="F28" s="21"/>
      <c r="G28" s="11">
        <f>E28</f>
        <v>4000000</v>
      </c>
      <c r="I28" s="7"/>
      <c r="J28" s="7"/>
      <c r="K28" s="212">
        <v>10592000</v>
      </c>
    </row>
    <row r="29" spans="1:11" ht="18.75">
      <c r="A29" s="37" t="s">
        <v>844</v>
      </c>
      <c r="B29" s="31" t="s">
        <v>845</v>
      </c>
      <c r="C29" s="39" t="s">
        <v>846</v>
      </c>
      <c r="D29" s="31" t="s">
        <v>847</v>
      </c>
      <c r="E29" s="189">
        <f>E30</f>
        <v>48435000</v>
      </c>
      <c r="F29" s="39"/>
      <c r="G29" s="32">
        <f>ROUND(G30,-3)</f>
        <v>48435000</v>
      </c>
      <c r="I29" s="7"/>
      <c r="J29" s="7"/>
      <c r="K29" s="212">
        <v>48445000</v>
      </c>
    </row>
    <row r="30" spans="1:11" ht="15">
      <c r="A30" s="19" t="s">
        <v>0</v>
      </c>
      <c r="B30" s="9" t="s">
        <v>848</v>
      </c>
      <c r="C30" s="21" t="s">
        <v>849</v>
      </c>
      <c r="D30" s="9" t="s">
        <v>850</v>
      </c>
      <c r="E30" s="10">
        <f>ROUND(I31-E12-E18-E19-E24,-3)</f>
        <v>48435000</v>
      </c>
      <c r="F30" s="21"/>
      <c r="G30" s="11">
        <f>ROUND(SUM(E30,-3),-3)</f>
        <v>48435000</v>
      </c>
      <c r="I30" s="7">
        <f>I31-46694000</f>
        <v>1016306000</v>
      </c>
      <c r="J30" s="7"/>
      <c r="K30" s="7">
        <f>SUM(K25:K29)</f>
        <v>1063000000</v>
      </c>
    </row>
    <row r="31" spans="1:11" ht="15.75">
      <c r="A31" s="37" t="s">
        <v>851</v>
      </c>
      <c r="B31" s="31" t="s">
        <v>852</v>
      </c>
      <c r="C31" s="39" t="s">
        <v>454</v>
      </c>
      <c r="D31" s="31" t="s">
        <v>853</v>
      </c>
      <c r="E31" s="189">
        <f>ROUND(E12+E18+E19+E24+E29,-3)</f>
        <v>1063000000</v>
      </c>
      <c r="F31" s="39"/>
      <c r="G31" s="32">
        <f>(G12+G18+G19+G24+G29)</f>
        <v>1062990000</v>
      </c>
      <c r="I31" s="4">
        <v>1063000000</v>
      </c>
      <c r="J31" s="7"/>
      <c r="K31" s="7"/>
    </row>
    <row r="32" spans="1:7" ht="15.75" thickBot="1">
      <c r="A32" s="20" t="s">
        <v>0</v>
      </c>
      <c r="B32" s="13" t="s">
        <v>0</v>
      </c>
      <c r="C32" s="22" t="s">
        <v>0</v>
      </c>
      <c r="D32" s="13" t="s">
        <v>0</v>
      </c>
      <c r="E32" s="14"/>
      <c r="F32" s="22">
        <v>0</v>
      </c>
      <c r="G32" s="15">
        <f t="shared" si="1"/>
        <v>0</v>
      </c>
    </row>
  </sheetData>
  <sheetProtection/>
  <mergeCells count="7">
    <mergeCell ref="A9:G9"/>
    <mergeCell ref="A1:G1"/>
    <mergeCell ref="A2:G2"/>
    <mergeCell ref="A3:G3"/>
    <mergeCell ref="A5:G5"/>
    <mergeCell ref="A7:G7"/>
    <mergeCell ref="A8:G8"/>
  </mergeCells>
  <printOptions/>
  <pageMargins left="0.75" right="0.25" top="0.75" bottom="0.7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5"/>
  <sheetViews>
    <sheetView showZeros="0" zoomScalePageLayoutView="0" workbookViewId="0" topLeftCell="A58">
      <selection activeCell="E20" sqref="E20"/>
    </sheetView>
  </sheetViews>
  <sheetFormatPr defaultColWidth="8.796875" defaultRowHeight="15"/>
  <cols>
    <col min="1" max="1" width="4.59765625" style="18" customWidth="1"/>
    <col min="2" max="2" width="31.5" style="6" customWidth="1"/>
    <col min="3" max="3" width="5.5" style="18" customWidth="1"/>
    <col min="4" max="4" width="22.69921875" style="6" customWidth="1"/>
    <col min="5" max="5" width="16.3984375" style="7" customWidth="1"/>
    <col min="6" max="16384" width="9" style="6" customWidth="1"/>
  </cols>
  <sheetData>
    <row r="1" spans="1:5" ht="21">
      <c r="A1" s="195" t="s">
        <v>744</v>
      </c>
      <c r="B1" s="195"/>
      <c r="C1" s="195"/>
      <c r="D1" s="195"/>
      <c r="E1" s="195"/>
    </row>
    <row r="2" spans="1:5" ht="15.75">
      <c r="A2" s="23"/>
      <c r="B2" s="2"/>
      <c r="C2" s="23"/>
      <c r="D2" s="2"/>
      <c r="E2" s="4"/>
    </row>
    <row r="3" spans="1:5" s="29" customFormat="1" ht="16.5">
      <c r="A3" s="192" t="s">
        <v>735</v>
      </c>
      <c r="B3" s="192"/>
      <c r="C3" s="192"/>
      <c r="D3" s="192"/>
      <c r="E3" s="192"/>
    </row>
    <row r="4" spans="1:5" s="29" customFormat="1" ht="16.5">
      <c r="A4" s="192" t="s">
        <v>736</v>
      </c>
      <c r="B4" s="192"/>
      <c r="C4" s="192"/>
      <c r="D4" s="192"/>
      <c r="E4" s="192"/>
    </row>
    <row r="5" spans="1:5" s="29" customFormat="1" ht="16.5">
      <c r="A5" s="192" t="s">
        <v>737</v>
      </c>
      <c r="B5" s="192"/>
      <c r="C5" s="192"/>
      <c r="D5" s="192"/>
      <c r="E5" s="192"/>
    </row>
    <row r="6" spans="1:5" ht="16.5" thickBot="1">
      <c r="A6" s="23"/>
      <c r="B6" s="2"/>
      <c r="C6" s="23"/>
      <c r="D6" s="2"/>
      <c r="E6" s="4"/>
    </row>
    <row r="7" spans="1:5" ht="36" customHeight="1">
      <c r="A7" s="24" t="s">
        <v>463</v>
      </c>
      <c r="B7" s="25" t="s">
        <v>738</v>
      </c>
      <c r="C7" s="26" t="s">
        <v>739</v>
      </c>
      <c r="D7" s="25" t="s">
        <v>740</v>
      </c>
      <c r="E7" s="40" t="s">
        <v>745</v>
      </c>
    </row>
    <row r="8" spans="1:5" ht="15.75">
      <c r="A8" s="36" t="s">
        <v>488</v>
      </c>
      <c r="B8" s="34" t="s">
        <v>1</v>
      </c>
      <c r="C8" s="38" t="s">
        <v>0</v>
      </c>
      <c r="D8" s="34" t="s">
        <v>0</v>
      </c>
      <c r="E8" s="35"/>
    </row>
    <row r="9" spans="1:5" ht="15">
      <c r="A9" s="19" t="s">
        <v>0</v>
      </c>
      <c r="B9" s="9" t="s">
        <v>482</v>
      </c>
      <c r="C9" s="21" t="s">
        <v>481</v>
      </c>
      <c r="D9" s="9" t="s">
        <v>480</v>
      </c>
      <c r="E9" s="11">
        <f>'Du toan chi tiet'!I9</f>
        <v>376651236.28064847</v>
      </c>
    </row>
    <row r="10" spans="1:5" ht="15">
      <c r="A10" s="19" t="s">
        <v>0</v>
      </c>
      <c r="B10" s="9" t="s">
        <v>479</v>
      </c>
      <c r="C10" s="21" t="s">
        <v>478</v>
      </c>
      <c r="D10" s="9" t="s">
        <v>477</v>
      </c>
      <c r="E10" s="11">
        <f>'Du toan chi tiet'!J9</f>
        <v>207706875.39925802</v>
      </c>
    </row>
    <row r="11" spans="1:5" ht="15">
      <c r="A11" s="19" t="s">
        <v>0</v>
      </c>
      <c r="B11" s="9" t="s">
        <v>476</v>
      </c>
      <c r="C11" s="21" t="s">
        <v>475</v>
      </c>
      <c r="D11" s="9" t="s">
        <v>474</v>
      </c>
      <c r="E11" s="11">
        <f>'Du toan chi tiet'!K9</f>
        <v>7550823.782386148</v>
      </c>
    </row>
    <row r="12" spans="1:5" ht="15">
      <c r="A12" s="19" t="s">
        <v>0</v>
      </c>
      <c r="B12" s="9" t="s">
        <v>473</v>
      </c>
      <c r="C12" s="21" t="s">
        <v>472</v>
      </c>
      <c r="D12" s="9" t="s">
        <v>471</v>
      </c>
      <c r="E12" s="11">
        <f>E9+E10+E11</f>
        <v>591908935.4622927</v>
      </c>
    </row>
    <row r="13" spans="1:5" ht="15">
      <c r="A13" s="19" t="s">
        <v>0</v>
      </c>
      <c r="B13" s="9" t="s">
        <v>470</v>
      </c>
      <c r="C13" s="21" t="s">
        <v>469</v>
      </c>
      <c r="D13" s="9" t="s">
        <v>468</v>
      </c>
      <c r="E13" s="11">
        <f>E12*7.3/100</f>
        <v>43209352.28874737</v>
      </c>
    </row>
    <row r="14" spans="1:5" ht="15">
      <c r="A14" s="19" t="s">
        <v>0</v>
      </c>
      <c r="B14" s="9" t="s">
        <v>467</v>
      </c>
      <c r="C14" s="21" t="s">
        <v>466</v>
      </c>
      <c r="D14" s="9" t="s">
        <v>465</v>
      </c>
      <c r="E14" s="11">
        <f>E12*1.1/100</f>
        <v>6510998.290085221</v>
      </c>
    </row>
    <row r="15" spans="1:5" ht="15">
      <c r="A15" s="19" t="s">
        <v>0</v>
      </c>
      <c r="B15" s="9" t="s">
        <v>464</v>
      </c>
      <c r="C15" s="21" t="s">
        <v>463</v>
      </c>
      <c r="D15" s="9" t="s">
        <v>462</v>
      </c>
      <c r="E15" s="11">
        <f>E12*2.5/100</f>
        <v>14797723.386557316</v>
      </c>
    </row>
    <row r="16" spans="1:5" ht="15">
      <c r="A16" s="19" t="s">
        <v>0</v>
      </c>
      <c r="B16" s="9" t="s">
        <v>461</v>
      </c>
      <c r="C16" s="21" t="s">
        <v>460</v>
      </c>
      <c r="D16" s="9" t="s">
        <v>459</v>
      </c>
      <c r="E16" s="11">
        <f>E13+E14+E15</f>
        <v>64518073.96538991</v>
      </c>
    </row>
    <row r="17" spans="1:5" ht="15">
      <c r="A17" s="19" t="s">
        <v>0</v>
      </c>
      <c r="B17" s="9" t="s">
        <v>458</v>
      </c>
      <c r="C17" s="21" t="s">
        <v>457</v>
      </c>
      <c r="D17" s="9" t="s">
        <v>456</v>
      </c>
      <c r="E17" s="11">
        <f>(E12+E16)*5.5/100</f>
        <v>36103485.518522546</v>
      </c>
    </row>
    <row r="18" spans="1:5" ht="15">
      <c r="A18" s="19" t="s">
        <v>0</v>
      </c>
      <c r="B18" s="9" t="s">
        <v>455</v>
      </c>
      <c r="C18" s="21" t="s">
        <v>454</v>
      </c>
      <c r="D18" s="9" t="s">
        <v>453</v>
      </c>
      <c r="E18" s="11">
        <f>E12+E16+E17</f>
        <v>692530494.9462051</v>
      </c>
    </row>
    <row r="19" spans="1:5" ht="15">
      <c r="A19" s="19" t="s">
        <v>0</v>
      </c>
      <c r="B19" s="9" t="s">
        <v>452</v>
      </c>
      <c r="C19" s="21" t="s">
        <v>451</v>
      </c>
      <c r="D19" s="9" t="s">
        <v>450</v>
      </c>
      <c r="E19" s="11">
        <f>E18*10/100</f>
        <v>69253049.49462052</v>
      </c>
    </row>
    <row r="20" spans="1:5" ht="15.75">
      <c r="A20" s="37" t="s">
        <v>449</v>
      </c>
      <c r="B20" s="31" t="s">
        <v>448</v>
      </c>
      <c r="C20" s="39" t="s">
        <v>447</v>
      </c>
      <c r="D20" s="31" t="s">
        <v>446</v>
      </c>
      <c r="E20" s="32">
        <f>E18+E19</f>
        <v>761783544.4408257</v>
      </c>
    </row>
    <row r="21" spans="1:5" ht="15">
      <c r="A21" s="19" t="s">
        <v>0</v>
      </c>
      <c r="B21" s="9" t="s">
        <v>0</v>
      </c>
      <c r="C21" s="21" t="s">
        <v>0</v>
      </c>
      <c r="D21" s="9" t="s">
        <v>0</v>
      </c>
      <c r="E21" s="11"/>
    </row>
    <row r="22" spans="1:5" ht="15.75">
      <c r="A22" s="37" t="s">
        <v>487</v>
      </c>
      <c r="B22" s="31" t="s">
        <v>257</v>
      </c>
      <c r="C22" s="39" t="s">
        <v>0</v>
      </c>
      <c r="D22" s="31" t="s">
        <v>0</v>
      </c>
      <c r="E22" s="32"/>
    </row>
    <row r="23" spans="1:5" ht="15">
      <c r="A23" s="19" t="s">
        <v>0</v>
      </c>
      <c r="B23" s="9" t="s">
        <v>482</v>
      </c>
      <c r="C23" s="21" t="s">
        <v>481</v>
      </c>
      <c r="D23" s="9" t="s">
        <v>480</v>
      </c>
      <c r="E23" s="11">
        <f>'Du toan chi tiet'!I104</f>
        <v>9874253.782568658</v>
      </c>
    </row>
    <row r="24" spans="1:5" ht="15">
      <c r="A24" s="19" t="s">
        <v>0</v>
      </c>
      <c r="B24" s="9" t="s">
        <v>479</v>
      </c>
      <c r="C24" s="21" t="s">
        <v>478</v>
      </c>
      <c r="D24" s="9" t="s">
        <v>477</v>
      </c>
      <c r="E24" s="11">
        <f>'Du toan chi tiet'!J104</f>
        <v>4730794.485206578</v>
      </c>
    </row>
    <row r="25" spans="1:5" ht="15">
      <c r="A25" s="19" t="s">
        <v>0</v>
      </c>
      <c r="B25" s="9" t="s">
        <v>476</v>
      </c>
      <c r="C25" s="21" t="s">
        <v>475</v>
      </c>
      <c r="D25" s="9" t="s">
        <v>474</v>
      </c>
      <c r="E25" s="11">
        <f>'Du toan chi tiet'!K104</f>
        <v>335046.80874654354</v>
      </c>
    </row>
    <row r="26" spans="1:5" ht="15">
      <c r="A26" s="19" t="s">
        <v>0</v>
      </c>
      <c r="B26" s="9" t="s">
        <v>473</v>
      </c>
      <c r="C26" s="21" t="s">
        <v>472</v>
      </c>
      <c r="D26" s="9" t="s">
        <v>471</v>
      </c>
      <c r="E26" s="11">
        <f>E23+E24+E25</f>
        <v>14940095.076521778</v>
      </c>
    </row>
    <row r="27" spans="1:5" ht="15">
      <c r="A27" s="19" t="s">
        <v>0</v>
      </c>
      <c r="B27" s="9" t="s">
        <v>470</v>
      </c>
      <c r="C27" s="21" t="s">
        <v>469</v>
      </c>
      <c r="D27" s="9" t="s">
        <v>468</v>
      </c>
      <c r="E27" s="11">
        <f>E26*7.3/100</f>
        <v>1090626.9405860899</v>
      </c>
    </row>
    <row r="28" spans="1:5" ht="15">
      <c r="A28" s="19" t="s">
        <v>0</v>
      </c>
      <c r="B28" s="9" t="s">
        <v>467</v>
      </c>
      <c r="C28" s="21" t="s">
        <v>466</v>
      </c>
      <c r="D28" s="9" t="s">
        <v>465</v>
      </c>
      <c r="E28" s="11">
        <f>E26*1.1/100</f>
        <v>164341.04584173957</v>
      </c>
    </row>
    <row r="29" spans="1:5" ht="15">
      <c r="A29" s="19" t="s">
        <v>0</v>
      </c>
      <c r="B29" s="9" t="s">
        <v>464</v>
      </c>
      <c r="C29" s="21" t="s">
        <v>463</v>
      </c>
      <c r="D29" s="9" t="s">
        <v>462</v>
      </c>
      <c r="E29" s="11">
        <f>E26*2.5/100</f>
        <v>373502.3769130444</v>
      </c>
    </row>
    <row r="30" spans="1:5" ht="15">
      <c r="A30" s="19" t="s">
        <v>0</v>
      </c>
      <c r="B30" s="9" t="s">
        <v>461</v>
      </c>
      <c r="C30" s="21" t="s">
        <v>460</v>
      </c>
      <c r="D30" s="9" t="s">
        <v>459</v>
      </c>
      <c r="E30" s="11">
        <f>E27+E28+E29</f>
        <v>1628470.3633408737</v>
      </c>
    </row>
    <row r="31" spans="1:5" ht="15">
      <c r="A31" s="19" t="s">
        <v>0</v>
      </c>
      <c r="B31" s="9" t="s">
        <v>458</v>
      </c>
      <c r="C31" s="21" t="s">
        <v>457</v>
      </c>
      <c r="D31" s="9" t="s">
        <v>456</v>
      </c>
      <c r="E31" s="11">
        <f>(E26+E30)*5.5/100</f>
        <v>911271.0991924459</v>
      </c>
    </row>
    <row r="32" spans="1:5" ht="15">
      <c r="A32" s="19" t="s">
        <v>0</v>
      </c>
      <c r="B32" s="9" t="s">
        <v>455</v>
      </c>
      <c r="C32" s="21" t="s">
        <v>454</v>
      </c>
      <c r="D32" s="9" t="s">
        <v>453</v>
      </c>
      <c r="E32" s="11">
        <f>E26+E30+E31</f>
        <v>17479836.539055098</v>
      </c>
    </row>
    <row r="33" spans="1:5" ht="15">
      <c r="A33" s="19" t="s">
        <v>0</v>
      </c>
      <c r="B33" s="9" t="s">
        <v>452</v>
      </c>
      <c r="C33" s="21" t="s">
        <v>451</v>
      </c>
      <c r="D33" s="9" t="s">
        <v>450</v>
      </c>
      <c r="E33" s="11">
        <f>E32*10/100</f>
        <v>1747983.6539055097</v>
      </c>
    </row>
    <row r="34" spans="1:5" ht="15.75">
      <c r="A34" s="37" t="s">
        <v>449</v>
      </c>
      <c r="B34" s="31" t="s">
        <v>448</v>
      </c>
      <c r="C34" s="39" t="s">
        <v>447</v>
      </c>
      <c r="D34" s="31" t="s">
        <v>446</v>
      </c>
      <c r="E34" s="32">
        <f>E32+E33</f>
        <v>19227820.19296061</v>
      </c>
    </row>
    <row r="35" spans="1:5" ht="15">
      <c r="A35" s="19" t="s">
        <v>0</v>
      </c>
      <c r="B35" s="9" t="s">
        <v>0</v>
      </c>
      <c r="C35" s="21" t="s">
        <v>0</v>
      </c>
      <c r="D35" s="9" t="s">
        <v>0</v>
      </c>
      <c r="E35" s="11"/>
    </row>
    <row r="36" spans="1:5" ht="15.75">
      <c r="A36" s="37" t="s">
        <v>486</v>
      </c>
      <c r="B36" s="31" t="s">
        <v>284</v>
      </c>
      <c r="C36" s="39" t="s">
        <v>0</v>
      </c>
      <c r="D36" s="31" t="s">
        <v>0</v>
      </c>
      <c r="E36" s="32"/>
    </row>
    <row r="37" spans="1:5" ht="15">
      <c r="A37" s="19" t="s">
        <v>0</v>
      </c>
      <c r="B37" s="9" t="s">
        <v>482</v>
      </c>
      <c r="C37" s="21" t="s">
        <v>481</v>
      </c>
      <c r="D37" s="9" t="s">
        <v>480</v>
      </c>
      <c r="E37" s="11">
        <f>'Du toan chi tiet'!I122</f>
        <v>6057289.12734</v>
      </c>
    </row>
    <row r="38" spans="1:5" ht="15">
      <c r="A38" s="19" t="s">
        <v>0</v>
      </c>
      <c r="B38" s="9" t="s">
        <v>479</v>
      </c>
      <c r="C38" s="21" t="s">
        <v>478</v>
      </c>
      <c r="D38" s="9" t="s">
        <v>477</v>
      </c>
      <c r="E38" s="11">
        <f>'Du toan chi tiet'!J122</f>
        <v>38740821.1618</v>
      </c>
    </row>
    <row r="39" spans="1:5" ht="15">
      <c r="A39" s="19" t="s">
        <v>0</v>
      </c>
      <c r="B39" s="9" t="s">
        <v>476</v>
      </c>
      <c r="C39" s="21" t="s">
        <v>475</v>
      </c>
      <c r="D39" s="9" t="s">
        <v>474</v>
      </c>
      <c r="E39" s="11">
        <f>'Du toan chi tiet'!K122</f>
        <v>762131.7003</v>
      </c>
    </row>
    <row r="40" spans="1:5" ht="15">
      <c r="A40" s="19" t="s">
        <v>0</v>
      </c>
      <c r="B40" s="9" t="s">
        <v>473</v>
      </c>
      <c r="C40" s="21" t="s">
        <v>472</v>
      </c>
      <c r="D40" s="9" t="s">
        <v>471</v>
      </c>
      <c r="E40" s="11">
        <f>E37+E38+E39</f>
        <v>45560241.98944</v>
      </c>
    </row>
    <row r="41" spans="1:5" ht="15">
      <c r="A41" s="19" t="s">
        <v>0</v>
      </c>
      <c r="B41" s="9" t="s">
        <v>470</v>
      </c>
      <c r="C41" s="21" t="s">
        <v>469</v>
      </c>
      <c r="D41" s="9" t="s">
        <v>468</v>
      </c>
      <c r="E41" s="11">
        <f>E40*7.3/100</f>
        <v>3325897.6652291203</v>
      </c>
    </row>
    <row r="42" spans="1:5" ht="15">
      <c r="A42" s="19" t="s">
        <v>0</v>
      </c>
      <c r="B42" s="9" t="s">
        <v>467</v>
      </c>
      <c r="C42" s="21" t="s">
        <v>466</v>
      </c>
      <c r="D42" s="9" t="s">
        <v>465</v>
      </c>
      <c r="E42" s="11">
        <f>E40*1.1/100</f>
        <v>501162.66188384005</v>
      </c>
    </row>
    <row r="43" spans="1:5" ht="15">
      <c r="A43" s="19" t="s">
        <v>0</v>
      </c>
      <c r="B43" s="9" t="s">
        <v>464</v>
      </c>
      <c r="C43" s="21" t="s">
        <v>463</v>
      </c>
      <c r="D43" s="9" t="s">
        <v>462</v>
      </c>
      <c r="E43" s="11">
        <f>E40*2.5/100</f>
        <v>1139006.049736</v>
      </c>
    </row>
    <row r="44" spans="1:5" ht="15">
      <c r="A44" s="19" t="s">
        <v>0</v>
      </c>
      <c r="B44" s="9" t="s">
        <v>461</v>
      </c>
      <c r="C44" s="21" t="s">
        <v>460</v>
      </c>
      <c r="D44" s="9" t="s">
        <v>459</v>
      </c>
      <c r="E44" s="11">
        <f>E41+E42+E43</f>
        <v>4966066.37684896</v>
      </c>
    </row>
    <row r="45" spans="1:5" ht="15">
      <c r="A45" s="19" t="s">
        <v>0</v>
      </c>
      <c r="B45" s="9" t="s">
        <v>458</v>
      </c>
      <c r="C45" s="21" t="s">
        <v>457</v>
      </c>
      <c r="D45" s="9" t="s">
        <v>456</v>
      </c>
      <c r="E45" s="11">
        <f>(E40+E44)*5.5/100</f>
        <v>2778946.960145893</v>
      </c>
    </row>
    <row r="46" spans="1:5" ht="15">
      <c r="A46" s="19" t="s">
        <v>0</v>
      </c>
      <c r="B46" s="9" t="s">
        <v>455</v>
      </c>
      <c r="C46" s="21" t="s">
        <v>454</v>
      </c>
      <c r="D46" s="9" t="s">
        <v>453</v>
      </c>
      <c r="E46" s="11">
        <f>E40+E44+E45</f>
        <v>53305255.32643485</v>
      </c>
    </row>
    <row r="47" spans="1:5" ht="15">
      <c r="A47" s="19" t="s">
        <v>0</v>
      </c>
      <c r="B47" s="9" t="s">
        <v>452</v>
      </c>
      <c r="C47" s="21" t="s">
        <v>451</v>
      </c>
      <c r="D47" s="9" t="s">
        <v>450</v>
      </c>
      <c r="E47" s="11">
        <f>E46*10/100</f>
        <v>5330525.532643485</v>
      </c>
    </row>
    <row r="48" spans="1:5" ht="15.75">
      <c r="A48" s="37" t="s">
        <v>449</v>
      </c>
      <c r="B48" s="31" t="s">
        <v>448</v>
      </c>
      <c r="C48" s="39" t="s">
        <v>447</v>
      </c>
      <c r="D48" s="31" t="s">
        <v>446</v>
      </c>
      <c r="E48" s="32">
        <f>E46+E47</f>
        <v>58635780.85907833</v>
      </c>
    </row>
    <row r="49" spans="1:5" ht="15">
      <c r="A49" s="19" t="s">
        <v>0</v>
      </c>
      <c r="B49" s="9" t="s">
        <v>0</v>
      </c>
      <c r="C49" s="21" t="s">
        <v>0</v>
      </c>
      <c r="D49" s="9" t="s">
        <v>0</v>
      </c>
      <c r="E49" s="11"/>
    </row>
    <row r="50" spans="1:5" ht="15.75">
      <c r="A50" s="37" t="s">
        <v>485</v>
      </c>
      <c r="B50" s="31" t="s">
        <v>324</v>
      </c>
      <c r="C50" s="39" t="s">
        <v>0</v>
      </c>
      <c r="D50" s="31" t="s">
        <v>0</v>
      </c>
      <c r="E50" s="32"/>
    </row>
    <row r="51" spans="1:5" ht="15">
      <c r="A51" s="19" t="s">
        <v>0</v>
      </c>
      <c r="B51" s="9" t="s">
        <v>482</v>
      </c>
      <c r="C51" s="21" t="s">
        <v>481</v>
      </c>
      <c r="D51" s="9" t="s">
        <v>480</v>
      </c>
      <c r="E51" s="11">
        <f>'Du toan chi tiet'!I134</f>
        <v>11301803.0666966</v>
      </c>
    </row>
    <row r="52" spans="1:5" ht="15">
      <c r="A52" s="19" t="s">
        <v>0</v>
      </c>
      <c r="B52" s="9" t="s">
        <v>479</v>
      </c>
      <c r="C52" s="21" t="s">
        <v>478</v>
      </c>
      <c r="D52" s="9" t="s">
        <v>477</v>
      </c>
      <c r="E52" s="11">
        <f>'Du toan chi tiet'!J134</f>
        <v>5325251.431196</v>
      </c>
    </row>
    <row r="53" spans="1:5" ht="15">
      <c r="A53" s="19" t="s">
        <v>0</v>
      </c>
      <c r="B53" s="9" t="s">
        <v>476</v>
      </c>
      <c r="C53" s="21" t="s">
        <v>475</v>
      </c>
      <c r="D53" s="9" t="s">
        <v>474</v>
      </c>
      <c r="E53" s="11">
        <f>'Du toan chi tiet'!K134</f>
        <v>337245.56313</v>
      </c>
    </row>
    <row r="54" spans="1:5" ht="15">
      <c r="A54" s="19" t="s">
        <v>0</v>
      </c>
      <c r="B54" s="9" t="s">
        <v>473</v>
      </c>
      <c r="C54" s="21" t="s">
        <v>472</v>
      </c>
      <c r="D54" s="9" t="s">
        <v>471</v>
      </c>
      <c r="E54" s="11">
        <f>E51+E52+E53</f>
        <v>16964300.0610226</v>
      </c>
    </row>
    <row r="55" spans="1:5" ht="15">
      <c r="A55" s="19" t="s">
        <v>0</v>
      </c>
      <c r="B55" s="9" t="s">
        <v>470</v>
      </c>
      <c r="C55" s="21" t="s">
        <v>469</v>
      </c>
      <c r="D55" s="9" t="s">
        <v>468</v>
      </c>
      <c r="E55" s="11">
        <f>E54*7.3/100</f>
        <v>1238393.9044546497</v>
      </c>
    </row>
    <row r="56" spans="1:5" ht="15">
      <c r="A56" s="19" t="s">
        <v>0</v>
      </c>
      <c r="B56" s="9" t="s">
        <v>467</v>
      </c>
      <c r="C56" s="21" t="s">
        <v>466</v>
      </c>
      <c r="D56" s="9" t="s">
        <v>465</v>
      </c>
      <c r="E56" s="11">
        <f>E54*1.1/100</f>
        <v>186607.30067124858</v>
      </c>
    </row>
    <row r="57" spans="1:5" ht="15">
      <c r="A57" s="19" t="s">
        <v>0</v>
      </c>
      <c r="B57" s="9" t="s">
        <v>464</v>
      </c>
      <c r="C57" s="21" t="s">
        <v>463</v>
      </c>
      <c r="D57" s="9" t="s">
        <v>462</v>
      </c>
      <c r="E57" s="11">
        <f>E54*2.5/100</f>
        <v>424107.50152556493</v>
      </c>
    </row>
    <row r="58" spans="1:5" ht="15">
      <c r="A58" s="19" t="s">
        <v>0</v>
      </c>
      <c r="B58" s="9" t="s">
        <v>461</v>
      </c>
      <c r="C58" s="21" t="s">
        <v>460</v>
      </c>
      <c r="D58" s="9" t="s">
        <v>459</v>
      </c>
      <c r="E58" s="11">
        <f>E55+E56+E57</f>
        <v>1849108.7066514632</v>
      </c>
    </row>
    <row r="59" spans="1:5" ht="15">
      <c r="A59" s="19" t="s">
        <v>0</v>
      </c>
      <c r="B59" s="9" t="s">
        <v>458</v>
      </c>
      <c r="C59" s="21" t="s">
        <v>457</v>
      </c>
      <c r="D59" s="9" t="s">
        <v>456</v>
      </c>
      <c r="E59" s="11">
        <f>(E54+E58)*5.5/100</f>
        <v>1034737.4822220734</v>
      </c>
    </row>
    <row r="60" spans="1:5" ht="15">
      <c r="A60" s="19" t="s">
        <v>0</v>
      </c>
      <c r="B60" s="9" t="s">
        <v>455</v>
      </c>
      <c r="C60" s="21" t="s">
        <v>454</v>
      </c>
      <c r="D60" s="9" t="s">
        <v>453</v>
      </c>
      <c r="E60" s="11">
        <f>E54+E58+E59</f>
        <v>19848146.249896135</v>
      </c>
    </row>
    <row r="61" spans="1:5" ht="15">
      <c r="A61" s="19" t="s">
        <v>0</v>
      </c>
      <c r="B61" s="9" t="s">
        <v>452</v>
      </c>
      <c r="C61" s="21" t="s">
        <v>451</v>
      </c>
      <c r="D61" s="9" t="s">
        <v>450</v>
      </c>
      <c r="E61" s="11">
        <f>E60*10/100</f>
        <v>1984814.6249896137</v>
      </c>
    </row>
    <row r="62" spans="1:5" ht="15.75">
      <c r="A62" s="37" t="s">
        <v>449</v>
      </c>
      <c r="B62" s="31" t="s">
        <v>448</v>
      </c>
      <c r="C62" s="39" t="s">
        <v>447</v>
      </c>
      <c r="D62" s="31" t="s">
        <v>446</v>
      </c>
      <c r="E62" s="32">
        <f>E60+E61</f>
        <v>21832960.87488575</v>
      </c>
    </row>
    <row r="63" spans="1:5" ht="15">
      <c r="A63" s="19" t="s">
        <v>0</v>
      </c>
      <c r="B63" s="9" t="s">
        <v>0</v>
      </c>
      <c r="C63" s="21" t="s">
        <v>0</v>
      </c>
      <c r="D63" s="9" t="s">
        <v>0</v>
      </c>
      <c r="E63" s="11"/>
    </row>
    <row r="64" spans="1:5" ht="15.75">
      <c r="A64" s="37" t="s">
        <v>484</v>
      </c>
      <c r="B64" s="31" t="s">
        <v>360</v>
      </c>
      <c r="C64" s="39" t="s">
        <v>0</v>
      </c>
      <c r="D64" s="31" t="s">
        <v>0</v>
      </c>
      <c r="E64" s="32"/>
    </row>
    <row r="65" spans="1:5" ht="15">
      <c r="A65" s="19" t="s">
        <v>0</v>
      </c>
      <c r="B65" s="9" t="s">
        <v>482</v>
      </c>
      <c r="C65" s="21" t="s">
        <v>481</v>
      </c>
      <c r="D65" s="9" t="s">
        <v>480</v>
      </c>
      <c r="E65" s="11">
        <f>'Du toan chi tiet'!I150</f>
        <v>3358724.947051242</v>
      </c>
    </row>
    <row r="66" spans="1:5" ht="15">
      <c r="A66" s="19" t="s">
        <v>0</v>
      </c>
      <c r="B66" s="9" t="s">
        <v>479</v>
      </c>
      <c r="C66" s="21" t="s">
        <v>478</v>
      </c>
      <c r="D66" s="9" t="s">
        <v>477</v>
      </c>
      <c r="E66" s="11">
        <f>'Du toan chi tiet'!J150</f>
        <v>15082012.673780002</v>
      </c>
    </row>
    <row r="67" spans="1:5" ht="15">
      <c r="A67" s="19" t="s">
        <v>0</v>
      </c>
      <c r="B67" s="9" t="s">
        <v>476</v>
      </c>
      <c r="C67" s="21" t="s">
        <v>475</v>
      </c>
      <c r="D67" s="9" t="s">
        <v>474</v>
      </c>
      <c r="E67" s="11">
        <f>'Du toan chi tiet'!K150</f>
        <v>0</v>
      </c>
    </row>
    <row r="68" spans="1:5" ht="15">
      <c r="A68" s="19" t="s">
        <v>0</v>
      </c>
      <c r="B68" s="9" t="s">
        <v>473</v>
      </c>
      <c r="C68" s="21" t="s">
        <v>472</v>
      </c>
      <c r="D68" s="9" t="s">
        <v>471</v>
      </c>
      <c r="E68" s="11">
        <f>E65+E66+E67</f>
        <v>18440737.620831244</v>
      </c>
    </row>
    <row r="69" spans="1:5" ht="15">
      <c r="A69" s="19" t="s">
        <v>0</v>
      </c>
      <c r="B69" s="9" t="s">
        <v>470</v>
      </c>
      <c r="C69" s="21" t="s">
        <v>469</v>
      </c>
      <c r="D69" s="9" t="s">
        <v>468</v>
      </c>
      <c r="E69" s="11">
        <f>E68*7.3/100</f>
        <v>1346173.8463206806</v>
      </c>
    </row>
    <row r="70" spans="1:5" ht="15">
      <c r="A70" s="19" t="s">
        <v>0</v>
      </c>
      <c r="B70" s="9" t="s">
        <v>467</v>
      </c>
      <c r="C70" s="21" t="s">
        <v>466</v>
      </c>
      <c r="D70" s="9" t="s">
        <v>465</v>
      </c>
      <c r="E70" s="11">
        <f>E68*1.1/100</f>
        <v>202848.1138291437</v>
      </c>
    </row>
    <row r="71" spans="1:5" ht="15">
      <c r="A71" s="19" t="s">
        <v>0</v>
      </c>
      <c r="B71" s="9" t="s">
        <v>464</v>
      </c>
      <c r="C71" s="21" t="s">
        <v>463</v>
      </c>
      <c r="D71" s="9" t="s">
        <v>462</v>
      </c>
      <c r="E71" s="11">
        <f>E68*2.5/100</f>
        <v>461018.44052078115</v>
      </c>
    </row>
    <row r="72" spans="1:5" ht="15">
      <c r="A72" s="19" t="s">
        <v>0</v>
      </c>
      <c r="B72" s="9" t="s">
        <v>461</v>
      </c>
      <c r="C72" s="21" t="s">
        <v>460</v>
      </c>
      <c r="D72" s="9" t="s">
        <v>459</v>
      </c>
      <c r="E72" s="11">
        <f>E69+E70+E71</f>
        <v>2010040.4006706052</v>
      </c>
    </row>
    <row r="73" spans="1:5" ht="15">
      <c r="A73" s="19" t="s">
        <v>0</v>
      </c>
      <c r="B73" s="9" t="s">
        <v>458</v>
      </c>
      <c r="C73" s="21" t="s">
        <v>457</v>
      </c>
      <c r="D73" s="9" t="s">
        <v>456</v>
      </c>
      <c r="E73" s="11">
        <f>(E68+E72)*5.5/100</f>
        <v>1124792.7911826018</v>
      </c>
    </row>
    <row r="74" spans="1:5" ht="15">
      <c r="A74" s="19" t="s">
        <v>0</v>
      </c>
      <c r="B74" s="9" t="s">
        <v>455</v>
      </c>
      <c r="C74" s="21" t="s">
        <v>454</v>
      </c>
      <c r="D74" s="9" t="s">
        <v>453</v>
      </c>
      <c r="E74" s="11">
        <f>E68+E72+E73</f>
        <v>21575570.812684454</v>
      </c>
    </row>
    <row r="75" spans="1:5" ht="15">
      <c r="A75" s="19" t="s">
        <v>0</v>
      </c>
      <c r="B75" s="9" t="s">
        <v>452</v>
      </c>
      <c r="C75" s="21" t="s">
        <v>451</v>
      </c>
      <c r="D75" s="9" t="s">
        <v>450</v>
      </c>
      <c r="E75" s="11">
        <f>E74*10/100</f>
        <v>2157557.081268445</v>
      </c>
    </row>
    <row r="76" spans="1:5" ht="15.75">
      <c r="A76" s="37" t="s">
        <v>449</v>
      </c>
      <c r="B76" s="31" t="s">
        <v>448</v>
      </c>
      <c r="C76" s="39" t="s">
        <v>447</v>
      </c>
      <c r="D76" s="31" t="s">
        <v>446</v>
      </c>
      <c r="E76" s="32">
        <f>E74+E75</f>
        <v>23733127.8939529</v>
      </c>
    </row>
    <row r="77" spans="1:5" ht="15">
      <c r="A77" s="19" t="s">
        <v>0</v>
      </c>
      <c r="B77" s="9" t="s">
        <v>0</v>
      </c>
      <c r="C77" s="21" t="s">
        <v>0</v>
      </c>
      <c r="D77" s="9" t="s">
        <v>0</v>
      </c>
      <c r="E77" s="11"/>
    </row>
    <row r="78" spans="1:5" ht="15.75" hidden="1">
      <c r="A78" s="37" t="s">
        <v>483</v>
      </c>
      <c r="B78" s="31" t="s">
        <v>364</v>
      </c>
      <c r="C78" s="39" t="s">
        <v>0</v>
      </c>
      <c r="D78" s="31" t="s">
        <v>0</v>
      </c>
      <c r="E78" s="32"/>
    </row>
    <row r="79" spans="1:5" ht="15" hidden="1">
      <c r="A79" s="19" t="s">
        <v>0</v>
      </c>
      <c r="B79" s="9" t="s">
        <v>482</v>
      </c>
      <c r="C79" s="21" t="s">
        <v>481</v>
      </c>
      <c r="D79" s="9" t="s">
        <v>480</v>
      </c>
      <c r="E79" s="11">
        <f>'Du toan chi tiet'!I155</f>
        <v>0</v>
      </c>
    </row>
    <row r="80" spans="1:5" ht="15" hidden="1">
      <c r="A80" s="19" t="s">
        <v>0</v>
      </c>
      <c r="B80" s="9" t="s">
        <v>479</v>
      </c>
      <c r="C80" s="21" t="s">
        <v>478</v>
      </c>
      <c r="D80" s="9" t="s">
        <v>477</v>
      </c>
      <c r="E80" s="11">
        <f>'Du toan chi tiet'!J155</f>
        <v>198888.872</v>
      </c>
    </row>
    <row r="81" spans="1:5" ht="15" hidden="1">
      <c r="A81" s="19" t="s">
        <v>0</v>
      </c>
      <c r="B81" s="9" t="s">
        <v>476</v>
      </c>
      <c r="C81" s="21" t="s">
        <v>475</v>
      </c>
      <c r="D81" s="9" t="s">
        <v>474</v>
      </c>
      <c r="E81" s="11">
        <f>'Du toan chi tiet'!K155</f>
        <v>966037.7814000001</v>
      </c>
    </row>
    <row r="82" spans="1:5" ht="15" hidden="1">
      <c r="A82" s="19" t="s">
        <v>0</v>
      </c>
      <c r="B82" s="9" t="s">
        <v>473</v>
      </c>
      <c r="C82" s="21" t="s">
        <v>472</v>
      </c>
      <c r="D82" s="9" t="s">
        <v>471</v>
      </c>
      <c r="E82" s="11">
        <f>E79+E80+E81</f>
        <v>1164926.6534000002</v>
      </c>
    </row>
    <row r="83" spans="1:5" ht="15" hidden="1">
      <c r="A83" s="19" t="s">
        <v>0</v>
      </c>
      <c r="B83" s="9" t="s">
        <v>470</v>
      </c>
      <c r="C83" s="21" t="s">
        <v>469</v>
      </c>
      <c r="D83" s="9" t="s">
        <v>468</v>
      </c>
      <c r="E83" s="11">
        <f>E82*7.3/100</f>
        <v>85039.64569820002</v>
      </c>
    </row>
    <row r="84" spans="1:5" ht="15" hidden="1">
      <c r="A84" s="19" t="s">
        <v>0</v>
      </c>
      <c r="B84" s="9" t="s">
        <v>467</v>
      </c>
      <c r="C84" s="21" t="s">
        <v>466</v>
      </c>
      <c r="D84" s="9" t="s">
        <v>465</v>
      </c>
      <c r="E84" s="11">
        <f>E82*1.1/100</f>
        <v>12814.193187400002</v>
      </c>
    </row>
    <row r="85" spans="1:5" ht="15" hidden="1">
      <c r="A85" s="19" t="s">
        <v>0</v>
      </c>
      <c r="B85" s="9" t="s">
        <v>464</v>
      </c>
      <c r="C85" s="21" t="s">
        <v>463</v>
      </c>
      <c r="D85" s="9" t="s">
        <v>462</v>
      </c>
      <c r="E85" s="11">
        <f>E82*2.5/100</f>
        <v>29123.166335000005</v>
      </c>
    </row>
    <row r="86" spans="1:5" ht="15" hidden="1">
      <c r="A86" s="19" t="s">
        <v>0</v>
      </c>
      <c r="B86" s="9" t="s">
        <v>461</v>
      </c>
      <c r="C86" s="21" t="s">
        <v>460</v>
      </c>
      <c r="D86" s="9" t="s">
        <v>459</v>
      </c>
      <c r="E86" s="11">
        <f>E83+E84+E85</f>
        <v>126977.00522060003</v>
      </c>
    </row>
    <row r="87" spans="1:5" ht="15" hidden="1">
      <c r="A87" s="19" t="s">
        <v>0</v>
      </c>
      <c r="B87" s="9" t="s">
        <v>458</v>
      </c>
      <c r="C87" s="21" t="s">
        <v>457</v>
      </c>
      <c r="D87" s="9" t="s">
        <v>456</v>
      </c>
      <c r="E87" s="11">
        <f>(E82+E86)*5.5/100</f>
        <v>71054.70122413301</v>
      </c>
    </row>
    <row r="88" spans="1:5" ht="15" hidden="1">
      <c r="A88" s="19" t="s">
        <v>0</v>
      </c>
      <c r="B88" s="9" t="s">
        <v>455</v>
      </c>
      <c r="C88" s="21" t="s">
        <v>454</v>
      </c>
      <c r="D88" s="9" t="s">
        <v>453</v>
      </c>
      <c r="E88" s="11">
        <f>E82+E86+E87</f>
        <v>1362958.359844733</v>
      </c>
    </row>
    <row r="89" spans="1:5" ht="15" hidden="1">
      <c r="A89" s="19" t="s">
        <v>0</v>
      </c>
      <c r="B89" s="9" t="s">
        <v>452</v>
      </c>
      <c r="C89" s="21" t="s">
        <v>451</v>
      </c>
      <c r="D89" s="9" t="s">
        <v>450</v>
      </c>
      <c r="E89" s="11">
        <f>E88*10/100</f>
        <v>136295.8359844733</v>
      </c>
    </row>
    <row r="90" spans="1:5" ht="15.75" hidden="1">
      <c r="A90" s="37" t="s">
        <v>449</v>
      </c>
      <c r="B90" s="31" t="s">
        <v>448</v>
      </c>
      <c r="C90" s="39" t="s">
        <v>447</v>
      </c>
      <c r="D90" s="31" t="s">
        <v>446</v>
      </c>
      <c r="E90" s="32">
        <f>E88+E89</f>
        <v>1499254.1958292064</v>
      </c>
    </row>
    <row r="91" spans="1:5" ht="15.75" thickBot="1">
      <c r="A91" s="20" t="s">
        <v>0</v>
      </c>
      <c r="B91" s="13" t="s">
        <v>0</v>
      </c>
      <c r="C91" s="22" t="s">
        <v>0</v>
      </c>
      <c r="D91" s="13" t="s">
        <v>0</v>
      </c>
      <c r="E91" s="15"/>
    </row>
    <row r="93" spans="4:5" ht="15">
      <c r="D93" s="196"/>
      <c r="E93" s="196"/>
    </row>
    <row r="94" spans="4:5" ht="15.75">
      <c r="D94" s="193"/>
      <c r="E94" s="193"/>
    </row>
    <row r="95" spans="4:5" ht="15.75">
      <c r="D95" s="193"/>
      <c r="E95" s="193"/>
    </row>
  </sheetData>
  <sheetProtection/>
  <mergeCells count="7">
    <mergeCell ref="D95:E95"/>
    <mergeCell ref="A1:E1"/>
    <mergeCell ref="A3:E3"/>
    <mergeCell ref="A4:E4"/>
    <mergeCell ref="A5:E5"/>
    <mergeCell ref="D93:E93"/>
    <mergeCell ref="D94:E9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1"/>
  <sheetViews>
    <sheetView showZeros="0" zoomScalePageLayoutView="0" workbookViewId="0" topLeftCell="A126">
      <selection activeCell="J132" sqref="J132"/>
    </sheetView>
  </sheetViews>
  <sheetFormatPr defaultColWidth="8.796875" defaultRowHeight="15"/>
  <cols>
    <col min="1" max="1" width="3.3984375" style="41" customWidth="1"/>
    <col min="2" max="2" width="8.8984375" style="41" customWidth="1"/>
    <col min="3" max="3" width="29.59765625" style="41" customWidth="1"/>
    <col min="4" max="4" width="4.8984375" style="41" customWidth="1"/>
    <col min="5" max="5" width="9.69921875" style="69" customWidth="1"/>
    <col min="6" max="6" width="11.19921875" style="42" customWidth="1"/>
    <col min="7" max="7" width="10" style="42" customWidth="1"/>
    <col min="8" max="8" width="10.09765625" style="42" customWidth="1"/>
    <col min="9" max="9" width="12.59765625" style="43" customWidth="1"/>
    <col min="10" max="10" width="11.69921875" style="43" customWidth="1"/>
    <col min="11" max="11" width="12" style="43" customWidth="1"/>
    <col min="12" max="16384" width="9" style="41" customWidth="1"/>
  </cols>
  <sheetData>
    <row r="1" spans="1:11" ht="21" customHeight="1">
      <c r="A1" s="195" t="s">
        <v>746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ht="14.25">
      <c r="A2" s="44"/>
      <c r="B2" s="44"/>
      <c r="C2" s="44"/>
      <c r="D2" s="44"/>
      <c r="E2" s="74"/>
      <c r="F2" s="45"/>
      <c r="G2" s="45"/>
      <c r="H2" s="45"/>
      <c r="I2" s="46"/>
      <c r="J2" s="46"/>
      <c r="K2" s="46"/>
    </row>
    <row r="3" spans="1:11" s="29" customFormat="1" ht="16.5" customHeight="1">
      <c r="A3" s="192" t="s">
        <v>735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</row>
    <row r="4" spans="1:11" s="29" customFormat="1" ht="16.5" customHeight="1">
      <c r="A4" s="192" t="s">
        <v>736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</row>
    <row r="5" spans="1:11" s="29" customFormat="1" ht="16.5" customHeight="1">
      <c r="A5" s="192" t="s">
        <v>737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</row>
    <row r="6" spans="1:11" ht="15" thickBot="1">
      <c r="A6" s="44"/>
      <c r="B6" s="44"/>
      <c r="C6" s="44"/>
      <c r="D6" s="44"/>
      <c r="E6" s="74"/>
      <c r="F6" s="45"/>
      <c r="G6" s="45"/>
      <c r="H6" s="45"/>
      <c r="I6" s="46"/>
      <c r="J6" s="46"/>
      <c r="K6" s="46"/>
    </row>
    <row r="7" spans="1:11" ht="22.5" customHeight="1">
      <c r="A7" s="206" t="s">
        <v>463</v>
      </c>
      <c r="B7" s="199" t="s">
        <v>748</v>
      </c>
      <c r="C7" s="197" t="s">
        <v>749</v>
      </c>
      <c r="D7" s="199" t="s">
        <v>750</v>
      </c>
      <c r="E7" s="200" t="s">
        <v>751</v>
      </c>
      <c r="F7" s="201" t="s">
        <v>747</v>
      </c>
      <c r="G7" s="202"/>
      <c r="H7" s="203"/>
      <c r="I7" s="204" t="s">
        <v>745</v>
      </c>
      <c r="J7" s="202"/>
      <c r="K7" s="205"/>
    </row>
    <row r="8" spans="1:11" ht="22.5" customHeight="1">
      <c r="A8" s="207"/>
      <c r="B8" s="198"/>
      <c r="C8" s="198"/>
      <c r="D8" s="198"/>
      <c r="E8" s="198"/>
      <c r="F8" s="75" t="s">
        <v>752</v>
      </c>
      <c r="G8" s="75" t="s">
        <v>753</v>
      </c>
      <c r="H8" s="75" t="s">
        <v>754</v>
      </c>
      <c r="I8" s="76" t="s">
        <v>752</v>
      </c>
      <c r="J8" s="76" t="s">
        <v>753</v>
      </c>
      <c r="K8" s="77" t="s">
        <v>755</v>
      </c>
    </row>
    <row r="9" spans="1:11" ht="14.25">
      <c r="A9" s="64" t="s">
        <v>2</v>
      </c>
      <c r="B9" s="65" t="s">
        <v>0</v>
      </c>
      <c r="C9" s="65" t="s">
        <v>1</v>
      </c>
      <c r="D9" s="65" t="s">
        <v>0</v>
      </c>
      <c r="E9" s="70"/>
      <c r="F9" s="66"/>
      <c r="G9" s="66"/>
      <c r="H9" s="66"/>
      <c r="I9" s="67">
        <f>SUM(I10:I103)</f>
        <v>376651236.28064847</v>
      </c>
      <c r="J9" s="67">
        <f>SUM(J10:J103)</f>
        <v>207706875.39925802</v>
      </c>
      <c r="K9" s="68">
        <f>SUM(K10:K103)</f>
        <v>7550823.782386148</v>
      </c>
    </row>
    <row r="10" spans="1:11" ht="14.25">
      <c r="A10" s="49" t="s">
        <v>527</v>
      </c>
      <c r="B10" s="50" t="s">
        <v>3</v>
      </c>
      <c r="C10" s="50" t="s">
        <v>4</v>
      </c>
      <c r="D10" s="50" t="s">
        <v>5</v>
      </c>
      <c r="E10" s="71">
        <f>71.9556</f>
        <v>71.9556</v>
      </c>
      <c r="F10" s="51"/>
      <c r="G10" s="51">
        <f>'Phan tich don gia'!G10</f>
        <v>10075.57912</v>
      </c>
      <c r="H10" s="51">
        <f>'Phan tich don gia'!G12</f>
        <v>17431.69611</v>
      </c>
      <c r="I10" s="52">
        <f>E10*F10</f>
        <v>0</v>
      </c>
      <c r="J10" s="52">
        <f>E10*G10</f>
        <v>724994.3409270721</v>
      </c>
      <c r="K10" s="53">
        <f>E10*H10</f>
        <v>1254308.1526127162</v>
      </c>
    </row>
    <row r="11" spans="1:11" ht="14.25">
      <c r="A11" s="49" t="s">
        <v>0</v>
      </c>
      <c r="B11" s="50" t="s">
        <v>0</v>
      </c>
      <c r="C11" s="50" t="s">
        <v>6</v>
      </c>
      <c r="D11" s="50" t="s">
        <v>0</v>
      </c>
      <c r="E11" s="71"/>
      <c r="F11" s="51"/>
      <c r="G11" s="51"/>
      <c r="H11" s="51"/>
      <c r="I11" s="52"/>
      <c r="J11" s="52"/>
      <c r="K11" s="53"/>
    </row>
    <row r="12" spans="1:11" ht="14.25">
      <c r="A12" s="49" t="s">
        <v>543</v>
      </c>
      <c r="B12" s="50" t="s">
        <v>12</v>
      </c>
      <c r="C12" s="50" t="s">
        <v>13</v>
      </c>
      <c r="D12" s="50" t="s">
        <v>5</v>
      </c>
      <c r="E12" s="71">
        <f>52.502</f>
        <v>52.502</v>
      </c>
      <c r="F12" s="51"/>
      <c r="G12" s="51">
        <f>'Phan tich don gia'!G17</f>
        <v>11780.34088</v>
      </c>
      <c r="H12" s="51">
        <f>'Phan tich don gia'!G19</f>
        <v>12812.83545</v>
      </c>
      <c r="I12" s="52">
        <f>E12*F12</f>
        <v>0</v>
      </c>
      <c r="J12" s="52">
        <f>E12*G12</f>
        <v>618491.45688176</v>
      </c>
      <c r="K12" s="53">
        <f>E12*H12</f>
        <v>672699.4867959</v>
      </c>
    </row>
    <row r="13" spans="1:11" ht="14.25">
      <c r="A13" s="49" t="s">
        <v>0</v>
      </c>
      <c r="B13" s="50" t="s">
        <v>0</v>
      </c>
      <c r="C13" s="50" t="s">
        <v>14</v>
      </c>
      <c r="D13" s="50" t="s">
        <v>0</v>
      </c>
      <c r="E13" s="71"/>
      <c r="F13" s="51"/>
      <c r="G13" s="51"/>
      <c r="H13" s="51"/>
      <c r="I13" s="52"/>
      <c r="J13" s="52"/>
      <c r="K13" s="53"/>
    </row>
    <row r="14" spans="1:11" ht="14.25">
      <c r="A14" s="49" t="s">
        <v>542</v>
      </c>
      <c r="B14" s="50" t="s">
        <v>17</v>
      </c>
      <c r="C14" s="50" t="s">
        <v>18</v>
      </c>
      <c r="D14" s="50" t="s">
        <v>5</v>
      </c>
      <c r="E14" s="191">
        <v>5.356</v>
      </c>
      <c r="F14" s="51">
        <f>'Phan tich don gia'!G23</f>
        <v>773921.80161</v>
      </c>
      <c r="G14" s="51">
        <f>'Phan tich don gia'!G28</f>
        <v>246774.421</v>
      </c>
      <c r="H14" s="51">
        <f>'Phan tich don gia'!G30</f>
        <v>54409.0095</v>
      </c>
      <c r="I14" s="52">
        <f>E14*F14</f>
        <v>4145125.1694231597</v>
      </c>
      <c r="J14" s="52">
        <f>E14*G14</f>
        <v>1321723.7988759999</v>
      </c>
      <c r="K14" s="53">
        <f>E14*H14</f>
        <v>291414.654882</v>
      </c>
    </row>
    <row r="15" spans="1:11" ht="14.25">
      <c r="A15" s="49" t="s">
        <v>601</v>
      </c>
      <c r="B15" s="50" t="s">
        <v>29</v>
      </c>
      <c r="C15" s="50" t="s">
        <v>30</v>
      </c>
      <c r="D15" s="50" t="s">
        <v>5</v>
      </c>
      <c r="E15" s="71">
        <f>7.3845</f>
        <v>7.3845</v>
      </c>
      <c r="F15" s="51">
        <f>'Phan tich don gia'!G36</f>
        <v>1026147.37317</v>
      </c>
      <c r="G15" s="51">
        <f>'Phan tich don gia'!G42</f>
        <v>283675.269</v>
      </c>
      <c r="H15" s="51">
        <f>'Phan tich don gia'!G44</f>
        <v>54756.7503</v>
      </c>
      <c r="I15" s="52">
        <f>E15*F15</f>
        <v>7577585.277173866</v>
      </c>
      <c r="J15" s="52">
        <f>E15*G15</f>
        <v>2094800.0239304998</v>
      </c>
      <c r="K15" s="53">
        <f>E15*H15</f>
        <v>404351.22259035</v>
      </c>
    </row>
    <row r="16" spans="1:11" ht="14.25">
      <c r="A16" s="49" t="s">
        <v>0</v>
      </c>
      <c r="B16" s="50" t="s">
        <v>0</v>
      </c>
      <c r="C16" s="50" t="s">
        <v>31</v>
      </c>
      <c r="D16" s="50" t="s">
        <v>0</v>
      </c>
      <c r="E16" s="71"/>
      <c r="F16" s="51"/>
      <c r="G16" s="51"/>
      <c r="H16" s="51"/>
      <c r="I16" s="52"/>
      <c r="J16" s="52"/>
      <c r="K16" s="53"/>
    </row>
    <row r="17" spans="1:11" ht="14.25">
      <c r="A17" s="49" t="s">
        <v>600</v>
      </c>
      <c r="B17" s="50" t="s">
        <v>36</v>
      </c>
      <c r="C17" s="50" t="s">
        <v>37</v>
      </c>
      <c r="D17" s="50" t="s">
        <v>38</v>
      </c>
      <c r="E17" s="71">
        <f>20.64</f>
        <v>20.64</v>
      </c>
      <c r="F17" s="51">
        <f>'Phan tich don gia'!G50</f>
        <v>58068.08975</v>
      </c>
      <c r="G17" s="51">
        <f>'Phan tich don gia'!G56</f>
        <v>74903.4</v>
      </c>
      <c r="H17" s="51"/>
      <c r="I17" s="52">
        <f>E17*F17</f>
        <v>1198525.37244</v>
      </c>
      <c r="J17" s="52">
        <f>E17*G17</f>
        <v>1546006.176</v>
      </c>
      <c r="K17" s="53">
        <f>E17*H17</f>
        <v>0</v>
      </c>
    </row>
    <row r="18" spans="1:11" ht="14.25">
      <c r="A18" s="49" t="s">
        <v>0</v>
      </c>
      <c r="B18" s="50" t="s">
        <v>0</v>
      </c>
      <c r="C18" s="50" t="s">
        <v>39</v>
      </c>
      <c r="D18" s="50" t="s">
        <v>0</v>
      </c>
      <c r="E18" s="71"/>
      <c r="F18" s="51"/>
      <c r="G18" s="51"/>
      <c r="H18" s="51"/>
      <c r="I18" s="52"/>
      <c r="J18" s="52"/>
      <c r="K18" s="53"/>
    </row>
    <row r="19" spans="1:11" ht="14.25">
      <c r="A19" s="49" t="s">
        <v>599</v>
      </c>
      <c r="B19" s="50" t="s">
        <v>46</v>
      </c>
      <c r="C19" s="50" t="s">
        <v>47</v>
      </c>
      <c r="D19" s="50" t="s">
        <v>38</v>
      </c>
      <c r="E19" s="71">
        <f>15.504</f>
        <v>15.504</v>
      </c>
      <c r="F19" s="51">
        <f>'Phan tich don gia'!G60</f>
        <v>57531.1679</v>
      </c>
      <c r="G19" s="51">
        <f>'Phan tich don gia'!G66</f>
        <v>34324.42</v>
      </c>
      <c r="H19" s="51"/>
      <c r="I19" s="52">
        <f>E19*F19</f>
        <v>891963.2271216</v>
      </c>
      <c r="J19" s="52">
        <f>E19*G19</f>
        <v>532165.80768</v>
      </c>
      <c r="K19" s="53">
        <f>E19*H19</f>
        <v>0</v>
      </c>
    </row>
    <row r="20" spans="1:11" ht="14.25">
      <c r="A20" s="49" t="s">
        <v>590</v>
      </c>
      <c r="B20" s="50" t="s">
        <v>49</v>
      </c>
      <c r="C20" s="50" t="s">
        <v>50</v>
      </c>
      <c r="D20" s="50" t="s">
        <v>5</v>
      </c>
      <c r="E20" s="71">
        <f>2.43</f>
        <v>2.43</v>
      </c>
      <c r="F20" s="51">
        <f>'Phan tich don gia'!G71</f>
        <v>1066786.8731</v>
      </c>
      <c r="G20" s="51">
        <f>'Phan tich don gia'!G77</f>
        <v>794430</v>
      </c>
      <c r="H20" s="51">
        <f>'Phan tich don gia'!G79</f>
        <v>79769.1195</v>
      </c>
      <c r="I20" s="52">
        <f>E20*F20</f>
        <v>2592292.101633</v>
      </c>
      <c r="J20" s="52">
        <f>E20*G20</f>
        <v>1930464.9000000001</v>
      </c>
      <c r="K20" s="53">
        <f>E20*H20</f>
        <v>193838.960385</v>
      </c>
    </row>
    <row r="21" spans="1:11" ht="14.25">
      <c r="A21" s="49" t="s">
        <v>0</v>
      </c>
      <c r="B21" s="50" t="s">
        <v>0</v>
      </c>
      <c r="C21" s="50" t="s">
        <v>51</v>
      </c>
      <c r="D21" s="50" t="s">
        <v>0</v>
      </c>
      <c r="E21" s="71"/>
      <c r="F21" s="51"/>
      <c r="G21" s="51"/>
      <c r="H21" s="51"/>
      <c r="I21" s="52"/>
      <c r="J21" s="52"/>
      <c r="K21" s="53"/>
    </row>
    <row r="22" spans="1:11" ht="14.25">
      <c r="A22" s="49" t="s">
        <v>598</v>
      </c>
      <c r="B22" s="50" t="s">
        <v>53</v>
      </c>
      <c r="C22" s="50" t="s">
        <v>54</v>
      </c>
      <c r="D22" s="50" t="s">
        <v>38</v>
      </c>
      <c r="E22" s="71">
        <f>32.4</f>
        <v>32.4</v>
      </c>
      <c r="F22" s="51">
        <f>'Phan tich don gia'!G84</f>
        <v>62219.77495</v>
      </c>
      <c r="G22" s="51">
        <f>'Phan tich don gia'!G90</f>
        <v>80451.8</v>
      </c>
      <c r="H22" s="51"/>
      <c r="I22" s="52">
        <f>E22*F22</f>
        <v>2015920.70838</v>
      </c>
      <c r="J22" s="52">
        <f>E22*G22</f>
        <v>2606638.32</v>
      </c>
      <c r="K22" s="53">
        <f>E22*H22</f>
        <v>0</v>
      </c>
    </row>
    <row r="23" spans="1:11" ht="14.25">
      <c r="A23" s="49" t="s">
        <v>597</v>
      </c>
      <c r="B23" s="50" t="s">
        <v>56</v>
      </c>
      <c r="C23" s="50" t="s">
        <v>57</v>
      </c>
      <c r="D23" s="50" t="s">
        <v>5</v>
      </c>
      <c r="E23" s="71">
        <f>5.7744</f>
        <v>5.7744</v>
      </c>
      <c r="F23" s="51">
        <f>'Phan tich don gia'!G95</f>
        <v>944867.91263</v>
      </c>
      <c r="G23" s="51">
        <f>'Phan tich don gia'!G101</f>
        <v>433784</v>
      </c>
      <c r="H23" s="51">
        <f>'Phan tich don gia'!G103</f>
        <v>4416.20015</v>
      </c>
      <c r="I23" s="52">
        <f>E23*F23</f>
        <v>5456045.274690672</v>
      </c>
      <c r="J23" s="52">
        <f>E23*G23</f>
        <v>2504842.3296</v>
      </c>
      <c r="K23" s="53">
        <f>E23*H23</f>
        <v>25500.90614616</v>
      </c>
    </row>
    <row r="24" spans="1:11" ht="14.25">
      <c r="A24" s="49" t="s">
        <v>0</v>
      </c>
      <c r="B24" s="50" t="s">
        <v>0</v>
      </c>
      <c r="C24" s="50" t="s">
        <v>58</v>
      </c>
      <c r="D24" s="50" t="s">
        <v>0</v>
      </c>
      <c r="E24" s="71"/>
      <c r="F24" s="51"/>
      <c r="G24" s="51"/>
      <c r="H24" s="51"/>
      <c r="I24" s="52"/>
      <c r="J24" s="52"/>
      <c r="K24" s="53"/>
    </row>
    <row r="25" spans="1:11" ht="14.25">
      <c r="A25" s="49" t="s">
        <v>584</v>
      </c>
      <c r="B25" s="50" t="s">
        <v>64</v>
      </c>
      <c r="C25" s="50" t="s">
        <v>65</v>
      </c>
      <c r="D25" s="50" t="s">
        <v>5</v>
      </c>
      <c r="E25" s="71">
        <f>3.4296</f>
        <v>3.4296</v>
      </c>
      <c r="F25" s="51">
        <f>'Phan tich don gia'!G109</f>
        <v>1026147.37317</v>
      </c>
      <c r="G25" s="51">
        <f>'Phan tich don gia'!G115</f>
        <v>673374</v>
      </c>
      <c r="H25" s="51">
        <f>'Phan tich don gia'!G117</f>
        <v>79769.1195</v>
      </c>
      <c r="I25" s="52">
        <f>E25*F25</f>
        <v>3519275.0310238325</v>
      </c>
      <c r="J25" s="52">
        <f>E25*G25</f>
        <v>2309403.4704</v>
      </c>
      <c r="K25" s="53">
        <f>E25*H25</f>
        <v>273576.1722372</v>
      </c>
    </row>
    <row r="26" spans="1:11" ht="14.25">
      <c r="A26" s="49" t="s">
        <v>0</v>
      </c>
      <c r="B26" s="50" t="s">
        <v>0</v>
      </c>
      <c r="C26" s="50" t="s">
        <v>66</v>
      </c>
      <c r="D26" s="50" t="s">
        <v>0</v>
      </c>
      <c r="E26" s="71"/>
      <c r="F26" s="51"/>
      <c r="G26" s="51"/>
      <c r="H26" s="51"/>
      <c r="I26" s="52"/>
      <c r="J26" s="52"/>
      <c r="K26" s="53"/>
    </row>
    <row r="27" spans="1:11" ht="14.25">
      <c r="A27" s="49" t="s">
        <v>583</v>
      </c>
      <c r="B27" s="50" t="s">
        <v>68</v>
      </c>
      <c r="C27" s="50" t="s">
        <v>69</v>
      </c>
      <c r="D27" s="50" t="s">
        <v>38</v>
      </c>
      <c r="E27" s="71">
        <f>34.296</f>
        <v>34.296</v>
      </c>
      <c r="F27" s="51">
        <f>'Phan tich don gia'!G122</f>
        <v>82902.47192</v>
      </c>
      <c r="G27" s="51">
        <f>'Phan tich don gia'!G128</f>
        <v>69355</v>
      </c>
      <c r="H27" s="51"/>
      <c r="I27" s="52">
        <f>E27*F27</f>
        <v>2843223.17696832</v>
      </c>
      <c r="J27" s="52">
        <f>E27*G27</f>
        <v>2378599.08</v>
      </c>
      <c r="K27" s="53">
        <f>E27*H27</f>
        <v>0</v>
      </c>
    </row>
    <row r="28" spans="1:11" ht="14.25">
      <c r="A28" s="49" t="s">
        <v>596</v>
      </c>
      <c r="B28" s="50" t="s">
        <v>71</v>
      </c>
      <c r="C28" s="50" t="s">
        <v>72</v>
      </c>
      <c r="D28" s="50" t="s">
        <v>73</v>
      </c>
      <c r="E28" s="71">
        <f>0.31748</f>
        <v>0.31748</v>
      </c>
      <c r="F28" s="51">
        <f>'Phan tich don gia'!G133</f>
        <v>16740621.387</v>
      </c>
      <c r="G28" s="51">
        <f>'Phan tich don gia'!G136</f>
        <v>2711150</v>
      </c>
      <c r="H28" s="51">
        <f>'Phan tich don gia'!G138</f>
        <v>111746.08</v>
      </c>
      <c r="I28" s="52">
        <f>E28*F28</f>
        <v>5314812.47794476</v>
      </c>
      <c r="J28" s="52">
        <f>E28*G28</f>
        <v>860735.902</v>
      </c>
      <c r="K28" s="53">
        <f>E28*H28</f>
        <v>35477.1454784</v>
      </c>
    </row>
    <row r="29" spans="1:11" ht="14.25">
      <c r="A29" s="49" t="s">
        <v>0</v>
      </c>
      <c r="B29" s="50" t="s">
        <v>0</v>
      </c>
      <c r="C29" s="50" t="s">
        <v>74</v>
      </c>
      <c r="D29" s="50" t="s">
        <v>0</v>
      </c>
      <c r="E29" s="71"/>
      <c r="F29" s="51"/>
      <c r="G29" s="51"/>
      <c r="H29" s="51"/>
      <c r="I29" s="52"/>
      <c r="J29" s="52"/>
      <c r="K29" s="53"/>
    </row>
    <row r="30" spans="1:11" ht="14.25">
      <c r="A30" s="49" t="s">
        <v>595</v>
      </c>
      <c r="B30" s="50" t="s">
        <v>79</v>
      </c>
      <c r="C30" s="50" t="s">
        <v>72</v>
      </c>
      <c r="D30" s="50" t="s">
        <v>73</v>
      </c>
      <c r="E30" s="71">
        <f>0.56478</f>
        <v>0.56478</v>
      </c>
      <c r="F30" s="51">
        <f>'Phan tich don gia'!G143</f>
        <v>16704906.98445</v>
      </c>
      <c r="G30" s="51">
        <f>'Phan tich don gia'!G147</f>
        <v>1934374</v>
      </c>
      <c r="H30" s="51">
        <f>'Phan tich don gia'!G149</f>
        <v>547945.36</v>
      </c>
      <c r="I30" s="52">
        <f>E30*F30</f>
        <v>9434597.36667767</v>
      </c>
      <c r="J30" s="52">
        <f>E30*G30</f>
        <v>1092495.7477199999</v>
      </c>
      <c r="K30" s="53">
        <f>E30*H30</f>
        <v>309468.58042079996</v>
      </c>
    </row>
    <row r="31" spans="1:11" ht="14.25">
      <c r="A31" s="49" t="s">
        <v>0</v>
      </c>
      <c r="B31" s="50" t="s">
        <v>0</v>
      </c>
      <c r="C31" s="50" t="s">
        <v>80</v>
      </c>
      <c r="D31" s="50" t="s">
        <v>0</v>
      </c>
      <c r="E31" s="71"/>
      <c r="F31" s="51"/>
      <c r="G31" s="51"/>
      <c r="H31" s="51"/>
      <c r="I31" s="52"/>
      <c r="J31" s="52"/>
      <c r="K31" s="53"/>
    </row>
    <row r="32" spans="1:11" ht="14.25">
      <c r="A32" s="49" t="s">
        <v>543</v>
      </c>
      <c r="B32" s="50" t="s">
        <v>12</v>
      </c>
      <c r="C32" s="50" t="s">
        <v>13</v>
      </c>
      <c r="D32" s="50" t="s">
        <v>5</v>
      </c>
      <c r="E32" s="71">
        <f>7.7812</f>
        <v>7.7812</v>
      </c>
      <c r="F32" s="51"/>
      <c r="G32" s="51">
        <f>'Phan tich don gia'!G17</f>
        <v>11780.34088</v>
      </c>
      <c r="H32" s="51">
        <f>'Phan tich don gia'!G19</f>
        <v>12812.83545</v>
      </c>
      <c r="I32" s="52">
        <f>E32*F32</f>
        <v>0</v>
      </c>
      <c r="J32" s="52">
        <f>E32*G32</f>
        <v>91665.188455456</v>
      </c>
      <c r="K32" s="53">
        <f>E32*H32</f>
        <v>99699.23520354001</v>
      </c>
    </row>
    <row r="33" spans="1:11" ht="14.25">
      <c r="A33" s="49" t="s">
        <v>0</v>
      </c>
      <c r="B33" s="50" t="s">
        <v>0</v>
      </c>
      <c r="C33" s="50" t="s">
        <v>85</v>
      </c>
      <c r="D33" s="50" t="s">
        <v>0</v>
      </c>
      <c r="E33" s="71"/>
      <c r="F33" s="51"/>
      <c r="G33" s="51"/>
      <c r="H33" s="51"/>
      <c r="I33" s="52"/>
      <c r="J33" s="52"/>
      <c r="K33" s="53"/>
    </row>
    <row r="34" spans="1:11" ht="14.25">
      <c r="A34" s="49" t="s">
        <v>594</v>
      </c>
      <c r="B34" s="50" t="s">
        <v>87</v>
      </c>
      <c r="C34" s="50" t="s">
        <v>88</v>
      </c>
      <c r="D34" s="50" t="s">
        <v>5</v>
      </c>
      <c r="E34" s="71">
        <f>7.51276</f>
        <v>7.51276</v>
      </c>
      <c r="F34" s="51">
        <f>'Phan tich don gia'!G155</f>
        <v>133090.898</v>
      </c>
      <c r="G34" s="51">
        <f>'Phan tich don gia'!G157</f>
        <v>8501.95288</v>
      </c>
      <c r="H34" s="51">
        <f>'Phan tich don gia'!G159</f>
        <v>7375.98602</v>
      </c>
      <c r="I34" s="52">
        <f>E34*F34</f>
        <v>999879.9748584799</v>
      </c>
      <c r="J34" s="52">
        <f>E34*G34</f>
        <v>63873.13151874881</v>
      </c>
      <c r="K34" s="53">
        <f>E34*H34</f>
        <v>55414.0127316152</v>
      </c>
    </row>
    <row r="35" spans="1:11" ht="14.25">
      <c r="A35" s="49" t="s">
        <v>0</v>
      </c>
      <c r="B35" s="50" t="s">
        <v>0</v>
      </c>
      <c r="C35" s="50" t="s">
        <v>14</v>
      </c>
      <c r="D35" s="50" t="s">
        <v>0</v>
      </c>
      <c r="E35" s="71"/>
      <c r="F35" s="51"/>
      <c r="G35" s="51"/>
      <c r="H35" s="51"/>
      <c r="I35" s="52"/>
      <c r="J35" s="52"/>
      <c r="K35" s="53"/>
    </row>
    <row r="36" spans="1:11" ht="14.25">
      <c r="A36" s="49" t="s">
        <v>593</v>
      </c>
      <c r="B36" s="50" t="s">
        <v>91</v>
      </c>
      <c r="C36" s="50" t="s">
        <v>854</v>
      </c>
      <c r="D36" s="50" t="s">
        <v>5</v>
      </c>
      <c r="E36" s="191">
        <v>3.672</v>
      </c>
      <c r="F36" s="51">
        <f>'Phan tich don gia'!G164</f>
        <v>781661.01963</v>
      </c>
      <c r="G36" s="51">
        <f>'Phan tich don gia'!G170</f>
        <v>274450.057</v>
      </c>
      <c r="H36" s="51">
        <f>'Phan tich don gia'!G172</f>
        <v>54409.0095</v>
      </c>
      <c r="I36" s="52">
        <f>E36*F36</f>
        <v>2870259.2640813603</v>
      </c>
      <c r="J36" s="52">
        <f>E36*G36</f>
        <v>1007780.6093039999</v>
      </c>
      <c r="K36" s="53">
        <f>E36*H36</f>
        <v>199789.88288400002</v>
      </c>
    </row>
    <row r="37" spans="1:11" ht="14.25">
      <c r="A37" s="49" t="s">
        <v>539</v>
      </c>
      <c r="B37" s="50" t="s">
        <v>94</v>
      </c>
      <c r="C37" s="50" t="s">
        <v>95</v>
      </c>
      <c r="D37" s="50" t="s">
        <v>38</v>
      </c>
      <c r="E37" s="191">
        <v>18.23</v>
      </c>
      <c r="F37" s="51">
        <f>'Phan tich don gia'!G177</f>
        <v>116131.03461</v>
      </c>
      <c r="G37" s="51">
        <f>'Phan tich don gia'!G185</f>
        <v>131409.456</v>
      </c>
      <c r="H37" s="51">
        <f>'Phan tich don gia'!G187</f>
        <v>5563.46</v>
      </c>
      <c r="I37" s="52">
        <f>E37*F37</f>
        <v>2117068.7609403003</v>
      </c>
      <c r="J37" s="52">
        <f>E37*G37</f>
        <v>2395594.38288</v>
      </c>
      <c r="K37" s="53">
        <f>E37*H37</f>
        <v>101421.87580000001</v>
      </c>
    </row>
    <row r="38" spans="1:11" ht="14.25">
      <c r="A38" s="49" t="s">
        <v>592</v>
      </c>
      <c r="B38" s="50" t="s">
        <v>102</v>
      </c>
      <c r="C38" s="50" t="s">
        <v>103</v>
      </c>
      <c r="D38" s="50" t="s">
        <v>104</v>
      </c>
      <c r="E38" s="71">
        <f>45.72</f>
        <v>45.72</v>
      </c>
      <c r="F38" s="51">
        <f>'Phan tich don gia'!G192</f>
        <v>2406.6293</v>
      </c>
      <c r="G38" s="51">
        <f>'Phan tich don gia'!G197</f>
        <v>32852.364</v>
      </c>
      <c r="H38" s="51"/>
      <c r="I38" s="52">
        <f>E38*F38</f>
        <v>110031.091596</v>
      </c>
      <c r="J38" s="52">
        <f>E38*G38</f>
        <v>1502010.08208</v>
      </c>
      <c r="K38" s="53">
        <f>E38*H38</f>
        <v>0</v>
      </c>
    </row>
    <row r="39" spans="1:11" ht="14.25">
      <c r="A39" s="49" t="s">
        <v>0</v>
      </c>
      <c r="B39" s="50" t="s">
        <v>0</v>
      </c>
      <c r="C39" s="50" t="s">
        <v>591</v>
      </c>
      <c r="D39" s="50" t="s">
        <v>0</v>
      </c>
      <c r="E39" s="71"/>
      <c r="F39" s="51"/>
      <c r="G39" s="51"/>
      <c r="H39" s="51"/>
      <c r="I39" s="52"/>
      <c r="J39" s="52"/>
      <c r="K39" s="53"/>
    </row>
    <row r="40" spans="1:11" ht="14.25">
      <c r="A40" s="49" t="s">
        <v>590</v>
      </c>
      <c r="B40" s="50" t="s">
        <v>49</v>
      </c>
      <c r="C40" s="50" t="s">
        <v>108</v>
      </c>
      <c r="D40" s="50" t="s">
        <v>5</v>
      </c>
      <c r="E40" s="71">
        <f>3.1932</f>
        <v>3.1932</v>
      </c>
      <c r="F40" s="51">
        <f>'Phan tich don gia'!G71</f>
        <v>1066786.8731</v>
      </c>
      <c r="G40" s="51">
        <f>'Phan tich don gia'!G77</f>
        <v>794430</v>
      </c>
      <c r="H40" s="51">
        <f>'Phan tich don gia'!G79</f>
        <v>79769.1195</v>
      </c>
      <c r="I40" s="52">
        <f>E40*F40</f>
        <v>3406463.84318292</v>
      </c>
      <c r="J40" s="52">
        <f>E40*G40</f>
        <v>2536773.876</v>
      </c>
      <c r="K40" s="53">
        <f>E40*H40</f>
        <v>254718.75238740002</v>
      </c>
    </row>
    <row r="41" spans="1:11" ht="14.25">
      <c r="A41" s="49" t="s">
        <v>0</v>
      </c>
      <c r="B41" s="50" t="s">
        <v>0</v>
      </c>
      <c r="C41" s="50" t="s">
        <v>109</v>
      </c>
      <c r="D41" s="50" t="s">
        <v>0</v>
      </c>
      <c r="E41" s="71"/>
      <c r="F41" s="51"/>
      <c r="G41" s="51"/>
      <c r="H41" s="51"/>
      <c r="I41" s="52"/>
      <c r="J41" s="52"/>
      <c r="K41" s="53"/>
    </row>
    <row r="42" spans="1:11" ht="14.25">
      <c r="A42" s="49" t="s">
        <v>589</v>
      </c>
      <c r="B42" s="50" t="s">
        <v>111</v>
      </c>
      <c r="C42" s="50" t="s">
        <v>112</v>
      </c>
      <c r="D42" s="50" t="s">
        <v>38</v>
      </c>
      <c r="E42" s="71">
        <f>61.9836</f>
        <v>61.9836</v>
      </c>
      <c r="F42" s="51">
        <f>'Phan tich don gia'!G201</f>
        <v>76038.35978</v>
      </c>
      <c r="G42" s="51">
        <f>'Phan tich don gia'!G207</f>
        <v>139088.3</v>
      </c>
      <c r="H42" s="51"/>
      <c r="I42" s="52">
        <f>E42*F42</f>
        <v>4713131.277259608</v>
      </c>
      <c r="J42" s="52">
        <f>E42*G42</f>
        <v>8621193.55188</v>
      </c>
      <c r="K42" s="53">
        <f>E42*H42</f>
        <v>0</v>
      </c>
    </row>
    <row r="43" spans="1:11" ht="14.25">
      <c r="A43" s="49" t="s">
        <v>588</v>
      </c>
      <c r="B43" s="50" t="s">
        <v>114</v>
      </c>
      <c r="C43" s="50" t="s">
        <v>115</v>
      </c>
      <c r="D43" s="50" t="s">
        <v>38</v>
      </c>
      <c r="E43" s="71">
        <f>61.983</f>
        <v>61.983</v>
      </c>
      <c r="F43" s="51">
        <f>'Phan tich don gia'!G212</f>
        <v>15903.53387</v>
      </c>
      <c r="G43" s="51">
        <f>'Phan tich don gia'!G217</f>
        <v>142360.244</v>
      </c>
      <c r="H43" s="51">
        <f>'Phan tich don gia'!G219</f>
        <v>878.8458</v>
      </c>
      <c r="I43" s="52">
        <f>E43*F43</f>
        <v>985748.7398642099</v>
      </c>
      <c r="J43" s="52">
        <f>E43*G43</f>
        <v>8823915.003852</v>
      </c>
      <c r="K43" s="53">
        <f>E43*H43</f>
        <v>54473.4992214</v>
      </c>
    </row>
    <row r="44" spans="1:11" ht="14.25">
      <c r="A44" s="49" t="s">
        <v>0</v>
      </c>
      <c r="B44" s="50" t="s">
        <v>0</v>
      </c>
      <c r="C44" s="50" t="s">
        <v>587</v>
      </c>
      <c r="D44" s="50" t="s">
        <v>0</v>
      </c>
      <c r="E44" s="71"/>
      <c r="F44" s="51"/>
      <c r="G44" s="51"/>
      <c r="H44" s="51"/>
      <c r="I44" s="52"/>
      <c r="J44" s="52"/>
      <c r="K44" s="53"/>
    </row>
    <row r="45" spans="1:11" ht="14.25">
      <c r="A45" s="49" t="s">
        <v>586</v>
      </c>
      <c r="B45" s="50" t="s">
        <v>119</v>
      </c>
      <c r="C45" s="50" t="s">
        <v>120</v>
      </c>
      <c r="D45" s="50" t="s">
        <v>73</v>
      </c>
      <c r="E45" s="71">
        <f>0.04664</f>
        <v>0.04664</v>
      </c>
      <c r="F45" s="51">
        <f>'Phan tich don gia'!G224</f>
        <v>16740621.387</v>
      </c>
      <c r="G45" s="51">
        <f>'Phan tich don gia'!G227</f>
        <v>3566108</v>
      </c>
      <c r="H45" s="51">
        <f>'Phan tich don gia'!G229</f>
        <v>111746.08</v>
      </c>
      <c r="I45" s="52">
        <f>E45*F45</f>
        <v>780782.58148968</v>
      </c>
      <c r="J45" s="52">
        <f>E45*G45</f>
        <v>166323.27712</v>
      </c>
      <c r="K45" s="53">
        <f>E45*H45</f>
        <v>5211.8371712</v>
      </c>
    </row>
    <row r="46" spans="1:11" ht="14.25">
      <c r="A46" s="49" t="s">
        <v>0</v>
      </c>
      <c r="B46" s="50" t="s">
        <v>0</v>
      </c>
      <c r="C46" s="50" t="s">
        <v>121</v>
      </c>
      <c r="D46" s="50" t="s">
        <v>0</v>
      </c>
      <c r="E46" s="71"/>
      <c r="F46" s="51"/>
      <c r="G46" s="51"/>
      <c r="H46" s="51"/>
      <c r="I46" s="52"/>
      <c r="J46" s="52"/>
      <c r="K46" s="53"/>
    </row>
    <row r="47" spans="1:11" ht="14.25">
      <c r="A47" s="49" t="s">
        <v>585</v>
      </c>
      <c r="B47" s="50" t="s">
        <v>123</v>
      </c>
      <c r="C47" s="50" t="s">
        <v>120</v>
      </c>
      <c r="D47" s="50" t="s">
        <v>73</v>
      </c>
      <c r="E47" s="71">
        <f>0.648</f>
        <v>0.648</v>
      </c>
      <c r="F47" s="51">
        <f>'Phan tich don gia'!G234</f>
        <v>16708179.71172</v>
      </c>
      <c r="G47" s="51">
        <f>'Phan tich don gia'!G238</f>
        <v>2325284</v>
      </c>
      <c r="H47" s="51">
        <f>'Phan tich don gia'!G240</f>
        <v>564322.092</v>
      </c>
      <c r="I47" s="52">
        <f>E47*F47</f>
        <v>10826900.45319456</v>
      </c>
      <c r="J47" s="52">
        <f>E47*G47</f>
        <v>1506784.0320000001</v>
      </c>
      <c r="K47" s="53">
        <f>E47*H47</f>
        <v>365680.715616</v>
      </c>
    </row>
    <row r="48" spans="1:11" ht="14.25">
      <c r="A48" s="49" t="s">
        <v>0</v>
      </c>
      <c r="B48" s="50" t="s">
        <v>0</v>
      </c>
      <c r="C48" s="50" t="s">
        <v>124</v>
      </c>
      <c r="D48" s="50" t="s">
        <v>0</v>
      </c>
      <c r="E48" s="71"/>
      <c r="F48" s="51"/>
      <c r="G48" s="51"/>
      <c r="H48" s="51"/>
      <c r="I48" s="52"/>
      <c r="J48" s="52"/>
      <c r="K48" s="53"/>
    </row>
    <row r="49" spans="1:11" ht="14.25">
      <c r="A49" s="49" t="s">
        <v>584</v>
      </c>
      <c r="B49" s="50" t="s">
        <v>64</v>
      </c>
      <c r="C49" s="50" t="s">
        <v>126</v>
      </c>
      <c r="D49" s="50" t="s">
        <v>5</v>
      </c>
      <c r="E49" s="71">
        <f>7.7508</f>
        <v>7.7508</v>
      </c>
      <c r="F49" s="51">
        <f>'Phan tich don gia'!G109</f>
        <v>1026147.37317</v>
      </c>
      <c r="G49" s="51">
        <f>'Phan tich don gia'!G115</f>
        <v>673374</v>
      </c>
      <c r="H49" s="51">
        <f>'Phan tich don gia'!G117</f>
        <v>79769.1195</v>
      </c>
      <c r="I49" s="52">
        <f>E49*F49</f>
        <v>7953463.059966036</v>
      </c>
      <c r="J49" s="52">
        <f>E49*G49</f>
        <v>5219187.1992</v>
      </c>
      <c r="K49" s="53">
        <f>E49*H49</f>
        <v>618274.4914206</v>
      </c>
    </row>
    <row r="50" spans="1:11" ht="14.25">
      <c r="A50" s="49" t="s">
        <v>0</v>
      </c>
      <c r="B50" s="50" t="s">
        <v>0</v>
      </c>
      <c r="C50" s="50" t="s">
        <v>66</v>
      </c>
      <c r="D50" s="50" t="s">
        <v>0</v>
      </c>
      <c r="E50" s="71"/>
      <c r="F50" s="51"/>
      <c r="G50" s="51"/>
      <c r="H50" s="51"/>
      <c r="I50" s="52"/>
      <c r="J50" s="52"/>
      <c r="K50" s="53"/>
    </row>
    <row r="51" spans="1:11" ht="14.25">
      <c r="A51" s="49" t="s">
        <v>583</v>
      </c>
      <c r="B51" s="50" t="s">
        <v>68</v>
      </c>
      <c r="C51" s="50" t="s">
        <v>128</v>
      </c>
      <c r="D51" s="50" t="s">
        <v>38</v>
      </c>
      <c r="E51" s="71">
        <f>77.508</f>
        <v>77.508</v>
      </c>
      <c r="F51" s="51">
        <f>'Phan tich don gia'!G122</f>
        <v>82902.47192</v>
      </c>
      <c r="G51" s="51">
        <f>'Phan tich don gia'!G128</f>
        <v>69355</v>
      </c>
      <c r="H51" s="51"/>
      <c r="I51" s="52">
        <f>E51*F51</f>
        <v>6425604.7935753595</v>
      </c>
      <c r="J51" s="52">
        <f>E51*G51</f>
        <v>5375567.34</v>
      </c>
      <c r="K51" s="53">
        <f>E51*H51</f>
        <v>0</v>
      </c>
    </row>
    <row r="52" spans="1:11" ht="14.25">
      <c r="A52" s="49" t="s">
        <v>582</v>
      </c>
      <c r="B52" s="50" t="s">
        <v>130</v>
      </c>
      <c r="C52" s="50" t="s">
        <v>131</v>
      </c>
      <c r="D52" s="50" t="s">
        <v>38</v>
      </c>
      <c r="E52" s="71">
        <f>77.508</f>
        <v>77.508</v>
      </c>
      <c r="F52" s="51">
        <f>'Phan tich don gia'!G246</f>
        <v>19879.41734</v>
      </c>
      <c r="G52" s="51">
        <f>'Phan tich don gia'!G251</f>
        <v>105401.3345</v>
      </c>
      <c r="H52" s="51">
        <f>'Phan tich don gia'!G253</f>
        <v>878.8458</v>
      </c>
      <c r="I52" s="52">
        <f>E52*F52</f>
        <v>1540813.87918872</v>
      </c>
      <c r="J52" s="52">
        <f>E52*G52</f>
        <v>8169446.634426</v>
      </c>
      <c r="K52" s="53">
        <f>E52*H52</f>
        <v>68117.58026640001</v>
      </c>
    </row>
    <row r="53" spans="1:11" ht="14.25">
      <c r="A53" s="49" t="s">
        <v>0</v>
      </c>
      <c r="B53" s="50" t="s">
        <v>0</v>
      </c>
      <c r="C53" s="50" t="s">
        <v>581</v>
      </c>
      <c r="D53" s="50" t="s">
        <v>0</v>
      </c>
      <c r="E53" s="71"/>
      <c r="F53" s="51"/>
      <c r="G53" s="51"/>
      <c r="H53" s="51"/>
      <c r="I53" s="52"/>
      <c r="J53" s="52"/>
      <c r="K53" s="53"/>
    </row>
    <row r="54" spans="1:11" ht="14.25">
      <c r="A54" s="49" t="s">
        <v>580</v>
      </c>
      <c r="B54" s="50" t="s">
        <v>133</v>
      </c>
      <c r="C54" s="50" t="s">
        <v>134</v>
      </c>
      <c r="D54" s="50" t="s">
        <v>73</v>
      </c>
      <c r="E54" s="71">
        <f>0.19809</f>
        <v>0.19809</v>
      </c>
      <c r="F54" s="51">
        <f>'Phan tich don gia'!G258</f>
        <v>16740621.387</v>
      </c>
      <c r="G54" s="51">
        <f>'Phan tich don gia'!G261</f>
        <v>3881358</v>
      </c>
      <c r="H54" s="51">
        <f>'Phan tich don gia'!G263</f>
        <v>111746.08</v>
      </c>
      <c r="I54" s="52">
        <f>E54*F54</f>
        <v>3316149.6905508297</v>
      </c>
      <c r="J54" s="52">
        <f>E54*G54</f>
        <v>768858.2062199999</v>
      </c>
      <c r="K54" s="53">
        <f>E54*H54</f>
        <v>22135.7809872</v>
      </c>
    </row>
    <row r="55" spans="1:11" ht="14.25">
      <c r="A55" s="49" t="s">
        <v>0</v>
      </c>
      <c r="B55" s="50" t="s">
        <v>0</v>
      </c>
      <c r="C55" s="50" t="s">
        <v>135</v>
      </c>
      <c r="D55" s="50" t="s">
        <v>0</v>
      </c>
      <c r="E55" s="71"/>
      <c r="F55" s="51"/>
      <c r="G55" s="51"/>
      <c r="H55" s="51"/>
      <c r="I55" s="52"/>
      <c r="J55" s="52"/>
      <c r="K55" s="53"/>
    </row>
    <row r="56" spans="1:11" ht="14.25">
      <c r="A56" s="49" t="s">
        <v>579</v>
      </c>
      <c r="B56" s="50" t="s">
        <v>137</v>
      </c>
      <c r="C56" s="50" t="s">
        <v>134</v>
      </c>
      <c r="D56" s="50" t="s">
        <v>73</v>
      </c>
      <c r="E56" s="71">
        <f>1.81773</f>
        <v>1.81773</v>
      </c>
      <c r="F56" s="51">
        <f>'Phan tich don gia'!G268</f>
        <v>16705997.89354</v>
      </c>
      <c r="G56" s="51">
        <f>'Phan tich don gia'!G272</f>
        <v>2330328</v>
      </c>
      <c r="H56" s="51">
        <f>'Phan tich don gia'!G274</f>
        <v>553267.7979</v>
      </c>
      <c r="I56" s="52">
        <f>E56*F56</f>
        <v>30366993.551024467</v>
      </c>
      <c r="J56" s="52">
        <f>E56*G56</f>
        <v>4235907.11544</v>
      </c>
      <c r="K56" s="53">
        <f>E56*H56</f>
        <v>1005691.474276767</v>
      </c>
    </row>
    <row r="57" spans="1:11" ht="14.25">
      <c r="A57" s="49" t="s">
        <v>0</v>
      </c>
      <c r="B57" s="50" t="s">
        <v>0</v>
      </c>
      <c r="C57" s="50" t="s">
        <v>138</v>
      </c>
      <c r="D57" s="50" t="s">
        <v>0</v>
      </c>
      <c r="E57" s="71"/>
      <c r="F57" s="51"/>
      <c r="G57" s="51"/>
      <c r="H57" s="51"/>
      <c r="I57" s="52"/>
      <c r="J57" s="52"/>
      <c r="K57" s="53"/>
    </row>
    <row r="58" spans="1:11" ht="14.25">
      <c r="A58" s="49" t="s">
        <v>578</v>
      </c>
      <c r="B58" s="50" t="s">
        <v>140</v>
      </c>
      <c r="C58" s="50" t="s">
        <v>141</v>
      </c>
      <c r="D58" s="50" t="s">
        <v>5</v>
      </c>
      <c r="E58" s="71">
        <f>11.97606</f>
        <v>11.97606</v>
      </c>
      <c r="F58" s="51">
        <f>'Phan tich don gia'!G280</f>
        <v>1026147.37317</v>
      </c>
      <c r="G58" s="51">
        <f>'Phan tich don gia'!G286</f>
        <v>469092</v>
      </c>
      <c r="H58" s="51">
        <f>'Phan tich don gia'!G288</f>
        <v>54756.7503</v>
      </c>
      <c r="I58" s="52">
        <f>E58*F58</f>
        <v>12289202.509926312</v>
      </c>
      <c r="J58" s="52">
        <f>E58*G58</f>
        <v>5617873.93752</v>
      </c>
      <c r="K58" s="53">
        <f>E58*H58</f>
        <v>655770.126997818</v>
      </c>
    </row>
    <row r="59" spans="1:11" ht="14.25">
      <c r="A59" s="49" t="s">
        <v>0</v>
      </c>
      <c r="B59" s="50" t="s">
        <v>0</v>
      </c>
      <c r="C59" s="50" t="s">
        <v>66</v>
      </c>
      <c r="D59" s="50" t="s">
        <v>0</v>
      </c>
      <c r="E59" s="71"/>
      <c r="F59" s="51"/>
      <c r="G59" s="51"/>
      <c r="H59" s="51"/>
      <c r="I59" s="52"/>
      <c r="J59" s="52"/>
      <c r="K59" s="53"/>
    </row>
    <row r="60" spans="1:11" ht="14.25">
      <c r="A60" s="49" t="s">
        <v>577</v>
      </c>
      <c r="B60" s="50" t="s">
        <v>143</v>
      </c>
      <c r="C60" s="50" t="s">
        <v>144</v>
      </c>
      <c r="D60" s="50" t="s">
        <v>38</v>
      </c>
      <c r="E60" s="71">
        <f>139.242</f>
        <v>139.242</v>
      </c>
      <c r="F60" s="51">
        <f>'Phan tich don gia'!G293</f>
        <v>66676.86171</v>
      </c>
      <c r="G60" s="51">
        <f>'Phan tich don gia'!G299</f>
        <v>67967.9</v>
      </c>
      <c r="H60" s="51"/>
      <c r="I60" s="52">
        <f>E60*F60</f>
        <v>9284219.578223819</v>
      </c>
      <c r="J60" s="52">
        <f>E60*G60</f>
        <v>9463986.331799999</v>
      </c>
      <c r="K60" s="53">
        <f>E60*H60</f>
        <v>0</v>
      </c>
    </row>
    <row r="61" spans="1:11" ht="14.25">
      <c r="A61" s="49" t="s">
        <v>576</v>
      </c>
      <c r="B61" s="50" t="s">
        <v>146</v>
      </c>
      <c r="C61" s="50" t="s">
        <v>147</v>
      </c>
      <c r="D61" s="50" t="s">
        <v>38</v>
      </c>
      <c r="E61" s="71">
        <f>132.858</f>
        <v>132.858</v>
      </c>
      <c r="F61" s="51">
        <f>'Phan tich don gia'!G304</f>
        <v>19879.41734</v>
      </c>
      <c r="G61" s="51">
        <f>'Phan tich don gia'!G309</f>
        <v>150573.335</v>
      </c>
      <c r="H61" s="51">
        <f>'Phan tich don gia'!G311</f>
        <v>878.8458</v>
      </c>
      <c r="I61" s="52">
        <f>E61*F61</f>
        <v>2641139.62895772</v>
      </c>
      <c r="J61" s="52">
        <f>E61*G61</f>
        <v>20004872.141429998</v>
      </c>
      <c r="K61" s="53">
        <f>E61*H61</f>
        <v>116761.69529640001</v>
      </c>
    </row>
    <row r="62" spans="1:11" ht="14.25">
      <c r="A62" s="49" t="s">
        <v>0</v>
      </c>
      <c r="B62" s="50" t="s">
        <v>0</v>
      </c>
      <c r="C62" s="50" t="s">
        <v>575</v>
      </c>
      <c r="D62" s="50" t="s">
        <v>0</v>
      </c>
      <c r="E62" s="71"/>
      <c r="F62" s="51"/>
      <c r="G62" s="51"/>
      <c r="H62" s="51"/>
      <c r="I62" s="52"/>
      <c r="J62" s="52"/>
      <c r="K62" s="53"/>
    </row>
    <row r="63" spans="1:11" ht="14.25">
      <c r="A63" s="49" t="s">
        <v>574</v>
      </c>
      <c r="B63" s="50" t="s">
        <v>149</v>
      </c>
      <c r="C63" s="50" t="s">
        <v>150</v>
      </c>
      <c r="D63" s="50" t="s">
        <v>73</v>
      </c>
      <c r="E63" s="71">
        <f>1.565</f>
        <v>1.565</v>
      </c>
      <c r="F63" s="51">
        <f>'Phan tich don gia'!G316</f>
        <v>16740621.387</v>
      </c>
      <c r="G63" s="51">
        <f>'Phan tich don gia'!G319</f>
        <v>3505580</v>
      </c>
      <c r="H63" s="51">
        <f>'Phan tich don gia'!G321</f>
        <v>113981.0016</v>
      </c>
      <c r="I63" s="52">
        <f>E63*F63</f>
        <v>26199072.470654998</v>
      </c>
      <c r="J63" s="52">
        <f>E63*G63</f>
        <v>5486232.7</v>
      </c>
      <c r="K63" s="53">
        <f>E63*H63</f>
        <v>178380.267504</v>
      </c>
    </row>
    <row r="64" spans="1:11" ht="14.25">
      <c r="A64" s="49" t="s">
        <v>0</v>
      </c>
      <c r="B64" s="50" t="s">
        <v>0</v>
      </c>
      <c r="C64" s="50" t="s">
        <v>151</v>
      </c>
      <c r="D64" s="50" t="s">
        <v>0</v>
      </c>
      <c r="E64" s="71"/>
      <c r="F64" s="51"/>
      <c r="G64" s="51"/>
      <c r="H64" s="51"/>
      <c r="I64" s="52"/>
      <c r="J64" s="52"/>
      <c r="K64" s="53"/>
    </row>
    <row r="65" spans="1:11" ht="14.25">
      <c r="A65" s="49" t="s">
        <v>573</v>
      </c>
      <c r="B65" s="50" t="s">
        <v>153</v>
      </c>
      <c r="C65" s="50" t="s">
        <v>154</v>
      </c>
      <c r="D65" s="50" t="s">
        <v>5</v>
      </c>
      <c r="E65" s="71">
        <f>1.82376</f>
        <v>1.82376</v>
      </c>
      <c r="F65" s="51">
        <f>'Phan tich don gia'!G327</f>
        <v>1026147.37317</v>
      </c>
      <c r="G65" s="51">
        <f>'Phan tich don gia'!G333</f>
        <v>670852</v>
      </c>
      <c r="H65" s="51">
        <f>'Phan tich don gia'!G335</f>
        <v>54756.7503</v>
      </c>
      <c r="I65" s="52">
        <f>E65*F65</f>
        <v>1871446.5332925194</v>
      </c>
      <c r="J65" s="52">
        <f>E65*G65</f>
        <v>1223473.04352</v>
      </c>
      <c r="K65" s="53">
        <f>E65*H65</f>
        <v>99863.170927128</v>
      </c>
    </row>
    <row r="66" spans="1:11" ht="14.25">
      <c r="A66" s="49" t="s">
        <v>0</v>
      </c>
      <c r="B66" s="50" t="s">
        <v>0</v>
      </c>
      <c r="C66" s="50" t="s">
        <v>155</v>
      </c>
      <c r="D66" s="50" t="s">
        <v>0</v>
      </c>
      <c r="E66" s="71"/>
      <c r="F66" s="51"/>
      <c r="G66" s="51"/>
      <c r="H66" s="51"/>
      <c r="I66" s="52"/>
      <c r="J66" s="52"/>
      <c r="K66" s="53"/>
    </row>
    <row r="67" spans="1:11" ht="14.25">
      <c r="A67" s="49" t="s">
        <v>572</v>
      </c>
      <c r="B67" s="50" t="s">
        <v>157</v>
      </c>
      <c r="C67" s="50" t="s">
        <v>158</v>
      </c>
      <c r="D67" s="50" t="s">
        <v>38</v>
      </c>
      <c r="E67" s="71">
        <f>48.456</f>
        <v>48.456</v>
      </c>
      <c r="F67" s="51">
        <f>'Phan tich don gia'!G341</f>
        <v>66676.86171</v>
      </c>
      <c r="G67" s="51">
        <f>'Phan tich don gia'!G347</f>
        <v>71801.34</v>
      </c>
      <c r="H67" s="51"/>
      <c r="I67" s="52">
        <f>E67*F67</f>
        <v>3230894.0110197603</v>
      </c>
      <c r="J67" s="52">
        <f>E67*G67</f>
        <v>3479205.73104</v>
      </c>
      <c r="K67" s="53">
        <f>E67*H67</f>
        <v>0</v>
      </c>
    </row>
    <row r="68" spans="1:11" ht="14.25">
      <c r="A68" s="49" t="s">
        <v>0</v>
      </c>
      <c r="B68" s="50" t="s">
        <v>0</v>
      </c>
      <c r="C68" s="50" t="s">
        <v>159</v>
      </c>
      <c r="D68" s="50" t="s">
        <v>0</v>
      </c>
      <c r="E68" s="71"/>
      <c r="F68" s="51"/>
      <c r="G68" s="51"/>
      <c r="H68" s="51"/>
      <c r="I68" s="52"/>
      <c r="J68" s="52"/>
      <c r="K68" s="53"/>
    </row>
    <row r="69" spans="1:11" ht="14.25">
      <c r="A69" s="49" t="s">
        <v>571</v>
      </c>
      <c r="B69" s="50" t="s">
        <v>161</v>
      </c>
      <c r="C69" s="50" t="s">
        <v>162</v>
      </c>
      <c r="D69" s="50" t="s">
        <v>73</v>
      </c>
      <c r="E69" s="71">
        <f>0.06671</f>
        <v>0.06671</v>
      </c>
      <c r="F69" s="51">
        <f>'Phan tich don gia'!G352</f>
        <v>16740621.387</v>
      </c>
      <c r="G69" s="51">
        <f>'Phan tich don gia'!G355</f>
        <v>4655612</v>
      </c>
      <c r="H69" s="51">
        <f>'Phan tich don gia'!G357</f>
        <v>111746.08</v>
      </c>
      <c r="I69" s="52">
        <f>E69*F69</f>
        <v>1116766.85272677</v>
      </c>
      <c r="J69" s="52">
        <f>E69*G69</f>
        <v>310575.87652000005</v>
      </c>
      <c r="K69" s="53">
        <f>E69*H69</f>
        <v>7454.5809968</v>
      </c>
    </row>
    <row r="70" spans="1:11" ht="14.25">
      <c r="A70" s="49" t="s">
        <v>0</v>
      </c>
      <c r="B70" s="50" t="s">
        <v>0</v>
      </c>
      <c r="C70" s="50" t="s">
        <v>135</v>
      </c>
      <c r="D70" s="50" t="s">
        <v>0</v>
      </c>
      <c r="E70" s="71"/>
      <c r="F70" s="51"/>
      <c r="G70" s="51"/>
      <c r="H70" s="51"/>
      <c r="I70" s="52"/>
      <c r="J70" s="52"/>
      <c r="K70" s="53"/>
    </row>
    <row r="71" spans="1:11" ht="14.25">
      <c r="A71" s="49" t="s">
        <v>570</v>
      </c>
      <c r="B71" s="50" t="s">
        <v>164</v>
      </c>
      <c r="C71" s="50" t="s">
        <v>162</v>
      </c>
      <c r="D71" s="50" t="s">
        <v>73</v>
      </c>
      <c r="E71" s="71">
        <f>0.16197</f>
        <v>0.16197</v>
      </c>
      <c r="F71" s="51">
        <f>'Phan tich don gia'!G362</f>
        <v>16704488.80263</v>
      </c>
      <c r="G71" s="51">
        <f>'Phan tich don gia'!G366</f>
        <v>3954496</v>
      </c>
      <c r="H71" s="51">
        <f>'Phan tich don gia'!G368</f>
        <v>549173.6149</v>
      </c>
      <c r="I71" s="52">
        <f>E71*F71</f>
        <v>2705626.0513619813</v>
      </c>
      <c r="J71" s="52">
        <f>E71*G71</f>
        <v>640509.71712</v>
      </c>
      <c r="K71" s="53">
        <f>E71*H71</f>
        <v>88949.65040535301</v>
      </c>
    </row>
    <row r="72" spans="1:11" ht="14.25">
      <c r="A72" s="49" t="s">
        <v>0</v>
      </c>
      <c r="B72" s="50" t="s">
        <v>0</v>
      </c>
      <c r="C72" s="50" t="s">
        <v>165</v>
      </c>
      <c r="D72" s="50" t="s">
        <v>0</v>
      </c>
      <c r="E72" s="71"/>
      <c r="F72" s="51"/>
      <c r="G72" s="51"/>
      <c r="H72" s="51"/>
      <c r="I72" s="52"/>
      <c r="J72" s="52"/>
      <c r="K72" s="53"/>
    </row>
    <row r="73" spans="1:11" ht="14.25">
      <c r="A73" s="49" t="s">
        <v>569</v>
      </c>
      <c r="B73" s="50" t="s">
        <v>168</v>
      </c>
      <c r="C73" s="50" t="s">
        <v>169</v>
      </c>
      <c r="D73" s="50" t="s">
        <v>38</v>
      </c>
      <c r="E73" s="71">
        <f>71.904</f>
        <v>71.904</v>
      </c>
      <c r="F73" s="51">
        <f>'Phan tich don gia'!G374</f>
        <v>10707.85201</v>
      </c>
      <c r="G73" s="51">
        <f>'Phan tich don gia'!G379</f>
        <v>65704.728</v>
      </c>
      <c r="H73" s="51"/>
      <c r="I73" s="52">
        <f>E73*F73</f>
        <v>769937.39092704</v>
      </c>
      <c r="J73" s="52">
        <f>E73*G73</f>
        <v>4724432.762112</v>
      </c>
      <c r="K73" s="53">
        <f>E73*H73</f>
        <v>0</v>
      </c>
    </row>
    <row r="74" spans="1:11" ht="14.25">
      <c r="A74" s="49" t="s">
        <v>0</v>
      </c>
      <c r="B74" s="50" t="s">
        <v>0</v>
      </c>
      <c r="C74" s="50" t="s">
        <v>568</v>
      </c>
      <c r="D74" s="50" t="s">
        <v>0</v>
      </c>
      <c r="E74" s="71"/>
      <c r="F74" s="51"/>
      <c r="G74" s="51"/>
      <c r="H74" s="51"/>
      <c r="I74" s="52"/>
      <c r="J74" s="52"/>
      <c r="K74" s="53"/>
    </row>
    <row r="75" spans="1:11" ht="14.25">
      <c r="A75" s="49" t="s">
        <v>567</v>
      </c>
      <c r="B75" s="50" t="s">
        <v>171</v>
      </c>
      <c r="C75" s="50" t="s">
        <v>172</v>
      </c>
      <c r="D75" s="50" t="s">
        <v>104</v>
      </c>
      <c r="E75" s="71">
        <f>43.2</f>
        <v>43.2</v>
      </c>
      <c r="F75" s="51">
        <f>'Phan tich don gia'!G383</f>
        <v>12539.78353</v>
      </c>
      <c r="G75" s="51">
        <f>'Phan tich don gia'!G388</f>
        <v>125535.852</v>
      </c>
      <c r="H75" s="51"/>
      <c r="I75" s="52">
        <f>E75*F75</f>
        <v>541718.6484960001</v>
      </c>
      <c r="J75" s="52">
        <f>E75*G75</f>
        <v>5423148.8064</v>
      </c>
      <c r="K75" s="53">
        <f>E75*H75</f>
        <v>0</v>
      </c>
    </row>
    <row r="76" spans="1:11" ht="14.25">
      <c r="A76" s="49" t="s">
        <v>0</v>
      </c>
      <c r="B76" s="50" t="s">
        <v>0</v>
      </c>
      <c r="C76" s="50" t="s">
        <v>566</v>
      </c>
      <c r="D76" s="50" t="s">
        <v>0</v>
      </c>
      <c r="E76" s="71"/>
      <c r="F76" s="51"/>
      <c r="G76" s="51"/>
      <c r="H76" s="51"/>
      <c r="I76" s="52"/>
      <c r="J76" s="52"/>
      <c r="K76" s="53"/>
    </row>
    <row r="77" spans="1:11" ht="14.25">
      <c r="A77" s="49" t="s">
        <v>565</v>
      </c>
      <c r="B77" s="50" t="s">
        <v>175</v>
      </c>
      <c r="C77" s="50" t="s">
        <v>176</v>
      </c>
      <c r="D77" s="50" t="s">
        <v>38</v>
      </c>
      <c r="E77" s="191">
        <v>75.44</v>
      </c>
      <c r="F77" s="51">
        <f>'Phan tich don gia'!G392</f>
        <v>144096.2063</v>
      </c>
      <c r="G77" s="51">
        <f>'Phan tich don gia'!G400</f>
        <v>46540.849</v>
      </c>
      <c r="H77" s="51">
        <f>'Phan tich don gia'!G402</f>
        <v>834.519</v>
      </c>
      <c r="I77" s="52">
        <f>E77*F77</f>
        <v>10870617.803272</v>
      </c>
      <c r="J77" s="52">
        <f>E77*G77</f>
        <v>3511041.64856</v>
      </c>
      <c r="K77" s="53">
        <f>E77*H77</f>
        <v>62956.113359999996</v>
      </c>
    </row>
    <row r="78" spans="1:11" ht="14.25">
      <c r="A78" s="49" t="s">
        <v>564</v>
      </c>
      <c r="B78" s="50" t="s">
        <v>179</v>
      </c>
      <c r="C78" s="50" t="s">
        <v>180</v>
      </c>
      <c r="D78" s="50" t="s">
        <v>38</v>
      </c>
      <c r="E78" s="71">
        <f>136.1754</f>
        <v>136.1754</v>
      </c>
      <c r="F78" s="51">
        <f>'Phan tich don gia'!G406</f>
        <v>607344.78127</v>
      </c>
      <c r="G78" s="51">
        <f>'Phan tich don gia'!G411</f>
        <v>97097</v>
      </c>
      <c r="H78" s="51"/>
      <c r="I78" s="52">
        <f>E78*F78</f>
        <v>82705418.52735476</v>
      </c>
      <c r="J78" s="52">
        <f>E78*G78</f>
        <v>13222222.8138</v>
      </c>
      <c r="K78" s="53">
        <f>E78*H78</f>
        <v>0</v>
      </c>
    </row>
    <row r="79" spans="1:11" ht="14.25">
      <c r="A79" s="49" t="s">
        <v>0</v>
      </c>
      <c r="B79" s="50" t="s">
        <v>0</v>
      </c>
      <c r="C79" s="50" t="s">
        <v>0</v>
      </c>
      <c r="D79" s="50" t="s">
        <v>0</v>
      </c>
      <c r="E79" s="71"/>
      <c r="F79" s="51"/>
      <c r="G79" s="51"/>
      <c r="H79" s="51"/>
      <c r="I79" s="52"/>
      <c r="J79" s="52"/>
      <c r="K79" s="53"/>
    </row>
    <row r="80" spans="1:11" ht="14.25">
      <c r="A80" s="49" t="s">
        <v>563</v>
      </c>
      <c r="B80" s="50" t="s">
        <v>183</v>
      </c>
      <c r="C80" s="50" t="s">
        <v>184</v>
      </c>
      <c r="D80" s="50" t="s">
        <v>104</v>
      </c>
      <c r="E80" s="71">
        <f>66.96</f>
        <v>66.96</v>
      </c>
      <c r="F80" s="51">
        <f>'Phan tich don gia'!G415</f>
        <v>71277.50985</v>
      </c>
      <c r="G80" s="51">
        <f>'Phan tich don gia'!G420</f>
        <v>131409.456</v>
      </c>
      <c r="H80" s="51"/>
      <c r="I80" s="52">
        <f>E80*F80</f>
        <v>4772742.059556</v>
      </c>
      <c r="J80" s="52">
        <f>E80*G80</f>
        <v>8799177.173759999</v>
      </c>
      <c r="K80" s="53">
        <f>E80*H80</f>
        <v>0</v>
      </c>
    </row>
    <row r="81" spans="1:11" ht="14.25">
      <c r="A81" s="49" t="s">
        <v>562</v>
      </c>
      <c r="B81" s="50" t="s">
        <v>187</v>
      </c>
      <c r="C81" s="50" t="s">
        <v>131</v>
      </c>
      <c r="D81" s="50" t="s">
        <v>38</v>
      </c>
      <c r="E81" s="71">
        <f>33.48</f>
        <v>33.48</v>
      </c>
      <c r="F81" s="51">
        <f>'Phan tich don gia'!G425</f>
        <v>21051.92736</v>
      </c>
      <c r="G81" s="51">
        <f>'Phan tich don gia'!G430</f>
        <v>105401.3345</v>
      </c>
      <c r="H81" s="51">
        <f>'Phan tich don gia'!G432</f>
        <v>878.8458</v>
      </c>
      <c r="I81" s="52">
        <f>E81*F81</f>
        <v>704818.5280128</v>
      </c>
      <c r="J81" s="52">
        <f>E81*G81</f>
        <v>3528836.6790599995</v>
      </c>
      <c r="K81" s="53">
        <f>E81*H81</f>
        <v>29423.757384</v>
      </c>
    </row>
    <row r="82" spans="1:11" ht="14.25">
      <c r="A82" s="49" t="s">
        <v>0</v>
      </c>
      <c r="B82" s="50" t="s">
        <v>0</v>
      </c>
      <c r="C82" s="50" t="s">
        <v>105</v>
      </c>
      <c r="D82" s="50" t="s">
        <v>0</v>
      </c>
      <c r="E82" s="71"/>
      <c r="F82" s="51"/>
      <c r="G82" s="51"/>
      <c r="H82" s="51"/>
      <c r="I82" s="52"/>
      <c r="J82" s="52"/>
      <c r="K82" s="53"/>
    </row>
    <row r="83" spans="1:11" ht="14.25">
      <c r="A83" s="49" t="s">
        <v>561</v>
      </c>
      <c r="B83" s="50" t="s">
        <v>189</v>
      </c>
      <c r="C83" s="50" t="s">
        <v>190</v>
      </c>
      <c r="D83" s="50" t="s">
        <v>191</v>
      </c>
      <c r="E83" s="71">
        <f>50</f>
        <v>50</v>
      </c>
      <c r="F83" s="51">
        <f>'Phan tich don gia'!G436</f>
        <v>29985.07379</v>
      </c>
      <c r="G83" s="51">
        <f>'Phan tich don gia'!G443</f>
        <v>305039.5</v>
      </c>
      <c r="H83" s="51"/>
      <c r="I83" s="52">
        <f>E83*F83</f>
        <v>1499253.6894999999</v>
      </c>
      <c r="J83" s="52">
        <f>E83*G83</f>
        <v>15251975</v>
      </c>
      <c r="K83" s="53">
        <f>E83*H83</f>
        <v>0</v>
      </c>
    </row>
    <row r="84" spans="1:11" ht="14.25">
      <c r="A84" s="49" t="s">
        <v>0</v>
      </c>
      <c r="B84" s="50" t="s">
        <v>0</v>
      </c>
      <c r="C84" s="50" t="s">
        <v>560</v>
      </c>
      <c r="D84" s="50" t="s">
        <v>0</v>
      </c>
      <c r="E84" s="71"/>
      <c r="F84" s="51"/>
      <c r="G84" s="51"/>
      <c r="H84" s="51"/>
      <c r="I84" s="52"/>
      <c r="J84" s="52"/>
      <c r="K84" s="53"/>
    </row>
    <row r="85" spans="1:11" ht="14.25">
      <c r="A85" s="49" t="s">
        <v>559</v>
      </c>
      <c r="B85" s="50" t="s">
        <v>197</v>
      </c>
      <c r="C85" s="50" t="s">
        <v>198</v>
      </c>
      <c r="D85" s="50" t="s">
        <v>199</v>
      </c>
      <c r="E85" s="71">
        <f>24</f>
        <v>24</v>
      </c>
      <c r="F85" s="51">
        <f>'Phan tich don gia'!G447</f>
        <v>1863636.36</v>
      </c>
      <c r="G85" s="51"/>
      <c r="H85" s="51"/>
      <c r="I85" s="52">
        <f>E85*F85</f>
        <v>44727272.64</v>
      </c>
      <c r="J85" s="52">
        <f>E85*G85</f>
        <v>0</v>
      </c>
      <c r="K85" s="53">
        <f>E85*H85</f>
        <v>0</v>
      </c>
    </row>
    <row r="86" spans="1:11" ht="14.25">
      <c r="A86" s="49" t="s">
        <v>558</v>
      </c>
      <c r="B86" s="50" t="s">
        <v>202</v>
      </c>
      <c r="C86" s="50" t="s">
        <v>203</v>
      </c>
      <c r="D86" s="50" t="s">
        <v>204</v>
      </c>
      <c r="E86" s="71">
        <f>2</f>
        <v>2</v>
      </c>
      <c r="F86" s="51">
        <f>'Phan tich don gia'!G451</f>
        <v>863636.36</v>
      </c>
      <c r="G86" s="51"/>
      <c r="H86" s="51"/>
      <c r="I86" s="52">
        <f>E86*F86</f>
        <v>1727272.72</v>
      </c>
      <c r="J86" s="52">
        <f>E86*G86</f>
        <v>0</v>
      </c>
      <c r="K86" s="53">
        <f>E86*H86</f>
        <v>0</v>
      </c>
    </row>
    <row r="87" spans="1:11" ht="14.25">
      <c r="A87" s="49" t="s">
        <v>557</v>
      </c>
      <c r="B87" s="50" t="s">
        <v>207</v>
      </c>
      <c r="C87" s="50" t="s">
        <v>208</v>
      </c>
      <c r="D87" s="50" t="s">
        <v>204</v>
      </c>
      <c r="E87" s="71">
        <f>12</f>
        <v>12</v>
      </c>
      <c r="F87" s="51">
        <f>'Phan tich don gia'!G455</f>
        <v>181818.2</v>
      </c>
      <c r="G87" s="51"/>
      <c r="H87" s="51"/>
      <c r="I87" s="52">
        <f>E87*F87</f>
        <v>2181818.4000000004</v>
      </c>
      <c r="J87" s="52">
        <f>E87*G87</f>
        <v>0</v>
      </c>
      <c r="K87" s="53">
        <f>E87*H87</f>
        <v>0</v>
      </c>
    </row>
    <row r="88" spans="1:11" ht="14.25">
      <c r="A88" s="49" t="s">
        <v>556</v>
      </c>
      <c r="B88" s="50" t="s">
        <v>211</v>
      </c>
      <c r="C88" s="50" t="s">
        <v>212</v>
      </c>
      <c r="D88" s="50" t="s">
        <v>213</v>
      </c>
      <c r="E88" s="71">
        <f>269.241</f>
        <v>269.241</v>
      </c>
      <c r="F88" s="51">
        <f>'Phan tich don gia'!G460</f>
        <v>34715.45033</v>
      </c>
      <c r="G88" s="51">
        <f>'Phan tich don gia'!G464</f>
        <v>16645.2</v>
      </c>
      <c r="H88" s="51"/>
      <c r="I88" s="52">
        <f>E88*F88</f>
        <v>9346822.56229953</v>
      </c>
      <c r="J88" s="52">
        <f>E88*G88</f>
        <v>4481570.2932</v>
      </c>
      <c r="K88" s="53">
        <f>E88*H88</f>
        <v>0</v>
      </c>
    </row>
    <row r="89" spans="1:11" ht="14.25">
      <c r="A89" s="49" t="s">
        <v>0</v>
      </c>
      <c r="B89" s="50" t="s">
        <v>0</v>
      </c>
      <c r="C89" s="50" t="s">
        <v>214</v>
      </c>
      <c r="D89" s="50" t="s">
        <v>0</v>
      </c>
      <c r="E89" s="71"/>
      <c r="F89" s="51"/>
      <c r="G89" s="51"/>
      <c r="H89" s="51"/>
      <c r="I89" s="52"/>
      <c r="J89" s="52"/>
      <c r="K89" s="53"/>
    </row>
    <row r="90" spans="1:11" ht="14.25">
      <c r="A90" s="49" t="s">
        <v>555</v>
      </c>
      <c r="B90" s="50" t="s">
        <v>219</v>
      </c>
      <c r="C90" s="50" t="s">
        <v>220</v>
      </c>
      <c r="D90" s="50" t="s">
        <v>213</v>
      </c>
      <c r="E90" s="71">
        <f>78.682</f>
        <v>78.682</v>
      </c>
      <c r="F90" s="51">
        <f>'Phan tich don gia'!G469</f>
        <v>45663.45744</v>
      </c>
      <c r="G90" s="51">
        <f>'Phan tich don gia'!G473</f>
        <v>18410.6</v>
      </c>
      <c r="H90" s="51"/>
      <c r="I90" s="52">
        <f>E90*F90</f>
        <v>3592892.15829408</v>
      </c>
      <c r="J90" s="52">
        <f>E90*G90</f>
        <v>1448582.8292</v>
      </c>
      <c r="K90" s="53">
        <f>E90*H90</f>
        <v>0</v>
      </c>
    </row>
    <row r="91" spans="1:11" ht="14.25">
      <c r="A91" s="49" t="s">
        <v>0</v>
      </c>
      <c r="B91" s="50" t="s">
        <v>0</v>
      </c>
      <c r="C91" s="50" t="s">
        <v>214</v>
      </c>
      <c r="D91" s="50" t="s">
        <v>0</v>
      </c>
      <c r="E91" s="71"/>
      <c r="F91" s="51"/>
      <c r="G91" s="51"/>
      <c r="H91" s="51"/>
      <c r="I91" s="52"/>
      <c r="J91" s="52"/>
      <c r="K91" s="53"/>
    </row>
    <row r="92" spans="1:11" ht="14.25">
      <c r="A92" s="49" t="s">
        <v>520</v>
      </c>
      <c r="B92" s="50" t="s">
        <v>224</v>
      </c>
      <c r="C92" s="50" t="s">
        <v>225</v>
      </c>
      <c r="D92" s="50" t="s">
        <v>38</v>
      </c>
      <c r="E92" s="71">
        <f>214.305</f>
        <v>214.305</v>
      </c>
      <c r="F92" s="51">
        <f>'Phan tich don gia'!G478</f>
        <v>4661.48038</v>
      </c>
      <c r="G92" s="51">
        <f>'Phan tich don gia'!G484</f>
        <v>13871</v>
      </c>
      <c r="H92" s="51"/>
      <c r="I92" s="52">
        <f>E92*F92</f>
        <v>998978.5528359</v>
      </c>
      <c r="J92" s="52">
        <f>E92*G92</f>
        <v>2972624.6550000003</v>
      </c>
      <c r="K92" s="53">
        <f>E92*H92</f>
        <v>0</v>
      </c>
    </row>
    <row r="93" spans="1:11" ht="14.25">
      <c r="A93" s="49" t="s">
        <v>0</v>
      </c>
      <c r="B93" s="50" t="s">
        <v>0</v>
      </c>
      <c r="C93" s="50" t="s">
        <v>226</v>
      </c>
      <c r="D93" s="50" t="s">
        <v>0</v>
      </c>
      <c r="E93" s="71"/>
      <c r="F93" s="51"/>
      <c r="G93" s="51"/>
      <c r="H93" s="51"/>
      <c r="I93" s="52"/>
      <c r="J93" s="52"/>
      <c r="K93" s="53"/>
    </row>
    <row r="94" spans="1:11" ht="14.25">
      <c r="A94" s="49" t="s">
        <v>554</v>
      </c>
      <c r="B94" s="50" t="s">
        <v>230</v>
      </c>
      <c r="C94" s="50" t="s">
        <v>231</v>
      </c>
      <c r="D94" s="50" t="s">
        <v>5</v>
      </c>
      <c r="E94" s="191">
        <v>0.822</v>
      </c>
      <c r="F94" s="51">
        <f>'Phan tich don gia'!G488</f>
        <v>32095859.54232</v>
      </c>
      <c r="G94" s="51">
        <f>'Phan tich don gia'!G491</f>
        <v>2045342</v>
      </c>
      <c r="H94" s="51"/>
      <c r="I94" s="52">
        <f>E94*F94</f>
        <v>26382796.543787036</v>
      </c>
      <c r="J94" s="52">
        <f>E94*G94</f>
        <v>1681271.1239999998</v>
      </c>
      <c r="K94" s="53">
        <f>E94*H94</f>
        <v>0</v>
      </c>
    </row>
    <row r="95" spans="1:11" ht="14.25">
      <c r="A95" s="49" t="s">
        <v>553</v>
      </c>
      <c r="B95" s="50" t="s">
        <v>234</v>
      </c>
      <c r="C95" s="50" t="s">
        <v>235</v>
      </c>
      <c r="D95" s="50" t="s">
        <v>38</v>
      </c>
      <c r="E95" s="71">
        <f>5.24929</f>
        <v>5.24929</v>
      </c>
      <c r="F95" s="51"/>
      <c r="G95" s="51">
        <f>'Phan tich don gia'!G495</f>
        <v>4721284.05</v>
      </c>
      <c r="H95" s="51"/>
      <c r="I95" s="52">
        <f>E95*F95</f>
        <v>0</v>
      </c>
      <c r="J95" s="52">
        <f>E95*G95</f>
        <v>24783389.1508245</v>
      </c>
      <c r="K95" s="53">
        <f>E95*H95</f>
        <v>0</v>
      </c>
    </row>
    <row r="96" spans="1:11" ht="14.25">
      <c r="A96" s="49" t="s">
        <v>552</v>
      </c>
      <c r="B96" s="50" t="s">
        <v>238</v>
      </c>
      <c r="C96" s="50" t="s">
        <v>239</v>
      </c>
      <c r="D96" s="50" t="s">
        <v>97</v>
      </c>
      <c r="E96" s="191">
        <v>12.561</v>
      </c>
      <c r="F96" s="51">
        <f>'Phan tich don gia'!G499</f>
        <v>227272.7</v>
      </c>
      <c r="G96" s="51"/>
      <c r="H96" s="51"/>
      <c r="I96" s="52">
        <f>E96*F96</f>
        <v>2854772.3847000003</v>
      </c>
      <c r="J96" s="52">
        <f>E96*G96</f>
        <v>0</v>
      </c>
      <c r="K96" s="53">
        <f>E96*H96</f>
        <v>0</v>
      </c>
    </row>
    <row r="97" spans="1:11" ht="14.25">
      <c r="A97" s="49" t="s">
        <v>0</v>
      </c>
      <c r="B97" s="50" t="s">
        <v>0</v>
      </c>
      <c r="C97" s="50" t="s">
        <v>0</v>
      </c>
      <c r="D97" s="50" t="s">
        <v>0</v>
      </c>
      <c r="E97" s="71"/>
      <c r="F97" s="51"/>
      <c r="G97" s="51"/>
      <c r="H97" s="51"/>
      <c r="I97" s="52"/>
      <c r="J97" s="52"/>
      <c r="K97" s="53"/>
    </row>
    <row r="98" spans="1:11" ht="14.25">
      <c r="A98" s="49" t="s">
        <v>0</v>
      </c>
      <c r="B98" s="50" t="s">
        <v>0</v>
      </c>
      <c r="C98" s="50" t="s">
        <v>551</v>
      </c>
      <c r="D98" s="50" t="s">
        <v>0</v>
      </c>
      <c r="E98" s="71"/>
      <c r="F98" s="51"/>
      <c r="G98" s="51"/>
      <c r="H98" s="51"/>
      <c r="I98" s="52"/>
      <c r="J98" s="52"/>
      <c r="K98" s="53"/>
    </row>
    <row r="99" spans="1:11" ht="14.25">
      <c r="A99" s="49" t="s">
        <v>0</v>
      </c>
      <c r="B99" s="50" t="s">
        <v>0</v>
      </c>
      <c r="C99" s="50" t="s">
        <v>0</v>
      </c>
      <c r="D99" s="50" t="s">
        <v>0</v>
      </c>
      <c r="E99" s="71"/>
      <c r="F99" s="51"/>
      <c r="G99" s="51"/>
      <c r="H99" s="51"/>
      <c r="I99" s="52"/>
      <c r="J99" s="52"/>
      <c r="K99" s="53"/>
    </row>
    <row r="100" spans="1:11" ht="14.25">
      <c r="A100" s="49" t="s">
        <v>550</v>
      </c>
      <c r="B100" s="50" t="s">
        <v>242</v>
      </c>
      <c r="C100" s="50" t="s">
        <v>243</v>
      </c>
      <c r="D100" s="50" t="s">
        <v>244</v>
      </c>
      <c r="E100" s="71">
        <f>4</f>
        <v>4</v>
      </c>
      <c r="F100" s="51">
        <f>'Phan tich don gia'!G503</f>
        <v>138409.054</v>
      </c>
      <c r="G100" s="51">
        <f>'Phan tich don gia'!G506</f>
        <v>37830</v>
      </c>
      <c r="H100" s="51"/>
      <c r="I100" s="52">
        <f>E100*F100</f>
        <v>553636.216</v>
      </c>
      <c r="J100" s="52">
        <f>E100*G100</f>
        <v>151320</v>
      </c>
      <c r="K100" s="53">
        <f>E100*H100</f>
        <v>0</v>
      </c>
    </row>
    <row r="101" spans="1:11" ht="14.25">
      <c r="A101" s="49" t="s">
        <v>549</v>
      </c>
      <c r="B101" s="50" t="s">
        <v>248</v>
      </c>
      <c r="C101" s="50" t="s">
        <v>249</v>
      </c>
      <c r="D101" s="50" t="s">
        <v>250</v>
      </c>
      <c r="E101" s="71">
        <f>40</f>
        <v>40</v>
      </c>
      <c r="F101" s="51">
        <f>'Phan tich don gia'!G510</f>
        <v>19999.35138</v>
      </c>
      <c r="G101" s="51">
        <f>'Phan tich don gia'!G513</f>
        <v>7061.6</v>
      </c>
      <c r="H101" s="51"/>
      <c r="I101" s="52">
        <f>E101*F101</f>
        <v>799974.0552000001</v>
      </c>
      <c r="J101" s="52">
        <f>E101*G101</f>
        <v>282464</v>
      </c>
      <c r="K101" s="53">
        <f>E101*H101</f>
        <v>0</v>
      </c>
    </row>
    <row r="102" spans="1:11" ht="14.25">
      <c r="A102" s="49" t="s">
        <v>548</v>
      </c>
      <c r="B102" s="50" t="s">
        <v>254</v>
      </c>
      <c r="C102" s="50" t="s">
        <v>255</v>
      </c>
      <c r="D102" s="50" t="s">
        <v>250</v>
      </c>
      <c r="E102" s="71">
        <f>30</f>
        <v>30</v>
      </c>
      <c r="F102" s="51">
        <f>'Phan tich don gia'!G517</f>
        <v>29315.654</v>
      </c>
      <c r="G102" s="51">
        <f>'Phan tich don gia'!G520</f>
        <v>7061.6</v>
      </c>
      <c r="H102" s="51"/>
      <c r="I102" s="52">
        <f>E102*F102</f>
        <v>879469.62</v>
      </c>
      <c r="J102" s="52">
        <f>E102*G102</f>
        <v>211848</v>
      </c>
      <c r="K102" s="53">
        <f>E102*H102</f>
        <v>0</v>
      </c>
    </row>
    <row r="103" spans="1:11" ht="14.25">
      <c r="A103" s="49" t="s">
        <v>0</v>
      </c>
      <c r="B103" s="50" t="s">
        <v>0</v>
      </c>
      <c r="C103" s="50" t="s">
        <v>0</v>
      </c>
      <c r="D103" s="50" t="s">
        <v>0</v>
      </c>
      <c r="E103" s="71"/>
      <c r="F103" s="51"/>
      <c r="G103" s="51"/>
      <c r="H103" s="51"/>
      <c r="I103" s="52"/>
      <c r="J103" s="52"/>
      <c r="K103" s="53"/>
    </row>
    <row r="104" spans="1:11" ht="14.25">
      <c r="A104" s="54" t="s">
        <v>11</v>
      </c>
      <c r="B104" s="55" t="s">
        <v>0</v>
      </c>
      <c r="C104" s="55" t="s">
        <v>257</v>
      </c>
      <c r="D104" s="55" t="s">
        <v>0</v>
      </c>
      <c r="E104" s="72"/>
      <c r="F104" s="56"/>
      <c r="G104" s="56"/>
      <c r="H104" s="56"/>
      <c r="I104" s="57">
        <f>SUM(I105:I121)</f>
        <v>9874253.782568658</v>
      </c>
      <c r="J104" s="57">
        <f>SUM(J105:J121)</f>
        <v>4730794.485206578</v>
      </c>
      <c r="K104" s="58">
        <f>SUM(K105:K121)</f>
        <v>335046.80874654354</v>
      </c>
    </row>
    <row r="105" spans="1:11" ht="14.25">
      <c r="A105" s="49" t="s">
        <v>0</v>
      </c>
      <c r="B105" s="50" t="s">
        <v>0</v>
      </c>
      <c r="C105" s="50" t="s">
        <v>547</v>
      </c>
      <c r="D105" s="50" t="s">
        <v>0</v>
      </c>
      <c r="E105" s="71"/>
      <c r="F105" s="51"/>
      <c r="G105" s="51"/>
      <c r="H105" s="51"/>
      <c r="I105" s="52"/>
      <c r="J105" s="52"/>
      <c r="K105" s="53"/>
    </row>
    <row r="106" spans="1:11" ht="14.25">
      <c r="A106" s="49" t="s">
        <v>546</v>
      </c>
      <c r="B106" s="50" t="s">
        <v>259</v>
      </c>
      <c r="C106" s="50" t="s">
        <v>260</v>
      </c>
      <c r="D106" s="50" t="s">
        <v>38</v>
      </c>
      <c r="E106" s="71">
        <f>36.72</f>
        <v>36.72</v>
      </c>
      <c r="F106" s="51">
        <f>'Phan tich don gia'!G525</f>
        <v>118886.04895</v>
      </c>
      <c r="G106" s="51">
        <f>'Phan tich don gia'!G531</f>
        <v>41065.455</v>
      </c>
      <c r="H106" s="51"/>
      <c r="I106" s="52">
        <f>E106*F106</f>
        <v>4365495.717444</v>
      </c>
      <c r="J106" s="52">
        <f>E106*G106</f>
        <v>1507923.5076000001</v>
      </c>
      <c r="K106" s="53">
        <f>E106*H106</f>
        <v>0</v>
      </c>
    </row>
    <row r="107" spans="1:11" ht="14.25">
      <c r="A107" s="49" t="s">
        <v>0</v>
      </c>
      <c r="B107" s="50" t="s">
        <v>0</v>
      </c>
      <c r="C107" s="50" t="s">
        <v>261</v>
      </c>
      <c r="D107" s="50" t="s">
        <v>0</v>
      </c>
      <c r="E107" s="71"/>
      <c r="F107" s="51"/>
      <c r="G107" s="51"/>
      <c r="H107" s="51"/>
      <c r="I107" s="52"/>
      <c r="J107" s="52"/>
      <c r="K107" s="53"/>
    </row>
    <row r="108" spans="1:11" ht="14.25">
      <c r="A108" s="49" t="s">
        <v>545</v>
      </c>
      <c r="B108" s="50" t="s">
        <v>264</v>
      </c>
      <c r="C108" s="50" t="s">
        <v>265</v>
      </c>
      <c r="D108" s="50" t="s">
        <v>5</v>
      </c>
      <c r="E108" s="71">
        <f>3.672</f>
        <v>3.672</v>
      </c>
      <c r="F108" s="51">
        <f>'Phan tich don gia'!G536</f>
        <v>857819.13939</v>
      </c>
      <c r="G108" s="51">
        <f>'Phan tich don gia'!G542</f>
        <v>274450.057</v>
      </c>
      <c r="H108" s="51">
        <f>'Phan tich don gia'!G544</f>
        <v>54409.0095</v>
      </c>
      <c r="I108" s="52">
        <f>E108*F108</f>
        <v>3149911.87984008</v>
      </c>
      <c r="J108" s="52">
        <f>E108*G108</f>
        <v>1007780.6093039999</v>
      </c>
      <c r="K108" s="53">
        <f>E108*H108</f>
        <v>199789.88288400002</v>
      </c>
    </row>
    <row r="109" spans="1:11" ht="14.25">
      <c r="A109" s="49" t="s">
        <v>0</v>
      </c>
      <c r="B109" s="50" t="s">
        <v>0</v>
      </c>
      <c r="C109" s="50" t="s">
        <v>266</v>
      </c>
      <c r="D109" s="50" t="s">
        <v>0</v>
      </c>
      <c r="E109" s="71"/>
      <c r="F109" s="51"/>
      <c r="G109" s="51"/>
      <c r="H109" s="51"/>
      <c r="I109" s="52"/>
      <c r="J109" s="52"/>
      <c r="K109" s="53"/>
    </row>
    <row r="110" spans="1:11" ht="14.25">
      <c r="A110" s="49" t="s">
        <v>544</v>
      </c>
      <c r="B110" s="50" t="s">
        <v>269</v>
      </c>
      <c r="C110" s="50" t="s">
        <v>270</v>
      </c>
      <c r="D110" s="50" t="s">
        <v>38</v>
      </c>
      <c r="E110" s="71">
        <f>3</f>
        <v>3</v>
      </c>
      <c r="F110" s="51">
        <f>'Phan tich don gia'!G549</f>
        <v>58185.10446</v>
      </c>
      <c r="G110" s="51">
        <f>'Phan tich don gia'!G553</f>
        <v>34047</v>
      </c>
      <c r="H110" s="51"/>
      <c r="I110" s="52">
        <f>E110*F110</f>
        <v>174555.31338</v>
      </c>
      <c r="J110" s="52">
        <f>E110*G110</f>
        <v>102141</v>
      </c>
      <c r="K110" s="53">
        <f>E110*H110</f>
        <v>0</v>
      </c>
    </row>
    <row r="111" spans="1:11" ht="14.25">
      <c r="A111" s="49" t="s">
        <v>527</v>
      </c>
      <c r="B111" s="50" t="s">
        <v>3</v>
      </c>
      <c r="C111" s="50" t="s">
        <v>4</v>
      </c>
      <c r="D111" s="50" t="s">
        <v>5</v>
      </c>
      <c r="E111" s="71">
        <f>2.6112</f>
        <v>2.6112</v>
      </c>
      <c r="F111" s="51"/>
      <c r="G111" s="51">
        <f>'Phan tich don gia'!G10</f>
        <v>10075.57912</v>
      </c>
      <c r="H111" s="51">
        <f>'Phan tich don gia'!G12</f>
        <v>17431.69611</v>
      </c>
      <c r="I111" s="52">
        <f>E111*F111</f>
        <v>0</v>
      </c>
      <c r="J111" s="52">
        <f>E111*G111</f>
        <v>26309.352198144003</v>
      </c>
      <c r="K111" s="53">
        <f>E111*H111</f>
        <v>45517.644882432</v>
      </c>
    </row>
    <row r="112" spans="1:11" ht="14.25">
      <c r="A112" s="49" t="s">
        <v>0</v>
      </c>
      <c r="B112" s="50" t="s">
        <v>0</v>
      </c>
      <c r="C112" s="50" t="s">
        <v>6</v>
      </c>
      <c r="D112" s="50" t="s">
        <v>0</v>
      </c>
      <c r="E112" s="71"/>
      <c r="F112" s="51"/>
      <c r="G112" s="51"/>
      <c r="H112" s="51"/>
      <c r="I112" s="52"/>
      <c r="J112" s="52"/>
      <c r="K112" s="53"/>
    </row>
    <row r="113" spans="1:11" ht="14.25">
      <c r="A113" s="49" t="s">
        <v>543</v>
      </c>
      <c r="B113" s="50" t="s">
        <v>12</v>
      </c>
      <c r="C113" s="50" t="s">
        <v>13</v>
      </c>
      <c r="D113" s="50" t="s">
        <v>5</v>
      </c>
      <c r="E113" s="71">
        <f>0.86163</f>
        <v>0.86163</v>
      </c>
      <c r="F113" s="51"/>
      <c r="G113" s="51">
        <f>'Phan tich don gia'!G17</f>
        <v>11780.34088</v>
      </c>
      <c r="H113" s="51">
        <f>'Phan tich don gia'!G19</f>
        <v>12812.83545</v>
      </c>
      <c r="I113" s="52">
        <f>E113*F113</f>
        <v>0</v>
      </c>
      <c r="J113" s="52">
        <f>E113*G113</f>
        <v>10150.2951124344</v>
      </c>
      <c r="K113" s="53">
        <f>E113*H113</f>
        <v>11039.923408783501</v>
      </c>
    </row>
    <row r="114" spans="1:11" ht="14.25">
      <c r="A114" s="49" t="s">
        <v>0</v>
      </c>
      <c r="B114" s="50" t="s">
        <v>0</v>
      </c>
      <c r="C114" s="50" t="s">
        <v>14</v>
      </c>
      <c r="D114" s="50" t="s">
        <v>0</v>
      </c>
      <c r="E114" s="71"/>
      <c r="F114" s="51"/>
      <c r="G114" s="51"/>
      <c r="H114" s="51"/>
      <c r="I114" s="52"/>
      <c r="J114" s="52"/>
      <c r="K114" s="53"/>
    </row>
    <row r="115" spans="1:11" ht="14.25">
      <c r="A115" s="49" t="s">
        <v>542</v>
      </c>
      <c r="B115" s="50" t="s">
        <v>17</v>
      </c>
      <c r="C115" s="50" t="s">
        <v>275</v>
      </c>
      <c r="D115" s="50" t="s">
        <v>5</v>
      </c>
      <c r="E115" s="71">
        <f>0.544</f>
        <v>0.544</v>
      </c>
      <c r="F115" s="51">
        <f>'Phan tich don gia'!G23</f>
        <v>773921.80161</v>
      </c>
      <c r="G115" s="51">
        <f>'Phan tich don gia'!G28</f>
        <v>246774.421</v>
      </c>
      <c r="H115" s="51">
        <f>'Phan tich don gia'!G30</f>
        <v>54409.0095</v>
      </c>
      <c r="I115" s="52">
        <f>E115*F115</f>
        <v>421013.46007584</v>
      </c>
      <c r="J115" s="52">
        <f>E115*G115</f>
        <v>134245.285024</v>
      </c>
      <c r="K115" s="53">
        <f>E115*H115</f>
        <v>29598.501168000003</v>
      </c>
    </row>
    <row r="116" spans="1:11" ht="14.25">
      <c r="A116" s="49" t="s">
        <v>541</v>
      </c>
      <c r="B116" s="50" t="s">
        <v>277</v>
      </c>
      <c r="C116" s="50" t="s">
        <v>278</v>
      </c>
      <c r="D116" s="50" t="s">
        <v>5</v>
      </c>
      <c r="E116" s="71">
        <f>0.6528</f>
        <v>0.6528</v>
      </c>
      <c r="F116" s="51">
        <f>'Phan tich don gia'!G558</f>
        <v>1301971.89687</v>
      </c>
      <c r="G116" s="51">
        <f>'Phan tich don gia'!G564</f>
        <v>622934</v>
      </c>
      <c r="H116" s="51">
        <f>'Phan tich don gia'!G566</f>
        <v>10304.46701</v>
      </c>
      <c r="I116" s="52">
        <f>E116*F116</f>
        <v>849927.254276736</v>
      </c>
      <c r="J116" s="52">
        <f>E116*G116</f>
        <v>406651.3152</v>
      </c>
      <c r="K116" s="53">
        <f>E116*H116</f>
        <v>6726.756064128001</v>
      </c>
    </row>
    <row r="117" spans="1:11" ht="14.25">
      <c r="A117" s="49" t="s">
        <v>0</v>
      </c>
      <c r="B117" s="50" t="s">
        <v>0</v>
      </c>
      <c r="C117" s="50" t="s">
        <v>279</v>
      </c>
      <c r="D117" s="50" t="s">
        <v>0</v>
      </c>
      <c r="E117" s="71"/>
      <c r="F117" s="51"/>
      <c r="G117" s="51"/>
      <c r="H117" s="51"/>
      <c r="I117" s="52"/>
      <c r="J117" s="52"/>
      <c r="K117" s="53"/>
    </row>
    <row r="118" spans="1:11" ht="14.25">
      <c r="A118" s="49" t="s">
        <v>540</v>
      </c>
      <c r="B118" s="50" t="s">
        <v>281</v>
      </c>
      <c r="C118" s="50" t="s">
        <v>282</v>
      </c>
      <c r="D118" s="50" t="s">
        <v>38</v>
      </c>
      <c r="E118" s="71">
        <f>10.336</f>
        <v>10.336</v>
      </c>
      <c r="F118" s="51">
        <f>'Phan tich don gia'!G572</f>
        <v>15020.00422</v>
      </c>
      <c r="G118" s="51">
        <f>'Phan tich don gia'!G577</f>
        <v>65572</v>
      </c>
      <c r="H118" s="51">
        <f>'Phan tich don gia'!G579</f>
        <v>585.8972</v>
      </c>
      <c r="I118" s="52">
        <f>E118*F118</f>
        <v>155246.76361792002</v>
      </c>
      <c r="J118" s="52">
        <f>E118*G118</f>
        <v>677752.192</v>
      </c>
      <c r="K118" s="53">
        <f>E118*H118</f>
        <v>6055.8334592</v>
      </c>
    </row>
    <row r="119" spans="1:11" ht="14.25">
      <c r="A119" s="49" t="s">
        <v>0</v>
      </c>
      <c r="B119" s="50" t="s">
        <v>0</v>
      </c>
      <c r="C119" s="50" t="s">
        <v>105</v>
      </c>
      <c r="D119" s="50" t="s">
        <v>0</v>
      </c>
      <c r="E119" s="71"/>
      <c r="F119" s="51"/>
      <c r="G119" s="51"/>
      <c r="H119" s="51"/>
      <c r="I119" s="52"/>
      <c r="J119" s="52"/>
      <c r="K119" s="53"/>
    </row>
    <row r="120" spans="1:11" ht="14.25">
      <c r="A120" s="49" t="s">
        <v>539</v>
      </c>
      <c r="B120" s="50" t="s">
        <v>94</v>
      </c>
      <c r="C120" s="50" t="s">
        <v>95</v>
      </c>
      <c r="D120" s="50" t="s">
        <v>38</v>
      </c>
      <c r="E120" s="71">
        <f>6.528</f>
        <v>6.528</v>
      </c>
      <c r="F120" s="51">
        <f>'Phan tich don gia'!G177</f>
        <v>116131.03461</v>
      </c>
      <c r="G120" s="51">
        <f>'Phan tich don gia'!G185</f>
        <v>131409.456</v>
      </c>
      <c r="H120" s="51">
        <f>'Phan tich don gia'!G187</f>
        <v>5563.46</v>
      </c>
      <c r="I120" s="52">
        <f>E120*F120</f>
        <v>758103.3939340799</v>
      </c>
      <c r="J120" s="52">
        <f>E120*G120</f>
        <v>857840.928768</v>
      </c>
      <c r="K120" s="53">
        <f>E120*H120</f>
        <v>36318.266879999996</v>
      </c>
    </row>
    <row r="121" spans="1:11" ht="14.25">
      <c r="A121" s="49" t="s">
        <v>0</v>
      </c>
      <c r="B121" s="50" t="s">
        <v>0</v>
      </c>
      <c r="C121" s="50" t="s">
        <v>0</v>
      </c>
      <c r="D121" s="50" t="s">
        <v>0</v>
      </c>
      <c r="E121" s="71"/>
      <c r="F121" s="51"/>
      <c r="G121" s="51"/>
      <c r="H121" s="51"/>
      <c r="I121" s="52"/>
      <c r="J121" s="52"/>
      <c r="K121" s="53"/>
    </row>
    <row r="122" spans="1:13" ht="14.25">
      <c r="A122" s="54" t="s">
        <v>16</v>
      </c>
      <c r="B122" s="55" t="s">
        <v>0</v>
      </c>
      <c r="C122" s="55" t="s">
        <v>284</v>
      </c>
      <c r="D122" s="55" t="s">
        <v>0</v>
      </c>
      <c r="E122" s="72"/>
      <c r="F122" s="56"/>
      <c r="G122" s="56"/>
      <c r="H122" s="56"/>
      <c r="I122" s="57">
        <f>SUM(I123:I133)</f>
        <v>6057289.12734</v>
      </c>
      <c r="J122" s="57">
        <f>SUM(J123:J133)</f>
        <v>38740821.1618</v>
      </c>
      <c r="K122" s="58">
        <f>SUM(K123:K133)</f>
        <v>762131.7003</v>
      </c>
      <c r="M122" s="43"/>
    </row>
    <row r="123" spans="1:11" ht="14.25">
      <c r="A123" s="49" t="s">
        <v>538</v>
      </c>
      <c r="B123" s="50" t="s">
        <v>286</v>
      </c>
      <c r="C123" s="50" t="s">
        <v>287</v>
      </c>
      <c r="D123" s="50" t="s">
        <v>288</v>
      </c>
      <c r="E123" s="71">
        <f>3030</f>
        <v>3030</v>
      </c>
      <c r="F123" s="51"/>
      <c r="G123" s="51">
        <f>'Phan tich don gia'!G583</f>
        <v>280.19606</v>
      </c>
      <c r="H123" s="51">
        <f>'Phan tich don gia'!G585</f>
        <v>5.57501</v>
      </c>
      <c r="I123" s="52">
        <f>E123*F123</f>
        <v>0</v>
      </c>
      <c r="J123" s="52">
        <f>E123*G123</f>
        <v>848994.0617999999</v>
      </c>
      <c r="K123" s="53">
        <f>E123*H123</f>
        <v>16892.2803</v>
      </c>
    </row>
    <row r="124" spans="1:13" ht="14.25">
      <c r="A124" s="49" t="s">
        <v>537</v>
      </c>
      <c r="B124" s="50" t="s">
        <v>292</v>
      </c>
      <c r="C124" s="50" t="s">
        <v>293</v>
      </c>
      <c r="D124" s="50" t="s">
        <v>294</v>
      </c>
      <c r="E124" s="71">
        <f>4</f>
        <v>4</v>
      </c>
      <c r="F124" s="51">
        <f>'Phan tich don gia'!G590</f>
        <v>12055.03294</v>
      </c>
      <c r="G124" s="51">
        <f>'Phan tich don gia'!G594</f>
        <v>764660.25</v>
      </c>
      <c r="H124" s="51">
        <f>'Phan tich don gia'!G596</f>
        <v>186309.855</v>
      </c>
      <c r="I124" s="52">
        <f>E124*F124</f>
        <v>48220.13176</v>
      </c>
      <c r="J124" s="52">
        <f>E124*G124</f>
        <v>3058641</v>
      </c>
      <c r="K124" s="53">
        <f>E124*H124</f>
        <v>745239.42</v>
      </c>
      <c r="M124" s="43"/>
    </row>
    <row r="125" spans="1:11" ht="14.25">
      <c r="A125" s="49" t="s">
        <v>0</v>
      </c>
      <c r="B125" s="50" t="s">
        <v>0</v>
      </c>
      <c r="C125" s="50" t="s">
        <v>536</v>
      </c>
      <c r="D125" s="50" t="s">
        <v>0</v>
      </c>
      <c r="E125" s="71"/>
      <c r="F125" s="51"/>
      <c r="G125" s="51"/>
      <c r="H125" s="51"/>
      <c r="I125" s="52"/>
      <c r="J125" s="52"/>
      <c r="K125" s="53"/>
    </row>
    <row r="126" spans="1:11" ht="14.25">
      <c r="A126" s="49" t="s">
        <v>535</v>
      </c>
      <c r="B126" s="50" t="s">
        <v>855</v>
      </c>
      <c r="C126" s="50" t="s">
        <v>303</v>
      </c>
      <c r="D126" s="50" t="s">
        <v>304</v>
      </c>
      <c r="E126" s="71">
        <f>2</f>
        <v>2</v>
      </c>
      <c r="F126" s="51"/>
      <c r="G126" s="51">
        <f>'Phan tich don gia'!G601</f>
        <v>105586.8</v>
      </c>
      <c r="H126" s="51"/>
      <c r="I126" s="52">
        <f>E126*F126</f>
        <v>0</v>
      </c>
      <c r="J126" s="52">
        <f>E126*G126</f>
        <v>211173.6</v>
      </c>
      <c r="K126" s="53">
        <f>E126*H126</f>
        <v>0</v>
      </c>
    </row>
    <row r="127" spans="1:11" ht="14.25">
      <c r="A127" s="49" t="s">
        <v>0</v>
      </c>
      <c r="B127" s="50" t="s">
        <v>0</v>
      </c>
      <c r="C127" s="50" t="s">
        <v>534</v>
      </c>
      <c r="D127" s="50" t="s">
        <v>0</v>
      </c>
      <c r="E127" s="71"/>
      <c r="F127" s="51"/>
      <c r="G127" s="51"/>
      <c r="H127" s="51"/>
      <c r="I127" s="52"/>
      <c r="J127" s="52"/>
      <c r="K127" s="53"/>
    </row>
    <row r="128" spans="1:11" ht="14.25">
      <c r="A128" s="49" t="s">
        <v>533</v>
      </c>
      <c r="B128" s="50" t="s">
        <v>307</v>
      </c>
      <c r="C128" s="50" t="s">
        <v>308</v>
      </c>
      <c r="D128" s="50" t="s">
        <v>304</v>
      </c>
      <c r="E128" s="71">
        <f>2</f>
        <v>2</v>
      </c>
      <c r="F128" s="51">
        <f>'Phan tich don gia'!G606</f>
        <v>156170.92689</v>
      </c>
      <c r="G128" s="51">
        <f>'Phan tich don gia'!G615</f>
        <v>180553.428</v>
      </c>
      <c r="H128" s="51"/>
      <c r="I128" s="52">
        <f>E128*F128</f>
        <v>312341.85378</v>
      </c>
      <c r="J128" s="52">
        <f>E128*G128</f>
        <v>361106.856</v>
      </c>
      <c r="K128" s="53">
        <f>E128*H128</f>
        <v>0</v>
      </c>
    </row>
    <row r="129" spans="1:11" ht="14.25">
      <c r="A129" s="49" t="s">
        <v>0</v>
      </c>
      <c r="B129" s="50" t="s">
        <v>0</v>
      </c>
      <c r="C129" s="50" t="s">
        <v>532</v>
      </c>
      <c r="D129" s="50" t="s">
        <v>0</v>
      </c>
      <c r="E129" s="71"/>
      <c r="F129" s="51"/>
      <c r="G129" s="51"/>
      <c r="H129" s="51"/>
      <c r="I129" s="52"/>
      <c r="J129" s="52"/>
      <c r="K129" s="53"/>
    </row>
    <row r="130" spans="1:11" ht="14.25">
      <c r="A130" s="49" t="s">
        <v>531</v>
      </c>
      <c r="B130" s="50" t="s">
        <v>316</v>
      </c>
      <c r="C130" s="50" t="s">
        <v>317</v>
      </c>
      <c r="D130" s="50" t="s">
        <v>304</v>
      </c>
      <c r="E130" s="71">
        <f>2</f>
        <v>2</v>
      </c>
      <c r="F130" s="51">
        <f>'Phan tich don gia'!G620</f>
        <v>4772.725</v>
      </c>
      <c r="G130" s="51">
        <f>'Phan tich don gia'!G622</f>
        <v>17421.822</v>
      </c>
      <c r="H130" s="51"/>
      <c r="I130" s="52">
        <f>E130*F130</f>
        <v>9545.45</v>
      </c>
      <c r="J130" s="52">
        <f>E130*G130</f>
        <v>34843.644</v>
      </c>
      <c r="K130" s="53">
        <f>E130*H130</f>
        <v>0</v>
      </c>
    </row>
    <row r="131" spans="1:11" ht="14.25">
      <c r="A131" s="49" t="s">
        <v>0</v>
      </c>
      <c r="B131" s="50" t="s">
        <v>0</v>
      </c>
      <c r="C131" s="50" t="s">
        <v>530</v>
      </c>
      <c r="D131" s="50" t="s">
        <v>0</v>
      </c>
      <c r="E131" s="71"/>
      <c r="F131" s="51"/>
      <c r="G131" s="51"/>
      <c r="H131" s="51"/>
      <c r="I131" s="52"/>
      <c r="J131" s="52"/>
      <c r="K131" s="53"/>
    </row>
    <row r="132" spans="1:11" ht="14.25">
      <c r="A132" s="49" t="s">
        <v>521</v>
      </c>
      <c r="B132" s="50" t="s">
        <v>320</v>
      </c>
      <c r="C132" s="50" t="s">
        <v>321</v>
      </c>
      <c r="D132" s="50" t="s">
        <v>38</v>
      </c>
      <c r="E132" s="71">
        <f>662</f>
        <v>662</v>
      </c>
      <c r="F132" s="51">
        <f>'Phan tich don gia'!G626</f>
        <v>8590.9089</v>
      </c>
      <c r="G132" s="51">
        <f>'Phan tich don gia'!G629</f>
        <v>51701</v>
      </c>
      <c r="H132" s="51"/>
      <c r="I132" s="52">
        <f>E132*F132</f>
        <v>5687181.6918</v>
      </c>
      <c r="J132" s="52">
        <f>E132*G132</f>
        <v>34226062</v>
      </c>
      <c r="K132" s="53">
        <f>E132*H132</f>
        <v>0</v>
      </c>
    </row>
    <row r="133" spans="1:11" ht="14.25">
      <c r="A133" s="49" t="s">
        <v>0</v>
      </c>
      <c r="B133" s="50" t="s">
        <v>0</v>
      </c>
      <c r="C133" s="50" t="s">
        <v>0</v>
      </c>
      <c r="D133" s="50" t="s">
        <v>0</v>
      </c>
      <c r="E133" s="71"/>
      <c r="F133" s="51"/>
      <c r="G133" s="51"/>
      <c r="H133" s="51"/>
      <c r="I133" s="52"/>
      <c r="J133" s="52"/>
      <c r="K133" s="53"/>
    </row>
    <row r="134" spans="1:11" ht="14.25">
      <c r="A134" s="54" t="s">
        <v>28</v>
      </c>
      <c r="B134" s="55" t="s">
        <v>0</v>
      </c>
      <c r="C134" s="55" t="s">
        <v>324</v>
      </c>
      <c r="D134" s="55" t="s">
        <v>0</v>
      </c>
      <c r="E134" s="72"/>
      <c r="F134" s="56"/>
      <c r="G134" s="56"/>
      <c r="H134" s="56"/>
      <c r="I134" s="57">
        <f>SUM(I135:I149)</f>
        <v>11301803.0666966</v>
      </c>
      <c r="J134" s="57">
        <f>SUM(J135:J149)</f>
        <v>5325251.431196</v>
      </c>
      <c r="K134" s="58">
        <f>SUM(K135:K149)</f>
        <v>337245.56313</v>
      </c>
    </row>
    <row r="135" spans="1:11" ht="14.25">
      <c r="A135" s="49" t="s">
        <v>529</v>
      </c>
      <c r="B135" s="50" t="s">
        <v>326</v>
      </c>
      <c r="C135" s="50" t="s">
        <v>327</v>
      </c>
      <c r="D135" s="50" t="s">
        <v>104</v>
      </c>
      <c r="E135" s="71">
        <f>40</f>
        <v>40</v>
      </c>
      <c r="F135" s="51">
        <f>'Phan tich don gia'!G633</f>
        <v>4228.35941</v>
      </c>
      <c r="G135" s="51">
        <f>'Phan tich don gia'!G637</f>
        <v>118534</v>
      </c>
      <c r="H135" s="51">
        <f>'Phan tich don gia'!G639</f>
        <v>3170.7144</v>
      </c>
      <c r="I135" s="52">
        <f>E135*F135</f>
        <v>169134.3764</v>
      </c>
      <c r="J135" s="52">
        <f>E135*G135</f>
        <v>4741360</v>
      </c>
      <c r="K135" s="53">
        <f>E135*H135</f>
        <v>126828.576</v>
      </c>
    </row>
    <row r="136" spans="1:11" ht="14.25">
      <c r="A136" s="49" t="s">
        <v>528</v>
      </c>
      <c r="B136" s="50" t="s">
        <v>334</v>
      </c>
      <c r="C136" s="50" t="s">
        <v>335</v>
      </c>
      <c r="D136" s="50" t="s">
        <v>5</v>
      </c>
      <c r="E136" s="71">
        <f>1.2</f>
        <v>1.2</v>
      </c>
      <c r="F136" s="51"/>
      <c r="G136" s="51">
        <f>'Phan tich don gia'!G646</f>
        <v>2841.2696</v>
      </c>
      <c r="H136" s="51">
        <f>'Phan tich don gia'!G648</f>
        <v>88602.239</v>
      </c>
      <c r="I136" s="52">
        <f>E136*F136</f>
        <v>0</v>
      </c>
      <c r="J136" s="52">
        <f>E136*G136</f>
        <v>3409.52352</v>
      </c>
      <c r="K136" s="53">
        <f>E136*H136</f>
        <v>106322.6868</v>
      </c>
    </row>
    <row r="137" spans="1:11" ht="14.25">
      <c r="A137" s="49" t="s">
        <v>0</v>
      </c>
      <c r="B137" s="50" t="s">
        <v>0</v>
      </c>
      <c r="C137" s="50" t="s">
        <v>336</v>
      </c>
      <c r="D137" s="50" t="s">
        <v>0</v>
      </c>
      <c r="E137" s="71"/>
      <c r="F137" s="51"/>
      <c r="G137" s="51"/>
      <c r="H137" s="51"/>
      <c r="I137" s="52"/>
      <c r="J137" s="52"/>
      <c r="K137" s="53"/>
    </row>
    <row r="138" spans="1:11" ht="14.25">
      <c r="A138" s="49" t="s">
        <v>527</v>
      </c>
      <c r="B138" s="50" t="s">
        <v>3</v>
      </c>
      <c r="C138" s="50" t="s">
        <v>4</v>
      </c>
      <c r="D138" s="50" t="s">
        <v>5</v>
      </c>
      <c r="E138" s="71">
        <f>1.8</f>
        <v>1.8</v>
      </c>
      <c r="F138" s="51"/>
      <c r="G138" s="51">
        <f>'Phan tich don gia'!G10</f>
        <v>10075.57912</v>
      </c>
      <c r="H138" s="51">
        <f>'Phan tich don gia'!G12</f>
        <v>17431.69611</v>
      </c>
      <c r="I138" s="52">
        <f>E138*F138</f>
        <v>0</v>
      </c>
      <c r="J138" s="52">
        <f>E138*G138</f>
        <v>18136.042416</v>
      </c>
      <c r="K138" s="53">
        <f>E138*H138</f>
        <v>31377.052998000003</v>
      </c>
    </row>
    <row r="139" spans="1:11" ht="14.25">
      <c r="A139" s="49" t="s">
        <v>0</v>
      </c>
      <c r="B139" s="50" t="s">
        <v>0</v>
      </c>
      <c r="C139" s="50" t="s">
        <v>6</v>
      </c>
      <c r="D139" s="50" t="s">
        <v>0</v>
      </c>
      <c r="E139" s="71"/>
      <c r="F139" s="51"/>
      <c r="G139" s="51"/>
      <c r="H139" s="51"/>
      <c r="I139" s="52"/>
      <c r="J139" s="52"/>
      <c r="K139" s="53"/>
    </row>
    <row r="140" spans="1:11" ht="14.25">
      <c r="A140" s="49" t="s">
        <v>526</v>
      </c>
      <c r="B140" s="50" t="s">
        <v>340</v>
      </c>
      <c r="C140" s="50" t="s">
        <v>341</v>
      </c>
      <c r="D140" s="50" t="s">
        <v>5</v>
      </c>
      <c r="E140" s="71">
        <f>0.06</f>
        <v>0.06</v>
      </c>
      <c r="F140" s="51">
        <f>'Phan tich don gia'!G653</f>
        <v>773921.80161</v>
      </c>
      <c r="G140" s="51">
        <f>'Phan tich don gia'!G658</f>
        <v>246774.421</v>
      </c>
      <c r="H140" s="51">
        <f>'Phan tich don gia'!G660</f>
        <v>54409.0095</v>
      </c>
      <c r="I140" s="52">
        <f>E140*F140</f>
        <v>46435.3080966</v>
      </c>
      <c r="J140" s="52">
        <f>E140*G140</f>
        <v>14806.465259999999</v>
      </c>
      <c r="K140" s="53">
        <f>E140*H140</f>
        <v>3264.5405699999997</v>
      </c>
    </row>
    <row r="141" spans="1:11" ht="14.25">
      <c r="A141" s="49" t="s">
        <v>0</v>
      </c>
      <c r="B141" s="50" t="s">
        <v>0</v>
      </c>
      <c r="C141" s="50" t="s">
        <v>342</v>
      </c>
      <c r="D141" s="50" t="s">
        <v>0</v>
      </c>
      <c r="E141" s="71"/>
      <c r="F141" s="51"/>
      <c r="G141" s="51"/>
      <c r="H141" s="51"/>
      <c r="I141" s="52"/>
      <c r="J141" s="52"/>
      <c r="K141" s="53"/>
    </row>
    <row r="142" spans="1:11" ht="14.25">
      <c r="A142" s="49" t="s">
        <v>525</v>
      </c>
      <c r="B142" s="50" t="s">
        <v>344</v>
      </c>
      <c r="C142" s="50" t="s">
        <v>345</v>
      </c>
      <c r="D142" s="50" t="s">
        <v>104</v>
      </c>
      <c r="E142" s="71">
        <f>20</f>
        <v>20</v>
      </c>
      <c r="F142" s="51">
        <f>'Phan tich don gia'!G666</f>
        <v>4311.66911</v>
      </c>
      <c r="G142" s="51">
        <f>'Phan tich don gia'!G670</f>
        <v>27376.97</v>
      </c>
      <c r="H142" s="51"/>
      <c r="I142" s="52">
        <f>E142*F142</f>
        <v>86233.3822</v>
      </c>
      <c r="J142" s="52">
        <f>E142*G142</f>
        <v>547539.4</v>
      </c>
      <c r="K142" s="53">
        <f>E142*H142</f>
        <v>0</v>
      </c>
    </row>
    <row r="143" spans="1:11" ht="14.25">
      <c r="A143" s="49" t="s">
        <v>0</v>
      </c>
      <c r="B143" s="50" t="s">
        <v>0</v>
      </c>
      <c r="C143" s="50" t="s">
        <v>346</v>
      </c>
      <c r="D143" s="50" t="s">
        <v>0</v>
      </c>
      <c r="E143" s="71"/>
      <c r="F143" s="51"/>
      <c r="G143" s="51"/>
      <c r="H143" s="51"/>
      <c r="I143" s="52"/>
      <c r="J143" s="52"/>
      <c r="K143" s="53"/>
    </row>
    <row r="144" spans="1:11" ht="14.25">
      <c r="A144" s="49" t="s">
        <v>524</v>
      </c>
      <c r="B144" s="50" t="s">
        <v>348</v>
      </c>
      <c r="C144" s="50" t="s">
        <v>349</v>
      </c>
      <c r="D144" s="50" t="s">
        <v>60</v>
      </c>
      <c r="E144" s="71">
        <f>20</f>
        <v>20</v>
      </c>
      <c r="F144" s="51">
        <f>'Phan tich don gia'!G674</f>
        <v>550000</v>
      </c>
      <c r="G144" s="51"/>
      <c r="H144" s="51"/>
      <c r="I144" s="52">
        <f>E144*F144</f>
        <v>11000000</v>
      </c>
      <c r="J144" s="52">
        <f>E144*G144</f>
        <v>0</v>
      </c>
      <c r="K144" s="53">
        <f>E144*H144</f>
        <v>0</v>
      </c>
    </row>
    <row r="145" spans="1:11" ht="14.25">
      <c r="A145" s="49" t="s">
        <v>523</v>
      </c>
      <c r="B145" s="50" t="s">
        <v>352</v>
      </c>
      <c r="C145" s="50" t="s">
        <v>353</v>
      </c>
      <c r="D145" s="50" t="s">
        <v>5</v>
      </c>
      <c r="E145" s="71">
        <f>1.8</f>
        <v>1.8</v>
      </c>
      <c r="F145" s="51"/>
      <c r="G145" s="51"/>
      <c r="H145" s="51">
        <f>'Phan tich don gia'!G679</f>
        <v>27519.23979</v>
      </c>
      <c r="I145" s="52">
        <f>E145*F145</f>
        <v>0</v>
      </c>
      <c r="J145" s="52">
        <f>E145*G145</f>
        <v>0</v>
      </c>
      <c r="K145" s="53">
        <f>E145*H145</f>
        <v>49534.631622</v>
      </c>
    </row>
    <row r="146" spans="1:11" ht="14.25">
      <c r="A146" s="49" t="s">
        <v>0</v>
      </c>
      <c r="B146" s="50" t="s">
        <v>0</v>
      </c>
      <c r="C146" s="50" t="s">
        <v>354</v>
      </c>
      <c r="D146" s="50" t="s">
        <v>0</v>
      </c>
      <c r="E146" s="71"/>
      <c r="F146" s="51"/>
      <c r="G146" s="51"/>
      <c r="H146" s="51"/>
      <c r="I146" s="52"/>
      <c r="J146" s="52"/>
      <c r="K146" s="53"/>
    </row>
    <row r="147" spans="1:11" ht="14.25">
      <c r="A147" s="49" t="s">
        <v>522</v>
      </c>
      <c r="B147" s="50" t="s">
        <v>357</v>
      </c>
      <c r="C147" s="50" t="s">
        <v>358</v>
      </c>
      <c r="D147" s="50" t="s">
        <v>5</v>
      </c>
      <c r="E147" s="71">
        <f>1.8</f>
        <v>1.8</v>
      </c>
      <c r="F147" s="51"/>
      <c r="G147" s="51"/>
      <c r="H147" s="51">
        <f>'Phan tich don gia'!G684</f>
        <v>11065.5973</v>
      </c>
      <c r="I147" s="52">
        <f>E147*F147</f>
        <v>0</v>
      </c>
      <c r="J147" s="52">
        <f>E147*G147</f>
        <v>0</v>
      </c>
      <c r="K147" s="53">
        <f>E147*H147</f>
        <v>19918.07514</v>
      </c>
    </row>
    <row r="148" spans="1:11" ht="14.25">
      <c r="A148" s="49" t="s">
        <v>0</v>
      </c>
      <c r="B148" s="50" t="s">
        <v>0</v>
      </c>
      <c r="C148" s="50" t="s">
        <v>359</v>
      </c>
      <c r="D148" s="50" t="s">
        <v>0</v>
      </c>
      <c r="E148" s="71"/>
      <c r="F148" s="51"/>
      <c r="G148" s="51"/>
      <c r="H148" s="51"/>
      <c r="I148" s="52"/>
      <c r="J148" s="52"/>
      <c r="K148" s="53"/>
    </row>
    <row r="149" spans="1:11" ht="14.25">
      <c r="A149" s="49" t="s">
        <v>0</v>
      </c>
      <c r="B149" s="50" t="s">
        <v>0</v>
      </c>
      <c r="C149" s="50" t="s">
        <v>0</v>
      </c>
      <c r="D149" s="50" t="s">
        <v>0</v>
      </c>
      <c r="E149" s="71"/>
      <c r="F149" s="51"/>
      <c r="G149" s="51"/>
      <c r="H149" s="51"/>
      <c r="I149" s="52"/>
      <c r="J149" s="52"/>
      <c r="K149" s="53"/>
    </row>
    <row r="150" spans="1:11" ht="14.25">
      <c r="A150" s="54" t="s">
        <v>35</v>
      </c>
      <c r="B150" s="55" t="s">
        <v>0</v>
      </c>
      <c r="C150" s="55" t="s">
        <v>360</v>
      </c>
      <c r="D150" s="55" t="s">
        <v>0</v>
      </c>
      <c r="E150" s="72"/>
      <c r="F150" s="56"/>
      <c r="G150" s="56"/>
      <c r="H150" s="56"/>
      <c r="I150" s="57">
        <f>SUM(I151:I154)</f>
        <v>3358724.947051242</v>
      </c>
      <c r="J150" s="57">
        <f>SUM(J151:J154)</f>
        <v>15082012.673780002</v>
      </c>
      <c r="K150" s="58">
        <f>SUM(K151:K154)</f>
        <v>0</v>
      </c>
    </row>
    <row r="151" spans="1:11" ht="14.25">
      <c r="A151" s="49" t="s">
        <v>521</v>
      </c>
      <c r="B151" s="50" t="s">
        <v>320</v>
      </c>
      <c r="C151" s="50" t="s">
        <v>362</v>
      </c>
      <c r="D151" s="50" t="s">
        <v>38</v>
      </c>
      <c r="E151" s="71">
        <f>194.64778</f>
        <v>194.64778</v>
      </c>
      <c r="F151" s="51">
        <f>'Phan tich don gia'!G626</f>
        <v>8590.9089</v>
      </c>
      <c r="G151" s="51">
        <f>'Phan tich don gia'!G629</f>
        <v>51701</v>
      </c>
      <c r="H151" s="51"/>
      <c r="I151" s="52">
        <f>E151*F151</f>
        <v>1672201.3455672422</v>
      </c>
      <c r="J151" s="52">
        <f>E151*G151</f>
        <v>10063484.873780001</v>
      </c>
      <c r="K151" s="53">
        <f>E151*H151</f>
        <v>0</v>
      </c>
    </row>
    <row r="152" spans="1:11" ht="14.25">
      <c r="A152" s="49" t="s">
        <v>520</v>
      </c>
      <c r="B152" s="50" t="s">
        <v>224</v>
      </c>
      <c r="C152" s="50" t="s">
        <v>225</v>
      </c>
      <c r="D152" s="50" t="s">
        <v>38</v>
      </c>
      <c r="E152" s="71">
        <f>361.8</f>
        <v>361.8</v>
      </c>
      <c r="F152" s="51">
        <f>'Phan tich don gia'!G478</f>
        <v>4661.48038</v>
      </c>
      <c r="G152" s="51">
        <f>'Phan tich don gia'!G484</f>
        <v>13871</v>
      </c>
      <c r="H152" s="51"/>
      <c r="I152" s="52">
        <f>E152*F152</f>
        <v>1686523.601484</v>
      </c>
      <c r="J152" s="52">
        <f>E152*G152</f>
        <v>5018527.8</v>
      </c>
      <c r="K152" s="53">
        <f>E152*H152</f>
        <v>0</v>
      </c>
    </row>
    <row r="153" spans="1:11" ht="14.25">
      <c r="A153" s="49" t="s">
        <v>0</v>
      </c>
      <c r="B153" s="50" t="s">
        <v>0</v>
      </c>
      <c r="C153" s="50" t="s">
        <v>226</v>
      </c>
      <c r="D153" s="50" t="s">
        <v>0</v>
      </c>
      <c r="E153" s="71"/>
      <c r="F153" s="51"/>
      <c r="G153" s="51"/>
      <c r="H153" s="51"/>
      <c r="I153" s="52"/>
      <c r="J153" s="52"/>
      <c r="K153" s="53"/>
    </row>
    <row r="154" spans="1:11" ht="14.25">
      <c r="A154" s="49" t="s">
        <v>0</v>
      </c>
      <c r="B154" s="50" t="s">
        <v>0</v>
      </c>
      <c r="C154" s="50" t="s">
        <v>0</v>
      </c>
      <c r="D154" s="50" t="s">
        <v>0</v>
      </c>
      <c r="E154" s="71"/>
      <c r="F154" s="51"/>
      <c r="G154" s="51"/>
      <c r="H154" s="51"/>
      <c r="I154" s="52"/>
      <c r="J154" s="52"/>
      <c r="K154" s="53"/>
    </row>
    <row r="155" spans="1:11" ht="14.25" hidden="1">
      <c r="A155" s="54" t="s">
        <v>45</v>
      </c>
      <c r="B155" s="55" t="s">
        <v>0</v>
      </c>
      <c r="C155" s="55" t="s">
        <v>364</v>
      </c>
      <c r="D155" s="55" t="s">
        <v>0</v>
      </c>
      <c r="E155" s="72"/>
      <c r="F155" s="56"/>
      <c r="G155" s="56"/>
      <c r="H155" s="56"/>
      <c r="I155" s="57">
        <f>SUM(I156:I201)</f>
        <v>0</v>
      </c>
      <c r="J155" s="57">
        <f>SUM(J156:J201)</f>
        <v>198888.872</v>
      </c>
      <c r="K155" s="58">
        <f>SUM(K156:K201)</f>
        <v>966037.7814000001</v>
      </c>
    </row>
    <row r="156" spans="1:11" ht="14.25" hidden="1">
      <c r="A156" s="49" t="s">
        <v>519</v>
      </c>
      <c r="B156" s="50" t="s">
        <v>366</v>
      </c>
      <c r="C156" s="50" t="s">
        <v>367</v>
      </c>
      <c r="D156" s="50" t="s">
        <v>368</v>
      </c>
      <c r="E156" s="71">
        <f>1</f>
        <v>1</v>
      </c>
      <c r="F156" s="51"/>
      <c r="G156" s="51">
        <f>'Phan tich don gia'!G689</f>
        <v>67753.352</v>
      </c>
      <c r="H156" s="51"/>
      <c r="I156" s="52">
        <f>E156*F156</f>
        <v>0</v>
      </c>
      <c r="J156" s="52">
        <f>E156*G156</f>
        <v>67753.352</v>
      </c>
      <c r="K156" s="53">
        <f>E156*H156</f>
        <v>0</v>
      </c>
    </row>
    <row r="157" spans="1:11" ht="14.25" hidden="1">
      <c r="A157" s="49" t="s">
        <v>0</v>
      </c>
      <c r="B157" s="50" t="s">
        <v>0</v>
      </c>
      <c r="C157" s="50" t="s">
        <v>518</v>
      </c>
      <c r="D157" s="50" t="s">
        <v>0</v>
      </c>
      <c r="E157" s="71"/>
      <c r="F157" s="51"/>
      <c r="G157" s="51"/>
      <c r="H157" s="51"/>
      <c r="I157" s="52"/>
      <c r="J157" s="52"/>
      <c r="K157" s="53"/>
    </row>
    <row r="158" spans="1:11" ht="14.25" hidden="1">
      <c r="A158" s="49" t="s">
        <v>517</v>
      </c>
      <c r="B158" s="50" t="s">
        <v>371</v>
      </c>
      <c r="C158" s="50" t="s">
        <v>367</v>
      </c>
      <c r="D158" s="50" t="s">
        <v>368</v>
      </c>
      <c r="E158" s="71">
        <f>1</f>
        <v>1</v>
      </c>
      <c r="F158" s="51"/>
      <c r="G158" s="51">
        <f>'Phan tich don gia'!G694</f>
        <v>41526.248</v>
      </c>
      <c r="H158" s="51"/>
      <c r="I158" s="52">
        <f>E158*F158</f>
        <v>0</v>
      </c>
      <c r="J158" s="52">
        <f>E158*G158</f>
        <v>41526.248</v>
      </c>
      <c r="K158" s="53">
        <f>E158*H158</f>
        <v>0</v>
      </c>
    </row>
    <row r="159" spans="1:11" ht="14.25" hidden="1">
      <c r="A159" s="49" t="s">
        <v>0</v>
      </c>
      <c r="B159" s="50" t="s">
        <v>0</v>
      </c>
      <c r="C159" s="50" t="s">
        <v>516</v>
      </c>
      <c r="D159" s="50" t="s">
        <v>0</v>
      </c>
      <c r="E159" s="71"/>
      <c r="F159" s="51"/>
      <c r="G159" s="51"/>
      <c r="H159" s="51"/>
      <c r="I159" s="52"/>
      <c r="J159" s="52"/>
      <c r="K159" s="53"/>
    </row>
    <row r="160" spans="1:11" ht="14.25" hidden="1">
      <c r="A160" s="49" t="s">
        <v>515</v>
      </c>
      <c r="B160" s="50" t="s">
        <v>374</v>
      </c>
      <c r="C160" s="50" t="s">
        <v>367</v>
      </c>
      <c r="D160" s="50" t="s">
        <v>73</v>
      </c>
      <c r="E160" s="71">
        <f>1</f>
        <v>1</v>
      </c>
      <c r="F160" s="51"/>
      <c r="G160" s="51">
        <f>'Phan tich don gia'!G699</f>
        <v>24041.512</v>
      </c>
      <c r="H160" s="51"/>
      <c r="I160" s="52">
        <f>E160*F160</f>
        <v>0</v>
      </c>
      <c r="J160" s="52">
        <f>E160*G160</f>
        <v>24041.512</v>
      </c>
      <c r="K160" s="53">
        <f>E160*H160</f>
        <v>0</v>
      </c>
    </row>
    <row r="161" spans="1:11" ht="14.25" hidden="1">
      <c r="A161" s="49" t="s">
        <v>0</v>
      </c>
      <c r="B161" s="50" t="s">
        <v>0</v>
      </c>
      <c r="C161" s="50" t="s">
        <v>514</v>
      </c>
      <c r="D161" s="50" t="s">
        <v>0</v>
      </c>
      <c r="E161" s="71"/>
      <c r="F161" s="51"/>
      <c r="G161" s="51"/>
      <c r="H161" s="51"/>
      <c r="I161" s="52"/>
      <c r="J161" s="52"/>
      <c r="K161" s="53"/>
    </row>
    <row r="162" spans="1:11" ht="14.25" hidden="1">
      <c r="A162" s="49" t="s">
        <v>513</v>
      </c>
      <c r="B162" s="50" t="s">
        <v>377</v>
      </c>
      <c r="C162" s="50" t="s">
        <v>367</v>
      </c>
      <c r="D162" s="50" t="s">
        <v>22</v>
      </c>
      <c r="E162" s="71">
        <f>1</f>
        <v>1</v>
      </c>
      <c r="F162" s="51"/>
      <c r="G162" s="51">
        <f>'Phan tich don gia'!G704</f>
        <v>19670.328</v>
      </c>
      <c r="H162" s="51"/>
      <c r="I162" s="52">
        <f>E162*F162</f>
        <v>0</v>
      </c>
      <c r="J162" s="52">
        <f>E162*G162</f>
        <v>19670.328</v>
      </c>
      <c r="K162" s="53">
        <f>E162*H162</f>
        <v>0</v>
      </c>
    </row>
    <row r="163" spans="1:11" ht="14.25" hidden="1">
      <c r="A163" s="49" t="s">
        <v>0</v>
      </c>
      <c r="B163" s="50" t="s">
        <v>0</v>
      </c>
      <c r="C163" s="50" t="s">
        <v>512</v>
      </c>
      <c r="D163" s="50" t="s">
        <v>0</v>
      </c>
      <c r="E163" s="71"/>
      <c r="F163" s="51"/>
      <c r="G163" s="51"/>
      <c r="H163" s="51"/>
      <c r="I163" s="52"/>
      <c r="J163" s="52"/>
      <c r="K163" s="53"/>
    </row>
    <row r="164" spans="1:11" ht="14.25" hidden="1">
      <c r="A164" s="49" t="s">
        <v>511</v>
      </c>
      <c r="B164" s="50" t="s">
        <v>380</v>
      </c>
      <c r="C164" s="50" t="s">
        <v>367</v>
      </c>
      <c r="D164" s="50" t="s">
        <v>73</v>
      </c>
      <c r="E164" s="71">
        <f>1</f>
        <v>1</v>
      </c>
      <c r="F164" s="51"/>
      <c r="G164" s="51">
        <f>'Phan tich don gia'!G709</f>
        <v>45897.432</v>
      </c>
      <c r="H164" s="51"/>
      <c r="I164" s="52">
        <f>E164*F164</f>
        <v>0</v>
      </c>
      <c r="J164" s="52">
        <f>E164*G164</f>
        <v>45897.432</v>
      </c>
      <c r="K164" s="53">
        <f>E164*H164</f>
        <v>0</v>
      </c>
    </row>
    <row r="165" spans="1:11" ht="14.25" hidden="1">
      <c r="A165" s="49" t="s">
        <v>0</v>
      </c>
      <c r="B165" s="50" t="s">
        <v>0</v>
      </c>
      <c r="C165" s="50" t="s">
        <v>510</v>
      </c>
      <c r="D165" s="50" t="s">
        <v>0</v>
      </c>
      <c r="E165" s="71"/>
      <c r="F165" s="51"/>
      <c r="G165" s="51"/>
      <c r="H165" s="51"/>
      <c r="I165" s="52"/>
      <c r="J165" s="52"/>
      <c r="K165" s="53"/>
    </row>
    <row r="166" spans="1:11" ht="14.25" hidden="1">
      <c r="A166" s="49" t="s">
        <v>509</v>
      </c>
      <c r="B166" s="50" t="s">
        <v>383</v>
      </c>
      <c r="C166" s="50" t="s">
        <v>384</v>
      </c>
      <c r="D166" s="50" t="s">
        <v>385</v>
      </c>
      <c r="E166" s="71">
        <f>1</f>
        <v>1</v>
      </c>
      <c r="F166" s="51"/>
      <c r="G166" s="51"/>
      <c r="H166" s="51">
        <f>'Phan tich don gia'!G714</f>
        <v>51471.801</v>
      </c>
      <c r="I166" s="52">
        <f>E166*F166</f>
        <v>0</v>
      </c>
      <c r="J166" s="52">
        <f>E166*G166</f>
        <v>0</v>
      </c>
      <c r="K166" s="53">
        <f>E166*H166</f>
        <v>51471.801</v>
      </c>
    </row>
    <row r="167" spans="1:11" ht="14.25" hidden="1">
      <c r="A167" s="49" t="s">
        <v>0</v>
      </c>
      <c r="B167" s="50" t="s">
        <v>0</v>
      </c>
      <c r="C167" s="50" t="s">
        <v>493</v>
      </c>
      <c r="D167" s="50" t="s">
        <v>0</v>
      </c>
      <c r="E167" s="71"/>
      <c r="F167" s="51"/>
      <c r="G167" s="51"/>
      <c r="H167" s="51"/>
      <c r="I167" s="52"/>
      <c r="J167" s="52"/>
      <c r="K167" s="53"/>
    </row>
    <row r="168" spans="1:11" ht="14.25" hidden="1">
      <c r="A168" s="49" t="s">
        <v>508</v>
      </c>
      <c r="B168" s="50" t="s">
        <v>389</v>
      </c>
      <c r="C168" s="50" t="s">
        <v>384</v>
      </c>
      <c r="D168" s="50" t="s">
        <v>385</v>
      </c>
      <c r="E168" s="71">
        <f>1</f>
        <v>1</v>
      </c>
      <c r="F168" s="51"/>
      <c r="G168" s="51"/>
      <c r="H168" s="51">
        <f>'Phan tich don gia'!G719</f>
        <v>36220.897</v>
      </c>
      <c r="I168" s="52">
        <f>E168*F168</f>
        <v>0</v>
      </c>
      <c r="J168" s="52">
        <f>E168*G168</f>
        <v>0</v>
      </c>
      <c r="K168" s="53">
        <f>E168*H168</f>
        <v>36220.897</v>
      </c>
    </row>
    <row r="169" spans="1:11" ht="14.25" hidden="1">
      <c r="A169" s="49" t="s">
        <v>0</v>
      </c>
      <c r="B169" s="50" t="s">
        <v>0</v>
      </c>
      <c r="C169" s="50" t="s">
        <v>491</v>
      </c>
      <c r="D169" s="50" t="s">
        <v>0</v>
      </c>
      <c r="E169" s="71"/>
      <c r="F169" s="51"/>
      <c r="G169" s="51"/>
      <c r="H169" s="51"/>
      <c r="I169" s="52"/>
      <c r="J169" s="52"/>
      <c r="K169" s="53"/>
    </row>
    <row r="170" spans="1:11" ht="14.25" hidden="1">
      <c r="A170" s="49" t="s">
        <v>507</v>
      </c>
      <c r="B170" s="50" t="s">
        <v>392</v>
      </c>
      <c r="C170" s="50" t="s">
        <v>384</v>
      </c>
      <c r="D170" s="50" t="s">
        <v>385</v>
      </c>
      <c r="E170" s="71">
        <f>1</f>
        <v>1</v>
      </c>
      <c r="F170" s="51"/>
      <c r="G170" s="51"/>
      <c r="H170" s="51">
        <f>'Phan tich don gia'!G724</f>
        <v>26689.082</v>
      </c>
      <c r="I170" s="52">
        <f>E170*F170</f>
        <v>0</v>
      </c>
      <c r="J170" s="52">
        <f>E170*G170</f>
        <v>0</v>
      </c>
      <c r="K170" s="53">
        <f>E170*H170</f>
        <v>26689.082</v>
      </c>
    </row>
    <row r="171" spans="1:11" ht="14.25" hidden="1">
      <c r="A171" s="49" t="s">
        <v>0</v>
      </c>
      <c r="B171" s="50" t="s">
        <v>0</v>
      </c>
      <c r="C171" s="50" t="s">
        <v>489</v>
      </c>
      <c r="D171" s="50" t="s">
        <v>0</v>
      </c>
      <c r="E171" s="71"/>
      <c r="F171" s="51"/>
      <c r="G171" s="51"/>
      <c r="H171" s="51"/>
      <c r="I171" s="52"/>
      <c r="J171" s="52"/>
      <c r="K171" s="53"/>
    </row>
    <row r="172" spans="1:11" ht="14.25" hidden="1">
      <c r="A172" s="49" t="s">
        <v>506</v>
      </c>
      <c r="B172" s="50" t="s">
        <v>395</v>
      </c>
      <c r="C172" s="50" t="s">
        <v>396</v>
      </c>
      <c r="D172" s="50" t="s">
        <v>385</v>
      </c>
      <c r="E172" s="71">
        <f>1</f>
        <v>1</v>
      </c>
      <c r="F172" s="51"/>
      <c r="G172" s="51"/>
      <c r="H172" s="51">
        <f>'Phan tich don gia'!G729</f>
        <v>64816.342</v>
      </c>
      <c r="I172" s="52">
        <f>E172*F172</f>
        <v>0</v>
      </c>
      <c r="J172" s="52">
        <f>E172*G172</f>
        <v>0</v>
      </c>
      <c r="K172" s="53">
        <f>E172*H172</f>
        <v>64816.342</v>
      </c>
    </row>
    <row r="173" spans="1:11" ht="14.25" hidden="1">
      <c r="A173" s="49" t="s">
        <v>0</v>
      </c>
      <c r="B173" s="50" t="s">
        <v>0</v>
      </c>
      <c r="C173" s="50" t="s">
        <v>493</v>
      </c>
      <c r="D173" s="50" t="s">
        <v>0</v>
      </c>
      <c r="E173" s="71"/>
      <c r="F173" s="51"/>
      <c r="G173" s="51"/>
      <c r="H173" s="51"/>
      <c r="I173" s="52"/>
      <c r="J173" s="52"/>
      <c r="K173" s="53"/>
    </row>
    <row r="174" spans="1:11" ht="14.25" hidden="1">
      <c r="A174" s="49" t="s">
        <v>505</v>
      </c>
      <c r="B174" s="50" t="s">
        <v>398</v>
      </c>
      <c r="C174" s="50" t="s">
        <v>396</v>
      </c>
      <c r="D174" s="50" t="s">
        <v>385</v>
      </c>
      <c r="E174" s="71">
        <f>1</f>
        <v>1</v>
      </c>
      <c r="F174" s="51"/>
      <c r="G174" s="51"/>
      <c r="H174" s="51">
        <f>'Phan tich don gia'!G734</f>
        <v>47659.075</v>
      </c>
      <c r="I174" s="52">
        <f>E174*F174</f>
        <v>0</v>
      </c>
      <c r="J174" s="52">
        <f>E174*G174</f>
        <v>0</v>
      </c>
      <c r="K174" s="53">
        <f>E174*H174</f>
        <v>47659.075</v>
      </c>
    </row>
    <row r="175" spans="1:11" ht="14.25" hidden="1">
      <c r="A175" s="49" t="s">
        <v>0</v>
      </c>
      <c r="B175" s="50" t="s">
        <v>0</v>
      </c>
      <c r="C175" s="50" t="s">
        <v>491</v>
      </c>
      <c r="D175" s="50" t="s">
        <v>0</v>
      </c>
      <c r="E175" s="71"/>
      <c r="F175" s="51"/>
      <c r="G175" s="51"/>
      <c r="H175" s="51"/>
      <c r="I175" s="52"/>
      <c r="J175" s="52"/>
      <c r="K175" s="53"/>
    </row>
    <row r="176" spans="1:11" ht="14.25" hidden="1">
      <c r="A176" s="49" t="s">
        <v>504</v>
      </c>
      <c r="B176" s="50" t="s">
        <v>400</v>
      </c>
      <c r="C176" s="50" t="s">
        <v>396</v>
      </c>
      <c r="D176" s="50" t="s">
        <v>385</v>
      </c>
      <c r="E176" s="71">
        <f>1</f>
        <v>1</v>
      </c>
      <c r="F176" s="51"/>
      <c r="G176" s="51"/>
      <c r="H176" s="51">
        <f>'Phan tich don gia'!G739</f>
        <v>34314.534</v>
      </c>
      <c r="I176" s="52">
        <f>E176*F176</f>
        <v>0</v>
      </c>
      <c r="J176" s="52">
        <f>E176*G176</f>
        <v>0</v>
      </c>
      <c r="K176" s="53">
        <f>E176*H176</f>
        <v>34314.534</v>
      </c>
    </row>
    <row r="177" spans="1:11" ht="14.25" hidden="1">
      <c r="A177" s="49" t="s">
        <v>0</v>
      </c>
      <c r="B177" s="50" t="s">
        <v>0</v>
      </c>
      <c r="C177" s="50" t="s">
        <v>489</v>
      </c>
      <c r="D177" s="50" t="s">
        <v>0</v>
      </c>
      <c r="E177" s="71"/>
      <c r="F177" s="51"/>
      <c r="G177" s="51"/>
      <c r="H177" s="51"/>
      <c r="I177" s="52"/>
      <c r="J177" s="52"/>
      <c r="K177" s="53"/>
    </row>
    <row r="178" spans="1:11" ht="14.25" hidden="1">
      <c r="A178" s="49" t="s">
        <v>503</v>
      </c>
      <c r="B178" s="50" t="s">
        <v>402</v>
      </c>
      <c r="C178" s="50" t="s">
        <v>403</v>
      </c>
      <c r="D178" s="50" t="s">
        <v>404</v>
      </c>
      <c r="E178" s="71">
        <f>1</f>
        <v>1</v>
      </c>
      <c r="F178" s="51"/>
      <c r="G178" s="51"/>
      <c r="H178" s="51">
        <f>'Phan tich don gia'!G744</f>
        <v>105245.2256</v>
      </c>
      <c r="I178" s="52">
        <f>E178*F178</f>
        <v>0</v>
      </c>
      <c r="J178" s="52">
        <f>E178*G178</f>
        <v>0</v>
      </c>
      <c r="K178" s="53">
        <f>E178*H178</f>
        <v>105245.2256</v>
      </c>
    </row>
    <row r="179" spans="1:11" ht="14.25" hidden="1">
      <c r="A179" s="49" t="s">
        <v>0</v>
      </c>
      <c r="B179" s="50" t="s">
        <v>0</v>
      </c>
      <c r="C179" s="50" t="s">
        <v>493</v>
      </c>
      <c r="D179" s="50" t="s">
        <v>0</v>
      </c>
      <c r="E179" s="71"/>
      <c r="F179" s="51"/>
      <c r="G179" s="51"/>
      <c r="H179" s="51"/>
      <c r="I179" s="52"/>
      <c r="J179" s="52"/>
      <c r="K179" s="53"/>
    </row>
    <row r="180" spans="1:11" ht="14.25" hidden="1">
      <c r="A180" s="49" t="s">
        <v>502</v>
      </c>
      <c r="B180" s="50" t="s">
        <v>407</v>
      </c>
      <c r="C180" s="50" t="s">
        <v>403</v>
      </c>
      <c r="D180" s="50" t="s">
        <v>404</v>
      </c>
      <c r="E180" s="71">
        <f>1</f>
        <v>1</v>
      </c>
      <c r="F180" s="51"/>
      <c r="G180" s="51"/>
      <c r="H180" s="51">
        <f>'Phan tich don gia'!G749</f>
        <v>76164.308</v>
      </c>
      <c r="I180" s="52">
        <f>E180*F180</f>
        <v>0</v>
      </c>
      <c r="J180" s="52">
        <f>E180*G180</f>
        <v>0</v>
      </c>
      <c r="K180" s="53">
        <f>E180*H180</f>
        <v>76164.308</v>
      </c>
    </row>
    <row r="181" spans="1:11" ht="14.25" hidden="1">
      <c r="A181" s="49" t="s">
        <v>0</v>
      </c>
      <c r="B181" s="50" t="s">
        <v>0</v>
      </c>
      <c r="C181" s="50" t="s">
        <v>491</v>
      </c>
      <c r="D181" s="50" t="s">
        <v>0</v>
      </c>
      <c r="E181" s="71"/>
      <c r="F181" s="51"/>
      <c r="G181" s="51"/>
      <c r="H181" s="51"/>
      <c r="I181" s="52"/>
      <c r="J181" s="52"/>
      <c r="K181" s="53"/>
    </row>
    <row r="182" spans="1:11" ht="14.25" hidden="1">
      <c r="A182" s="49" t="s">
        <v>501</v>
      </c>
      <c r="B182" s="50" t="s">
        <v>409</v>
      </c>
      <c r="C182" s="50" t="s">
        <v>403</v>
      </c>
      <c r="D182" s="50" t="s">
        <v>404</v>
      </c>
      <c r="E182" s="71">
        <f>1</f>
        <v>1</v>
      </c>
      <c r="F182" s="51"/>
      <c r="G182" s="51"/>
      <c r="H182" s="51">
        <f>'Phan tich don gia'!G754</f>
        <v>51237.8072</v>
      </c>
      <c r="I182" s="52">
        <f>E182*F182</f>
        <v>0</v>
      </c>
      <c r="J182" s="52">
        <f>E182*G182</f>
        <v>0</v>
      </c>
      <c r="K182" s="53">
        <f>E182*H182</f>
        <v>51237.8072</v>
      </c>
    </row>
    <row r="183" spans="1:11" ht="14.25" hidden="1">
      <c r="A183" s="49" t="s">
        <v>0</v>
      </c>
      <c r="B183" s="50" t="s">
        <v>0</v>
      </c>
      <c r="C183" s="50" t="s">
        <v>489</v>
      </c>
      <c r="D183" s="50" t="s">
        <v>0</v>
      </c>
      <c r="E183" s="71"/>
      <c r="F183" s="51"/>
      <c r="G183" s="51"/>
      <c r="H183" s="51"/>
      <c r="I183" s="52"/>
      <c r="J183" s="52"/>
      <c r="K183" s="53"/>
    </row>
    <row r="184" spans="1:11" ht="14.25" hidden="1">
      <c r="A184" s="49" t="s">
        <v>500</v>
      </c>
      <c r="B184" s="50" t="s">
        <v>411</v>
      </c>
      <c r="C184" s="50" t="s">
        <v>412</v>
      </c>
      <c r="D184" s="50" t="s">
        <v>404</v>
      </c>
      <c r="E184" s="71">
        <f>1</f>
        <v>1</v>
      </c>
      <c r="F184" s="51"/>
      <c r="G184" s="51"/>
      <c r="H184" s="51">
        <f>'Phan tich don gia'!G759</f>
        <v>149559.0048</v>
      </c>
      <c r="I184" s="52">
        <f>E184*F184</f>
        <v>0</v>
      </c>
      <c r="J184" s="52">
        <f>E184*G184</f>
        <v>0</v>
      </c>
      <c r="K184" s="53">
        <f>E184*H184</f>
        <v>149559.0048</v>
      </c>
    </row>
    <row r="185" spans="1:11" ht="14.25" hidden="1">
      <c r="A185" s="49" t="s">
        <v>0</v>
      </c>
      <c r="B185" s="50" t="s">
        <v>0</v>
      </c>
      <c r="C185" s="50" t="s">
        <v>493</v>
      </c>
      <c r="D185" s="50" t="s">
        <v>0</v>
      </c>
      <c r="E185" s="71"/>
      <c r="F185" s="51"/>
      <c r="G185" s="51"/>
      <c r="H185" s="51"/>
      <c r="I185" s="52"/>
      <c r="J185" s="52"/>
      <c r="K185" s="53"/>
    </row>
    <row r="186" spans="1:11" ht="14.25" hidden="1">
      <c r="A186" s="49" t="s">
        <v>499</v>
      </c>
      <c r="B186" s="50" t="s">
        <v>414</v>
      </c>
      <c r="C186" s="50" t="s">
        <v>412</v>
      </c>
      <c r="D186" s="50" t="s">
        <v>404</v>
      </c>
      <c r="E186" s="71">
        <f>1</f>
        <v>1</v>
      </c>
      <c r="F186" s="51"/>
      <c r="G186" s="51"/>
      <c r="H186" s="51">
        <f>'Phan tich don gia'!G764</f>
        <v>108014.8368</v>
      </c>
      <c r="I186" s="52">
        <f>E186*F186</f>
        <v>0</v>
      </c>
      <c r="J186" s="52">
        <f>E186*G186</f>
        <v>0</v>
      </c>
      <c r="K186" s="53">
        <f>E186*H186</f>
        <v>108014.8368</v>
      </c>
    </row>
    <row r="187" spans="1:11" ht="14.25" hidden="1">
      <c r="A187" s="49" t="s">
        <v>0</v>
      </c>
      <c r="B187" s="50" t="s">
        <v>0</v>
      </c>
      <c r="C187" s="50" t="s">
        <v>491</v>
      </c>
      <c r="D187" s="50" t="s">
        <v>0</v>
      </c>
      <c r="E187" s="71"/>
      <c r="F187" s="51"/>
      <c r="G187" s="51"/>
      <c r="H187" s="51"/>
      <c r="I187" s="52"/>
      <c r="J187" s="52"/>
      <c r="K187" s="53"/>
    </row>
    <row r="188" spans="1:11" ht="14.25" hidden="1">
      <c r="A188" s="49" t="s">
        <v>498</v>
      </c>
      <c r="B188" s="50" t="s">
        <v>416</v>
      </c>
      <c r="C188" s="50" t="s">
        <v>412</v>
      </c>
      <c r="D188" s="50" t="s">
        <v>404</v>
      </c>
      <c r="E188" s="71">
        <f>1</f>
        <v>1</v>
      </c>
      <c r="F188" s="51"/>
      <c r="G188" s="51"/>
      <c r="H188" s="51">
        <f>'Phan tich don gia'!G769</f>
        <v>73394.6968</v>
      </c>
      <c r="I188" s="52">
        <f>E188*F188</f>
        <v>0</v>
      </c>
      <c r="J188" s="52">
        <f>E188*G188</f>
        <v>0</v>
      </c>
      <c r="K188" s="53">
        <f>E188*H188</f>
        <v>73394.6968</v>
      </c>
    </row>
    <row r="189" spans="1:11" ht="14.25" hidden="1">
      <c r="A189" s="49" t="s">
        <v>0</v>
      </c>
      <c r="B189" s="50" t="s">
        <v>0</v>
      </c>
      <c r="C189" s="50" t="s">
        <v>489</v>
      </c>
      <c r="D189" s="50" t="s">
        <v>0</v>
      </c>
      <c r="E189" s="71"/>
      <c r="F189" s="51"/>
      <c r="G189" s="51"/>
      <c r="H189" s="51"/>
      <c r="I189" s="52"/>
      <c r="J189" s="52"/>
      <c r="K189" s="53"/>
    </row>
    <row r="190" spans="1:11" ht="14.25" hidden="1">
      <c r="A190" s="49" t="s">
        <v>497</v>
      </c>
      <c r="B190" s="50" t="s">
        <v>418</v>
      </c>
      <c r="C190" s="50" t="s">
        <v>419</v>
      </c>
      <c r="D190" s="50" t="s">
        <v>404</v>
      </c>
      <c r="E190" s="71">
        <f>1</f>
        <v>1</v>
      </c>
      <c r="F190" s="51"/>
      <c r="G190" s="51"/>
      <c r="H190" s="51">
        <f>'Phan tich don gia'!G774</f>
        <v>30465.7232</v>
      </c>
      <c r="I190" s="52">
        <f>E190*F190</f>
        <v>0</v>
      </c>
      <c r="J190" s="52">
        <f>E190*G190</f>
        <v>0</v>
      </c>
      <c r="K190" s="53">
        <f>E190*H190</f>
        <v>30465.7232</v>
      </c>
    </row>
    <row r="191" spans="1:11" ht="14.25" hidden="1">
      <c r="A191" s="49" t="s">
        <v>0</v>
      </c>
      <c r="B191" s="50" t="s">
        <v>0</v>
      </c>
      <c r="C191" s="50" t="s">
        <v>493</v>
      </c>
      <c r="D191" s="50" t="s">
        <v>0</v>
      </c>
      <c r="E191" s="71"/>
      <c r="F191" s="51"/>
      <c r="G191" s="51"/>
      <c r="H191" s="51"/>
      <c r="I191" s="52"/>
      <c r="J191" s="52"/>
      <c r="K191" s="53"/>
    </row>
    <row r="192" spans="1:11" ht="14.25" hidden="1">
      <c r="A192" s="49" t="s">
        <v>496</v>
      </c>
      <c r="B192" s="50" t="s">
        <v>421</v>
      </c>
      <c r="C192" s="50" t="s">
        <v>419</v>
      </c>
      <c r="D192" s="50" t="s">
        <v>404</v>
      </c>
      <c r="E192" s="71">
        <f>1</f>
        <v>1</v>
      </c>
      <c r="F192" s="51"/>
      <c r="G192" s="51"/>
      <c r="H192" s="51">
        <f>'Phan tich don gia'!G779</f>
        <v>22156.8896</v>
      </c>
      <c r="I192" s="52">
        <f>E192*F192</f>
        <v>0</v>
      </c>
      <c r="J192" s="52">
        <f>E192*G192</f>
        <v>0</v>
      </c>
      <c r="K192" s="53">
        <f>E192*H192</f>
        <v>22156.8896</v>
      </c>
    </row>
    <row r="193" spans="1:11" ht="14.25" hidden="1">
      <c r="A193" s="49" t="s">
        <v>0</v>
      </c>
      <c r="B193" s="50" t="s">
        <v>0</v>
      </c>
      <c r="C193" s="50" t="s">
        <v>491</v>
      </c>
      <c r="D193" s="50" t="s">
        <v>0</v>
      </c>
      <c r="E193" s="71"/>
      <c r="F193" s="51"/>
      <c r="G193" s="51"/>
      <c r="H193" s="51"/>
      <c r="I193" s="52"/>
      <c r="J193" s="52"/>
      <c r="K193" s="53"/>
    </row>
    <row r="194" spans="1:11" ht="14.25" hidden="1">
      <c r="A194" s="49" t="s">
        <v>495</v>
      </c>
      <c r="B194" s="50" t="s">
        <v>423</v>
      </c>
      <c r="C194" s="50" t="s">
        <v>419</v>
      </c>
      <c r="D194" s="50" t="s">
        <v>404</v>
      </c>
      <c r="E194" s="71">
        <f>1</f>
        <v>1</v>
      </c>
      <c r="F194" s="51"/>
      <c r="G194" s="51"/>
      <c r="H194" s="51">
        <f>'Phan tich don gia'!G784</f>
        <v>15232.8616</v>
      </c>
      <c r="I194" s="52">
        <f>E194*F194</f>
        <v>0</v>
      </c>
      <c r="J194" s="52">
        <f>E194*G194</f>
        <v>0</v>
      </c>
      <c r="K194" s="53">
        <f>E194*H194</f>
        <v>15232.8616</v>
      </c>
    </row>
    <row r="195" spans="1:11" ht="14.25" hidden="1">
      <c r="A195" s="49" t="s">
        <v>0</v>
      </c>
      <c r="B195" s="50" t="s">
        <v>0</v>
      </c>
      <c r="C195" s="50" t="s">
        <v>489</v>
      </c>
      <c r="D195" s="50" t="s">
        <v>0</v>
      </c>
      <c r="E195" s="71"/>
      <c r="F195" s="51"/>
      <c r="G195" s="51"/>
      <c r="H195" s="51"/>
      <c r="I195" s="52"/>
      <c r="J195" s="52"/>
      <c r="K195" s="53"/>
    </row>
    <row r="196" spans="1:11" ht="14.25" hidden="1">
      <c r="A196" s="49" t="s">
        <v>494</v>
      </c>
      <c r="B196" s="50" t="s">
        <v>425</v>
      </c>
      <c r="C196" s="50" t="s">
        <v>426</v>
      </c>
      <c r="D196" s="50" t="s">
        <v>404</v>
      </c>
      <c r="E196" s="71">
        <f>1</f>
        <v>1</v>
      </c>
      <c r="F196" s="51"/>
      <c r="G196" s="51"/>
      <c r="H196" s="51">
        <f>'Phan tich don gia'!G789</f>
        <v>33235.3344</v>
      </c>
      <c r="I196" s="52">
        <f>E196*F196</f>
        <v>0</v>
      </c>
      <c r="J196" s="52">
        <f>E196*G196</f>
        <v>0</v>
      </c>
      <c r="K196" s="53">
        <f>E196*H196</f>
        <v>33235.3344</v>
      </c>
    </row>
    <row r="197" spans="1:11" ht="14.25" hidden="1">
      <c r="A197" s="49" t="s">
        <v>0</v>
      </c>
      <c r="B197" s="50" t="s">
        <v>0</v>
      </c>
      <c r="C197" s="50" t="s">
        <v>493</v>
      </c>
      <c r="D197" s="50" t="s">
        <v>0</v>
      </c>
      <c r="E197" s="71"/>
      <c r="F197" s="51"/>
      <c r="G197" s="51"/>
      <c r="H197" s="51"/>
      <c r="I197" s="52"/>
      <c r="J197" s="52"/>
      <c r="K197" s="53"/>
    </row>
    <row r="198" spans="1:11" ht="14.25" hidden="1">
      <c r="A198" s="49" t="s">
        <v>492</v>
      </c>
      <c r="B198" s="50" t="s">
        <v>428</v>
      </c>
      <c r="C198" s="50" t="s">
        <v>426</v>
      </c>
      <c r="D198" s="50" t="s">
        <v>404</v>
      </c>
      <c r="E198" s="71">
        <f>1</f>
        <v>1</v>
      </c>
      <c r="F198" s="51"/>
      <c r="G198" s="51"/>
      <c r="H198" s="51">
        <f>'Phan tich don gia'!G794</f>
        <v>24926.5008</v>
      </c>
      <c r="I198" s="52">
        <f>E198*F198</f>
        <v>0</v>
      </c>
      <c r="J198" s="52">
        <f>E198*G198</f>
        <v>0</v>
      </c>
      <c r="K198" s="53">
        <f>E198*H198</f>
        <v>24926.5008</v>
      </c>
    </row>
    <row r="199" spans="1:11" ht="14.25" hidden="1">
      <c r="A199" s="49" t="s">
        <v>0</v>
      </c>
      <c r="B199" s="50" t="s">
        <v>0</v>
      </c>
      <c r="C199" s="50" t="s">
        <v>491</v>
      </c>
      <c r="D199" s="50" t="s">
        <v>0</v>
      </c>
      <c r="E199" s="71"/>
      <c r="F199" s="51"/>
      <c r="G199" s="51"/>
      <c r="H199" s="51"/>
      <c r="I199" s="52"/>
      <c r="J199" s="52"/>
      <c r="K199" s="53"/>
    </row>
    <row r="200" spans="1:11" ht="14.25" hidden="1">
      <c r="A200" s="49" t="s">
        <v>490</v>
      </c>
      <c r="B200" s="50" t="s">
        <v>430</v>
      </c>
      <c r="C200" s="50" t="s">
        <v>426</v>
      </c>
      <c r="D200" s="50" t="s">
        <v>404</v>
      </c>
      <c r="E200" s="71">
        <f>1</f>
        <v>1</v>
      </c>
      <c r="F200" s="51"/>
      <c r="G200" s="51"/>
      <c r="H200" s="51">
        <f>'Phan tich don gia'!G798</f>
        <v>15232.8616</v>
      </c>
      <c r="I200" s="52">
        <f>E200*F200</f>
        <v>0</v>
      </c>
      <c r="J200" s="52">
        <f>E200*G200</f>
        <v>0</v>
      </c>
      <c r="K200" s="53">
        <f>E200*H200</f>
        <v>15232.8616</v>
      </c>
    </row>
    <row r="201" spans="1:11" ht="15" thickBot="1">
      <c r="A201" s="59" t="s">
        <v>0</v>
      </c>
      <c r="B201" s="60" t="s">
        <v>0</v>
      </c>
      <c r="C201" s="60"/>
      <c r="D201" s="60" t="s">
        <v>0</v>
      </c>
      <c r="E201" s="73"/>
      <c r="F201" s="61"/>
      <c r="G201" s="61"/>
      <c r="H201" s="61"/>
      <c r="I201" s="62"/>
      <c r="J201" s="62"/>
      <c r="K201" s="63"/>
    </row>
  </sheetData>
  <sheetProtection/>
  <mergeCells count="11">
    <mergeCell ref="B7:B8"/>
    <mergeCell ref="C7:C8"/>
    <mergeCell ref="D7:D8"/>
    <mergeCell ref="E7:E8"/>
    <mergeCell ref="F7:H7"/>
    <mergeCell ref="I7:K7"/>
    <mergeCell ref="A1:K1"/>
    <mergeCell ref="A3:K3"/>
    <mergeCell ref="A4:K4"/>
    <mergeCell ref="A5:K5"/>
    <mergeCell ref="A7:A8"/>
  </mergeCells>
  <printOptions horizontalCentered="1"/>
  <pageMargins left="0.75" right="0.5" top="0.75" bottom="0.75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19"/>
  <sheetViews>
    <sheetView showZeros="0" zoomScalePageLayoutView="0" workbookViewId="0" topLeftCell="A612">
      <selection activeCell="G622" sqref="G622"/>
    </sheetView>
  </sheetViews>
  <sheetFormatPr defaultColWidth="8.796875" defaultRowHeight="15"/>
  <cols>
    <col min="1" max="1" width="3.59765625" style="6" customWidth="1"/>
    <col min="2" max="2" width="11.8984375" style="6" bestFit="1" customWidth="1"/>
    <col min="3" max="3" width="30.3984375" style="6" customWidth="1"/>
    <col min="4" max="4" width="5.19921875" style="6" customWidth="1"/>
    <col min="5" max="5" width="10.09765625" style="78" customWidth="1"/>
    <col min="6" max="6" width="11.19921875" style="79" bestFit="1" customWidth="1"/>
    <col min="7" max="7" width="12.5" style="79" customWidth="1"/>
    <col min="8" max="16384" width="9" style="6" customWidth="1"/>
  </cols>
  <sheetData>
    <row r="1" spans="1:7" ht="21">
      <c r="A1" s="195" t="s">
        <v>756</v>
      </c>
      <c r="B1" s="195"/>
      <c r="C1" s="195"/>
      <c r="D1" s="195"/>
      <c r="E1" s="195"/>
      <c r="F1" s="195"/>
      <c r="G1" s="195"/>
    </row>
    <row r="2" spans="1:7" ht="15.75">
      <c r="A2" s="2"/>
      <c r="B2" s="2"/>
      <c r="C2" s="2"/>
      <c r="D2" s="2"/>
      <c r="E2" s="90"/>
      <c r="F2" s="1"/>
      <c r="G2" s="1"/>
    </row>
    <row r="3" spans="1:7" s="29" customFormat="1" ht="16.5">
      <c r="A3" s="192" t="s">
        <v>735</v>
      </c>
      <c r="B3" s="192"/>
      <c r="C3" s="192"/>
      <c r="D3" s="192"/>
      <c r="E3" s="192"/>
      <c r="F3" s="192"/>
      <c r="G3" s="192"/>
    </row>
    <row r="4" spans="1:7" s="29" customFormat="1" ht="16.5">
      <c r="A4" s="192" t="s">
        <v>736</v>
      </c>
      <c r="B4" s="192"/>
      <c r="C4" s="192"/>
      <c r="D4" s="192"/>
      <c r="E4" s="192"/>
      <c r="F4" s="192"/>
      <c r="G4" s="192"/>
    </row>
    <row r="5" spans="1:7" s="29" customFormat="1" ht="16.5">
      <c r="A5" s="192" t="s">
        <v>737</v>
      </c>
      <c r="B5" s="192"/>
      <c r="C5" s="192"/>
      <c r="D5" s="192"/>
      <c r="E5" s="192"/>
      <c r="F5" s="192"/>
      <c r="G5" s="192"/>
    </row>
    <row r="6" spans="1:7" ht="16.5" thickBot="1">
      <c r="A6" s="2"/>
      <c r="B6" s="2"/>
      <c r="C6" s="2"/>
      <c r="D6" s="2"/>
      <c r="E6" s="90"/>
      <c r="F6" s="1"/>
      <c r="G6" s="1"/>
    </row>
    <row r="7" spans="1:7" ht="45" customHeight="1">
      <c r="A7" s="24" t="s">
        <v>463</v>
      </c>
      <c r="B7" s="26" t="s">
        <v>757</v>
      </c>
      <c r="C7" s="25" t="s">
        <v>749</v>
      </c>
      <c r="D7" s="26" t="s">
        <v>758</v>
      </c>
      <c r="E7" s="91" t="s">
        <v>759</v>
      </c>
      <c r="F7" s="92" t="s">
        <v>747</v>
      </c>
      <c r="G7" s="93" t="s">
        <v>745</v>
      </c>
    </row>
    <row r="8" spans="1:7" ht="15">
      <c r="A8" s="16" t="s">
        <v>2</v>
      </c>
      <c r="B8" s="17" t="s">
        <v>3</v>
      </c>
      <c r="C8" s="17" t="s">
        <v>4</v>
      </c>
      <c r="D8" s="17" t="s">
        <v>5</v>
      </c>
      <c r="E8" s="87"/>
      <c r="F8" s="88"/>
      <c r="G8" s="89"/>
    </row>
    <row r="9" spans="1:7" ht="15">
      <c r="A9" s="8" t="s">
        <v>0</v>
      </c>
      <c r="B9" s="9" t="s">
        <v>0</v>
      </c>
      <c r="C9" s="9" t="s">
        <v>6</v>
      </c>
      <c r="D9" s="9" t="s">
        <v>0</v>
      </c>
      <c r="E9" s="80"/>
      <c r="F9" s="81"/>
      <c r="G9" s="82"/>
    </row>
    <row r="10" spans="1:7" ht="15.75">
      <c r="A10" s="8" t="s">
        <v>0</v>
      </c>
      <c r="B10" s="9" t="s">
        <v>0</v>
      </c>
      <c r="C10" s="9" t="s">
        <v>603</v>
      </c>
      <c r="D10" s="9" t="s">
        <v>0</v>
      </c>
      <c r="E10" s="80"/>
      <c r="F10" s="81"/>
      <c r="G10" s="83">
        <f>ROUND(SUM(G11:G11),5)</f>
        <v>10075.57912</v>
      </c>
    </row>
    <row r="11" spans="1:7" ht="15">
      <c r="A11" s="8" t="s">
        <v>0</v>
      </c>
      <c r="B11" s="9" t="s">
        <v>0</v>
      </c>
      <c r="C11" s="9" t="s">
        <v>7</v>
      </c>
      <c r="D11" s="9" t="s">
        <v>8</v>
      </c>
      <c r="E11" s="80">
        <f>0.0461</f>
        <v>0.0461</v>
      </c>
      <c r="F11" s="81">
        <f>'Gia NC,CM'!P8</f>
        <v>218559.2</v>
      </c>
      <c r="G11" s="82">
        <f>ROUND(E11*F11,5)</f>
        <v>10075.57912</v>
      </c>
    </row>
    <row r="12" spans="1:7" ht="15.75">
      <c r="A12" s="8" t="s">
        <v>0</v>
      </c>
      <c r="B12" s="9" t="s">
        <v>0</v>
      </c>
      <c r="C12" s="9" t="s">
        <v>602</v>
      </c>
      <c r="D12" s="9" t="s">
        <v>0</v>
      </c>
      <c r="E12" s="80"/>
      <c r="F12" s="81"/>
      <c r="G12" s="83">
        <f>ROUND(SUM(G13:G16),5)</f>
        <v>17431.69611</v>
      </c>
    </row>
    <row r="13" spans="1:7" ht="15">
      <c r="A13" s="8" t="s">
        <v>0</v>
      </c>
      <c r="B13" s="9" t="s">
        <v>0</v>
      </c>
      <c r="C13" s="9" t="s">
        <v>9</v>
      </c>
      <c r="D13" s="9" t="s">
        <v>10</v>
      </c>
      <c r="E13" s="80">
        <f>0.00897</f>
        <v>0.00897</v>
      </c>
      <c r="F13" s="81">
        <f>'Gia NC,CM'!P28</f>
        <v>1943332.9</v>
      </c>
      <c r="G13" s="82">
        <f>ROUND(E13*F13,5)</f>
        <v>17431.69611</v>
      </c>
    </row>
    <row r="14" spans="1:7" ht="15">
      <c r="A14" s="8" t="s">
        <v>0</v>
      </c>
      <c r="B14" s="9" t="s">
        <v>0</v>
      </c>
      <c r="C14" s="9" t="s">
        <v>0</v>
      </c>
      <c r="D14" s="9" t="s">
        <v>0</v>
      </c>
      <c r="E14" s="80"/>
      <c r="F14" s="81"/>
      <c r="G14" s="82"/>
    </row>
    <row r="15" spans="1:7" ht="15">
      <c r="A15" s="8" t="s">
        <v>11</v>
      </c>
      <c r="B15" s="9" t="s">
        <v>12</v>
      </c>
      <c r="C15" s="9" t="s">
        <v>13</v>
      </c>
      <c r="D15" s="9" t="s">
        <v>5</v>
      </c>
      <c r="E15" s="80"/>
      <c r="F15" s="81"/>
      <c r="G15" s="82"/>
    </row>
    <row r="16" spans="1:7" ht="15">
      <c r="A16" s="8" t="s">
        <v>0</v>
      </c>
      <c r="B16" s="9" t="s">
        <v>0</v>
      </c>
      <c r="C16" s="9" t="s">
        <v>14</v>
      </c>
      <c r="D16" s="9" t="s">
        <v>0</v>
      </c>
      <c r="E16" s="80"/>
      <c r="F16" s="81"/>
      <c r="G16" s="82"/>
    </row>
    <row r="17" spans="1:7" ht="15.75">
      <c r="A17" s="8" t="s">
        <v>0</v>
      </c>
      <c r="B17" s="9" t="s">
        <v>0</v>
      </c>
      <c r="C17" s="9" t="s">
        <v>603</v>
      </c>
      <c r="D17" s="9" t="s">
        <v>0</v>
      </c>
      <c r="E17" s="80"/>
      <c r="F17" s="81"/>
      <c r="G17" s="83">
        <f>ROUND(SUM(G18:G18),5)</f>
        <v>11780.34088</v>
      </c>
    </row>
    <row r="18" spans="1:7" ht="15">
      <c r="A18" s="8" t="s">
        <v>0</v>
      </c>
      <c r="B18" s="9" t="s">
        <v>0</v>
      </c>
      <c r="C18" s="9" t="s">
        <v>7</v>
      </c>
      <c r="D18" s="9" t="s">
        <v>8</v>
      </c>
      <c r="E18" s="80">
        <f>0.0539</f>
        <v>0.0539</v>
      </c>
      <c r="F18" s="81">
        <f>'Gia NC,CM'!P8</f>
        <v>218559.2</v>
      </c>
      <c r="G18" s="82">
        <f>ROUND(E18*F18,5)</f>
        <v>11780.34088</v>
      </c>
    </row>
    <row r="19" spans="1:7" ht="15.75">
      <c r="A19" s="8" t="s">
        <v>0</v>
      </c>
      <c r="B19" s="9" t="s">
        <v>0</v>
      </c>
      <c r="C19" s="9" t="s">
        <v>602</v>
      </c>
      <c r="D19" s="9" t="s">
        <v>0</v>
      </c>
      <c r="E19" s="80"/>
      <c r="F19" s="81"/>
      <c r="G19" s="83">
        <f>ROUND(SUM(G20:G22),5)</f>
        <v>12812.83545</v>
      </c>
    </row>
    <row r="20" spans="1:7" ht="15">
      <c r="A20" s="8" t="s">
        <v>0</v>
      </c>
      <c r="B20" s="9" t="s">
        <v>0</v>
      </c>
      <c r="C20" s="9" t="s">
        <v>15</v>
      </c>
      <c r="D20" s="9" t="s">
        <v>10</v>
      </c>
      <c r="E20" s="80">
        <f>0.0335</f>
        <v>0.0335</v>
      </c>
      <c r="F20" s="81">
        <f>'Gia NC,CM'!P31</f>
        <v>382472.7</v>
      </c>
      <c r="G20" s="82">
        <f>ROUND(E20*F20,5)</f>
        <v>12812.83545</v>
      </c>
    </row>
    <row r="21" spans="1:7" ht="15">
      <c r="A21" s="8" t="s">
        <v>0</v>
      </c>
      <c r="B21" s="9" t="s">
        <v>0</v>
      </c>
      <c r="C21" s="9" t="s">
        <v>0</v>
      </c>
      <c r="D21" s="9" t="s">
        <v>0</v>
      </c>
      <c r="E21" s="80"/>
      <c r="F21" s="81"/>
      <c r="G21" s="82"/>
    </row>
    <row r="22" spans="1:7" ht="15">
      <c r="A22" s="8" t="s">
        <v>16</v>
      </c>
      <c r="B22" s="9" t="s">
        <v>17</v>
      </c>
      <c r="C22" s="9" t="s">
        <v>18</v>
      </c>
      <c r="D22" s="9" t="s">
        <v>5</v>
      </c>
      <c r="E22" s="80"/>
      <c r="F22" s="81"/>
      <c r="G22" s="82"/>
    </row>
    <row r="23" spans="1:7" ht="15.75">
      <c r="A23" s="8" t="s">
        <v>0</v>
      </c>
      <c r="B23" s="9" t="s">
        <v>0</v>
      </c>
      <c r="C23" s="9" t="s">
        <v>604</v>
      </c>
      <c r="D23" s="9" t="s">
        <v>0</v>
      </c>
      <c r="E23" s="80"/>
      <c r="F23" s="81"/>
      <c r="G23" s="83">
        <f>ROUND(SUM(G24:G27),5)</f>
        <v>773921.80161</v>
      </c>
    </row>
    <row r="24" spans="1:7" ht="15">
      <c r="A24" s="8" t="s">
        <v>0</v>
      </c>
      <c r="B24" s="9" t="s">
        <v>0</v>
      </c>
      <c r="C24" s="9" t="s">
        <v>19</v>
      </c>
      <c r="D24" s="9" t="s">
        <v>20</v>
      </c>
      <c r="E24" s="80">
        <f>197.825</f>
        <v>197.825</v>
      </c>
      <c r="F24" s="81">
        <f>ROUND('Gia VL'!Q67/1000,5)</f>
        <v>1637.6775</v>
      </c>
      <c r="G24" s="82">
        <f>ROUND(E24*F24,5)</f>
        <v>323973.55144</v>
      </c>
    </row>
    <row r="25" spans="1:7" ht="15">
      <c r="A25" s="8" t="s">
        <v>0</v>
      </c>
      <c r="B25" s="9" t="s">
        <v>0</v>
      </c>
      <c r="C25" s="9" t="s">
        <v>21</v>
      </c>
      <c r="D25" s="9" t="s">
        <v>22</v>
      </c>
      <c r="E25" s="80">
        <f>0.572975</f>
        <v>0.572975</v>
      </c>
      <c r="F25" s="81">
        <f>'Gia VL'!Q18</f>
        <v>379127.7</v>
      </c>
      <c r="G25" s="82">
        <f>ROUND(E25*F25,5)</f>
        <v>217230.69391</v>
      </c>
    </row>
    <row r="26" spans="1:7" ht="15">
      <c r="A26" s="8" t="s">
        <v>0</v>
      </c>
      <c r="B26" s="9" t="s">
        <v>0</v>
      </c>
      <c r="C26" s="9" t="s">
        <v>23</v>
      </c>
      <c r="D26" s="9" t="s">
        <v>22</v>
      </c>
      <c r="E26" s="80">
        <f>0.92865</f>
        <v>0.92865</v>
      </c>
      <c r="F26" s="81">
        <f>'Gia VL'!Q81</f>
        <v>248890.90000000002</v>
      </c>
      <c r="G26" s="82">
        <f>ROUND(E26*F26,5)</f>
        <v>231132.53429</v>
      </c>
    </row>
    <row r="27" spans="1:7" ht="15">
      <c r="A27" s="8" t="s">
        <v>0</v>
      </c>
      <c r="B27" s="9" t="s">
        <v>0</v>
      </c>
      <c r="C27" s="9" t="s">
        <v>24</v>
      </c>
      <c r="D27" s="9" t="s">
        <v>22</v>
      </c>
      <c r="E27" s="80">
        <f>0.16605</f>
        <v>0.16605</v>
      </c>
      <c r="F27" s="81">
        <f>'Gia VL'!Q47</f>
        <v>9545.45</v>
      </c>
      <c r="G27" s="82">
        <f>ROUND(E27*F27,5)</f>
        <v>1585.02197</v>
      </c>
    </row>
    <row r="28" spans="1:7" ht="15.75">
      <c r="A28" s="8" t="s">
        <v>0</v>
      </c>
      <c r="B28" s="9" t="s">
        <v>0</v>
      </c>
      <c r="C28" s="9" t="s">
        <v>603</v>
      </c>
      <c r="D28" s="9" t="s">
        <v>0</v>
      </c>
      <c r="E28" s="80"/>
      <c r="F28" s="81"/>
      <c r="G28" s="83">
        <f>ROUND(SUM(G29:G29),5)</f>
        <v>246774.421</v>
      </c>
    </row>
    <row r="29" spans="1:7" ht="15">
      <c r="A29" s="8" t="s">
        <v>0</v>
      </c>
      <c r="B29" s="9" t="s">
        <v>0</v>
      </c>
      <c r="C29" s="9" t="s">
        <v>25</v>
      </c>
      <c r="D29" s="9" t="s">
        <v>8</v>
      </c>
      <c r="E29" s="80">
        <f>1.07</f>
        <v>1.07</v>
      </c>
      <c r="F29" s="81">
        <f>'Gia NC,CM'!P9</f>
        <v>230630.3</v>
      </c>
      <c r="G29" s="82">
        <f>ROUND(E29*F29,5)</f>
        <v>246774.421</v>
      </c>
    </row>
    <row r="30" spans="1:7" ht="15.75">
      <c r="A30" s="8" t="s">
        <v>0</v>
      </c>
      <c r="B30" s="9" t="s">
        <v>0</v>
      </c>
      <c r="C30" s="9" t="s">
        <v>602</v>
      </c>
      <c r="D30" s="9" t="s">
        <v>0</v>
      </c>
      <c r="E30" s="80"/>
      <c r="F30" s="81"/>
      <c r="G30" s="83">
        <f>ROUND(SUM(G31:G35),5)</f>
        <v>54409.0095</v>
      </c>
    </row>
    <row r="31" spans="1:7" ht="15">
      <c r="A31" s="8" t="s">
        <v>0</v>
      </c>
      <c r="B31" s="9" t="s">
        <v>0</v>
      </c>
      <c r="C31" s="9" t="s">
        <v>26</v>
      </c>
      <c r="D31" s="9" t="s">
        <v>10</v>
      </c>
      <c r="E31" s="80">
        <f>0.095</f>
        <v>0.095</v>
      </c>
      <c r="F31" s="81">
        <f>'Gia NC,CM'!P25</f>
        <v>318885.3</v>
      </c>
      <c r="G31" s="82">
        <f>ROUND(E31*F31,5)</f>
        <v>30294.1035</v>
      </c>
    </row>
    <row r="32" spans="1:7" ht="15">
      <c r="A32" s="8" t="s">
        <v>0</v>
      </c>
      <c r="B32" s="9" t="s">
        <v>0</v>
      </c>
      <c r="C32" s="9" t="s">
        <v>27</v>
      </c>
      <c r="D32" s="9" t="s">
        <v>10</v>
      </c>
      <c r="E32" s="80">
        <f>0.089</f>
        <v>0.089</v>
      </c>
      <c r="F32" s="81">
        <f>'Gia NC,CM'!P29</f>
        <v>270954</v>
      </c>
      <c r="G32" s="82">
        <f>ROUND(E32*F32,5)</f>
        <v>24114.906</v>
      </c>
    </row>
    <row r="33" spans="1:7" ht="15">
      <c r="A33" s="8" t="s">
        <v>0</v>
      </c>
      <c r="B33" s="9" t="s">
        <v>0</v>
      </c>
      <c r="C33" s="9" t="s">
        <v>0</v>
      </c>
      <c r="D33" s="9" t="s">
        <v>0</v>
      </c>
      <c r="E33" s="80"/>
      <c r="F33" s="81"/>
      <c r="G33" s="82"/>
    </row>
    <row r="34" spans="1:7" ht="15">
      <c r="A34" s="8" t="s">
        <v>28</v>
      </c>
      <c r="B34" s="9" t="s">
        <v>29</v>
      </c>
      <c r="C34" s="9" t="s">
        <v>30</v>
      </c>
      <c r="D34" s="9" t="s">
        <v>5</v>
      </c>
      <c r="E34" s="80"/>
      <c r="F34" s="81"/>
      <c r="G34" s="82"/>
    </row>
    <row r="35" spans="1:7" ht="15">
      <c r="A35" s="8" t="s">
        <v>0</v>
      </c>
      <c r="B35" s="9" t="s">
        <v>0</v>
      </c>
      <c r="C35" s="9" t="s">
        <v>31</v>
      </c>
      <c r="D35" s="9" t="s">
        <v>0</v>
      </c>
      <c r="E35" s="80"/>
      <c r="F35" s="81"/>
      <c r="G35" s="82"/>
    </row>
    <row r="36" spans="1:7" ht="15.75">
      <c r="A36" s="8" t="s">
        <v>0</v>
      </c>
      <c r="B36" s="9" t="s">
        <v>0</v>
      </c>
      <c r="C36" s="9" t="s">
        <v>604</v>
      </c>
      <c r="D36" s="9" t="s">
        <v>0</v>
      </c>
      <c r="E36" s="80"/>
      <c r="F36" s="81"/>
      <c r="G36" s="83">
        <f>ROUND(SUM(G37:G41),5)</f>
        <v>1026147.37317</v>
      </c>
    </row>
    <row r="37" spans="1:7" ht="15">
      <c r="A37" s="8" t="s">
        <v>0</v>
      </c>
      <c r="B37" s="9" t="s">
        <v>0</v>
      </c>
      <c r="C37" s="9" t="s">
        <v>32</v>
      </c>
      <c r="D37" s="9" t="s">
        <v>20</v>
      </c>
      <c r="E37" s="80">
        <f>320.825</f>
        <v>320.825</v>
      </c>
      <c r="F37" s="81">
        <f>ROUND('Gia VL'!Q69/1000,5)</f>
        <v>1701.3145</v>
      </c>
      <c r="G37" s="82">
        <f>ROUND(E37*F37,5)</f>
        <v>545824.22446</v>
      </c>
    </row>
    <row r="38" spans="1:7" ht="15">
      <c r="A38" s="8" t="s">
        <v>0</v>
      </c>
      <c r="B38" s="9" t="s">
        <v>0</v>
      </c>
      <c r="C38" s="9" t="s">
        <v>21</v>
      </c>
      <c r="D38" s="9" t="s">
        <v>22</v>
      </c>
      <c r="E38" s="80">
        <f>0.523775</f>
        <v>0.523775</v>
      </c>
      <c r="F38" s="81">
        <f>'Gia VL'!Q18</f>
        <v>379127.7</v>
      </c>
      <c r="G38" s="82">
        <f>ROUND(E38*F38,5)</f>
        <v>198577.61107</v>
      </c>
    </row>
    <row r="39" spans="1:7" ht="15">
      <c r="A39" s="8" t="s">
        <v>0</v>
      </c>
      <c r="B39" s="9" t="s">
        <v>0</v>
      </c>
      <c r="C39" s="9" t="s">
        <v>33</v>
      </c>
      <c r="D39" s="9" t="s">
        <v>22</v>
      </c>
      <c r="E39" s="80">
        <f>0.86305</f>
        <v>0.86305</v>
      </c>
      <c r="F39" s="81">
        <f>'Gia VL'!Q75</f>
        <v>312527.3</v>
      </c>
      <c r="G39" s="82">
        <f>ROUND(E39*F39,5)</f>
        <v>269726.68627</v>
      </c>
    </row>
    <row r="40" spans="1:7" ht="15">
      <c r="A40" s="8" t="s">
        <v>0</v>
      </c>
      <c r="B40" s="9" t="s">
        <v>0</v>
      </c>
      <c r="C40" s="9" t="s">
        <v>24</v>
      </c>
      <c r="D40" s="9" t="s">
        <v>22</v>
      </c>
      <c r="E40" s="80">
        <f>0.19475</f>
        <v>0.19475</v>
      </c>
      <c r="F40" s="81">
        <f>'Gia VL'!Q47</f>
        <v>9545.45</v>
      </c>
      <c r="G40" s="82">
        <f>ROUND(E40*F40,5)</f>
        <v>1858.97639</v>
      </c>
    </row>
    <row r="41" spans="1:7" ht="15">
      <c r="A41" s="8" t="s">
        <v>0</v>
      </c>
      <c r="B41" s="9" t="s">
        <v>0</v>
      </c>
      <c r="C41" s="9" t="s">
        <v>609</v>
      </c>
      <c r="D41" s="9" t="s">
        <v>605</v>
      </c>
      <c r="E41" s="80">
        <f>1</f>
        <v>1</v>
      </c>
      <c r="F41" s="81"/>
      <c r="G41" s="82">
        <f>ROUND(SUM(G37:G40)*E41/100,5)</f>
        <v>10159.87498</v>
      </c>
    </row>
    <row r="42" spans="1:7" ht="15.75">
      <c r="A42" s="8" t="s">
        <v>0</v>
      </c>
      <c r="B42" s="9" t="s">
        <v>0</v>
      </c>
      <c r="C42" s="9" t="s">
        <v>603</v>
      </c>
      <c r="D42" s="9" t="s">
        <v>0</v>
      </c>
      <c r="E42" s="80"/>
      <c r="F42" s="81"/>
      <c r="G42" s="83">
        <f>ROUND(SUM(G43:G43),5)</f>
        <v>283675.269</v>
      </c>
    </row>
    <row r="43" spans="1:7" ht="15">
      <c r="A43" s="8" t="s">
        <v>0</v>
      </c>
      <c r="B43" s="9" t="s">
        <v>0</v>
      </c>
      <c r="C43" s="9" t="s">
        <v>25</v>
      </c>
      <c r="D43" s="9" t="s">
        <v>8</v>
      </c>
      <c r="E43" s="80">
        <f>1.23</f>
        <v>1.23</v>
      </c>
      <c r="F43" s="81">
        <f>'Gia NC,CM'!P9</f>
        <v>230630.3</v>
      </c>
      <c r="G43" s="82">
        <f>ROUND(E43*F43,5)</f>
        <v>283675.269</v>
      </c>
    </row>
    <row r="44" spans="1:7" ht="15.75">
      <c r="A44" s="8" t="s">
        <v>0</v>
      </c>
      <c r="B44" s="9" t="s">
        <v>0</v>
      </c>
      <c r="C44" s="9" t="s">
        <v>602</v>
      </c>
      <c r="D44" s="9" t="s">
        <v>0</v>
      </c>
      <c r="E44" s="80"/>
      <c r="F44" s="81"/>
      <c r="G44" s="83">
        <f>ROUND(SUM(G45:G49),5)</f>
        <v>54756.7503</v>
      </c>
    </row>
    <row r="45" spans="1:7" ht="15">
      <c r="A45" s="8" t="s">
        <v>0</v>
      </c>
      <c r="B45" s="9" t="s">
        <v>0</v>
      </c>
      <c r="C45" s="9" t="s">
        <v>26</v>
      </c>
      <c r="D45" s="9" t="s">
        <v>10</v>
      </c>
      <c r="E45" s="80">
        <f>0.095</f>
        <v>0.095</v>
      </c>
      <c r="F45" s="81">
        <f>'Gia NC,CM'!P25</f>
        <v>318885.3</v>
      </c>
      <c r="G45" s="82">
        <f>ROUND(E45*F45,5)</f>
        <v>30294.1035</v>
      </c>
    </row>
    <row r="46" spans="1:7" ht="15">
      <c r="A46" s="8" t="s">
        <v>0</v>
      </c>
      <c r="B46" s="9" t="s">
        <v>0</v>
      </c>
      <c r="C46" s="9" t="s">
        <v>34</v>
      </c>
      <c r="D46" s="9" t="s">
        <v>10</v>
      </c>
      <c r="E46" s="80">
        <f>0.089</f>
        <v>0.089</v>
      </c>
      <c r="F46" s="81">
        <f>'Gia NC,CM'!P30</f>
        <v>274861.2</v>
      </c>
      <c r="G46" s="82">
        <f>ROUND(E46*F46,5)</f>
        <v>24462.6468</v>
      </c>
    </row>
    <row r="47" spans="1:7" ht="15">
      <c r="A47" s="8" t="s">
        <v>0</v>
      </c>
      <c r="B47" s="9" t="s">
        <v>0</v>
      </c>
      <c r="C47" s="9" t="s">
        <v>0</v>
      </c>
      <c r="D47" s="9" t="s">
        <v>0</v>
      </c>
      <c r="E47" s="80"/>
      <c r="F47" s="81"/>
      <c r="G47" s="82"/>
    </row>
    <row r="48" spans="1:7" ht="15">
      <c r="A48" s="8" t="s">
        <v>35</v>
      </c>
      <c r="B48" s="9" t="s">
        <v>36</v>
      </c>
      <c r="C48" s="9" t="s">
        <v>37</v>
      </c>
      <c r="D48" s="9" t="s">
        <v>38</v>
      </c>
      <c r="E48" s="80"/>
      <c r="F48" s="81"/>
      <c r="G48" s="82"/>
    </row>
    <row r="49" spans="1:7" ht="15">
      <c r="A49" s="8" t="s">
        <v>0</v>
      </c>
      <c r="B49" s="9" t="s">
        <v>0</v>
      </c>
      <c r="C49" s="9" t="s">
        <v>39</v>
      </c>
      <c r="D49" s="9" t="s">
        <v>0</v>
      </c>
      <c r="E49" s="80"/>
      <c r="F49" s="81"/>
      <c r="G49" s="82"/>
    </row>
    <row r="50" spans="1:7" ht="15.75">
      <c r="A50" s="8" t="s">
        <v>0</v>
      </c>
      <c r="B50" s="9" t="s">
        <v>0</v>
      </c>
      <c r="C50" s="9" t="s">
        <v>604</v>
      </c>
      <c r="D50" s="9" t="s">
        <v>0</v>
      </c>
      <c r="E50" s="80"/>
      <c r="F50" s="81"/>
      <c r="G50" s="83">
        <f>ROUND(SUM(G51:G55),5)</f>
        <v>58068.08975</v>
      </c>
    </row>
    <row r="51" spans="1:7" ht="15">
      <c r="A51" s="8" t="s">
        <v>0</v>
      </c>
      <c r="B51" s="9" t="s">
        <v>0</v>
      </c>
      <c r="C51" s="9" t="s">
        <v>40</v>
      </c>
      <c r="D51" s="9" t="s">
        <v>22</v>
      </c>
      <c r="E51" s="80">
        <f>0.00794</f>
        <v>0.00794</v>
      </c>
      <c r="F51" s="81">
        <f>'Gia VL'!Q36</f>
        <v>4110579.4</v>
      </c>
      <c r="G51" s="82">
        <f>ROUND(E51*F51,5)</f>
        <v>32638.00044</v>
      </c>
    </row>
    <row r="52" spans="1:7" ht="15">
      <c r="A52" s="8" t="s">
        <v>0</v>
      </c>
      <c r="B52" s="9" t="s">
        <v>0</v>
      </c>
      <c r="C52" s="9" t="s">
        <v>41</v>
      </c>
      <c r="D52" s="9" t="s">
        <v>22</v>
      </c>
      <c r="E52" s="80">
        <f>0.0021</f>
        <v>0.0021</v>
      </c>
      <c r="F52" s="81">
        <f>'Gia VL'!Q42</f>
        <v>4110579.4</v>
      </c>
      <c r="G52" s="82">
        <f>ROUND(E52*F52,5)</f>
        <v>8632.21674</v>
      </c>
    </row>
    <row r="53" spans="1:7" ht="15">
      <c r="A53" s="8" t="s">
        <v>0</v>
      </c>
      <c r="B53" s="9" t="s">
        <v>0</v>
      </c>
      <c r="C53" s="9" t="s">
        <v>42</v>
      </c>
      <c r="D53" s="9" t="s">
        <v>22</v>
      </c>
      <c r="E53" s="80">
        <f>0.00335</f>
        <v>0.00335</v>
      </c>
      <c r="F53" s="81">
        <f>'Gia VL'!Q34</f>
        <v>4110579.4</v>
      </c>
      <c r="G53" s="82">
        <f>ROUND(E53*F53,5)</f>
        <v>13770.44099</v>
      </c>
    </row>
    <row r="54" spans="1:7" ht="15">
      <c r="A54" s="8" t="s">
        <v>0</v>
      </c>
      <c r="B54" s="9" t="s">
        <v>0</v>
      </c>
      <c r="C54" s="9" t="s">
        <v>43</v>
      </c>
      <c r="D54" s="9" t="s">
        <v>20</v>
      </c>
      <c r="E54" s="80">
        <f>0.15</f>
        <v>0.15</v>
      </c>
      <c r="F54" s="81">
        <f>ROUND('Gia VL'!Q73/1000,5)</f>
        <v>16350</v>
      </c>
      <c r="G54" s="82">
        <f>ROUND(E54*F54,5)</f>
        <v>2452.5</v>
      </c>
    </row>
    <row r="55" spans="1:7" ht="15">
      <c r="A55" s="8" t="s">
        <v>0</v>
      </c>
      <c r="B55" s="9" t="s">
        <v>0</v>
      </c>
      <c r="C55" s="9" t="s">
        <v>609</v>
      </c>
      <c r="D55" s="9" t="s">
        <v>605</v>
      </c>
      <c r="E55" s="80">
        <f>1</f>
        <v>1</v>
      </c>
      <c r="F55" s="81"/>
      <c r="G55" s="82">
        <f>ROUND(SUM(G51:G54)*E55/100,5)</f>
        <v>574.93158</v>
      </c>
    </row>
    <row r="56" spans="1:7" ht="15.75">
      <c r="A56" s="8" t="s">
        <v>0</v>
      </c>
      <c r="B56" s="9" t="s">
        <v>0</v>
      </c>
      <c r="C56" s="9" t="s">
        <v>603</v>
      </c>
      <c r="D56" s="9" t="s">
        <v>0</v>
      </c>
      <c r="E56" s="80"/>
      <c r="F56" s="81"/>
      <c r="G56" s="83">
        <f>ROUND(SUM(G57:G59),5)</f>
        <v>74903.4</v>
      </c>
    </row>
    <row r="57" spans="1:7" ht="15">
      <c r="A57" s="8" t="s">
        <v>0</v>
      </c>
      <c r="B57" s="9" t="s">
        <v>0</v>
      </c>
      <c r="C57" s="9" t="s">
        <v>44</v>
      </c>
      <c r="D57" s="9" t="s">
        <v>8</v>
      </c>
      <c r="E57" s="80">
        <f>0.297</f>
        <v>0.297</v>
      </c>
      <c r="F57" s="81">
        <f>'Gia NC,CM'!P11</f>
        <v>252200</v>
      </c>
      <c r="G57" s="82">
        <f>ROUND(E57*F57,5)</f>
        <v>74903.4</v>
      </c>
    </row>
    <row r="58" spans="1:7" ht="15">
      <c r="A58" s="8" t="s">
        <v>0</v>
      </c>
      <c r="B58" s="9" t="s">
        <v>0</v>
      </c>
      <c r="C58" s="9" t="s">
        <v>0</v>
      </c>
      <c r="D58" s="9" t="s">
        <v>0</v>
      </c>
      <c r="E58" s="80"/>
      <c r="F58" s="81"/>
      <c r="G58" s="82"/>
    </row>
    <row r="59" spans="1:7" ht="15">
      <c r="A59" s="8" t="s">
        <v>45</v>
      </c>
      <c r="B59" s="9" t="s">
        <v>46</v>
      </c>
      <c r="C59" s="9" t="s">
        <v>47</v>
      </c>
      <c r="D59" s="9" t="s">
        <v>38</v>
      </c>
      <c r="E59" s="80"/>
      <c r="F59" s="81"/>
      <c r="G59" s="82"/>
    </row>
    <row r="60" spans="1:7" ht="15.75">
      <c r="A60" s="8" t="s">
        <v>0</v>
      </c>
      <c r="B60" s="9" t="s">
        <v>0</v>
      </c>
      <c r="C60" s="9" t="s">
        <v>604</v>
      </c>
      <c r="D60" s="9" t="s">
        <v>0</v>
      </c>
      <c r="E60" s="80"/>
      <c r="F60" s="81"/>
      <c r="G60" s="83">
        <f>ROUND(SUM(G61:G65),5)</f>
        <v>57531.1679</v>
      </c>
    </row>
    <row r="61" spans="1:7" ht="15">
      <c r="A61" s="8" t="s">
        <v>0</v>
      </c>
      <c r="B61" s="9" t="s">
        <v>0</v>
      </c>
      <c r="C61" s="9" t="s">
        <v>40</v>
      </c>
      <c r="D61" s="9" t="s">
        <v>22</v>
      </c>
      <c r="E61" s="80">
        <f>0.00792</f>
        <v>0.00792</v>
      </c>
      <c r="F61" s="81">
        <f>'Gia VL'!Q36</f>
        <v>4110579.4</v>
      </c>
      <c r="G61" s="82">
        <f>ROUND(E61*F61,5)</f>
        <v>32555.78885</v>
      </c>
    </row>
    <row r="62" spans="1:7" ht="15">
      <c r="A62" s="8" t="s">
        <v>0</v>
      </c>
      <c r="B62" s="9" t="s">
        <v>0</v>
      </c>
      <c r="C62" s="9" t="s">
        <v>41</v>
      </c>
      <c r="D62" s="9" t="s">
        <v>22</v>
      </c>
      <c r="E62" s="80">
        <f>0.00087</f>
        <v>0.00087</v>
      </c>
      <c r="F62" s="81">
        <f>'Gia VL'!Q42</f>
        <v>4110579.4</v>
      </c>
      <c r="G62" s="82">
        <f>ROUND(E62*F62,5)</f>
        <v>3576.20408</v>
      </c>
    </row>
    <row r="63" spans="1:7" ht="15">
      <c r="A63" s="8" t="s">
        <v>0</v>
      </c>
      <c r="B63" s="9" t="s">
        <v>0</v>
      </c>
      <c r="C63" s="9" t="s">
        <v>42</v>
      </c>
      <c r="D63" s="9" t="s">
        <v>22</v>
      </c>
      <c r="E63" s="80">
        <f>0.00459</f>
        <v>0.00459</v>
      </c>
      <c r="F63" s="81">
        <f>'Gia VL'!Q34</f>
        <v>4110579.4</v>
      </c>
      <c r="G63" s="82">
        <f>ROUND(E63*F63,5)</f>
        <v>18867.55945</v>
      </c>
    </row>
    <row r="64" spans="1:7" ht="15">
      <c r="A64" s="8" t="s">
        <v>0</v>
      </c>
      <c r="B64" s="9" t="s">
        <v>0</v>
      </c>
      <c r="C64" s="9" t="s">
        <v>43</v>
      </c>
      <c r="D64" s="9" t="s">
        <v>20</v>
      </c>
      <c r="E64" s="80">
        <f>0.12</f>
        <v>0.12</v>
      </c>
      <c r="F64" s="81">
        <f>ROUND('Gia VL'!Q73/1000,5)</f>
        <v>16350</v>
      </c>
      <c r="G64" s="82">
        <f>ROUND(E64*F64,5)</f>
        <v>1962</v>
      </c>
    </row>
    <row r="65" spans="1:7" ht="15">
      <c r="A65" s="8" t="s">
        <v>0</v>
      </c>
      <c r="B65" s="9" t="s">
        <v>0</v>
      </c>
      <c r="C65" s="9" t="s">
        <v>609</v>
      </c>
      <c r="D65" s="9" t="s">
        <v>605</v>
      </c>
      <c r="E65" s="80">
        <f>1</f>
        <v>1</v>
      </c>
      <c r="F65" s="81"/>
      <c r="G65" s="82">
        <f>ROUND(SUM(G61:G64)*E65/100,5)</f>
        <v>569.61552</v>
      </c>
    </row>
    <row r="66" spans="1:7" ht="15.75">
      <c r="A66" s="8" t="s">
        <v>0</v>
      </c>
      <c r="B66" s="9" t="s">
        <v>0</v>
      </c>
      <c r="C66" s="9" t="s">
        <v>603</v>
      </c>
      <c r="D66" s="9" t="s">
        <v>0</v>
      </c>
      <c r="E66" s="80"/>
      <c r="F66" s="81"/>
      <c r="G66" s="83">
        <f>ROUND(SUM(G67:G70),5)</f>
        <v>34324.42</v>
      </c>
    </row>
    <row r="67" spans="1:7" ht="15">
      <c r="A67" s="8" t="s">
        <v>0</v>
      </c>
      <c r="B67" s="9" t="s">
        <v>0</v>
      </c>
      <c r="C67" s="9" t="s">
        <v>44</v>
      </c>
      <c r="D67" s="9" t="s">
        <v>8</v>
      </c>
      <c r="E67" s="80">
        <f>0.1361</f>
        <v>0.1361</v>
      </c>
      <c r="F67" s="81">
        <f>'Gia NC,CM'!P11</f>
        <v>252200</v>
      </c>
      <c r="G67" s="82">
        <f>ROUND(E67*F67,5)</f>
        <v>34324.42</v>
      </c>
    </row>
    <row r="68" spans="1:7" ht="15">
      <c r="A68" s="8" t="s">
        <v>0</v>
      </c>
      <c r="B68" s="9" t="s">
        <v>0</v>
      </c>
      <c r="C68" s="9" t="s">
        <v>0</v>
      </c>
      <c r="D68" s="9" t="s">
        <v>0</v>
      </c>
      <c r="E68" s="80"/>
      <c r="F68" s="81"/>
      <c r="G68" s="82"/>
    </row>
    <row r="69" spans="1:7" ht="15">
      <c r="A69" s="8" t="s">
        <v>48</v>
      </c>
      <c r="B69" s="9" t="s">
        <v>49</v>
      </c>
      <c r="C69" s="9" t="s">
        <v>50</v>
      </c>
      <c r="D69" s="9" t="s">
        <v>5</v>
      </c>
      <c r="E69" s="80"/>
      <c r="F69" s="81"/>
      <c r="G69" s="82"/>
    </row>
    <row r="70" spans="1:7" ht="15">
      <c r="A70" s="8" t="s">
        <v>0</v>
      </c>
      <c r="B70" s="9" t="s">
        <v>0</v>
      </c>
      <c r="C70" s="9" t="s">
        <v>51</v>
      </c>
      <c r="D70" s="9" t="s">
        <v>0</v>
      </c>
      <c r="E70" s="80"/>
      <c r="F70" s="81"/>
      <c r="G70" s="82"/>
    </row>
    <row r="71" spans="1:7" ht="15.75">
      <c r="A71" s="8" t="s">
        <v>0</v>
      </c>
      <c r="B71" s="9" t="s">
        <v>0</v>
      </c>
      <c r="C71" s="9" t="s">
        <v>604</v>
      </c>
      <c r="D71" s="9" t="s">
        <v>0</v>
      </c>
      <c r="E71" s="80"/>
      <c r="F71" s="81"/>
      <c r="G71" s="83">
        <f>ROUND(SUM(G72:G76),5)</f>
        <v>1066786.8731</v>
      </c>
    </row>
    <row r="72" spans="1:7" ht="15">
      <c r="A72" s="8" t="s">
        <v>0</v>
      </c>
      <c r="B72" s="9" t="s">
        <v>0</v>
      </c>
      <c r="C72" s="9" t="s">
        <v>32</v>
      </c>
      <c r="D72" s="9" t="s">
        <v>20</v>
      </c>
      <c r="E72" s="80">
        <f>320.825</f>
        <v>320.825</v>
      </c>
      <c r="F72" s="81">
        <f>ROUND('Gia VL'!Q69/1000,5)</f>
        <v>1701.3145</v>
      </c>
      <c r="G72" s="82">
        <f>ROUND(E72*F72,5)</f>
        <v>545824.22446</v>
      </c>
    </row>
    <row r="73" spans="1:7" ht="15">
      <c r="A73" s="8" t="s">
        <v>0</v>
      </c>
      <c r="B73" s="9" t="s">
        <v>0</v>
      </c>
      <c r="C73" s="9" t="s">
        <v>21</v>
      </c>
      <c r="D73" s="9" t="s">
        <v>22</v>
      </c>
      <c r="E73" s="80">
        <f>0.523775</f>
        <v>0.523775</v>
      </c>
      <c r="F73" s="81">
        <f>'Gia VL'!Q18</f>
        <v>379127.7</v>
      </c>
      <c r="G73" s="82">
        <f>ROUND(E73*F73,5)</f>
        <v>198577.61107</v>
      </c>
    </row>
    <row r="74" spans="1:7" ht="15">
      <c r="A74" s="8" t="s">
        <v>0</v>
      </c>
      <c r="B74" s="9" t="s">
        <v>0</v>
      </c>
      <c r="C74" s="9" t="s">
        <v>33</v>
      </c>
      <c r="D74" s="9" t="s">
        <v>22</v>
      </c>
      <c r="E74" s="80">
        <f>0.86305</f>
        <v>0.86305</v>
      </c>
      <c r="F74" s="81">
        <f>'Gia VL'!Q75</f>
        <v>312527.3</v>
      </c>
      <c r="G74" s="82">
        <f>ROUND(E74*F74,5)</f>
        <v>269726.68627</v>
      </c>
    </row>
    <row r="75" spans="1:7" ht="15">
      <c r="A75" s="8" t="s">
        <v>0</v>
      </c>
      <c r="B75" s="9" t="s">
        <v>0</v>
      </c>
      <c r="C75" s="9" t="s">
        <v>24</v>
      </c>
      <c r="D75" s="9" t="s">
        <v>22</v>
      </c>
      <c r="E75" s="80">
        <f>0.19475</f>
        <v>0.19475</v>
      </c>
      <c r="F75" s="81">
        <f>'Gia VL'!Q47</f>
        <v>9545.45</v>
      </c>
      <c r="G75" s="82">
        <f>ROUND(E75*F75,5)</f>
        <v>1858.97639</v>
      </c>
    </row>
    <row r="76" spans="1:7" ht="15">
      <c r="A76" s="8" t="s">
        <v>0</v>
      </c>
      <c r="B76" s="9" t="s">
        <v>0</v>
      </c>
      <c r="C76" s="9" t="s">
        <v>609</v>
      </c>
      <c r="D76" s="9" t="s">
        <v>605</v>
      </c>
      <c r="E76" s="80">
        <f>5</f>
        <v>5</v>
      </c>
      <c r="F76" s="81"/>
      <c r="G76" s="82">
        <f>ROUND(SUM(G72:G75)*E76/100,5)</f>
        <v>50799.37491</v>
      </c>
    </row>
    <row r="77" spans="1:7" ht="15.75">
      <c r="A77" s="8" t="s">
        <v>0</v>
      </c>
      <c r="B77" s="9" t="s">
        <v>0</v>
      </c>
      <c r="C77" s="9" t="s">
        <v>603</v>
      </c>
      <c r="D77" s="9" t="s">
        <v>0</v>
      </c>
      <c r="E77" s="80"/>
      <c r="F77" s="81"/>
      <c r="G77" s="83">
        <f>ROUND(SUM(G78:G78),5)</f>
        <v>794430</v>
      </c>
    </row>
    <row r="78" spans="1:7" ht="15">
      <c r="A78" s="8" t="s">
        <v>0</v>
      </c>
      <c r="B78" s="9" t="s">
        <v>0</v>
      </c>
      <c r="C78" s="9" t="s">
        <v>44</v>
      </c>
      <c r="D78" s="9" t="s">
        <v>8</v>
      </c>
      <c r="E78" s="80">
        <f>3.15</f>
        <v>3.15</v>
      </c>
      <c r="F78" s="81">
        <f>'Gia NC,CM'!P11</f>
        <v>252200</v>
      </c>
      <c r="G78" s="82">
        <f>ROUND(E78*F78,5)</f>
        <v>794430</v>
      </c>
    </row>
    <row r="79" spans="1:7" ht="15.75">
      <c r="A79" s="8" t="s">
        <v>0</v>
      </c>
      <c r="B79" s="9" t="s">
        <v>0</v>
      </c>
      <c r="C79" s="9" t="s">
        <v>602</v>
      </c>
      <c r="D79" s="9" t="s">
        <v>0</v>
      </c>
      <c r="E79" s="80"/>
      <c r="F79" s="81"/>
      <c r="G79" s="83">
        <f>ROUND(SUM(G80:G83),5)</f>
        <v>79769.1195</v>
      </c>
    </row>
    <row r="80" spans="1:7" ht="15">
      <c r="A80" s="8" t="s">
        <v>0</v>
      </c>
      <c r="B80" s="9" t="s">
        <v>0</v>
      </c>
      <c r="C80" s="9" t="s">
        <v>26</v>
      </c>
      <c r="D80" s="9" t="s">
        <v>10</v>
      </c>
      <c r="E80" s="80">
        <f>0.095</f>
        <v>0.095</v>
      </c>
      <c r="F80" s="81">
        <f>'Gia NC,CM'!P25</f>
        <v>318885.3</v>
      </c>
      <c r="G80" s="82">
        <f>ROUND(E80*F80,5)</f>
        <v>30294.1035</v>
      </c>
    </row>
    <row r="81" spans="1:7" ht="15">
      <c r="A81" s="8" t="s">
        <v>0</v>
      </c>
      <c r="B81" s="9" t="s">
        <v>0</v>
      </c>
      <c r="C81" s="9" t="s">
        <v>34</v>
      </c>
      <c r="D81" s="9" t="s">
        <v>10</v>
      </c>
      <c r="E81" s="80">
        <f>0.18</f>
        <v>0.18</v>
      </c>
      <c r="F81" s="81">
        <f>'Gia NC,CM'!P30</f>
        <v>274861.2</v>
      </c>
      <c r="G81" s="82">
        <f>ROUND(E81*F81,5)</f>
        <v>49475.016</v>
      </c>
    </row>
    <row r="82" spans="1:7" ht="15">
      <c r="A82" s="8" t="s">
        <v>0</v>
      </c>
      <c r="B82" s="9" t="s">
        <v>0</v>
      </c>
      <c r="C82" s="9" t="s">
        <v>0</v>
      </c>
      <c r="D82" s="9" t="s">
        <v>0</v>
      </c>
      <c r="E82" s="80"/>
      <c r="F82" s="81"/>
      <c r="G82" s="82"/>
    </row>
    <row r="83" spans="1:7" ht="15">
      <c r="A83" s="8" t="s">
        <v>52</v>
      </c>
      <c r="B83" s="9" t="s">
        <v>53</v>
      </c>
      <c r="C83" s="9" t="s">
        <v>54</v>
      </c>
      <c r="D83" s="9" t="s">
        <v>38</v>
      </c>
      <c r="E83" s="80"/>
      <c r="F83" s="81"/>
      <c r="G83" s="82"/>
    </row>
    <row r="84" spans="1:7" ht="15.75">
      <c r="A84" s="8" t="s">
        <v>0</v>
      </c>
      <c r="B84" s="9" t="s">
        <v>0</v>
      </c>
      <c r="C84" s="9" t="s">
        <v>604</v>
      </c>
      <c r="D84" s="9" t="s">
        <v>0</v>
      </c>
      <c r="E84" s="80"/>
      <c r="F84" s="81"/>
      <c r="G84" s="83">
        <f>ROUND(SUM(G85:G89),5)</f>
        <v>62219.77495</v>
      </c>
    </row>
    <row r="85" spans="1:7" ht="15">
      <c r="A85" s="8" t="s">
        <v>0</v>
      </c>
      <c r="B85" s="9" t="s">
        <v>0</v>
      </c>
      <c r="C85" s="9" t="s">
        <v>40</v>
      </c>
      <c r="D85" s="9" t="s">
        <v>22</v>
      </c>
      <c r="E85" s="80">
        <f>0.00794</f>
        <v>0.00794</v>
      </c>
      <c r="F85" s="81">
        <f>'Gia VL'!Q36</f>
        <v>4110579.4</v>
      </c>
      <c r="G85" s="82">
        <f>ROUND(E85*F85,5)</f>
        <v>32638.00044</v>
      </c>
    </row>
    <row r="86" spans="1:7" ht="15">
      <c r="A86" s="8" t="s">
        <v>0</v>
      </c>
      <c r="B86" s="9" t="s">
        <v>0</v>
      </c>
      <c r="C86" s="9" t="s">
        <v>41</v>
      </c>
      <c r="D86" s="9" t="s">
        <v>22</v>
      </c>
      <c r="E86" s="80">
        <f>0.00149</f>
        <v>0.00149</v>
      </c>
      <c r="F86" s="81">
        <f>'Gia VL'!Q42</f>
        <v>4110579.4</v>
      </c>
      <c r="G86" s="82">
        <f>ROUND(E86*F86,5)</f>
        <v>6124.76331</v>
      </c>
    </row>
    <row r="87" spans="1:7" ht="15">
      <c r="A87" s="8" t="s">
        <v>0</v>
      </c>
      <c r="B87" s="9" t="s">
        <v>0</v>
      </c>
      <c r="C87" s="9" t="s">
        <v>42</v>
      </c>
      <c r="D87" s="9" t="s">
        <v>22</v>
      </c>
      <c r="E87" s="80">
        <f>0.00496</f>
        <v>0.00496</v>
      </c>
      <c r="F87" s="81">
        <f>'Gia VL'!Q34</f>
        <v>4110579.4</v>
      </c>
      <c r="G87" s="82">
        <f>ROUND(E87*F87,5)</f>
        <v>20388.47382</v>
      </c>
    </row>
    <row r="88" spans="1:7" ht="15">
      <c r="A88" s="8" t="s">
        <v>0</v>
      </c>
      <c r="B88" s="9" t="s">
        <v>0</v>
      </c>
      <c r="C88" s="9" t="s">
        <v>43</v>
      </c>
      <c r="D88" s="9" t="s">
        <v>20</v>
      </c>
      <c r="E88" s="80">
        <f>0.15</f>
        <v>0.15</v>
      </c>
      <c r="F88" s="81">
        <f>ROUND('Gia VL'!Q73/1000,5)</f>
        <v>16350</v>
      </c>
      <c r="G88" s="82">
        <f>ROUND(E88*F88,5)</f>
        <v>2452.5</v>
      </c>
    </row>
    <row r="89" spans="1:7" ht="15">
      <c r="A89" s="8" t="s">
        <v>0</v>
      </c>
      <c r="B89" s="9" t="s">
        <v>0</v>
      </c>
      <c r="C89" s="9" t="s">
        <v>609</v>
      </c>
      <c r="D89" s="9" t="s">
        <v>605</v>
      </c>
      <c r="E89" s="80">
        <f>1</f>
        <v>1</v>
      </c>
      <c r="F89" s="81"/>
      <c r="G89" s="82">
        <f>ROUND(SUM(G85:G88)*E89/100,5)</f>
        <v>616.03738</v>
      </c>
    </row>
    <row r="90" spans="1:7" ht="15.75">
      <c r="A90" s="8" t="s">
        <v>0</v>
      </c>
      <c r="B90" s="9" t="s">
        <v>0</v>
      </c>
      <c r="C90" s="9" t="s">
        <v>603</v>
      </c>
      <c r="D90" s="9" t="s">
        <v>0</v>
      </c>
      <c r="E90" s="80"/>
      <c r="F90" s="81"/>
      <c r="G90" s="83">
        <f>ROUND(SUM(G91:G94),5)</f>
        <v>80451.8</v>
      </c>
    </row>
    <row r="91" spans="1:7" ht="15">
      <c r="A91" s="8" t="s">
        <v>0</v>
      </c>
      <c r="B91" s="9" t="s">
        <v>0</v>
      </c>
      <c r="C91" s="9" t="s">
        <v>44</v>
      </c>
      <c r="D91" s="9" t="s">
        <v>8</v>
      </c>
      <c r="E91" s="80">
        <f>0.319</f>
        <v>0.319</v>
      </c>
      <c r="F91" s="81">
        <f>'Gia NC,CM'!P11</f>
        <v>252200</v>
      </c>
      <c r="G91" s="82">
        <f>ROUND(E91*F91,5)</f>
        <v>80451.8</v>
      </c>
    </row>
    <row r="92" spans="1:7" ht="15">
      <c r="A92" s="8" t="s">
        <v>0</v>
      </c>
      <c r="B92" s="9" t="s">
        <v>0</v>
      </c>
      <c r="C92" s="9" t="s">
        <v>0</v>
      </c>
      <c r="D92" s="9" t="s">
        <v>0</v>
      </c>
      <c r="E92" s="80"/>
      <c r="F92" s="81"/>
      <c r="G92" s="82"/>
    </row>
    <row r="93" spans="1:7" ht="15">
      <c r="A93" s="8" t="s">
        <v>55</v>
      </c>
      <c r="B93" s="9" t="s">
        <v>56</v>
      </c>
      <c r="C93" s="9" t="s">
        <v>57</v>
      </c>
      <c r="D93" s="9" t="s">
        <v>5</v>
      </c>
      <c r="E93" s="80"/>
      <c r="F93" s="81"/>
      <c r="G93" s="82"/>
    </row>
    <row r="94" spans="1:7" ht="15">
      <c r="A94" s="8" t="s">
        <v>0</v>
      </c>
      <c r="B94" s="9" t="s">
        <v>0</v>
      </c>
      <c r="C94" s="9" t="s">
        <v>58</v>
      </c>
      <c r="D94" s="9" t="s">
        <v>0</v>
      </c>
      <c r="E94" s="80"/>
      <c r="F94" s="81"/>
      <c r="G94" s="82"/>
    </row>
    <row r="95" spans="1:7" ht="15.75">
      <c r="A95" s="8" t="s">
        <v>0</v>
      </c>
      <c r="B95" s="9" t="s">
        <v>0</v>
      </c>
      <c r="C95" s="9" t="s">
        <v>604</v>
      </c>
      <c r="D95" s="9" t="s">
        <v>0</v>
      </c>
      <c r="E95" s="80"/>
      <c r="F95" s="81"/>
      <c r="G95" s="83">
        <f>ROUND(SUM(G96:G100),5)</f>
        <v>944867.91263</v>
      </c>
    </row>
    <row r="96" spans="1:7" ht="15">
      <c r="A96" s="8" t="s">
        <v>0</v>
      </c>
      <c r="B96" s="9" t="s">
        <v>0</v>
      </c>
      <c r="C96" s="9" t="s">
        <v>59</v>
      </c>
      <c r="D96" s="9" t="s">
        <v>60</v>
      </c>
      <c r="E96" s="80">
        <f>160</f>
        <v>160</v>
      </c>
      <c r="F96" s="81">
        <f>'Gia VL'!Q9</f>
        <v>5008.7</v>
      </c>
      <c r="G96" s="82">
        <f>ROUND(E96*F96,5)</f>
        <v>801392</v>
      </c>
    </row>
    <row r="97" spans="1:7" ht="15">
      <c r="A97" s="8" t="s">
        <v>0</v>
      </c>
      <c r="B97" s="9" t="s">
        <v>0</v>
      </c>
      <c r="C97" s="9" t="s">
        <v>32</v>
      </c>
      <c r="D97" s="9" t="s">
        <v>20</v>
      </c>
      <c r="E97" s="80">
        <f>36.612</f>
        <v>36.612</v>
      </c>
      <c r="F97" s="81">
        <f>ROUND('Gia VL'!Q69/1000,5)</f>
        <v>1701.3145</v>
      </c>
      <c r="G97" s="82">
        <f>ROUND(E97*F97,5)</f>
        <v>62288.52647</v>
      </c>
    </row>
    <row r="98" spans="1:7" ht="15">
      <c r="A98" s="8" t="s">
        <v>0</v>
      </c>
      <c r="B98" s="9" t="s">
        <v>0</v>
      </c>
      <c r="C98" s="9" t="s">
        <v>61</v>
      </c>
      <c r="D98" s="9" t="s">
        <v>22</v>
      </c>
      <c r="E98" s="80">
        <f>0.124092</f>
        <v>0.124092</v>
      </c>
      <c r="F98" s="81">
        <f>'Gia VL'!Q15</f>
        <v>359127.7</v>
      </c>
      <c r="G98" s="82">
        <f>ROUND(E98*F98,5)</f>
        <v>44564.87455</v>
      </c>
    </row>
    <row r="99" spans="1:7" ht="15">
      <c r="A99" s="8" t="s">
        <v>0</v>
      </c>
      <c r="B99" s="9" t="s">
        <v>0</v>
      </c>
      <c r="C99" s="9" t="s">
        <v>24</v>
      </c>
      <c r="D99" s="9" t="s">
        <v>22</v>
      </c>
      <c r="E99" s="80">
        <f>0.029484</f>
        <v>0.029484</v>
      </c>
      <c r="F99" s="81">
        <f>'Gia VL'!Q47</f>
        <v>9545.45</v>
      </c>
      <c r="G99" s="82">
        <f>ROUND(E99*F99,5)</f>
        <v>281.43805</v>
      </c>
    </row>
    <row r="100" spans="1:7" ht="15">
      <c r="A100" s="8" t="s">
        <v>0</v>
      </c>
      <c r="B100" s="9" t="s">
        <v>0</v>
      </c>
      <c r="C100" s="9" t="s">
        <v>609</v>
      </c>
      <c r="D100" s="9" t="s">
        <v>605</v>
      </c>
      <c r="E100" s="80">
        <f>4</f>
        <v>4</v>
      </c>
      <c r="F100" s="81"/>
      <c r="G100" s="82">
        <f>ROUND(SUM(G96:G99)*E100/100,5)</f>
        <v>36341.07356</v>
      </c>
    </row>
    <row r="101" spans="1:7" ht="15.75">
      <c r="A101" s="8" t="s">
        <v>0</v>
      </c>
      <c r="B101" s="9" t="s">
        <v>0</v>
      </c>
      <c r="C101" s="9" t="s">
        <v>603</v>
      </c>
      <c r="D101" s="9" t="s">
        <v>0</v>
      </c>
      <c r="E101" s="80"/>
      <c r="F101" s="81"/>
      <c r="G101" s="83">
        <f>ROUND(SUM(G102:G102),5)</f>
        <v>433784</v>
      </c>
    </row>
    <row r="102" spans="1:7" ht="15">
      <c r="A102" s="8" t="s">
        <v>0</v>
      </c>
      <c r="B102" s="9" t="s">
        <v>0</v>
      </c>
      <c r="C102" s="9" t="s">
        <v>44</v>
      </c>
      <c r="D102" s="9" t="s">
        <v>8</v>
      </c>
      <c r="E102" s="80">
        <f>1.72</f>
        <v>1.72</v>
      </c>
      <c r="F102" s="81">
        <f>'Gia NC,CM'!P11</f>
        <v>252200</v>
      </c>
      <c r="G102" s="82">
        <f>ROUND(E102*F102,5)</f>
        <v>433784</v>
      </c>
    </row>
    <row r="103" spans="1:7" ht="15.75">
      <c r="A103" s="8" t="s">
        <v>0</v>
      </c>
      <c r="B103" s="9" t="s">
        <v>0</v>
      </c>
      <c r="C103" s="9" t="s">
        <v>602</v>
      </c>
      <c r="D103" s="9" t="s">
        <v>0</v>
      </c>
      <c r="E103" s="80"/>
      <c r="F103" s="81"/>
      <c r="G103" s="83">
        <f>ROUND(SUM(G104:G108),5)</f>
        <v>4416.20015</v>
      </c>
    </row>
    <row r="104" spans="1:7" ht="15">
      <c r="A104" s="8" t="s">
        <v>0</v>
      </c>
      <c r="B104" s="9" t="s">
        <v>0</v>
      </c>
      <c r="C104" s="9" t="s">
        <v>62</v>
      </c>
      <c r="D104" s="9" t="s">
        <v>10</v>
      </c>
      <c r="E104" s="80">
        <f>0.015</f>
        <v>0.015</v>
      </c>
      <c r="F104" s="81">
        <f>'Gia NC,CM'!P26</f>
        <v>292948.6</v>
      </c>
      <c r="G104" s="82">
        <f>ROUND(E104*F104,5)</f>
        <v>4394.229</v>
      </c>
    </row>
    <row r="105" spans="1:7" ht="15">
      <c r="A105" s="8" t="s">
        <v>0</v>
      </c>
      <c r="B105" s="9" t="s">
        <v>0</v>
      </c>
      <c r="C105" s="9" t="s">
        <v>606</v>
      </c>
      <c r="D105" s="9" t="s">
        <v>605</v>
      </c>
      <c r="E105" s="80">
        <f>0.5</f>
        <v>0.5</v>
      </c>
      <c r="F105" s="81"/>
      <c r="G105" s="82">
        <f>ROUND(SUM(G104:G104)*E105/100,5)</f>
        <v>21.97115</v>
      </c>
    </row>
    <row r="106" spans="1:7" ht="15">
      <c r="A106" s="8" t="s">
        <v>0</v>
      </c>
      <c r="B106" s="9" t="s">
        <v>0</v>
      </c>
      <c r="C106" s="9" t="s">
        <v>0</v>
      </c>
      <c r="D106" s="9" t="s">
        <v>0</v>
      </c>
      <c r="E106" s="80"/>
      <c r="F106" s="81"/>
      <c r="G106" s="82"/>
    </row>
    <row r="107" spans="1:7" ht="15">
      <c r="A107" s="8" t="s">
        <v>63</v>
      </c>
      <c r="B107" s="9" t="s">
        <v>64</v>
      </c>
      <c r="C107" s="9" t="s">
        <v>65</v>
      </c>
      <c r="D107" s="9" t="s">
        <v>5</v>
      </c>
      <c r="E107" s="80"/>
      <c r="F107" s="81"/>
      <c r="G107" s="82"/>
    </row>
    <row r="108" spans="1:7" ht="15">
      <c r="A108" s="8" t="s">
        <v>0</v>
      </c>
      <c r="B108" s="9" t="s">
        <v>0</v>
      </c>
      <c r="C108" s="9" t="s">
        <v>66</v>
      </c>
      <c r="D108" s="9" t="s">
        <v>0</v>
      </c>
      <c r="E108" s="80"/>
      <c r="F108" s="81"/>
      <c r="G108" s="82"/>
    </row>
    <row r="109" spans="1:7" ht="15.75">
      <c r="A109" s="8" t="s">
        <v>0</v>
      </c>
      <c r="B109" s="9" t="s">
        <v>0</v>
      </c>
      <c r="C109" s="9" t="s">
        <v>604</v>
      </c>
      <c r="D109" s="9" t="s">
        <v>0</v>
      </c>
      <c r="E109" s="80"/>
      <c r="F109" s="81"/>
      <c r="G109" s="83">
        <f>ROUND(SUM(G110:G114),5)</f>
        <v>1026147.37317</v>
      </c>
    </row>
    <row r="110" spans="1:7" ht="15">
      <c r="A110" s="8" t="s">
        <v>0</v>
      </c>
      <c r="B110" s="9" t="s">
        <v>0</v>
      </c>
      <c r="C110" s="9" t="s">
        <v>32</v>
      </c>
      <c r="D110" s="9" t="s">
        <v>20</v>
      </c>
      <c r="E110" s="80">
        <f>320.825</f>
        <v>320.825</v>
      </c>
      <c r="F110" s="81">
        <f>ROUND('Gia VL'!Q69/1000,5)</f>
        <v>1701.3145</v>
      </c>
      <c r="G110" s="82">
        <f>ROUND(E110*F110,5)</f>
        <v>545824.22446</v>
      </c>
    </row>
    <row r="111" spans="1:7" ht="15">
      <c r="A111" s="8" t="s">
        <v>0</v>
      </c>
      <c r="B111" s="9" t="s">
        <v>0</v>
      </c>
      <c r="C111" s="9" t="s">
        <v>21</v>
      </c>
      <c r="D111" s="9" t="s">
        <v>22</v>
      </c>
      <c r="E111" s="80">
        <f>0.523775</f>
        <v>0.523775</v>
      </c>
      <c r="F111" s="81">
        <f>'Gia VL'!Q18</f>
        <v>379127.7</v>
      </c>
      <c r="G111" s="82">
        <f>ROUND(E111*F111,5)</f>
        <v>198577.61107</v>
      </c>
    </row>
    <row r="112" spans="1:7" ht="15">
      <c r="A112" s="8" t="s">
        <v>0</v>
      </c>
      <c r="B112" s="9" t="s">
        <v>0</v>
      </c>
      <c r="C112" s="9" t="s">
        <v>33</v>
      </c>
      <c r="D112" s="9" t="s">
        <v>22</v>
      </c>
      <c r="E112" s="80">
        <f>0.86305</f>
        <v>0.86305</v>
      </c>
      <c r="F112" s="81">
        <f>'Gia VL'!Q75</f>
        <v>312527.3</v>
      </c>
      <c r="G112" s="82">
        <f>ROUND(E112*F112,5)</f>
        <v>269726.68627</v>
      </c>
    </row>
    <row r="113" spans="1:7" ht="15">
      <c r="A113" s="8" t="s">
        <v>0</v>
      </c>
      <c r="B113" s="9" t="s">
        <v>0</v>
      </c>
      <c r="C113" s="9" t="s">
        <v>24</v>
      </c>
      <c r="D113" s="9" t="s">
        <v>22</v>
      </c>
      <c r="E113" s="80">
        <f>0.19475</f>
        <v>0.19475</v>
      </c>
      <c r="F113" s="81">
        <f>'Gia VL'!Q47</f>
        <v>9545.45</v>
      </c>
      <c r="G113" s="82">
        <f>ROUND(E113*F113,5)</f>
        <v>1858.97639</v>
      </c>
    </row>
    <row r="114" spans="1:7" ht="15">
      <c r="A114" s="8" t="s">
        <v>0</v>
      </c>
      <c r="B114" s="9" t="s">
        <v>0</v>
      </c>
      <c r="C114" s="9" t="s">
        <v>609</v>
      </c>
      <c r="D114" s="9" t="s">
        <v>605</v>
      </c>
      <c r="E114" s="80">
        <f>1</f>
        <v>1</v>
      </c>
      <c r="F114" s="81"/>
      <c r="G114" s="82">
        <f>ROUND(SUM(G110:G113)*E114/100,5)</f>
        <v>10159.87498</v>
      </c>
    </row>
    <row r="115" spans="1:7" ht="15.75">
      <c r="A115" s="8" t="s">
        <v>0</v>
      </c>
      <c r="B115" s="9" t="s">
        <v>0</v>
      </c>
      <c r="C115" s="9" t="s">
        <v>603</v>
      </c>
      <c r="D115" s="9" t="s">
        <v>0</v>
      </c>
      <c r="E115" s="80"/>
      <c r="F115" s="81"/>
      <c r="G115" s="83">
        <f>ROUND(SUM(G116:G116),5)</f>
        <v>673374</v>
      </c>
    </row>
    <row r="116" spans="1:7" ht="15">
      <c r="A116" s="8" t="s">
        <v>0</v>
      </c>
      <c r="B116" s="9" t="s">
        <v>0</v>
      </c>
      <c r="C116" s="9" t="s">
        <v>44</v>
      </c>
      <c r="D116" s="9" t="s">
        <v>8</v>
      </c>
      <c r="E116" s="80">
        <f>2.67</f>
        <v>2.67</v>
      </c>
      <c r="F116" s="81">
        <f>'Gia NC,CM'!P11</f>
        <v>252200</v>
      </c>
      <c r="G116" s="82">
        <f>ROUND(E116*F116,5)</f>
        <v>673374</v>
      </c>
    </row>
    <row r="117" spans="1:7" ht="15.75">
      <c r="A117" s="8" t="s">
        <v>0</v>
      </c>
      <c r="B117" s="9" t="s">
        <v>0</v>
      </c>
      <c r="C117" s="9" t="s">
        <v>602</v>
      </c>
      <c r="D117" s="9" t="s">
        <v>0</v>
      </c>
      <c r="E117" s="80"/>
      <c r="F117" s="81"/>
      <c r="G117" s="83">
        <f>ROUND(SUM(G118:G121),5)</f>
        <v>79769.1195</v>
      </c>
    </row>
    <row r="118" spans="1:7" ht="15">
      <c r="A118" s="8" t="s">
        <v>0</v>
      </c>
      <c r="B118" s="9" t="s">
        <v>0</v>
      </c>
      <c r="C118" s="9" t="s">
        <v>26</v>
      </c>
      <c r="D118" s="9" t="s">
        <v>10</v>
      </c>
      <c r="E118" s="80">
        <f>0.095</f>
        <v>0.095</v>
      </c>
      <c r="F118" s="81">
        <f>'Gia NC,CM'!P25</f>
        <v>318885.3</v>
      </c>
      <c r="G118" s="82">
        <f>ROUND(E118*F118,5)</f>
        <v>30294.1035</v>
      </c>
    </row>
    <row r="119" spans="1:7" ht="15">
      <c r="A119" s="8" t="s">
        <v>0</v>
      </c>
      <c r="B119" s="9" t="s">
        <v>0</v>
      </c>
      <c r="C119" s="9" t="s">
        <v>34</v>
      </c>
      <c r="D119" s="9" t="s">
        <v>10</v>
      </c>
      <c r="E119" s="80">
        <f>0.18</f>
        <v>0.18</v>
      </c>
      <c r="F119" s="81">
        <f>'Gia NC,CM'!P30</f>
        <v>274861.2</v>
      </c>
      <c r="G119" s="82">
        <f>ROUND(E119*F119,5)</f>
        <v>49475.016</v>
      </c>
    </row>
    <row r="120" spans="1:7" ht="15">
      <c r="A120" s="8" t="s">
        <v>0</v>
      </c>
      <c r="B120" s="9" t="s">
        <v>0</v>
      </c>
      <c r="C120" s="9" t="s">
        <v>0</v>
      </c>
      <c r="D120" s="9" t="s">
        <v>0</v>
      </c>
      <c r="E120" s="80"/>
      <c r="F120" s="81"/>
      <c r="G120" s="82"/>
    </row>
    <row r="121" spans="1:7" ht="15">
      <c r="A121" s="8" t="s">
        <v>67</v>
      </c>
      <c r="B121" s="9" t="s">
        <v>68</v>
      </c>
      <c r="C121" s="9" t="s">
        <v>69</v>
      </c>
      <c r="D121" s="9" t="s">
        <v>38</v>
      </c>
      <c r="E121" s="80"/>
      <c r="F121" s="81"/>
      <c r="G121" s="82"/>
    </row>
    <row r="122" spans="1:7" ht="15.75">
      <c r="A122" s="8" t="s">
        <v>0</v>
      </c>
      <c r="B122" s="9" t="s">
        <v>0</v>
      </c>
      <c r="C122" s="9" t="s">
        <v>604</v>
      </c>
      <c r="D122" s="9" t="s">
        <v>0</v>
      </c>
      <c r="E122" s="80"/>
      <c r="F122" s="81"/>
      <c r="G122" s="83">
        <f>ROUND(SUM(G123:G127),5)</f>
        <v>82902.47192</v>
      </c>
    </row>
    <row r="123" spans="1:7" ht="15">
      <c r="A123" s="8" t="s">
        <v>0</v>
      </c>
      <c r="B123" s="9" t="s">
        <v>0</v>
      </c>
      <c r="C123" s="9" t="s">
        <v>40</v>
      </c>
      <c r="D123" s="9" t="s">
        <v>22</v>
      </c>
      <c r="E123" s="80">
        <f>0.00794</f>
        <v>0.00794</v>
      </c>
      <c r="F123" s="81">
        <f>'Gia VL'!Q36</f>
        <v>4110579.4</v>
      </c>
      <c r="G123" s="82">
        <f>ROUND(E123*F123,5)</f>
        <v>32638.00044</v>
      </c>
    </row>
    <row r="124" spans="1:7" ht="15">
      <c r="A124" s="8" t="s">
        <v>0</v>
      </c>
      <c r="B124" s="9" t="s">
        <v>0</v>
      </c>
      <c r="C124" s="9" t="s">
        <v>41</v>
      </c>
      <c r="D124" s="9" t="s">
        <v>22</v>
      </c>
      <c r="E124" s="80">
        <f>0.00189</f>
        <v>0.00189</v>
      </c>
      <c r="F124" s="81">
        <f>'Gia VL'!Q42</f>
        <v>4110579.4</v>
      </c>
      <c r="G124" s="82">
        <f>ROUND(E124*F124,5)</f>
        <v>7768.99507</v>
      </c>
    </row>
    <row r="125" spans="1:7" ht="15">
      <c r="A125" s="8" t="s">
        <v>0</v>
      </c>
      <c r="B125" s="9" t="s">
        <v>0</v>
      </c>
      <c r="C125" s="9" t="s">
        <v>42</v>
      </c>
      <c r="D125" s="9" t="s">
        <v>22</v>
      </c>
      <c r="E125" s="80">
        <f>0.00957</f>
        <v>0.00957</v>
      </c>
      <c r="F125" s="81">
        <f>'Gia VL'!Q34</f>
        <v>4110579.4</v>
      </c>
      <c r="G125" s="82">
        <f>ROUND(E125*F125,5)</f>
        <v>39338.24486</v>
      </c>
    </row>
    <row r="126" spans="1:7" ht="15">
      <c r="A126" s="8" t="s">
        <v>0</v>
      </c>
      <c r="B126" s="9" t="s">
        <v>0</v>
      </c>
      <c r="C126" s="9" t="s">
        <v>43</v>
      </c>
      <c r="D126" s="9" t="s">
        <v>20</v>
      </c>
      <c r="E126" s="80">
        <f>0.1429</f>
        <v>0.1429</v>
      </c>
      <c r="F126" s="81">
        <f>ROUND('Gia VL'!Q73/1000,5)</f>
        <v>16350</v>
      </c>
      <c r="G126" s="82">
        <f>ROUND(E126*F126,5)</f>
        <v>2336.415</v>
      </c>
    </row>
    <row r="127" spans="1:7" ht="15">
      <c r="A127" s="8" t="s">
        <v>0</v>
      </c>
      <c r="B127" s="9" t="s">
        <v>0</v>
      </c>
      <c r="C127" s="9" t="s">
        <v>609</v>
      </c>
      <c r="D127" s="9" t="s">
        <v>605</v>
      </c>
      <c r="E127" s="80">
        <f>1</f>
        <v>1</v>
      </c>
      <c r="F127" s="81"/>
      <c r="G127" s="82">
        <f>ROUND(SUM(G123:G126)*E127/100,5)</f>
        <v>820.81655</v>
      </c>
    </row>
    <row r="128" spans="1:7" ht="15.75">
      <c r="A128" s="8" t="s">
        <v>0</v>
      </c>
      <c r="B128" s="9" t="s">
        <v>0</v>
      </c>
      <c r="C128" s="9" t="s">
        <v>603</v>
      </c>
      <c r="D128" s="9" t="s">
        <v>0</v>
      </c>
      <c r="E128" s="80"/>
      <c r="F128" s="81"/>
      <c r="G128" s="83">
        <f>ROUND(SUM(G129:G132),5)</f>
        <v>69355</v>
      </c>
    </row>
    <row r="129" spans="1:7" ht="15">
      <c r="A129" s="8" t="s">
        <v>0</v>
      </c>
      <c r="B129" s="9" t="s">
        <v>0</v>
      </c>
      <c r="C129" s="9" t="s">
        <v>44</v>
      </c>
      <c r="D129" s="9" t="s">
        <v>8</v>
      </c>
      <c r="E129" s="80">
        <f>0.275</f>
        <v>0.275</v>
      </c>
      <c r="F129" s="81">
        <f>'Gia NC,CM'!P11</f>
        <v>252200</v>
      </c>
      <c r="G129" s="82">
        <f>ROUND(E129*F129,5)</f>
        <v>69355</v>
      </c>
    </row>
    <row r="130" spans="1:7" ht="15">
      <c r="A130" s="8" t="s">
        <v>0</v>
      </c>
      <c r="B130" s="9" t="s">
        <v>0</v>
      </c>
      <c r="C130" s="9" t="s">
        <v>0</v>
      </c>
      <c r="D130" s="9" t="s">
        <v>0</v>
      </c>
      <c r="E130" s="80"/>
      <c r="F130" s="81"/>
      <c r="G130" s="82"/>
    </row>
    <row r="131" spans="1:7" ht="15">
      <c r="A131" s="8" t="s">
        <v>70</v>
      </c>
      <c r="B131" s="9" t="s">
        <v>71</v>
      </c>
      <c r="C131" s="9" t="s">
        <v>72</v>
      </c>
      <c r="D131" s="9" t="s">
        <v>73</v>
      </c>
      <c r="E131" s="80"/>
      <c r="F131" s="81"/>
      <c r="G131" s="82"/>
    </row>
    <row r="132" spans="1:7" ht="15">
      <c r="A132" s="8" t="s">
        <v>0</v>
      </c>
      <c r="B132" s="9" t="s">
        <v>0</v>
      </c>
      <c r="C132" s="9" t="s">
        <v>74</v>
      </c>
      <c r="D132" s="9" t="s">
        <v>0</v>
      </c>
      <c r="E132" s="80"/>
      <c r="F132" s="81"/>
      <c r="G132" s="82"/>
    </row>
    <row r="133" spans="1:7" ht="15.75">
      <c r="A133" s="8" t="s">
        <v>0</v>
      </c>
      <c r="B133" s="9" t="s">
        <v>0</v>
      </c>
      <c r="C133" s="9" t="s">
        <v>604</v>
      </c>
      <c r="D133" s="9" t="s">
        <v>0</v>
      </c>
      <c r="E133" s="80"/>
      <c r="F133" s="81"/>
      <c r="G133" s="83">
        <f>ROUND(SUM(G134:G135),5)</f>
        <v>16740621.387</v>
      </c>
    </row>
    <row r="134" spans="1:7" ht="15">
      <c r="A134" s="8" t="s">
        <v>0</v>
      </c>
      <c r="B134" s="9" t="s">
        <v>0</v>
      </c>
      <c r="C134" s="9" t="s">
        <v>75</v>
      </c>
      <c r="D134" s="9" t="s">
        <v>20</v>
      </c>
      <c r="E134" s="80">
        <f>1005</f>
        <v>1005</v>
      </c>
      <c r="F134" s="81">
        <f>ROUND('Gia VL'!Q59/1000,5)</f>
        <v>16395.8974</v>
      </c>
      <c r="G134" s="82">
        <f>ROUND(E134*F134,5)</f>
        <v>16477876.887</v>
      </c>
    </row>
    <row r="135" spans="1:7" ht="15">
      <c r="A135" s="8" t="s">
        <v>0</v>
      </c>
      <c r="B135" s="9" t="s">
        <v>0</v>
      </c>
      <c r="C135" s="9" t="s">
        <v>76</v>
      </c>
      <c r="D135" s="9" t="s">
        <v>20</v>
      </c>
      <c r="E135" s="80">
        <f>16.07</f>
        <v>16.07</v>
      </c>
      <c r="F135" s="81">
        <f>ROUND('Gia VL'!Q24/1000,5)</f>
        <v>16350</v>
      </c>
      <c r="G135" s="82">
        <f>ROUND(E135*F135,5)</f>
        <v>262744.5</v>
      </c>
    </row>
    <row r="136" spans="1:7" ht="15.75">
      <c r="A136" s="8" t="s">
        <v>0</v>
      </c>
      <c r="B136" s="9" t="s">
        <v>0</v>
      </c>
      <c r="C136" s="9" t="s">
        <v>603</v>
      </c>
      <c r="D136" s="9" t="s">
        <v>0</v>
      </c>
      <c r="E136" s="80"/>
      <c r="F136" s="81"/>
      <c r="G136" s="83">
        <f>ROUND(SUM(G137:G137),5)</f>
        <v>2711150</v>
      </c>
    </row>
    <row r="137" spans="1:7" ht="15">
      <c r="A137" s="8" t="s">
        <v>0</v>
      </c>
      <c r="B137" s="9" t="s">
        <v>0</v>
      </c>
      <c r="C137" s="9" t="s">
        <v>44</v>
      </c>
      <c r="D137" s="9" t="s">
        <v>8</v>
      </c>
      <c r="E137" s="80">
        <f>10.75</f>
        <v>10.75</v>
      </c>
      <c r="F137" s="81">
        <f>'Gia NC,CM'!P11</f>
        <v>252200</v>
      </c>
      <c r="G137" s="82">
        <f>ROUND(E137*F137,5)</f>
        <v>2711150</v>
      </c>
    </row>
    <row r="138" spans="1:7" ht="15.75">
      <c r="A138" s="8" t="s">
        <v>0</v>
      </c>
      <c r="B138" s="9" t="s">
        <v>0</v>
      </c>
      <c r="C138" s="9" t="s">
        <v>602</v>
      </c>
      <c r="D138" s="9" t="s">
        <v>0</v>
      </c>
      <c r="E138" s="80"/>
      <c r="F138" s="81"/>
      <c r="G138" s="83">
        <f>ROUND(SUM(G139:G142),5)</f>
        <v>111746.08</v>
      </c>
    </row>
    <row r="139" spans="1:7" ht="15">
      <c r="A139" s="8" t="s">
        <v>0</v>
      </c>
      <c r="B139" s="9" t="s">
        <v>0</v>
      </c>
      <c r="C139" s="9" t="s">
        <v>77</v>
      </c>
      <c r="D139" s="9" t="s">
        <v>10</v>
      </c>
      <c r="E139" s="80">
        <f>0.4</f>
        <v>0.4</v>
      </c>
      <c r="F139" s="81">
        <f>'Gia NC,CM'!P21</f>
        <v>279365.2</v>
      </c>
      <c r="G139" s="82">
        <f>ROUND(E139*F139,5)</f>
        <v>111746.08</v>
      </c>
    </row>
    <row r="140" spans="1:7" ht="15">
      <c r="A140" s="8" t="s">
        <v>0</v>
      </c>
      <c r="B140" s="9" t="s">
        <v>0</v>
      </c>
      <c r="C140" s="9" t="s">
        <v>0</v>
      </c>
      <c r="D140" s="9" t="s">
        <v>0</v>
      </c>
      <c r="E140" s="80"/>
      <c r="F140" s="81"/>
      <c r="G140" s="82"/>
    </row>
    <row r="141" spans="1:7" ht="15">
      <c r="A141" s="8" t="s">
        <v>78</v>
      </c>
      <c r="B141" s="9" t="s">
        <v>79</v>
      </c>
      <c r="C141" s="9" t="s">
        <v>72</v>
      </c>
      <c r="D141" s="9" t="s">
        <v>73</v>
      </c>
      <c r="E141" s="80"/>
      <c r="F141" s="81"/>
      <c r="G141" s="82"/>
    </row>
    <row r="142" spans="1:7" ht="15">
      <c r="A142" s="8" t="s">
        <v>0</v>
      </c>
      <c r="B142" s="9" t="s">
        <v>0</v>
      </c>
      <c r="C142" s="9" t="s">
        <v>80</v>
      </c>
      <c r="D142" s="9" t="s">
        <v>0</v>
      </c>
      <c r="E142" s="80"/>
      <c r="F142" s="81"/>
      <c r="G142" s="82"/>
    </row>
    <row r="143" spans="1:7" ht="15.75">
      <c r="A143" s="8" t="s">
        <v>0</v>
      </c>
      <c r="B143" s="9" t="s">
        <v>0</v>
      </c>
      <c r="C143" s="9" t="s">
        <v>604</v>
      </c>
      <c r="D143" s="9" t="s">
        <v>0</v>
      </c>
      <c r="E143" s="80"/>
      <c r="F143" s="81"/>
      <c r="G143" s="83">
        <f>ROUND(SUM(G144:G146),5)</f>
        <v>16704906.98445</v>
      </c>
    </row>
    <row r="144" spans="1:7" ht="15">
      <c r="A144" s="8" t="s">
        <v>0</v>
      </c>
      <c r="B144" s="9" t="s">
        <v>0</v>
      </c>
      <c r="C144" s="9" t="s">
        <v>81</v>
      </c>
      <c r="D144" s="9" t="s">
        <v>20</v>
      </c>
      <c r="E144" s="80">
        <f>1020</f>
        <v>1020</v>
      </c>
      <c r="F144" s="81">
        <f>ROUND('Gia VL'!Q61/1000,5)</f>
        <v>16145.8974</v>
      </c>
      <c r="G144" s="82">
        <f>ROUND(E144*F144,5)</f>
        <v>16468815.348</v>
      </c>
    </row>
    <row r="145" spans="1:7" ht="15">
      <c r="A145" s="8" t="s">
        <v>0</v>
      </c>
      <c r="B145" s="9" t="s">
        <v>0</v>
      </c>
      <c r="C145" s="9" t="s">
        <v>76</v>
      </c>
      <c r="D145" s="9" t="s">
        <v>20</v>
      </c>
      <c r="E145" s="80">
        <f>9.28</f>
        <v>9.28</v>
      </c>
      <c r="F145" s="81">
        <f>ROUND('Gia VL'!Q24/1000,5)</f>
        <v>16350</v>
      </c>
      <c r="G145" s="82">
        <f>ROUND(E145*F145,5)</f>
        <v>151728</v>
      </c>
    </row>
    <row r="146" spans="1:7" ht="15">
      <c r="A146" s="8" t="s">
        <v>0</v>
      </c>
      <c r="B146" s="9" t="s">
        <v>0</v>
      </c>
      <c r="C146" s="9" t="s">
        <v>82</v>
      </c>
      <c r="D146" s="9" t="s">
        <v>20</v>
      </c>
      <c r="E146" s="80">
        <f>4.64</f>
        <v>4.64</v>
      </c>
      <c r="F146" s="81">
        <f>ROUND('Gia VL'!Q50/1000,5)</f>
        <v>18181.8182</v>
      </c>
      <c r="G146" s="82">
        <f>ROUND(E146*F146,5)</f>
        <v>84363.63645</v>
      </c>
    </row>
    <row r="147" spans="1:7" ht="15.75">
      <c r="A147" s="8" t="s">
        <v>0</v>
      </c>
      <c r="B147" s="9" t="s">
        <v>0</v>
      </c>
      <c r="C147" s="9" t="s">
        <v>603</v>
      </c>
      <c r="D147" s="9" t="s">
        <v>0</v>
      </c>
      <c r="E147" s="80"/>
      <c r="F147" s="81"/>
      <c r="G147" s="83">
        <f>ROUND(SUM(G148:G148),5)</f>
        <v>1934374</v>
      </c>
    </row>
    <row r="148" spans="1:7" ht="15">
      <c r="A148" s="8" t="s">
        <v>0</v>
      </c>
      <c r="B148" s="9" t="s">
        <v>0</v>
      </c>
      <c r="C148" s="9" t="s">
        <v>44</v>
      </c>
      <c r="D148" s="9" t="s">
        <v>8</v>
      </c>
      <c r="E148" s="80">
        <f>7.67</f>
        <v>7.67</v>
      </c>
      <c r="F148" s="81">
        <f>'Gia NC,CM'!P11</f>
        <v>252200</v>
      </c>
      <c r="G148" s="82">
        <f>ROUND(E148*F148,5)</f>
        <v>1934374</v>
      </c>
    </row>
    <row r="149" spans="1:7" ht="15.75">
      <c r="A149" s="8" t="s">
        <v>0</v>
      </c>
      <c r="B149" s="9" t="s">
        <v>0</v>
      </c>
      <c r="C149" s="9" t="s">
        <v>602</v>
      </c>
      <c r="D149" s="9" t="s">
        <v>0</v>
      </c>
      <c r="E149" s="80"/>
      <c r="F149" s="81"/>
      <c r="G149" s="83">
        <f>ROUND(SUM(G150:G154),5)</f>
        <v>547945.36</v>
      </c>
    </row>
    <row r="150" spans="1:7" ht="15">
      <c r="A150" s="8" t="s">
        <v>0</v>
      </c>
      <c r="B150" s="9" t="s">
        <v>0</v>
      </c>
      <c r="C150" s="9" t="s">
        <v>83</v>
      </c>
      <c r="D150" s="9" t="s">
        <v>10</v>
      </c>
      <c r="E150" s="80">
        <f>1.12</f>
        <v>1.12</v>
      </c>
      <c r="F150" s="81">
        <f>'Gia NC,CM'!P22</f>
        <v>409418.3</v>
      </c>
      <c r="G150" s="82">
        <f>ROUND(E150*F150,5)</f>
        <v>458548.496</v>
      </c>
    </row>
    <row r="151" spans="1:7" ht="15">
      <c r="A151" s="8" t="s">
        <v>0</v>
      </c>
      <c r="B151" s="9" t="s">
        <v>0</v>
      </c>
      <c r="C151" s="9" t="s">
        <v>77</v>
      </c>
      <c r="D151" s="9" t="s">
        <v>10</v>
      </c>
      <c r="E151" s="80">
        <f>0.32</f>
        <v>0.32</v>
      </c>
      <c r="F151" s="81">
        <f>'Gia NC,CM'!P21</f>
        <v>279365.2</v>
      </c>
      <c r="G151" s="82">
        <f>ROUND(E151*F151,5)</f>
        <v>89396.864</v>
      </c>
    </row>
    <row r="152" spans="1:7" ht="15">
      <c r="A152" s="8" t="s">
        <v>0</v>
      </c>
      <c r="B152" s="9" t="s">
        <v>0</v>
      </c>
      <c r="C152" s="9" t="s">
        <v>0</v>
      </c>
      <c r="D152" s="9" t="s">
        <v>0</v>
      </c>
      <c r="E152" s="80"/>
      <c r="F152" s="81"/>
      <c r="G152" s="82"/>
    </row>
    <row r="153" spans="1:7" ht="15">
      <c r="A153" s="8" t="s">
        <v>84</v>
      </c>
      <c r="B153" s="9" t="s">
        <v>87</v>
      </c>
      <c r="C153" s="9" t="s">
        <v>88</v>
      </c>
      <c r="D153" s="9" t="s">
        <v>5</v>
      </c>
      <c r="E153" s="80"/>
      <c r="F153" s="81"/>
      <c r="G153" s="82"/>
    </row>
    <row r="154" spans="1:7" ht="15">
      <c r="A154" s="8" t="s">
        <v>0</v>
      </c>
      <c r="B154" s="9" t="s">
        <v>0</v>
      </c>
      <c r="C154" s="9" t="s">
        <v>14</v>
      </c>
      <c r="D154" s="9" t="s">
        <v>0</v>
      </c>
      <c r="E154" s="80"/>
      <c r="F154" s="81"/>
      <c r="G154" s="82"/>
    </row>
    <row r="155" spans="1:7" ht="15.75">
      <c r="A155" s="8" t="s">
        <v>0</v>
      </c>
      <c r="B155" s="9" t="s">
        <v>0</v>
      </c>
      <c r="C155" s="9" t="s">
        <v>604</v>
      </c>
      <c r="D155" s="9" t="s">
        <v>0</v>
      </c>
      <c r="E155" s="80"/>
      <c r="F155" s="81"/>
      <c r="G155" s="83">
        <f>ROUND(SUM(G156:G156),5)</f>
        <v>133090.898</v>
      </c>
    </row>
    <row r="156" spans="1:7" ht="15">
      <c r="A156" s="8" t="s">
        <v>0</v>
      </c>
      <c r="B156" s="9" t="s">
        <v>0</v>
      </c>
      <c r="C156" s="9" t="s">
        <v>89</v>
      </c>
      <c r="D156" s="9" t="s">
        <v>22</v>
      </c>
      <c r="E156" s="80">
        <f>1.22</f>
        <v>1.22</v>
      </c>
      <c r="F156" s="81">
        <f>'Gia VL'!Q13</f>
        <v>109090.9</v>
      </c>
      <c r="G156" s="82">
        <f>ROUND(E156*F156,5)</f>
        <v>133090.898</v>
      </c>
    </row>
    <row r="157" spans="1:7" ht="15.75">
      <c r="A157" s="8" t="s">
        <v>0</v>
      </c>
      <c r="B157" s="9" t="s">
        <v>0</v>
      </c>
      <c r="C157" s="9" t="s">
        <v>603</v>
      </c>
      <c r="D157" s="9" t="s">
        <v>0</v>
      </c>
      <c r="E157" s="80"/>
      <c r="F157" s="81"/>
      <c r="G157" s="83">
        <f>ROUND(SUM(G158:G158),5)</f>
        <v>8501.95288</v>
      </c>
    </row>
    <row r="158" spans="1:7" ht="15">
      <c r="A158" s="8" t="s">
        <v>0</v>
      </c>
      <c r="B158" s="9" t="s">
        <v>0</v>
      </c>
      <c r="C158" s="9" t="s">
        <v>7</v>
      </c>
      <c r="D158" s="9" t="s">
        <v>8</v>
      </c>
      <c r="E158" s="80">
        <f>0.0389</f>
        <v>0.0389</v>
      </c>
      <c r="F158" s="81">
        <f>'Gia NC,CM'!P8</f>
        <v>218559.2</v>
      </c>
      <c r="G158" s="82">
        <f>ROUND(E158*F158,5)</f>
        <v>8501.95288</v>
      </c>
    </row>
    <row r="159" spans="1:7" ht="15.75">
      <c r="A159" s="8" t="s">
        <v>0</v>
      </c>
      <c r="B159" s="9" t="s">
        <v>0</v>
      </c>
      <c r="C159" s="9" t="s">
        <v>602</v>
      </c>
      <c r="D159" s="9" t="s">
        <v>0</v>
      </c>
      <c r="E159" s="80"/>
      <c r="F159" s="81"/>
      <c r="G159" s="83">
        <f>ROUND(SUM(G160:G163),5)</f>
        <v>7375.98602</v>
      </c>
    </row>
    <row r="160" spans="1:7" ht="15">
      <c r="A160" s="8" t="s">
        <v>0</v>
      </c>
      <c r="B160" s="9" t="s">
        <v>0</v>
      </c>
      <c r="C160" s="9" t="s">
        <v>15</v>
      </c>
      <c r="D160" s="9" t="s">
        <v>10</v>
      </c>
      <c r="E160" s="80">
        <f>0.019</f>
        <v>0.019</v>
      </c>
      <c r="F160" s="81">
        <f>'Gia NC,CM'!P31</f>
        <v>382472.7</v>
      </c>
      <c r="G160" s="82">
        <f>ROUND(E160*F160,5)</f>
        <v>7266.9813</v>
      </c>
    </row>
    <row r="161" spans="1:7" ht="15">
      <c r="A161" s="8" t="s">
        <v>0</v>
      </c>
      <c r="B161" s="9" t="s">
        <v>0</v>
      </c>
      <c r="C161" s="9" t="s">
        <v>606</v>
      </c>
      <c r="D161" s="9" t="s">
        <v>605</v>
      </c>
      <c r="E161" s="80">
        <f>1.5</f>
        <v>1.5</v>
      </c>
      <c r="F161" s="81"/>
      <c r="G161" s="82">
        <f>ROUND(SUM(G160:G160)*E161/100,5)</f>
        <v>109.00472</v>
      </c>
    </row>
    <row r="162" spans="1:7" ht="15">
      <c r="A162" s="8" t="s">
        <v>0</v>
      </c>
      <c r="B162" s="9" t="s">
        <v>0</v>
      </c>
      <c r="C162" s="9" t="s">
        <v>0</v>
      </c>
      <c r="D162" s="9" t="s">
        <v>0</v>
      </c>
      <c r="E162" s="80"/>
      <c r="F162" s="81"/>
      <c r="G162" s="82"/>
    </row>
    <row r="163" spans="1:7" ht="15">
      <c r="A163" s="8" t="s">
        <v>86</v>
      </c>
      <c r="B163" s="9" t="s">
        <v>91</v>
      </c>
      <c r="C163" s="9" t="s">
        <v>92</v>
      </c>
      <c r="D163" s="9" t="s">
        <v>5</v>
      </c>
      <c r="E163" s="80"/>
      <c r="F163" s="81"/>
      <c r="G163" s="82"/>
    </row>
    <row r="164" spans="1:7" ht="15.75">
      <c r="A164" s="8" t="s">
        <v>0</v>
      </c>
      <c r="B164" s="9" t="s">
        <v>0</v>
      </c>
      <c r="C164" s="9" t="s">
        <v>604</v>
      </c>
      <c r="D164" s="9" t="s">
        <v>0</v>
      </c>
      <c r="E164" s="80"/>
      <c r="F164" s="81"/>
      <c r="G164" s="83">
        <f>ROUND(SUM(G165:G169),5)</f>
        <v>781661.01963</v>
      </c>
    </row>
    <row r="165" spans="1:7" ht="15">
      <c r="A165" s="8" t="s">
        <v>0</v>
      </c>
      <c r="B165" s="9" t="s">
        <v>0</v>
      </c>
      <c r="C165" s="9" t="s">
        <v>19</v>
      </c>
      <c r="D165" s="9" t="s">
        <v>20</v>
      </c>
      <c r="E165" s="80">
        <f>197.825</f>
        <v>197.825</v>
      </c>
      <c r="F165" s="81">
        <f>ROUND('Gia VL'!Q67/1000,5)</f>
        <v>1637.6775</v>
      </c>
      <c r="G165" s="82">
        <f>ROUND(E165*F165,5)</f>
        <v>323973.55144</v>
      </c>
    </row>
    <row r="166" spans="1:7" ht="15">
      <c r="A166" s="8" t="s">
        <v>0</v>
      </c>
      <c r="B166" s="9" t="s">
        <v>0</v>
      </c>
      <c r="C166" s="9" t="s">
        <v>21</v>
      </c>
      <c r="D166" s="9" t="s">
        <v>22</v>
      </c>
      <c r="E166" s="80">
        <f>0.572975</f>
        <v>0.572975</v>
      </c>
      <c r="F166" s="81">
        <f>'Gia VL'!Q18</f>
        <v>379127.7</v>
      </c>
      <c r="G166" s="82">
        <f>ROUND(E166*F166,5)</f>
        <v>217230.69391</v>
      </c>
    </row>
    <row r="167" spans="1:7" ht="15">
      <c r="A167" s="8" t="s">
        <v>0</v>
      </c>
      <c r="B167" s="9" t="s">
        <v>0</v>
      </c>
      <c r="C167" s="9" t="s">
        <v>23</v>
      </c>
      <c r="D167" s="9" t="s">
        <v>22</v>
      </c>
      <c r="E167" s="80">
        <f>0.92865</f>
        <v>0.92865</v>
      </c>
      <c r="F167" s="81">
        <f>'Gia VL'!Q81</f>
        <v>248890.90000000002</v>
      </c>
      <c r="G167" s="82">
        <f>ROUND(E167*F167,5)</f>
        <v>231132.53429</v>
      </c>
    </row>
    <row r="168" spans="1:7" ht="15">
      <c r="A168" s="8" t="s">
        <v>0</v>
      </c>
      <c r="B168" s="9" t="s">
        <v>0</v>
      </c>
      <c r="C168" s="9" t="s">
        <v>24</v>
      </c>
      <c r="D168" s="9" t="s">
        <v>22</v>
      </c>
      <c r="E168" s="80">
        <f>0.16605</f>
        <v>0.16605</v>
      </c>
      <c r="F168" s="81">
        <f>'Gia VL'!Q47</f>
        <v>9545.45</v>
      </c>
      <c r="G168" s="82">
        <f>ROUND(E168*F168,5)</f>
        <v>1585.02197</v>
      </c>
    </row>
    <row r="169" spans="1:7" ht="15">
      <c r="A169" s="8" t="s">
        <v>0</v>
      </c>
      <c r="B169" s="9" t="s">
        <v>0</v>
      </c>
      <c r="C169" s="9" t="s">
        <v>609</v>
      </c>
      <c r="D169" s="9" t="s">
        <v>605</v>
      </c>
      <c r="E169" s="80">
        <f>1</f>
        <v>1</v>
      </c>
      <c r="F169" s="81"/>
      <c r="G169" s="82">
        <f>ROUND(SUM(G165:G168)*E169/100,5)</f>
        <v>7739.21802</v>
      </c>
    </row>
    <row r="170" spans="1:7" ht="15.75">
      <c r="A170" s="8" t="s">
        <v>0</v>
      </c>
      <c r="B170" s="9" t="s">
        <v>0</v>
      </c>
      <c r="C170" s="9" t="s">
        <v>603</v>
      </c>
      <c r="D170" s="9" t="s">
        <v>0</v>
      </c>
      <c r="E170" s="80"/>
      <c r="F170" s="81"/>
      <c r="G170" s="83">
        <f>ROUND(SUM(G171:G171),5)</f>
        <v>274450.057</v>
      </c>
    </row>
    <row r="171" spans="1:7" ht="15">
      <c r="A171" s="8" t="s">
        <v>0</v>
      </c>
      <c r="B171" s="9" t="s">
        <v>0</v>
      </c>
      <c r="C171" s="9" t="s">
        <v>25</v>
      </c>
      <c r="D171" s="9" t="s">
        <v>8</v>
      </c>
      <c r="E171" s="80">
        <f>1.19</f>
        <v>1.19</v>
      </c>
      <c r="F171" s="81">
        <f>'Gia NC,CM'!P9</f>
        <v>230630.3</v>
      </c>
      <c r="G171" s="82">
        <f>ROUND(E171*F171,5)</f>
        <v>274450.057</v>
      </c>
    </row>
    <row r="172" spans="1:7" ht="15.75">
      <c r="A172" s="8" t="s">
        <v>0</v>
      </c>
      <c r="B172" s="9" t="s">
        <v>0</v>
      </c>
      <c r="C172" s="9" t="s">
        <v>602</v>
      </c>
      <c r="D172" s="9" t="s">
        <v>0</v>
      </c>
      <c r="E172" s="80"/>
      <c r="F172" s="81"/>
      <c r="G172" s="83">
        <f>ROUND(SUM(G173:G176),5)</f>
        <v>54409.0095</v>
      </c>
    </row>
    <row r="173" spans="1:7" ht="15">
      <c r="A173" s="8" t="s">
        <v>0</v>
      </c>
      <c r="B173" s="9" t="s">
        <v>0</v>
      </c>
      <c r="C173" s="9" t="s">
        <v>26</v>
      </c>
      <c r="D173" s="9" t="s">
        <v>10</v>
      </c>
      <c r="E173" s="80">
        <f>0.095</f>
        <v>0.095</v>
      </c>
      <c r="F173" s="81">
        <f>'Gia NC,CM'!P25</f>
        <v>318885.3</v>
      </c>
      <c r="G173" s="82">
        <f>ROUND(E173*F173,5)</f>
        <v>30294.1035</v>
      </c>
    </row>
    <row r="174" spans="1:7" ht="15">
      <c r="A174" s="8" t="s">
        <v>0</v>
      </c>
      <c r="B174" s="9" t="s">
        <v>0</v>
      </c>
      <c r="C174" s="9" t="s">
        <v>27</v>
      </c>
      <c r="D174" s="9" t="s">
        <v>10</v>
      </c>
      <c r="E174" s="80">
        <f>0.089</f>
        <v>0.089</v>
      </c>
      <c r="F174" s="81">
        <f>'Gia NC,CM'!P29</f>
        <v>270954</v>
      </c>
      <c r="G174" s="82">
        <f>ROUND(E174*F174,5)</f>
        <v>24114.906</v>
      </c>
    </row>
    <row r="175" spans="1:7" ht="15">
      <c r="A175" s="8" t="s">
        <v>0</v>
      </c>
      <c r="B175" s="9" t="s">
        <v>0</v>
      </c>
      <c r="C175" s="9" t="s">
        <v>0</v>
      </c>
      <c r="D175" s="9" t="s">
        <v>0</v>
      </c>
      <c r="E175" s="80"/>
      <c r="F175" s="81"/>
      <c r="G175" s="82"/>
    </row>
    <row r="176" spans="1:7" ht="15">
      <c r="A176" s="8" t="s">
        <v>90</v>
      </c>
      <c r="B176" s="9" t="s">
        <v>94</v>
      </c>
      <c r="C176" s="9" t="s">
        <v>95</v>
      </c>
      <c r="D176" s="9" t="s">
        <v>38</v>
      </c>
      <c r="E176" s="80"/>
      <c r="F176" s="81"/>
      <c r="G176" s="82"/>
    </row>
    <row r="177" spans="1:7" ht="15.75">
      <c r="A177" s="8" t="s">
        <v>0</v>
      </c>
      <c r="B177" s="9" t="s">
        <v>0</v>
      </c>
      <c r="C177" s="9" t="s">
        <v>604</v>
      </c>
      <c r="D177" s="9" t="s">
        <v>0</v>
      </c>
      <c r="E177" s="80"/>
      <c r="F177" s="81"/>
      <c r="G177" s="83">
        <f>ROUND(SUM(G178:G184),5)</f>
        <v>116131.03461</v>
      </c>
    </row>
    <row r="178" spans="1:7" ht="15">
      <c r="A178" s="8" t="s">
        <v>0</v>
      </c>
      <c r="B178" s="9" t="s">
        <v>0</v>
      </c>
      <c r="C178" s="9" t="s">
        <v>96</v>
      </c>
      <c r="D178" s="9" t="s">
        <v>97</v>
      </c>
      <c r="E178" s="80">
        <f>1.01</f>
        <v>1.01</v>
      </c>
      <c r="F178" s="81">
        <f>'Gia VL'!Q26</f>
        <v>100000</v>
      </c>
      <c r="G178" s="82">
        <f aca="true" t="shared" si="0" ref="G178:G183">ROUND(E178*F178,5)</f>
        <v>101000</v>
      </c>
    </row>
    <row r="179" spans="1:7" ht="15">
      <c r="A179" s="8" t="s">
        <v>0</v>
      </c>
      <c r="B179" s="9" t="s">
        <v>0</v>
      </c>
      <c r="C179" s="9" t="s">
        <v>32</v>
      </c>
      <c r="D179" s="9" t="s">
        <v>20</v>
      </c>
      <c r="E179" s="80">
        <f>3.913</f>
        <v>3.913</v>
      </c>
      <c r="F179" s="81">
        <f>ROUND('Gia VL'!Q69/1000,5)</f>
        <v>1701.3145</v>
      </c>
      <c r="G179" s="82">
        <f t="shared" si="0"/>
        <v>6657.24364</v>
      </c>
    </row>
    <row r="180" spans="1:7" ht="15">
      <c r="A180" s="8" t="s">
        <v>0</v>
      </c>
      <c r="B180" s="9" t="s">
        <v>0</v>
      </c>
      <c r="C180" s="9" t="s">
        <v>61</v>
      </c>
      <c r="D180" s="9" t="s">
        <v>22</v>
      </c>
      <c r="E180" s="80">
        <f>0.015067</f>
        <v>0.015067</v>
      </c>
      <c r="F180" s="81">
        <f>'Gia VL'!Q15</f>
        <v>359127.7</v>
      </c>
      <c r="G180" s="82">
        <f t="shared" si="0"/>
        <v>5410.97706</v>
      </c>
    </row>
    <row r="181" spans="1:7" ht="15">
      <c r="A181" s="8" t="s">
        <v>0</v>
      </c>
      <c r="B181" s="9" t="s">
        <v>0</v>
      </c>
      <c r="C181" s="9" t="s">
        <v>24</v>
      </c>
      <c r="D181" s="9" t="s">
        <v>22</v>
      </c>
      <c r="E181" s="80">
        <f>0.003614</f>
        <v>0.003614</v>
      </c>
      <c r="F181" s="81">
        <f>'Gia VL'!Q47</f>
        <v>9545.45</v>
      </c>
      <c r="G181" s="82">
        <f t="shared" si="0"/>
        <v>34.49726</v>
      </c>
    </row>
    <row r="182" spans="1:7" ht="15">
      <c r="A182" s="8" t="s">
        <v>0</v>
      </c>
      <c r="B182" s="9" t="s">
        <v>0</v>
      </c>
      <c r="C182" s="9" t="s">
        <v>32</v>
      </c>
      <c r="D182" s="9" t="s">
        <v>20</v>
      </c>
      <c r="E182" s="80">
        <f>0.65</f>
        <v>0.65</v>
      </c>
      <c r="F182" s="81">
        <f>ROUND('Gia VL'!Q69/1000,5)</f>
        <v>1701.3145</v>
      </c>
      <c r="G182" s="82">
        <f t="shared" si="0"/>
        <v>1105.85443</v>
      </c>
    </row>
    <row r="183" spans="1:7" ht="15">
      <c r="A183" s="8" t="s">
        <v>0</v>
      </c>
      <c r="B183" s="9" t="s">
        <v>0</v>
      </c>
      <c r="C183" s="9" t="s">
        <v>98</v>
      </c>
      <c r="D183" s="9" t="s">
        <v>20</v>
      </c>
      <c r="E183" s="80">
        <f>0.17</f>
        <v>0.17</v>
      </c>
      <c r="F183" s="81">
        <f>ROUND('Gia VL'!Q71/1000,5)</f>
        <v>4545</v>
      </c>
      <c r="G183" s="82">
        <f t="shared" si="0"/>
        <v>772.65</v>
      </c>
    </row>
    <row r="184" spans="1:7" ht="15">
      <c r="A184" s="8" t="s">
        <v>0</v>
      </c>
      <c r="B184" s="9" t="s">
        <v>0</v>
      </c>
      <c r="C184" s="9" t="s">
        <v>609</v>
      </c>
      <c r="D184" s="9" t="s">
        <v>605</v>
      </c>
      <c r="E184" s="80">
        <f>1</f>
        <v>1</v>
      </c>
      <c r="F184" s="81"/>
      <c r="G184" s="82">
        <f>ROUND(SUM(G178:G183)*E184/100,5)</f>
        <v>1149.81222</v>
      </c>
    </row>
    <row r="185" spans="1:7" ht="15.75">
      <c r="A185" s="8" t="s">
        <v>0</v>
      </c>
      <c r="B185" s="9" t="s">
        <v>0</v>
      </c>
      <c r="C185" s="9" t="s">
        <v>603</v>
      </c>
      <c r="D185" s="9" t="s">
        <v>0</v>
      </c>
      <c r="E185" s="80"/>
      <c r="F185" s="81"/>
      <c r="G185" s="83">
        <f>ROUND(SUM(G186:G186),5)</f>
        <v>131409.456</v>
      </c>
    </row>
    <row r="186" spans="1:7" ht="15">
      <c r="A186" s="8" t="s">
        <v>0</v>
      </c>
      <c r="B186" s="9" t="s">
        <v>0</v>
      </c>
      <c r="C186" s="9" t="s">
        <v>99</v>
      </c>
      <c r="D186" s="9" t="s">
        <v>8</v>
      </c>
      <c r="E186" s="80">
        <f>0.48</f>
        <v>0.48</v>
      </c>
      <c r="F186" s="81">
        <f>'Gia NC,CM'!P14</f>
        <v>273769.7</v>
      </c>
      <c r="G186" s="82">
        <f>ROUND(E186*F186,5)</f>
        <v>131409.456</v>
      </c>
    </row>
    <row r="187" spans="1:7" ht="15.75">
      <c r="A187" s="8" t="s">
        <v>0</v>
      </c>
      <c r="B187" s="9" t="s">
        <v>0</v>
      </c>
      <c r="C187" s="9" t="s">
        <v>602</v>
      </c>
      <c r="D187" s="9" t="s">
        <v>0</v>
      </c>
      <c r="E187" s="80"/>
      <c r="F187" s="81"/>
      <c r="G187" s="83">
        <f>ROUND(SUM(G188:G191),5)</f>
        <v>5563.46</v>
      </c>
    </row>
    <row r="188" spans="1:7" ht="15">
      <c r="A188" s="8" t="s">
        <v>0</v>
      </c>
      <c r="B188" s="9" t="s">
        <v>0</v>
      </c>
      <c r="C188" s="9" t="s">
        <v>100</v>
      </c>
      <c r="D188" s="9" t="s">
        <v>10</v>
      </c>
      <c r="E188" s="80">
        <f>0.2</f>
        <v>0.2</v>
      </c>
      <c r="F188" s="81">
        <f>'Gia NC,CM'!P20</f>
        <v>27817.3</v>
      </c>
      <c r="G188" s="82">
        <f>ROUND(E188*F188,5)</f>
        <v>5563.46</v>
      </c>
    </row>
    <row r="189" spans="1:7" ht="15">
      <c r="A189" s="8" t="s">
        <v>0</v>
      </c>
      <c r="B189" s="9" t="s">
        <v>0</v>
      </c>
      <c r="C189" s="9" t="s">
        <v>0</v>
      </c>
      <c r="D189" s="9" t="s">
        <v>0</v>
      </c>
      <c r="E189" s="80"/>
      <c r="F189" s="81"/>
      <c r="G189" s="82"/>
    </row>
    <row r="190" spans="1:7" ht="15">
      <c r="A190" s="8" t="s">
        <v>93</v>
      </c>
      <c r="B190" s="9" t="s">
        <v>102</v>
      </c>
      <c r="C190" s="9" t="s">
        <v>103</v>
      </c>
      <c r="D190" s="9" t="s">
        <v>104</v>
      </c>
      <c r="E190" s="80"/>
      <c r="F190" s="81"/>
      <c r="G190" s="82"/>
    </row>
    <row r="191" spans="1:7" ht="15">
      <c r="A191" s="8" t="s">
        <v>0</v>
      </c>
      <c r="B191" s="9" t="s">
        <v>0</v>
      </c>
      <c r="C191" s="9" t="s">
        <v>105</v>
      </c>
      <c r="D191" s="9" t="s">
        <v>0</v>
      </c>
      <c r="E191" s="80"/>
      <c r="F191" s="81"/>
      <c r="G191" s="82"/>
    </row>
    <row r="192" spans="1:7" ht="15.75">
      <c r="A192" s="8" t="s">
        <v>0</v>
      </c>
      <c r="B192" s="9" t="s">
        <v>0</v>
      </c>
      <c r="C192" s="9" t="s">
        <v>604</v>
      </c>
      <c r="D192" s="9" t="s">
        <v>0</v>
      </c>
      <c r="E192" s="80"/>
      <c r="F192" s="81"/>
      <c r="G192" s="83">
        <f>ROUND(SUM(G193:G196),5)</f>
        <v>2406.6293</v>
      </c>
    </row>
    <row r="193" spans="1:7" ht="15">
      <c r="A193" s="8" t="s">
        <v>0</v>
      </c>
      <c r="B193" s="9" t="s">
        <v>0</v>
      </c>
      <c r="C193" s="9" t="s">
        <v>106</v>
      </c>
      <c r="D193" s="9" t="s">
        <v>20</v>
      </c>
      <c r="E193" s="80">
        <f>0.0025*264</f>
        <v>0.66</v>
      </c>
      <c r="F193" s="81">
        <f>ROUND('Gia VL'!Q65/1000,5)</f>
        <v>1701.3145</v>
      </c>
      <c r="G193" s="82">
        <f>ROUND(E193*F193,5)</f>
        <v>1122.86757</v>
      </c>
    </row>
    <row r="194" spans="1:7" ht="15">
      <c r="A194" s="8" t="s">
        <v>0</v>
      </c>
      <c r="B194" s="9" t="s">
        <v>0</v>
      </c>
      <c r="C194" s="9" t="s">
        <v>61</v>
      </c>
      <c r="D194" s="9" t="s">
        <v>22</v>
      </c>
      <c r="E194" s="80">
        <f>0.0025*1.19</f>
        <v>0.0029749999999999998</v>
      </c>
      <c r="F194" s="81">
        <f>'Gia VL'!Q15</f>
        <v>359127.7</v>
      </c>
      <c r="G194" s="82">
        <f>ROUND(E194*F194,5)</f>
        <v>1068.40491</v>
      </c>
    </row>
    <row r="195" spans="1:7" ht="15">
      <c r="A195" s="8" t="s">
        <v>0</v>
      </c>
      <c r="B195" s="9" t="s">
        <v>0</v>
      </c>
      <c r="C195" s="9" t="s">
        <v>24</v>
      </c>
      <c r="D195" s="9" t="s">
        <v>22</v>
      </c>
      <c r="E195" s="80">
        <f>0.0025*0.275</f>
        <v>0.0006875000000000001</v>
      </c>
      <c r="F195" s="81">
        <f>'Gia VL'!Q47</f>
        <v>9545.45</v>
      </c>
      <c r="G195" s="82">
        <f>ROUND(E195*F195,5)</f>
        <v>6.5625</v>
      </c>
    </row>
    <row r="196" spans="1:7" ht="15">
      <c r="A196" s="8" t="s">
        <v>0</v>
      </c>
      <c r="B196" s="9" t="s">
        <v>0</v>
      </c>
      <c r="C196" s="9" t="s">
        <v>609</v>
      </c>
      <c r="D196" s="9" t="s">
        <v>605</v>
      </c>
      <c r="E196" s="80">
        <f>9.5</f>
        <v>9.5</v>
      </c>
      <c r="F196" s="81"/>
      <c r="G196" s="82">
        <f>ROUND(SUM(G193:G195)*E196/100,5)</f>
        <v>208.79432</v>
      </c>
    </row>
    <row r="197" spans="1:7" ht="15.75">
      <c r="A197" s="8" t="s">
        <v>0</v>
      </c>
      <c r="B197" s="9" t="s">
        <v>0</v>
      </c>
      <c r="C197" s="9" t="s">
        <v>603</v>
      </c>
      <c r="D197" s="9" t="s">
        <v>0</v>
      </c>
      <c r="E197" s="80"/>
      <c r="F197" s="81"/>
      <c r="G197" s="83">
        <f>ROUND(SUM(G198:G200),5)</f>
        <v>32852.364</v>
      </c>
    </row>
    <row r="198" spans="1:7" ht="15">
      <c r="A198" s="8" t="s">
        <v>0</v>
      </c>
      <c r="B198" s="9" t="s">
        <v>0</v>
      </c>
      <c r="C198" s="9" t="s">
        <v>99</v>
      </c>
      <c r="D198" s="9" t="s">
        <v>8</v>
      </c>
      <c r="E198" s="80">
        <f>0.12</f>
        <v>0.12</v>
      </c>
      <c r="F198" s="81">
        <f>'Gia NC,CM'!P14</f>
        <v>273769.7</v>
      </c>
      <c r="G198" s="82">
        <f>ROUND(E198*F198,5)</f>
        <v>32852.364</v>
      </c>
    </row>
    <row r="199" spans="1:7" ht="15">
      <c r="A199" s="8" t="s">
        <v>0</v>
      </c>
      <c r="B199" s="9" t="s">
        <v>0</v>
      </c>
      <c r="C199" s="9" t="s">
        <v>0</v>
      </c>
      <c r="D199" s="9" t="s">
        <v>0</v>
      </c>
      <c r="E199" s="80"/>
      <c r="F199" s="81"/>
      <c r="G199" s="82"/>
    </row>
    <row r="200" spans="1:7" ht="15">
      <c r="A200" s="8" t="s">
        <v>101</v>
      </c>
      <c r="B200" s="9" t="s">
        <v>111</v>
      </c>
      <c r="C200" s="9" t="s">
        <v>112</v>
      </c>
      <c r="D200" s="9" t="s">
        <v>38</v>
      </c>
      <c r="E200" s="80"/>
      <c r="F200" s="81"/>
      <c r="G200" s="82"/>
    </row>
    <row r="201" spans="1:7" ht="15.75">
      <c r="A201" s="8" t="s">
        <v>0</v>
      </c>
      <c r="B201" s="9" t="s">
        <v>0</v>
      </c>
      <c r="C201" s="9" t="s">
        <v>604</v>
      </c>
      <c r="D201" s="9" t="s">
        <v>0</v>
      </c>
      <c r="E201" s="80"/>
      <c r="F201" s="81"/>
      <c r="G201" s="83">
        <f>ROUND(SUM(G202:G206),5)</f>
        <v>76038.35978</v>
      </c>
    </row>
    <row r="202" spans="1:7" ht="15">
      <c r="A202" s="8" t="s">
        <v>0</v>
      </c>
      <c r="B202" s="9" t="s">
        <v>0</v>
      </c>
      <c r="C202" s="9" t="s">
        <v>40</v>
      </c>
      <c r="D202" s="9" t="s">
        <v>22</v>
      </c>
      <c r="E202" s="80">
        <f>0.00936</f>
        <v>0.00936</v>
      </c>
      <c r="F202" s="81">
        <f>'Gia VL'!Q36</f>
        <v>4110579.4</v>
      </c>
      <c r="G202" s="82">
        <f>ROUND(E202*F202,5)</f>
        <v>38475.02318</v>
      </c>
    </row>
    <row r="203" spans="1:7" ht="15">
      <c r="A203" s="8" t="s">
        <v>0</v>
      </c>
      <c r="B203" s="9" t="s">
        <v>0</v>
      </c>
      <c r="C203" s="9" t="s">
        <v>41</v>
      </c>
      <c r="D203" s="9" t="s">
        <v>22</v>
      </c>
      <c r="E203" s="80">
        <f>0.00186</f>
        <v>0.00186</v>
      </c>
      <c r="F203" s="81">
        <f>'Gia VL'!Q42</f>
        <v>4110579.4</v>
      </c>
      <c r="G203" s="82">
        <f>ROUND(E203*F203,5)</f>
        <v>7645.67768</v>
      </c>
    </row>
    <row r="204" spans="1:7" ht="15">
      <c r="A204" s="8" t="s">
        <v>0</v>
      </c>
      <c r="B204" s="9" t="s">
        <v>0</v>
      </c>
      <c r="C204" s="9" t="s">
        <v>42</v>
      </c>
      <c r="D204" s="9" t="s">
        <v>22</v>
      </c>
      <c r="E204" s="80">
        <f>0.00622</f>
        <v>0.00622</v>
      </c>
      <c r="F204" s="81">
        <f>'Gia VL'!Q34</f>
        <v>4110579.4</v>
      </c>
      <c r="G204" s="82">
        <f>ROUND(E204*F204,5)</f>
        <v>25567.80387</v>
      </c>
    </row>
    <row r="205" spans="1:7" ht="15">
      <c r="A205" s="8" t="s">
        <v>0</v>
      </c>
      <c r="B205" s="9" t="s">
        <v>0</v>
      </c>
      <c r="C205" s="9" t="s">
        <v>43</v>
      </c>
      <c r="D205" s="9" t="s">
        <v>20</v>
      </c>
      <c r="E205" s="80">
        <f>0.22</f>
        <v>0.22</v>
      </c>
      <c r="F205" s="81">
        <f>ROUND('Gia VL'!Q73/1000,5)</f>
        <v>16350</v>
      </c>
      <c r="G205" s="82">
        <f>ROUND(E205*F205,5)</f>
        <v>3597</v>
      </c>
    </row>
    <row r="206" spans="1:7" ht="15">
      <c r="A206" s="8" t="s">
        <v>0</v>
      </c>
      <c r="B206" s="9" t="s">
        <v>0</v>
      </c>
      <c r="C206" s="9" t="s">
        <v>609</v>
      </c>
      <c r="D206" s="9" t="s">
        <v>605</v>
      </c>
      <c r="E206" s="80">
        <f>1</f>
        <v>1</v>
      </c>
      <c r="F206" s="81"/>
      <c r="G206" s="82">
        <f>ROUND(SUM(G202:G205)*E206/100,5)</f>
        <v>752.85505</v>
      </c>
    </row>
    <row r="207" spans="1:7" ht="15.75">
      <c r="A207" s="8" t="s">
        <v>0</v>
      </c>
      <c r="B207" s="9" t="s">
        <v>0</v>
      </c>
      <c r="C207" s="9" t="s">
        <v>603</v>
      </c>
      <c r="D207" s="9" t="s">
        <v>0</v>
      </c>
      <c r="E207" s="80"/>
      <c r="F207" s="81"/>
      <c r="G207" s="83">
        <f>ROUND(SUM(G208:G211),5)</f>
        <v>139088.3</v>
      </c>
    </row>
    <row r="208" spans="1:7" ht="15">
      <c r="A208" s="8" t="s">
        <v>0</v>
      </c>
      <c r="B208" s="9" t="s">
        <v>0</v>
      </c>
      <c r="C208" s="9" t="s">
        <v>44</v>
      </c>
      <c r="D208" s="9" t="s">
        <v>8</v>
      </c>
      <c r="E208" s="80">
        <f>0.5515</f>
        <v>0.5515</v>
      </c>
      <c r="F208" s="81">
        <f>'Gia NC,CM'!P11</f>
        <v>252200</v>
      </c>
      <c r="G208" s="82">
        <f>ROUND(E208*F208,5)</f>
        <v>139088.3</v>
      </c>
    </row>
    <row r="209" spans="1:7" ht="15">
      <c r="A209" s="8" t="s">
        <v>0</v>
      </c>
      <c r="B209" s="9" t="s">
        <v>0</v>
      </c>
      <c r="C209" s="9" t="s">
        <v>0</v>
      </c>
      <c r="D209" s="9" t="s">
        <v>0</v>
      </c>
      <c r="E209" s="80"/>
      <c r="F209" s="81"/>
      <c r="G209" s="82"/>
    </row>
    <row r="210" spans="1:7" ht="15">
      <c r="A210" s="8" t="s">
        <v>107</v>
      </c>
      <c r="B210" s="9" t="s">
        <v>114</v>
      </c>
      <c r="C210" s="9" t="s">
        <v>115</v>
      </c>
      <c r="D210" s="9" t="s">
        <v>38</v>
      </c>
      <c r="E210" s="80"/>
      <c r="F210" s="81"/>
      <c r="G210" s="82"/>
    </row>
    <row r="211" spans="1:7" ht="15">
      <c r="A211" s="8" t="s">
        <v>0</v>
      </c>
      <c r="B211" s="9" t="s">
        <v>0</v>
      </c>
      <c r="C211" s="9" t="s">
        <v>116</v>
      </c>
      <c r="D211" s="9" t="s">
        <v>0</v>
      </c>
      <c r="E211" s="80"/>
      <c r="F211" s="81"/>
      <c r="G211" s="82"/>
    </row>
    <row r="212" spans="1:7" ht="15.75">
      <c r="A212" s="8" t="s">
        <v>0</v>
      </c>
      <c r="B212" s="9" t="s">
        <v>0</v>
      </c>
      <c r="C212" s="9" t="s">
        <v>604</v>
      </c>
      <c r="D212" s="9" t="s">
        <v>0</v>
      </c>
      <c r="E212" s="80"/>
      <c r="F212" s="81"/>
      <c r="G212" s="83">
        <f>ROUND(SUM(G213:G216),5)</f>
        <v>15903.53387</v>
      </c>
    </row>
    <row r="213" spans="1:7" ht="15">
      <c r="A213" s="8" t="s">
        <v>0</v>
      </c>
      <c r="B213" s="9" t="s">
        <v>0</v>
      </c>
      <c r="C213" s="9" t="s">
        <v>106</v>
      </c>
      <c r="D213" s="9" t="s">
        <v>20</v>
      </c>
      <c r="E213" s="80">
        <f>0.018*264</f>
        <v>4.752</v>
      </c>
      <c r="F213" s="81">
        <f>ROUND('Gia VL'!Q65/1000,5)</f>
        <v>1701.3145</v>
      </c>
      <c r="G213" s="82">
        <f>ROUND(E213*F213,5)</f>
        <v>8084.6465</v>
      </c>
    </row>
    <row r="214" spans="1:7" ht="15">
      <c r="A214" s="8" t="s">
        <v>0</v>
      </c>
      <c r="B214" s="9" t="s">
        <v>0</v>
      </c>
      <c r="C214" s="9" t="s">
        <v>61</v>
      </c>
      <c r="D214" s="9" t="s">
        <v>22</v>
      </c>
      <c r="E214" s="80">
        <f>0.018*1.19</f>
        <v>0.021419999999999998</v>
      </c>
      <c r="F214" s="81">
        <f>'Gia VL'!Q15</f>
        <v>359127.7</v>
      </c>
      <c r="G214" s="82">
        <f>ROUND(E214*F214,5)</f>
        <v>7692.51533</v>
      </c>
    </row>
    <row r="215" spans="1:7" ht="15">
      <c r="A215" s="8" t="s">
        <v>0</v>
      </c>
      <c r="B215" s="9" t="s">
        <v>0</v>
      </c>
      <c r="C215" s="9" t="s">
        <v>24</v>
      </c>
      <c r="D215" s="9" t="s">
        <v>22</v>
      </c>
      <c r="E215" s="80">
        <f>0.018*0.275</f>
        <v>0.00495</v>
      </c>
      <c r="F215" s="81">
        <f>'Gia VL'!Q47</f>
        <v>9545.45</v>
      </c>
      <c r="G215" s="82">
        <f>ROUND(E215*F215,5)</f>
        <v>47.24998</v>
      </c>
    </row>
    <row r="216" spans="1:7" ht="15">
      <c r="A216" s="8" t="s">
        <v>0</v>
      </c>
      <c r="B216" s="9" t="s">
        <v>0</v>
      </c>
      <c r="C216" s="9" t="s">
        <v>609</v>
      </c>
      <c r="D216" s="9" t="s">
        <v>605</v>
      </c>
      <c r="E216" s="80">
        <f>0.5</f>
        <v>0.5</v>
      </c>
      <c r="F216" s="81"/>
      <c r="G216" s="82">
        <f>ROUND(SUM(G213:G215)*E216/100,5)</f>
        <v>79.12206</v>
      </c>
    </row>
    <row r="217" spans="1:7" ht="15.75">
      <c r="A217" s="8" t="s">
        <v>0</v>
      </c>
      <c r="B217" s="9" t="s">
        <v>0</v>
      </c>
      <c r="C217" s="9" t="s">
        <v>603</v>
      </c>
      <c r="D217" s="9" t="s">
        <v>0</v>
      </c>
      <c r="E217" s="80"/>
      <c r="F217" s="81"/>
      <c r="G217" s="83">
        <f>ROUND(SUM(G218:G218),5)</f>
        <v>142360.244</v>
      </c>
    </row>
    <row r="218" spans="1:7" ht="15">
      <c r="A218" s="8" t="s">
        <v>0</v>
      </c>
      <c r="B218" s="9" t="s">
        <v>0</v>
      </c>
      <c r="C218" s="9" t="s">
        <v>99</v>
      </c>
      <c r="D218" s="9" t="s">
        <v>8</v>
      </c>
      <c r="E218" s="80">
        <f>0.52</f>
        <v>0.52</v>
      </c>
      <c r="F218" s="81">
        <f>'Gia NC,CM'!P14</f>
        <v>273769.7</v>
      </c>
      <c r="G218" s="82">
        <f>ROUND(E218*F218,5)</f>
        <v>142360.244</v>
      </c>
    </row>
    <row r="219" spans="1:7" ht="15.75">
      <c r="A219" s="8" t="s">
        <v>0</v>
      </c>
      <c r="B219" s="9" t="s">
        <v>0</v>
      </c>
      <c r="C219" s="9" t="s">
        <v>602</v>
      </c>
      <c r="D219" s="9" t="s">
        <v>0</v>
      </c>
      <c r="E219" s="80"/>
      <c r="F219" s="81"/>
      <c r="G219" s="83">
        <f>ROUND(SUM(G220:G223),5)</f>
        <v>878.8458</v>
      </c>
    </row>
    <row r="220" spans="1:7" ht="15">
      <c r="A220" s="8" t="s">
        <v>0</v>
      </c>
      <c r="B220" s="9" t="s">
        <v>0</v>
      </c>
      <c r="C220" s="9" t="s">
        <v>117</v>
      </c>
      <c r="D220" s="9" t="s">
        <v>10</v>
      </c>
      <c r="E220" s="80">
        <f>0.003</f>
        <v>0.003</v>
      </c>
      <c r="F220" s="81">
        <f>'Gia NC,CM'!P24</f>
        <v>292948.6</v>
      </c>
      <c r="G220" s="82">
        <f>ROUND(E220*F220,5)</f>
        <v>878.8458</v>
      </c>
    </row>
    <row r="221" spans="1:7" ht="15">
      <c r="A221" s="8" t="s">
        <v>0</v>
      </c>
      <c r="B221" s="9" t="s">
        <v>0</v>
      </c>
      <c r="C221" s="9" t="s">
        <v>0</v>
      </c>
      <c r="D221" s="9" t="s">
        <v>0</v>
      </c>
      <c r="E221" s="80"/>
      <c r="F221" s="81"/>
      <c r="G221" s="82"/>
    </row>
    <row r="222" spans="1:7" ht="15">
      <c r="A222" s="8" t="s">
        <v>110</v>
      </c>
      <c r="B222" s="9" t="s">
        <v>119</v>
      </c>
      <c r="C222" s="9" t="s">
        <v>120</v>
      </c>
      <c r="D222" s="9" t="s">
        <v>73</v>
      </c>
      <c r="E222" s="80"/>
      <c r="F222" s="81"/>
      <c r="G222" s="82"/>
    </row>
    <row r="223" spans="1:7" ht="15">
      <c r="A223" s="8" t="s">
        <v>0</v>
      </c>
      <c r="B223" s="9" t="s">
        <v>0</v>
      </c>
      <c r="C223" s="9" t="s">
        <v>121</v>
      </c>
      <c r="D223" s="9" t="s">
        <v>0</v>
      </c>
      <c r="E223" s="80"/>
      <c r="F223" s="81"/>
      <c r="G223" s="82"/>
    </row>
    <row r="224" spans="1:7" ht="15.75">
      <c r="A224" s="8" t="s">
        <v>0</v>
      </c>
      <c r="B224" s="9" t="s">
        <v>0</v>
      </c>
      <c r="C224" s="9" t="s">
        <v>604</v>
      </c>
      <c r="D224" s="9" t="s">
        <v>0</v>
      </c>
      <c r="E224" s="80"/>
      <c r="F224" s="81"/>
      <c r="G224" s="83">
        <f>ROUND(SUM(G225:G226),5)</f>
        <v>16740621.387</v>
      </c>
    </row>
    <row r="225" spans="1:7" ht="15">
      <c r="A225" s="8" t="s">
        <v>0</v>
      </c>
      <c r="B225" s="9" t="s">
        <v>0</v>
      </c>
      <c r="C225" s="9" t="s">
        <v>75</v>
      </c>
      <c r="D225" s="9" t="s">
        <v>20</v>
      </c>
      <c r="E225" s="80">
        <f>1005</f>
        <v>1005</v>
      </c>
      <c r="F225" s="81">
        <f>ROUND('Gia VL'!Q59/1000,5)</f>
        <v>16395.8974</v>
      </c>
      <c r="G225" s="82">
        <f>ROUND(E225*F225,5)</f>
        <v>16477876.887</v>
      </c>
    </row>
    <row r="226" spans="1:7" ht="15">
      <c r="A226" s="8" t="s">
        <v>0</v>
      </c>
      <c r="B226" s="9" t="s">
        <v>0</v>
      </c>
      <c r="C226" s="9" t="s">
        <v>76</v>
      </c>
      <c r="D226" s="9" t="s">
        <v>20</v>
      </c>
      <c r="E226" s="80">
        <f>16.07</f>
        <v>16.07</v>
      </c>
      <c r="F226" s="81">
        <f>ROUND('Gia VL'!Q24/1000,5)</f>
        <v>16350</v>
      </c>
      <c r="G226" s="82">
        <f>ROUND(E226*F226,5)</f>
        <v>262744.5</v>
      </c>
    </row>
    <row r="227" spans="1:7" ht="15.75">
      <c r="A227" s="8" t="s">
        <v>0</v>
      </c>
      <c r="B227" s="9" t="s">
        <v>0</v>
      </c>
      <c r="C227" s="9" t="s">
        <v>603</v>
      </c>
      <c r="D227" s="9" t="s">
        <v>0</v>
      </c>
      <c r="E227" s="80"/>
      <c r="F227" s="81"/>
      <c r="G227" s="83">
        <f>ROUND(SUM(G228:G228),5)</f>
        <v>3566108</v>
      </c>
    </row>
    <row r="228" spans="1:7" ht="15">
      <c r="A228" s="8" t="s">
        <v>0</v>
      </c>
      <c r="B228" s="9" t="s">
        <v>0</v>
      </c>
      <c r="C228" s="9" t="s">
        <v>44</v>
      </c>
      <c r="D228" s="9" t="s">
        <v>8</v>
      </c>
      <c r="E228" s="80">
        <f>14.14</f>
        <v>14.14</v>
      </c>
      <c r="F228" s="81">
        <f>'Gia NC,CM'!P11</f>
        <v>252200</v>
      </c>
      <c r="G228" s="82">
        <f>ROUND(E228*F228,5)</f>
        <v>3566108</v>
      </c>
    </row>
    <row r="229" spans="1:7" ht="15.75">
      <c r="A229" s="8" t="s">
        <v>0</v>
      </c>
      <c r="B229" s="9" t="s">
        <v>0</v>
      </c>
      <c r="C229" s="9" t="s">
        <v>602</v>
      </c>
      <c r="D229" s="9" t="s">
        <v>0</v>
      </c>
      <c r="E229" s="80"/>
      <c r="F229" s="81"/>
      <c r="G229" s="83">
        <f>ROUND(SUM(G230:G233),5)</f>
        <v>111746.08</v>
      </c>
    </row>
    <row r="230" spans="1:7" ht="15">
      <c r="A230" s="8" t="s">
        <v>0</v>
      </c>
      <c r="B230" s="9" t="s">
        <v>0</v>
      </c>
      <c r="C230" s="9" t="s">
        <v>77</v>
      </c>
      <c r="D230" s="9" t="s">
        <v>10</v>
      </c>
      <c r="E230" s="80">
        <f>0.4</f>
        <v>0.4</v>
      </c>
      <c r="F230" s="81">
        <f>'Gia NC,CM'!P21</f>
        <v>279365.2</v>
      </c>
      <c r="G230" s="82">
        <f>ROUND(E230*F230,5)</f>
        <v>111746.08</v>
      </c>
    </row>
    <row r="231" spans="1:7" ht="15">
      <c r="A231" s="8" t="s">
        <v>0</v>
      </c>
      <c r="B231" s="9" t="s">
        <v>0</v>
      </c>
      <c r="C231" s="9" t="s">
        <v>0</v>
      </c>
      <c r="D231" s="9" t="s">
        <v>0</v>
      </c>
      <c r="E231" s="80"/>
      <c r="F231" s="81"/>
      <c r="G231" s="82"/>
    </row>
    <row r="232" spans="1:7" ht="15">
      <c r="A232" s="8" t="s">
        <v>113</v>
      </c>
      <c r="B232" s="9" t="s">
        <v>123</v>
      </c>
      <c r="C232" s="9" t="s">
        <v>120</v>
      </c>
      <c r="D232" s="9" t="s">
        <v>73</v>
      </c>
      <c r="E232" s="80"/>
      <c r="F232" s="81"/>
      <c r="G232" s="82"/>
    </row>
    <row r="233" spans="1:7" ht="15">
      <c r="A233" s="8" t="s">
        <v>0</v>
      </c>
      <c r="B233" s="9" t="s">
        <v>0</v>
      </c>
      <c r="C233" s="9" t="s">
        <v>124</v>
      </c>
      <c r="D233" s="9" t="s">
        <v>0</v>
      </c>
      <c r="E233" s="80"/>
      <c r="F233" s="81"/>
      <c r="G233" s="82"/>
    </row>
    <row r="234" spans="1:7" ht="15.75">
      <c r="A234" s="8" t="s">
        <v>0</v>
      </c>
      <c r="B234" s="9" t="s">
        <v>0</v>
      </c>
      <c r="C234" s="9" t="s">
        <v>604</v>
      </c>
      <c r="D234" s="9" t="s">
        <v>0</v>
      </c>
      <c r="E234" s="80"/>
      <c r="F234" s="81"/>
      <c r="G234" s="83">
        <f>ROUND(SUM(G235:G237),5)</f>
        <v>16708179.71172</v>
      </c>
    </row>
    <row r="235" spans="1:7" ht="15">
      <c r="A235" s="8" t="s">
        <v>0</v>
      </c>
      <c r="B235" s="9" t="s">
        <v>0</v>
      </c>
      <c r="C235" s="9" t="s">
        <v>81</v>
      </c>
      <c r="D235" s="9" t="s">
        <v>20</v>
      </c>
      <c r="E235" s="80">
        <f>1020</f>
        <v>1020</v>
      </c>
      <c r="F235" s="81">
        <f>ROUND('Gia VL'!Q61/1000,5)</f>
        <v>16145.8974</v>
      </c>
      <c r="G235" s="82">
        <f>ROUND(E235*F235,5)</f>
        <v>16468815.348</v>
      </c>
    </row>
    <row r="236" spans="1:7" ht="15">
      <c r="A236" s="8" t="s">
        <v>0</v>
      </c>
      <c r="B236" s="9" t="s">
        <v>0</v>
      </c>
      <c r="C236" s="9" t="s">
        <v>76</v>
      </c>
      <c r="D236" s="9" t="s">
        <v>20</v>
      </c>
      <c r="E236" s="80">
        <f>9.28</f>
        <v>9.28</v>
      </c>
      <c r="F236" s="81">
        <f>ROUND('Gia VL'!Q24/1000,5)</f>
        <v>16350</v>
      </c>
      <c r="G236" s="82">
        <f>ROUND(E236*F236,5)</f>
        <v>151728</v>
      </c>
    </row>
    <row r="237" spans="1:7" ht="15">
      <c r="A237" s="8" t="s">
        <v>0</v>
      </c>
      <c r="B237" s="9" t="s">
        <v>0</v>
      </c>
      <c r="C237" s="9" t="s">
        <v>82</v>
      </c>
      <c r="D237" s="9" t="s">
        <v>20</v>
      </c>
      <c r="E237" s="80">
        <f>4.82</f>
        <v>4.82</v>
      </c>
      <c r="F237" s="81">
        <f>ROUND('Gia VL'!Q50/1000,5)</f>
        <v>18181.8182</v>
      </c>
      <c r="G237" s="82">
        <f>ROUND(E237*F237,5)</f>
        <v>87636.36372</v>
      </c>
    </row>
    <row r="238" spans="1:7" ht="15.75">
      <c r="A238" s="8" t="s">
        <v>0</v>
      </c>
      <c r="B238" s="9" t="s">
        <v>0</v>
      </c>
      <c r="C238" s="9" t="s">
        <v>603</v>
      </c>
      <c r="D238" s="9" t="s">
        <v>0</v>
      </c>
      <c r="E238" s="80"/>
      <c r="F238" s="81"/>
      <c r="G238" s="83">
        <f>ROUND(SUM(G239:G239),5)</f>
        <v>2325284</v>
      </c>
    </row>
    <row r="239" spans="1:7" ht="15">
      <c r="A239" s="8" t="s">
        <v>0</v>
      </c>
      <c r="B239" s="9" t="s">
        <v>0</v>
      </c>
      <c r="C239" s="9" t="s">
        <v>44</v>
      </c>
      <c r="D239" s="9" t="s">
        <v>8</v>
      </c>
      <c r="E239" s="80">
        <f>9.22</f>
        <v>9.22</v>
      </c>
      <c r="F239" s="81">
        <f>'Gia NC,CM'!P11</f>
        <v>252200</v>
      </c>
      <c r="G239" s="82">
        <f>ROUND(E239*F239,5)</f>
        <v>2325284</v>
      </c>
    </row>
    <row r="240" spans="1:7" ht="15.75">
      <c r="A240" s="8" t="s">
        <v>0</v>
      </c>
      <c r="B240" s="9" t="s">
        <v>0</v>
      </c>
      <c r="C240" s="9" t="s">
        <v>602</v>
      </c>
      <c r="D240" s="9" t="s">
        <v>0</v>
      </c>
      <c r="E240" s="80"/>
      <c r="F240" s="81"/>
      <c r="G240" s="83">
        <f>ROUND(SUM(G241:G245),5)</f>
        <v>564322.092</v>
      </c>
    </row>
    <row r="241" spans="1:7" ht="15">
      <c r="A241" s="8" t="s">
        <v>0</v>
      </c>
      <c r="B241" s="9" t="s">
        <v>0</v>
      </c>
      <c r="C241" s="9" t="s">
        <v>83</v>
      </c>
      <c r="D241" s="9" t="s">
        <v>10</v>
      </c>
      <c r="E241" s="80">
        <f>1.16</f>
        <v>1.16</v>
      </c>
      <c r="F241" s="81">
        <f>'Gia NC,CM'!P22</f>
        <v>409418.3</v>
      </c>
      <c r="G241" s="82">
        <f>ROUND(E241*F241,5)</f>
        <v>474925.228</v>
      </c>
    </row>
    <row r="242" spans="1:7" ht="15">
      <c r="A242" s="8" t="s">
        <v>0</v>
      </c>
      <c r="B242" s="9" t="s">
        <v>0</v>
      </c>
      <c r="C242" s="9" t="s">
        <v>77</v>
      </c>
      <c r="D242" s="9" t="s">
        <v>10</v>
      </c>
      <c r="E242" s="80">
        <f>0.32</f>
        <v>0.32</v>
      </c>
      <c r="F242" s="81">
        <f>'Gia NC,CM'!P21</f>
        <v>279365.2</v>
      </c>
      <c r="G242" s="82">
        <f>ROUND(E242*F242,5)</f>
        <v>89396.864</v>
      </c>
    </row>
    <row r="243" spans="1:7" ht="15">
      <c r="A243" s="8" t="s">
        <v>0</v>
      </c>
      <c r="B243" s="9" t="s">
        <v>0</v>
      </c>
      <c r="C243" s="9" t="s">
        <v>0</v>
      </c>
      <c r="D243" s="9" t="s">
        <v>0</v>
      </c>
      <c r="E243" s="80"/>
      <c r="F243" s="81"/>
      <c r="G243" s="82"/>
    </row>
    <row r="244" spans="1:7" ht="15">
      <c r="A244" s="8" t="s">
        <v>118</v>
      </c>
      <c r="B244" s="9" t="s">
        <v>130</v>
      </c>
      <c r="C244" s="9" t="s">
        <v>131</v>
      </c>
      <c r="D244" s="9" t="s">
        <v>38</v>
      </c>
      <c r="E244" s="80"/>
      <c r="F244" s="81"/>
      <c r="G244" s="82"/>
    </row>
    <row r="245" spans="1:7" ht="15">
      <c r="A245" s="8" t="s">
        <v>0</v>
      </c>
      <c r="B245" s="9" t="s">
        <v>0</v>
      </c>
      <c r="C245" s="9" t="s">
        <v>105</v>
      </c>
      <c r="D245" s="9" t="s">
        <v>0</v>
      </c>
      <c r="E245" s="80"/>
      <c r="F245" s="81"/>
      <c r="G245" s="82"/>
    </row>
    <row r="246" spans="1:7" ht="15.75">
      <c r="A246" s="8" t="s">
        <v>0</v>
      </c>
      <c r="B246" s="9" t="s">
        <v>0</v>
      </c>
      <c r="C246" s="9" t="s">
        <v>604</v>
      </c>
      <c r="D246" s="9" t="s">
        <v>0</v>
      </c>
      <c r="E246" s="80"/>
      <c r="F246" s="81"/>
      <c r="G246" s="83">
        <f>ROUND(SUM(G247:G250),5)</f>
        <v>19879.41734</v>
      </c>
    </row>
    <row r="247" spans="1:7" ht="15">
      <c r="A247" s="8" t="s">
        <v>0</v>
      </c>
      <c r="B247" s="9" t="s">
        <v>0</v>
      </c>
      <c r="C247" s="9" t="s">
        <v>106</v>
      </c>
      <c r="D247" s="9" t="s">
        <v>20</v>
      </c>
      <c r="E247" s="80">
        <f>0.018*1.25*264</f>
        <v>5.9399999999999995</v>
      </c>
      <c r="F247" s="81">
        <f>ROUND('Gia VL'!Q65/1000,5)</f>
        <v>1701.3145</v>
      </c>
      <c r="G247" s="82">
        <f>ROUND(E247*F247,5)</f>
        <v>10105.80813</v>
      </c>
    </row>
    <row r="248" spans="1:7" ht="15">
      <c r="A248" s="8" t="s">
        <v>0</v>
      </c>
      <c r="B248" s="9" t="s">
        <v>0</v>
      </c>
      <c r="C248" s="9" t="s">
        <v>61</v>
      </c>
      <c r="D248" s="9" t="s">
        <v>22</v>
      </c>
      <c r="E248" s="80">
        <f>0.018*1.25*1.19</f>
        <v>0.026774999999999997</v>
      </c>
      <c r="F248" s="81">
        <f>'Gia VL'!Q15</f>
        <v>359127.7</v>
      </c>
      <c r="G248" s="82">
        <f>ROUND(E248*F248,5)</f>
        <v>9615.64417</v>
      </c>
    </row>
    <row r="249" spans="1:7" ht="15">
      <c r="A249" s="8" t="s">
        <v>0</v>
      </c>
      <c r="B249" s="9" t="s">
        <v>0</v>
      </c>
      <c r="C249" s="9" t="s">
        <v>24</v>
      </c>
      <c r="D249" s="9" t="s">
        <v>22</v>
      </c>
      <c r="E249" s="80">
        <f>0.018*1.25*0.275</f>
        <v>0.0061875</v>
      </c>
      <c r="F249" s="81">
        <f>'Gia VL'!Q47</f>
        <v>9545.45</v>
      </c>
      <c r="G249" s="82">
        <f>ROUND(E249*F249,5)</f>
        <v>59.06247</v>
      </c>
    </row>
    <row r="250" spans="1:7" ht="15">
      <c r="A250" s="8" t="s">
        <v>0</v>
      </c>
      <c r="B250" s="9" t="s">
        <v>0</v>
      </c>
      <c r="C250" s="9" t="s">
        <v>609</v>
      </c>
      <c r="D250" s="9" t="s">
        <v>605</v>
      </c>
      <c r="E250" s="80">
        <f>0.5</f>
        <v>0.5</v>
      </c>
      <c r="F250" s="81"/>
      <c r="G250" s="82">
        <f>ROUND(SUM(G247:G249)*E250/100,5)</f>
        <v>98.90257</v>
      </c>
    </row>
    <row r="251" spans="1:7" ht="15.75">
      <c r="A251" s="8" t="s">
        <v>0</v>
      </c>
      <c r="B251" s="9" t="s">
        <v>0</v>
      </c>
      <c r="C251" s="9" t="s">
        <v>603</v>
      </c>
      <c r="D251" s="9" t="s">
        <v>0</v>
      </c>
      <c r="E251" s="80"/>
      <c r="F251" s="81"/>
      <c r="G251" s="83">
        <f>ROUND(SUM(G252:G252),5)</f>
        <v>105401.3345</v>
      </c>
    </row>
    <row r="252" spans="1:7" ht="15">
      <c r="A252" s="8" t="s">
        <v>0</v>
      </c>
      <c r="B252" s="9" t="s">
        <v>0</v>
      </c>
      <c r="C252" s="9" t="s">
        <v>99</v>
      </c>
      <c r="D252" s="9" t="s">
        <v>8</v>
      </c>
      <c r="E252" s="80">
        <f>0.35*1.1</f>
        <v>0.385</v>
      </c>
      <c r="F252" s="81">
        <f>'Gia NC,CM'!P14</f>
        <v>273769.7</v>
      </c>
      <c r="G252" s="82">
        <f>ROUND(E252*F252,5)</f>
        <v>105401.3345</v>
      </c>
    </row>
    <row r="253" spans="1:7" ht="15.75">
      <c r="A253" s="8" t="s">
        <v>0</v>
      </c>
      <c r="B253" s="9" t="s">
        <v>0</v>
      </c>
      <c r="C253" s="9" t="s">
        <v>602</v>
      </c>
      <c r="D253" s="9" t="s">
        <v>0</v>
      </c>
      <c r="E253" s="80"/>
      <c r="F253" s="81"/>
      <c r="G253" s="83">
        <f>ROUND(SUM(G254:G257),5)</f>
        <v>878.8458</v>
      </c>
    </row>
    <row r="254" spans="1:7" ht="15">
      <c r="A254" s="8" t="s">
        <v>0</v>
      </c>
      <c r="B254" s="9" t="s">
        <v>0</v>
      </c>
      <c r="C254" s="9" t="s">
        <v>117</v>
      </c>
      <c r="D254" s="9" t="s">
        <v>10</v>
      </c>
      <c r="E254" s="80">
        <f>0.003</f>
        <v>0.003</v>
      </c>
      <c r="F254" s="81">
        <f>'Gia NC,CM'!P24</f>
        <v>292948.6</v>
      </c>
      <c r="G254" s="82">
        <f>ROUND(E254*F254,5)</f>
        <v>878.8458</v>
      </c>
    </row>
    <row r="255" spans="1:7" ht="15">
      <c r="A255" s="8" t="s">
        <v>0</v>
      </c>
      <c r="B255" s="9" t="s">
        <v>0</v>
      </c>
      <c r="C255" s="9" t="s">
        <v>0</v>
      </c>
      <c r="D255" s="9" t="s">
        <v>0</v>
      </c>
      <c r="E255" s="80"/>
      <c r="F255" s="81"/>
      <c r="G255" s="82"/>
    </row>
    <row r="256" spans="1:7" ht="15">
      <c r="A256" s="8" t="s">
        <v>122</v>
      </c>
      <c r="B256" s="9" t="s">
        <v>133</v>
      </c>
      <c r="C256" s="9" t="s">
        <v>134</v>
      </c>
      <c r="D256" s="9" t="s">
        <v>73</v>
      </c>
      <c r="E256" s="80"/>
      <c r="F256" s="81"/>
      <c r="G256" s="82"/>
    </row>
    <row r="257" spans="1:7" ht="15">
      <c r="A257" s="8" t="s">
        <v>0</v>
      </c>
      <c r="B257" s="9" t="s">
        <v>0</v>
      </c>
      <c r="C257" s="9" t="s">
        <v>135</v>
      </c>
      <c r="D257" s="9" t="s">
        <v>0</v>
      </c>
      <c r="E257" s="80"/>
      <c r="F257" s="81"/>
      <c r="G257" s="82"/>
    </row>
    <row r="258" spans="1:7" ht="15.75">
      <c r="A258" s="8" t="s">
        <v>0</v>
      </c>
      <c r="B258" s="9" t="s">
        <v>0</v>
      </c>
      <c r="C258" s="9" t="s">
        <v>604</v>
      </c>
      <c r="D258" s="9" t="s">
        <v>0</v>
      </c>
      <c r="E258" s="80"/>
      <c r="F258" s="81"/>
      <c r="G258" s="83">
        <f>ROUND(SUM(G259:G260),5)</f>
        <v>16740621.387</v>
      </c>
    </row>
    <row r="259" spans="1:7" ht="15">
      <c r="A259" s="8" t="s">
        <v>0</v>
      </c>
      <c r="B259" s="9" t="s">
        <v>0</v>
      </c>
      <c r="C259" s="9" t="s">
        <v>75</v>
      </c>
      <c r="D259" s="9" t="s">
        <v>20</v>
      </c>
      <c r="E259" s="80">
        <f>1005</f>
        <v>1005</v>
      </c>
      <c r="F259" s="81">
        <f>ROUND('Gia VL'!Q59/1000,5)</f>
        <v>16395.8974</v>
      </c>
      <c r="G259" s="82">
        <f>ROUND(E259*F259,5)</f>
        <v>16477876.887</v>
      </c>
    </row>
    <row r="260" spans="1:7" ht="15">
      <c r="A260" s="8" t="s">
        <v>0</v>
      </c>
      <c r="B260" s="9" t="s">
        <v>0</v>
      </c>
      <c r="C260" s="9" t="s">
        <v>76</v>
      </c>
      <c r="D260" s="9" t="s">
        <v>20</v>
      </c>
      <c r="E260" s="80">
        <f>16.07</f>
        <v>16.07</v>
      </c>
      <c r="F260" s="81">
        <f>ROUND('Gia VL'!Q24/1000,5)</f>
        <v>16350</v>
      </c>
      <c r="G260" s="82">
        <f>ROUND(E260*F260,5)</f>
        <v>262744.5</v>
      </c>
    </row>
    <row r="261" spans="1:7" ht="15.75">
      <c r="A261" s="8" t="s">
        <v>0</v>
      </c>
      <c r="B261" s="9" t="s">
        <v>0</v>
      </c>
      <c r="C261" s="9" t="s">
        <v>603</v>
      </c>
      <c r="D261" s="9" t="s">
        <v>0</v>
      </c>
      <c r="E261" s="80"/>
      <c r="F261" s="81"/>
      <c r="G261" s="83">
        <f>ROUND(SUM(G262:G262),5)</f>
        <v>3881358</v>
      </c>
    </row>
    <row r="262" spans="1:7" ht="15">
      <c r="A262" s="8" t="s">
        <v>0</v>
      </c>
      <c r="B262" s="9" t="s">
        <v>0</v>
      </c>
      <c r="C262" s="9" t="s">
        <v>44</v>
      </c>
      <c r="D262" s="9" t="s">
        <v>8</v>
      </c>
      <c r="E262" s="80">
        <f>15.39</f>
        <v>15.39</v>
      </c>
      <c r="F262" s="81">
        <f>'Gia NC,CM'!P11</f>
        <v>252200</v>
      </c>
      <c r="G262" s="82">
        <f>ROUND(E262*F262,5)</f>
        <v>3881358</v>
      </c>
    </row>
    <row r="263" spans="1:7" ht="15.75">
      <c r="A263" s="8" t="s">
        <v>0</v>
      </c>
      <c r="B263" s="9" t="s">
        <v>0</v>
      </c>
      <c r="C263" s="9" t="s">
        <v>602</v>
      </c>
      <c r="D263" s="9" t="s">
        <v>0</v>
      </c>
      <c r="E263" s="80"/>
      <c r="F263" s="81"/>
      <c r="G263" s="83">
        <f>ROUND(SUM(G264:G267),5)</f>
        <v>111746.08</v>
      </c>
    </row>
    <row r="264" spans="1:7" ht="15">
      <c r="A264" s="8" t="s">
        <v>0</v>
      </c>
      <c r="B264" s="9" t="s">
        <v>0</v>
      </c>
      <c r="C264" s="9" t="s">
        <v>77</v>
      </c>
      <c r="D264" s="9" t="s">
        <v>10</v>
      </c>
      <c r="E264" s="80">
        <f>0.4</f>
        <v>0.4</v>
      </c>
      <c r="F264" s="81">
        <f>'Gia NC,CM'!P21</f>
        <v>279365.2</v>
      </c>
      <c r="G264" s="82">
        <f>ROUND(E264*F264,5)</f>
        <v>111746.08</v>
      </c>
    </row>
    <row r="265" spans="1:7" ht="15">
      <c r="A265" s="8" t="s">
        <v>0</v>
      </c>
      <c r="B265" s="9" t="s">
        <v>0</v>
      </c>
      <c r="C265" s="9" t="s">
        <v>0</v>
      </c>
      <c r="D265" s="9" t="s">
        <v>0</v>
      </c>
      <c r="E265" s="80"/>
      <c r="F265" s="81"/>
      <c r="G265" s="82"/>
    </row>
    <row r="266" spans="1:7" ht="15">
      <c r="A266" s="8" t="s">
        <v>125</v>
      </c>
      <c r="B266" s="9" t="s">
        <v>137</v>
      </c>
      <c r="C266" s="9" t="s">
        <v>134</v>
      </c>
      <c r="D266" s="9" t="s">
        <v>73</v>
      </c>
      <c r="E266" s="80"/>
      <c r="F266" s="81"/>
      <c r="G266" s="82"/>
    </row>
    <row r="267" spans="1:7" ht="15">
      <c r="A267" s="8" t="s">
        <v>0</v>
      </c>
      <c r="B267" s="9" t="s">
        <v>0</v>
      </c>
      <c r="C267" s="9" t="s">
        <v>138</v>
      </c>
      <c r="D267" s="9" t="s">
        <v>0</v>
      </c>
      <c r="E267" s="80"/>
      <c r="F267" s="81"/>
      <c r="G267" s="82"/>
    </row>
    <row r="268" spans="1:7" ht="15.75">
      <c r="A268" s="8" t="s">
        <v>0</v>
      </c>
      <c r="B268" s="9" t="s">
        <v>0</v>
      </c>
      <c r="C268" s="9" t="s">
        <v>604</v>
      </c>
      <c r="D268" s="9" t="s">
        <v>0</v>
      </c>
      <c r="E268" s="80"/>
      <c r="F268" s="81"/>
      <c r="G268" s="83">
        <f>ROUND(SUM(G269:G271),5)</f>
        <v>16705997.89354</v>
      </c>
    </row>
    <row r="269" spans="1:7" ht="15">
      <c r="A269" s="8" t="s">
        <v>0</v>
      </c>
      <c r="B269" s="9" t="s">
        <v>0</v>
      </c>
      <c r="C269" s="9" t="s">
        <v>81</v>
      </c>
      <c r="D269" s="9" t="s">
        <v>20</v>
      </c>
      <c r="E269" s="80">
        <f>1020</f>
        <v>1020</v>
      </c>
      <c r="F269" s="81">
        <f>ROUND('Gia VL'!Q61/1000,5)</f>
        <v>16145.8974</v>
      </c>
      <c r="G269" s="82">
        <f>ROUND(E269*F269,5)</f>
        <v>16468815.348</v>
      </c>
    </row>
    <row r="270" spans="1:7" ht="15">
      <c r="A270" s="8" t="s">
        <v>0</v>
      </c>
      <c r="B270" s="9" t="s">
        <v>0</v>
      </c>
      <c r="C270" s="9" t="s">
        <v>76</v>
      </c>
      <c r="D270" s="9" t="s">
        <v>20</v>
      </c>
      <c r="E270" s="80">
        <f>9.28</f>
        <v>9.28</v>
      </c>
      <c r="F270" s="81">
        <f>ROUND('Gia VL'!Q24/1000,5)</f>
        <v>16350</v>
      </c>
      <c r="G270" s="82">
        <f>ROUND(E270*F270,5)</f>
        <v>151728</v>
      </c>
    </row>
    <row r="271" spans="1:7" ht="15">
      <c r="A271" s="8" t="s">
        <v>0</v>
      </c>
      <c r="B271" s="9" t="s">
        <v>0</v>
      </c>
      <c r="C271" s="9" t="s">
        <v>82</v>
      </c>
      <c r="D271" s="9" t="s">
        <v>20</v>
      </c>
      <c r="E271" s="80">
        <f>4.7</f>
        <v>4.7</v>
      </c>
      <c r="F271" s="81">
        <f>ROUND('Gia VL'!Q50/1000,5)</f>
        <v>18181.8182</v>
      </c>
      <c r="G271" s="82">
        <f>ROUND(E271*F271,5)</f>
        <v>85454.54554</v>
      </c>
    </row>
    <row r="272" spans="1:7" ht="15.75">
      <c r="A272" s="8" t="s">
        <v>0</v>
      </c>
      <c r="B272" s="9" t="s">
        <v>0</v>
      </c>
      <c r="C272" s="9" t="s">
        <v>603</v>
      </c>
      <c r="D272" s="9" t="s">
        <v>0</v>
      </c>
      <c r="E272" s="80"/>
      <c r="F272" s="81"/>
      <c r="G272" s="83">
        <f>ROUND(SUM(G273:G273),5)</f>
        <v>2330328</v>
      </c>
    </row>
    <row r="273" spans="1:7" ht="15">
      <c r="A273" s="8" t="s">
        <v>0</v>
      </c>
      <c r="B273" s="9" t="s">
        <v>0</v>
      </c>
      <c r="C273" s="9" t="s">
        <v>44</v>
      </c>
      <c r="D273" s="9" t="s">
        <v>8</v>
      </c>
      <c r="E273" s="80">
        <f>9.24</f>
        <v>9.24</v>
      </c>
      <c r="F273" s="81">
        <f>'Gia NC,CM'!P11</f>
        <v>252200</v>
      </c>
      <c r="G273" s="82">
        <f>ROUND(E273*F273,5)</f>
        <v>2330328</v>
      </c>
    </row>
    <row r="274" spans="1:7" ht="15.75">
      <c r="A274" s="8" t="s">
        <v>0</v>
      </c>
      <c r="B274" s="9" t="s">
        <v>0</v>
      </c>
      <c r="C274" s="9" t="s">
        <v>602</v>
      </c>
      <c r="D274" s="9" t="s">
        <v>0</v>
      </c>
      <c r="E274" s="80"/>
      <c r="F274" s="81"/>
      <c r="G274" s="83">
        <f>ROUND(SUM(G275:G279),5)</f>
        <v>553267.7979</v>
      </c>
    </row>
    <row r="275" spans="1:7" ht="15">
      <c r="A275" s="8" t="s">
        <v>0</v>
      </c>
      <c r="B275" s="9" t="s">
        <v>0</v>
      </c>
      <c r="C275" s="9" t="s">
        <v>83</v>
      </c>
      <c r="D275" s="9" t="s">
        <v>10</v>
      </c>
      <c r="E275" s="80">
        <f>1.133</f>
        <v>1.133</v>
      </c>
      <c r="F275" s="81">
        <f>'Gia NC,CM'!P22</f>
        <v>409418.3</v>
      </c>
      <c r="G275" s="82">
        <f>ROUND(E275*F275,5)</f>
        <v>463870.9339</v>
      </c>
    </row>
    <row r="276" spans="1:7" ht="15">
      <c r="A276" s="8" t="s">
        <v>0</v>
      </c>
      <c r="B276" s="9" t="s">
        <v>0</v>
      </c>
      <c r="C276" s="9" t="s">
        <v>77</v>
      </c>
      <c r="D276" s="9" t="s">
        <v>10</v>
      </c>
      <c r="E276" s="80">
        <f>0.32</f>
        <v>0.32</v>
      </c>
      <c r="F276" s="81">
        <f>'Gia NC,CM'!P21</f>
        <v>279365.2</v>
      </c>
      <c r="G276" s="82">
        <f>ROUND(E276*F276,5)</f>
        <v>89396.864</v>
      </c>
    </row>
    <row r="277" spans="1:7" ht="15">
      <c r="A277" s="8" t="s">
        <v>0</v>
      </c>
      <c r="B277" s="9" t="s">
        <v>0</v>
      </c>
      <c r="C277" s="9" t="s">
        <v>0</v>
      </c>
      <c r="D277" s="9" t="s">
        <v>0</v>
      </c>
      <c r="E277" s="80"/>
      <c r="F277" s="81"/>
      <c r="G277" s="82"/>
    </row>
    <row r="278" spans="1:7" ht="15">
      <c r="A278" s="8" t="s">
        <v>127</v>
      </c>
      <c r="B278" s="9" t="s">
        <v>140</v>
      </c>
      <c r="C278" s="9" t="s">
        <v>141</v>
      </c>
      <c r="D278" s="9" t="s">
        <v>5</v>
      </c>
      <c r="E278" s="80"/>
      <c r="F278" s="81"/>
      <c r="G278" s="82"/>
    </row>
    <row r="279" spans="1:7" ht="15">
      <c r="A279" s="8" t="s">
        <v>0</v>
      </c>
      <c r="B279" s="9" t="s">
        <v>0</v>
      </c>
      <c r="C279" s="9" t="s">
        <v>66</v>
      </c>
      <c r="D279" s="9" t="s">
        <v>0</v>
      </c>
      <c r="E279" s="80"/>
      <c r="F279" s="81"/>
      <c r="G279" s="82"/>
    </row>
    <row r="280" spans="1:7" ht="15.75">
      <c r="A280" s="8" t="s">
        <v>0</v>
      </c>
      <c r="B280" s="9" t="s">
        <v>0</v>
      </c>
      <c r="C280" s="9" t="s">
        <v>604</v>
      </c>
      <c r="D280" s="9" t="s">
        <v>0</v>
      </c>
      <c r="E280" s="80"/>
      <c r="F280" s="81"/>
      <c r="G280" s="83">
        <f>ROUND(SUM(G281:G285),5)</f>
        <v>1026147.37317</v>
      </c>
    </row>
    <row r="281" spans="1:7" ht="15">
      <c r="A281" s="8" t="s">
        <v>0</v>
      </c>
      <c r="B281" s="9" t="s">
        <v>0</v>
      </c>
      <c r="C281" s="9" t="s">
        <v>32</v>
      </c>
      <c r="D281" s="9" t="s">
        <v>20</v>
      </c>
      <c r="E281" s="80">
        <f>320.825</f>
        <v>320.825</v>
      </c>
      <c r="F281" s="81">
        <f>ROUND('Gia VL'!Q69/1000,5)</f>
        <v>1701.3145</v>
      </c>
      <c r="G281" s="82">
        <f>ROUND(E281*F281,5)</f>
        <v>545824.22446</v>
      </c>
    </row>
    <row r="282" spans="1:7" ht="15">
      <c r="A282" s="8" t="s">
        <v>0</v>
      </c>
      <c r="B282" s="9" t="s">
        <v>0</v>
      </c>
      <c r="C282" s="9" t="s">
        <v>21</v>
      </c>
      <c r="D282" s="9" t="s">
        <v>22</v>
      </c>
      <c r="E282" s="80">
        <f>0.523775</f>
        <v>0.523775</v>
      </c>
      <c r="F282" s="81">
        <f>'Gia VL'!Q18</f>
        <v>379127.7</v>
      </c>
      <c r="G282" s="82">
        <f>ROUND(E282*F282,5)</f>
        <v>198577.61107</v>
      </c>
    </row>
    <row r="283" spans="1:7" ht="15">
      <c r="A283" s="8" t="s">
        <v>0</v>
      </c>
      <c r="B283" s="9" t="s">
        <v>0</v>
      </c>
      <c r="C283" s="9" t="s">
        <v>33</v>
      </c>
      <c r="D283" s="9" t="s">
        <v>22</v>
      </c>
      <c r="E283" s="80">
        <f>0.86305</f>
        <v>0.86305</v>
      </c>
      <c r="F283" s="81">
        <f>'Gia VL'!Q75</f>
        <v>312527.3</v>
      </c>
      <c r="G283" s="82">
        <f>ROUND(E283*F283,5)</f>
        <v>269726.68627</v>
      </c>
    </row>
    <row r="284" spans="1:7" ht="15">
      <c r="A284" s="8" t="s">
        <v>0</v>
      </c>
      <c r="B284" s="9" t="s">
        <v>0</v>
      </c>
      <c r="C284" s="9" t="s">
        <v>24</v>
      </c>
      <c r="D284" s="9" t="s">
        <v>22</v>
      </c>
      <c r="E284" s="80">
        <f>0.19475</f>
        <v>0.19475</v>
      </c>
      <c r="F284" s="81">
        <f>'Gia VL'!Q47</f>
        <v>9545.45</v>
      </c>
      <c r="G284" s="82">
        <f>ROUND(E284*F284,5)</f>
        <v>1858.97639</v>
      </c>
    </row>
    <row r="285" spans="1:7" ht="15">
      <c r="A285" s="8" t="s">
        <v>0</v>
      </c>
      <c r="B285" s="9" t="s">
        <v>0</v>
      </c>
      <c r="C285" s="9" t="s">
        <v>609</v>
      </c>
      <c r="D285" s="9" t="s">
        <v>605</v>
      </c>
      <c r="E285" s="80">
        <f>1</f>
        <v>1</v>
      </c>
      <c r="F285" s="81"/>
      <c r="G285" s="82">
        <f>ROUND(SUM(G281:G284)*E285/100,5)</f>
        <v>10159.87498</v>
      </c>
    </row>
    <row r="286" spans="1:7" ht="15.75">
      <c r="A286" s="8" t="s">
        <v>0</v>
      </c>
      <c r="B286" s="9" t="s">
        <v>0</v>
      </c>
      <c r="C286" s="9" t="s">
        <v>603</v>
      </c>
      <c r="D286" s="9" t="s">
        <v>0</v>
      </c>
      <c r="E286" s="80"/>
      <c r="F286" s="81"/>
      <c r="G286" s="83">
        <f>ROUND(SUM(G287:G287),5)</f>
        <v>469092</v>
      </c>
    </row>
    <row r="287" spans="1:7" ht="15">
      <c r="A287" s="8" t="s">
        <v>0</v>
      </c>
      <c r="B287" s="9" t="s">
        <v>0</v>
      </c>
      <c r="C287" s="9" t="s">
        <v>44</v>
      </c>
      <c r="D287" s="9" t="s">
        <v>8</v>
      </c>
      <c r="E287" s="80">
        <f>1.86</f>
        <v>1.86</v>
      </c>
      <c r="F287" s="81">
        <f>'Gia NC,CM'!P11</f>
        <v>252200</v>
      </c>
      <c r="G287" s="82">
        <f>ROUND(E287*F287,5)</f>
        <v>469092</v>
      </c>
    </row>
    <row r="288" spans="1:7" ht="15.75">
      <c r="A288" s="8" t="s">
        <v>0</v>
      </c>
      <c r="B288" s="9" t="s">
        <v>0</v>
      </c>
      <c r="C288" s="9" t="s">
        <v>602</v>
      </c>
      <c r="D288" s="9" t="s">
        <v>0</v>
      </c>
      <c r="E288" s="80"/>
      <c r="F288" s="81"/>
      <c r="G288" s="83">
        <f>ROUND(SUM(G289:G292),5)</f>
        <v>54756.7503</v>
      </c>
    </row>
    <row r="289" spans="1:7" ht="15">
      <c r="A289" s="8" t="s">
        <v>0</v>
      </c>
      <c r="B289" s="9" t="s">
        <v>0</v>
      </c>
      <c r="C289" s="9" t="s">
        <v>26</v>
      </c>
      <c r="D289" s="9" t="s">
        <v>10</v>
      </c>
      <c r="E289" s="80">
        <f>0.095</f>
        <v>0.095</v>
      </c>
      <c r="F289" s="81">
        <f>'Gia NC,CM'!P25</f>
        <v>318885.3</v>
      </c>
      <c r="G289" s="82">
        <f>ROUND(E289*F289,5)</f>
        <v>30294.1035</v>
      </c>
    </row>
    <row r="290" spans="1:7" ht="15">
      <c r="A290" s="8" t="s">
        <v>0</v>
      </c>
      <c r="B290" s="9" t="s">
        <v>0</v>
      </c>
      <c r="C290" s="9" t="s">
        <v>34</v>
      </c>
      <c r="D290" s="9" t="s">
        <v>10</v>
      </c>
      <c r="E290" s="80">
        <f>0.089</f>
        <v>0.089</v>
      </c>
      <c r="F290" s="81">
        <f>'Gia NC,CM'!P30</f>
        <v>274861.2</v>
      </c>
      <c r="G290" s="82">
        <f>ROUND(E290*F290,5)</f>
        <v>24462.6468</v>
      </c>
    </row>
    <row r="291" spans="1:7" ht="15">
      <c r="A291" s="8" t="s">
        <v>0</v>
      </c>
      <c r="B291" s="9" t="s">
        <v>0</v>
      </c>
      <c r="C291" s="9" t="s">
        <v>0</v>
      </c>
      <c r="D291" s="9" t="s">
        <v>0</v>
      </c>
      <c r="E291" s="80"/>
      <c r="F291" s="81"/>
      <c r="G291" s="82"/>
    </row>
    <row r="292" spans="1:7" ht="15">
      <c r="A292" s="8" t="s">
        <v>129</v>
      </c>
      <c r="B292" s="9" t="s">
        <v>143</v>
      </c>
      <c r="C292" s="9" t="s">
        <v>144</v>
      </c>
      <c r="D292" s="9" t="s">
        <v>38</v>
      </c>
      <c r="E292" s="80"/>
      <c r="F292" s="81"/>
      <c r="G292" s="82"/>
    </row>
    <row r="293" spans="1:7" ht="15.75">
      <c r="A293" s="8" t="s">
        <v>0</v>
      </c>
      <c r="B293" s="9" t="s">
        <v>0</v>
      </c>
      <c r="C293" s="9" t="s">
        <v>604</v>
      </c>
      <c r="D293" s="9" t="s">
        <v>0</v>
      </c>
      <c r="E293" s="80"/>
      <c r="F293" s="81"/>
      <c r="G293" s="83">
        <f>ROUND(SUM(G294:G298),5)</f>
        <v>66676.86171</v>
      </c>
    </row>
    <row r="294" spans="1:7" ht="15">
      <c r="A294" s="8" t="s">
        <v>0</v>
      </c>
      <c r="B294" s="9" t="s">
        <v>0</v>
      </c>
      <c r="C294" s="9" t="s">
        <v>40</v>
      </c>
      <c r="D294" s="9" t="s">
        <v>22</v>
      </c>
      <c r="E294" s="80">
        <f>0.00794</f>
        <v>0.00794</v>
      </c>
      <c r="F294" s="81">
        <f>'Gia VL'!Q36</f>
        <v>4110579.4</v>
      </c>
      <c r="G294" s="82">
        <f>ROUND(E294*F294,5)</f>
        <v>32638.00044</v>
      </c>
    </row>
    <row r="295" spans="1:7" ht="15">
      <c r="A295" s="8" t="s">
        <v>0</v>
      </c>
      <c r="B295" s="9" t="s">
        <v>0</v>
      </c>
      <c r="C295" s="9" t="s">
        <v>41</v>
      </c>
      <c r="D295" s="9" t="s">
        <v>22</v>
      </c>
      <c r="E295" s="80">
        <f>0.00112</f>
        <v>0.00112</v>
      </c>
      <c r="F295" s="81">
        <f>'Gia VL'!Q42</f>
        <v>4110579.4</v>
      </c>
      <c r="G295" s="82">
        <f>ROUND(E295*F295,5)</f>
        <v>4603.84893</v>
      </c>
    </row>
    <row r="296" spans="1:7" ht="15">
      <c r="A296" s="8" t="s">
        <v>0</v>
      </c>
      <c r="B296" s="9" t="s">
        <v>0</v>
      </c>
      <c r="C296" s="9" t="s">
        <v>42</v>
      </c>
      <c r="D296" s="9" t="s">
        <v>22</v>
      </c>
      <c r="E296" s="80">
        <f>0.00668</f>
        <v>0.00668</v>
      </c>
      <c r="F296" s="81">
        <f>'Gia VL'!Q34</f>
        <v>4110579.4</v>
      </c>
      <c r="G296" s="82">
        <f>ROUND(E296*F296,5)</f>
        <v>27458.67039</v>
      </c>
    </row>
    <row r="297" spans="1:7" ht="15">
      <c r="A297" s="8" t="s">
        <v>0</v>
      </c>
      <c r="B297" s="9" t="s">
        <v>0</v>
      </c>
      <c r="C297" s="9" t="s">
        <v>43</v>
      </c>
      <c r="D297" s="9" t="s">
        <v>20</v>
      </c>
      <c r="E297" s="80">
        <f>0.0805</f>
        <v>0.0805</v>
      </c>
      <c r="F297" s="81">
        <f>ROUND('Gia VL'!Q73/1000,5)</f>
        <v>16350</v>
      </c>
      <c r="G297" s="82">
        <f>ROUND(E297*F297,5)</f>
        <v>1316.175</v>
      </c>
    </row>
    <row r="298" spans="1:7" ht="15">
      <c r="A298" s="8" t="s">
        <v>0</v>
      </c>
      <c r="B298" s="9" t="s">
        <v>0</v>
      </c>
      <c r="C298" s="9" t="s">
        <v>609</v>
      </c>
      <c r="D298" s="9" t="s">
        <v>605</v>
      </c>
      <c r="E298" s="80">
        <f>1</f>
        <v>1</v>
      </c>
      <c r="F298" s="81"/>
      <c r="G298" s="82">
        <f>ROUND(SUM(G294:G297)*E298/100,5)</f>
        <v>660.16695</v>
      </c>
    </row>
    <row r="299" spans="1:7" ht="15.75">
      <c r="A299" s="8" t="s">
        <v>0</v>
      </c>
      <c r="B299" s="9" t="s">
        <v>0</v>
      </c>
      <c r="C299" s="9" t="s">
        <v>603</v>
      </c>
      <c r="D299" s="9" t="s">
        <v>0</v>
      </c>
      <c r="E299" s="80"/>
      <c r="F299" s="81"/>
      <c r="G299" s="83">
        <f>ROUND(SUM(G300:G303),5)</f>
        <v>67967.9</v>
      </c>
    </row>
    <row r="300" spans="1:7" ht="15">
      <c r="A300" s="8" t="s">
        <v>0</v>
      </c>
      <c r="B300" s="9" t="s">
        <v>0</v>
      </c>
      <c r="C300" s="9" t="s">
        <v>44</v>
      </c>
      <c r="D300" s="9" t="s">
        <v>8</v>
      </c>
      <c r="E300" s="80">
        <f>0.2695</f>
        <v>0.2695</v>
      </c>
      <c r="F300" s="81">
        <f>'Gia NC,CM'!P11</f>
        <v>252200</v>
      </c>
      <c r="G300" s="82">
        <f>ROUND(E300*F300,5)</f>
        <v>67967.9</v>
      </c>
    </row>
    <row r="301" spans="1:7" ht="15">
      <c r="A301" s="8" t="s">
        <v>0</v>
      </c>
      <c r="B301" s="9" t="s">
        <v>0</v>
      </c>
      <c r="C301" s="9" t="s">
        <v>0</v>
      </c>
      <c r="D301" s="9" t="s">
        <v>0</v>
      </c>
      <c r="E301" s="80"/>
      <c r="F301" s="81"/>
      <c r="G301" s="82"/>
    </row>
    <row r="302" spans="1:7" ht="15">
      <c r="A302" s="8" t="s">
        <v>132</v>
      </c>
      <c r="B302" s="9" t="s">
        <v>146</v>
      </c>
      <c r="C302" s="9" t="s">
        <v>147</v>
      </c>
      <c r="D302" s="9" t="s">
        <v>38</v>
      </c>
      <c r="E302" s="80"/>
      <c r="F302" s="81"/>
      <c r="G302" s="82"/>
    </row>
    <row r="303" spans="1:7" ht="15">
      <c r="A303" s="8" t="s">
        <v>0</v>
      </c>
      <c r="B303" s="9" t="s">
        <v>0</v>
      </c>
      <c r="C303" s="9" t="s">
        <v>105</v>
      </c>
      <c r="D303" s="9" t="s">
        <v>0</v>
      </c>
      <c r="E303" s="80"/>
      <c r="F303" s="81"/>
      <c r="G303" s="82"/>
    </row>
    <row r="304" spans="1:7" ht="15.75">
      <c r="A304" s="8" t="s">
        <v>0</v>
      </c>
      <c r="B304" s="9" t="s">
        <v>0</v>
      </c>
      <c r="C304" s="9" t="s">
        <v>604</v>
      </c>
      <c r="D304" s="9" t="s">
        <v>0</v>
      </c>
      <c r="E304" s="80"/>
      <c r="F304" s="81"/>
      <c r="G304" s="83">
        <f>ROUND(SUM(G305:G308),5)</f>
        <v>19879.41734</v>
      </c>
    </row>
    <row r="305" spans="1:7" ht="15">
      <c r="A305" s="8" t="s">
        <v>0</v>
      </c>
      <c r="B305" s="9" t="s">
        <v>0</v>
      </c>
      <c r="C305" s="9" t="s">
        <v>106</v>
      </c>
      <c r="D305" s="9" t="s">
        <v>20</v>
      </c>
      <c r="E305" s="80">
        <f>0.018*1.25*264</f>
        <v>5.9399999999999995</v>
      </c>
      <c r="F305" s="81">
        <f>ROUND('Gia VL'!Q65/1000,5)</f>
        <v>1701.3145</v>
      </c>
      <c r="G305" s="82">
        <f>ROUND(E305*F305,5)</f>
        <v>10105.80813</v>
      </c>
    </row>
    <row r="306" spans="1:7" ht="15">
      <c r="A306" s="8" t="s">
        <v>0</v>
      </c>
      <c r="B306" s="9" t="s">
        <v>0</v>
      </c>
      <c r="C306" s="9" t="s">
        <v>61</v>
      </c>
      <c r="D306" s="9" t="s">
        <v>22</v>
      </c>
      <c r="E306" s="80">
        <f>0.018*1.25*1.19</f>
        <v>0.026774999999999997</v>
      </c>
      <c r="F306" s="81">
        <f>'Gia VL'!Q15</f>
        <v>359127.7</v>
      </c>
      <c r="G306" s="82">
        <f>ROUND(E306*F306,5)</f>
        <v>9615.64417</v>
      </c>
    </row>
    <row r="307" spans="1:7" ht="15">
      <c r="A307" s="8" t="s">
        <v>0</v>
      </c>
      <c r="B307" s="9" t="s">
        <v>0</v>
      </c>
      <c r="C307" s="9" t="s">
        <v>24</v>
      </c>
      <c r="D307" s="9" t="s">
        <v>22</v>
      </c>
      <c r="E307" s="80">
        <f>0.018*1.25*0.275</f>
        <v>0.0061875</v>
      </c>
      <c r="F307" s="81">
        <f>'Gia VL'!Q47</f>
        <v>9545.45</v>
      </c>
      <c r="G307" s="82">
        <f>ROUND(E307*F307,5)</f>
        <v>59.06247</v>
      </c>
    </row>
    <row r="308" spans="1:7" ht="15">
      <c r="A308" s="8" t="s">
        <v>0</v>
      </c>
      <c r="B308" s="9" t="s">
        <v>0</v>
      </c>
      <c r="C308" s="9" t="s">
        <v>609</v>
      </c>
      <c r="D308" s="9" t="s">
        <v>605</v>
      </c>
      <c r="E308" s="80">
        <f>0.5</f>
        <v>0.5</v>
      </c>
      <c r="F308" s="81"/>
      <c r="G308" s="82">
        <f>ROUND(SUM(G305:G307)*E308/100,5)</f>
        <v>98.90257</v>
      </c>
    </row>
    <row r="309" spans="1:7" ht="15.75">
      <c r="A309" s="8" t="s">
        <v>0</v>
      </c>
      <c r="B309" s="9" t="s">
        <v>0</v>
      </c>
      <c r="C309" s="9" t="s">
        <v>603</v>
      </c>
      <c r="D309" s="9" t="s">
        <v>0</v>
      </c>
      <c r="E309" s="80"/>
      <c r="F309" s="81"/>
      <c r="G309" s="83">
        <f>ROUND(SUM(G310:G310),5)</f>
        <v>150573.335</v>
      </c>
    </row>
    <row r="310" spans="1:7" ht="15">
      <c r="A310" s="8" t="s">
        <v>0</v>
      </c>
      <c r="B310" s="9" t="s">
        <v>0</v>
      </c>
      <c r="C310" s="9" t="s">
        <v>99</v>
      </c>
      <c r="D310" s="9" t="s">
        <v>8</v>
      </c>
      <c r="E310" s="80">
        <f>0.5*1.1</f>
        <v>0.55</v>
      </c>
      <c r="F310" s="81">
        <f>'Gia NC,CM'!P14</f>
        <v>273769.7</v>
      </c>
      <c r="G310" s="82">
        <f>ROUND(E310*F310,5)</f>
        <v>150573.335</v>
      </c>
    </row>
    <row r="311" spans="1:7" ht="15.75">
      <c r="A311" s="8" t="s">
        <v>0</v>
      </c>
      <c r="B311" s="9" t="s">
        <v>0</v>
      </c>
      <c r="C311" s="9" t="s">
        <v>602</v>
      </c>
      <c r="D311" s="9" t="s">
        <v>0</v>
      </c>
      <c r="E311" s="80"/>
      <c r="F311" s="81"/>
      <c r="G311" s="83">
        <f>ROUND(SUM(G312:G315),5)</f>
        <v>878.8458</v>
      </c>
    </row>
    <row r="312" spans="1:7" ht="15">
      <c r="A312" s="8" t="s">
        <v>0</v>
      </c>
      <c r="B312" s="9" t="s">
        <v>0</v>
      </c>
      <c r="C312" s="9" t="s">
        <v>117</v>
      </c>
      <c r="D312" s="9" t="s">
        <v>10</v>
      </c>
      <c r="E312" s="80">
        <f>0.003</f>
        <v>0.003</v>
      </c>
      <c r="F312" s="81">
        <f>'Gia NC,CM'!P24</f>
        <v>292948.6</v>
      </c>
      <c r="G312" s="82">
        <f>ROUND(E312*F312,5)</f>
        <v>878.8458</v>
      </c>
    </row>
    <row r="313" spans="1:7" ht="15">
      <c r="A313" s="8" t="s">
        <v>0</v>
      </c>
      <c r="B313" s="9" t="s">
        <v>0</v>
      </c>
      <c r="C313" s="9" t="s">
        <v>0</v>
      </c>
      <c r="D313" s="9" t="s">
        <v>0</v>
      </c>
      <c r="E313" s="80"/>
      <c r="F313" s="81"/>
      <c r="G313" s="82"/>
    </row>
    <row r="314" spans="1:7" ht="15">
      <c r="A314" s="8" t="s">
        <v>136</v>
      </c>
      <c r="B314" s="9" t="s">
        <v>149</v>
      </c>
      <c r="C314" s="9" t="s">
        <v>150</v>
      </c>
      <c r="D314" s="9" t="s">
        <v>73</v>
      </c>
      <c r="E314" s="80"/>
      <c r="F314" s="81"/>
      <c r="G314" s="82"/>
    </row>
    <row r="315" spans="1:7" ht="15">
      <c r="A315" s="8" t="s">
        <v>0</v>
      </c>
      <c r="B315" s="9" t="s">
        <v>0</v>
      </c>
      <c r="C315" s="9" t="s">
        <v>151</v>
      </c>
      <c r="D315" s="9" t="s">
        <v>0</v>
      </c>
      <c r="E315" s="80"/>
      <c r="F315" s="81"/>
      <c r="G315" s="82"/>
    </row>
    <row r="316" spans="1:7" ht="15.75">
      <c r="A316" s="8" t="s">
        <v>0</v>
      </c>
      <c r="B316" s="9" t="s">
        <v>0</v>
      </c>
      <c r="C316" s="9" t="s">
        <v>604</v>
      </c>
      <c r="D316" s="9" t="s">
        <v>0</v>
      </c>
      <c r="E316" s="80"/>
      <c r="F316" s="81"/>
      <c r="G316" s="83">
        <f>ROUND(SUM(G317:G318),5)</f>
        <v>16740621.387</v>
      </c>
    </row>
    <row r="317" spans="1:7" ht="15">
      <c r="A317" s="8" t="s">
        <v>0</v>
      </c>
      <c r="B317" s="9" t="s">
        <v>0</v>
      </c>
      <c r="C317" s="9" t="s">
        <v>75</v>
      </c>
      <c r="D317" s="9" t="s">
        <v>20</v>
      </c>
      <c r="E317" s="80">
        <f>1005</f>
        <v>1005</v>
      </c>
      <c r="F317" s="81">
        <f>ROUND('Gia VL'!Q59/1000,5)</f>
        <v>16395.8974</v>
      </c>
      <c r="G317" s="82">
        <f>ROUND(E317*F317,5)</f>
        <v>16477876.887</v>
      </c>
    </row>
    <row r="318" spans="1:7" ht="15">
      <c r="A318" s="8" t="s">
        <v>0</v>
      </c>
      <c r="B318" s="9" t="s">
        <v>0</v>
      </c>
      <c r="C318" s="9" t="s">
        <v>76</v>
      </c>
      <c r="D318" s="9" t="s">
        <v>20</v>
      </c>
      <c r="E318" s="80">
        <f>16.07</f>
        <v>16.07</v>
      </c>
      <c r="F318" s="81">
        <f>ROUND('Gia VL'!Q24/1000,5)</f>
        <v>16350</v>
      </c>
      <c r="G318" s="82">
        <f>ROUND(E318*F318,5)</f>
        <v>262744.5</v>
      </c>
    </row>
    <row r="319" spans="1:7" ht="15.75">
      <c r="A319" s="8" t="s">
        <v>0</v>
      </c>
      <c r="B319" s="9" t="s">
        <v>0</v>
      </c>
      <c r="C319" s="9" t="s">
        <v>603</v>
      </c>
      <c r="D319" s="9" t="s">
        <v>0</v>
      </c>
      <c r="E319" s="80"/>
      <c r="F319" s="81"/>
      <c r="G319" s="83">
        <f>ROUND(SUM(G320:G320),5)</f>
        <v>3505580</v>
      </c>
    </row>
    <row r="320" spans="1:7" ht="15">
      <c r="A320" s="8" t="s">
        <v>0</v>
      </c>
      <c r="B320" s="9" t="s">
        <v>0</v>
      </c>
      <c r="C320" s="9" t="s">
        <v>44</v>
      </c>
      <c r="D320" s="9" t="s">
        <v>8</v>
      </c>
      <c r="E320" s="80">
        <f>13.9</f>
        <v>13.9</v>
      </c>
      <c r="F320" s="81">
        <f>'Gia NC,CM'!P11</f>
        <v>252200</v>
      </c>
      <c r="G320" s="82">
        <f>ROUND(E320*F320,5)</f>
        <v>3505580</v>
      </c>
    </row>
    <row r="321" spans="1:7" ht="15.75">
      <c r="A321" s="8" t="s">
        <v>0</v>
      </c>
      <c r="B321" s="9" t="s">
        <v>0</v>
      </c>
      <c r="C321" s="9" t="s">
        <v>602</v>
      </c>
      <c r="D321" s="9" t="s">
        <v>0</v>
      </c>
      <c r="E321" s="80"/>
      <c r="F321" s="81"/>
      <c r="G321" s="83">
        <f>ROUND(SUM(G322:G326),5)</f>
        <v>113981.0016</v>
      </c>
    </row>
    <row r="322" spans="1:7" ht="15">
      <c r="A322" s="8" t="s">
        <v>0</v>
      </c>
      <c r="B322" s="9" t="s">
        <v>0</v>
      </c>
      <c r="C322" s="9" t="s">
        <v>77</v>
      </c>
      <c r="D322" s="9" t="s">
        <v>10</v>
      </c>
      <c r="E322" s="80">
        <f>0.4</f>
        <v>0.4</v>
      </c>
      <c r="F322" s="81">
        <f>'Gia NC,CM'!P21</f>
        <v>279365.2</v>
      </c>
      <c r="G322" s="82">
        <f>ROUND(E322*F322,5)</f>
        <v>111746.08</v>
      </c>
    </row>
    <row r="323" spans="1:7" ht="15">
      <c r="A323" s="8" t="s">
        <v>0</v>
      </c>
      <c r="B323" s="9" t="s">
        <v>0</v>
      </c>
      <c r="C323" s="9" t="s">
        <v>606</v>
      </c>
      <c r="D323" s="9" t="s">
        <v>605</v>
      </c>
      <c r="E323" s="80">
        <f>2</f>
        <v>2</v>
      </c>
      <c r="F323" s="81"/>
      <c r="G323" s="82">
        <f>ROUND(SUM(G322:G322)*E323/100,5)</f>
        <v>2234.9216</v>
      </c>
    </row>
    <row r="324" spans="1:7" ht="15">
      <c r="A324" s="8" t="s">
        <v>0</v>
      </c>
      <c r="B324" s="9" t="s">
        <v>0</v>
      </c>
      <c r="C324" s="9" t="s">
        <v>0</v>
      </c>
      <c r="D324" s="9" t="s">
        <v>0</v>
      </c>
      <c r="E324" s="80"/>
      <c r="F324" s="81"/>
      <c r="G324" s="82"/>
    </row>
    <row r="325" spans="1:7" ht="15">
      <c r="A325" s="8" t="s">
        <v>139</v>
      </c>
      <c r="B325" s="9" t="s">
        <v>153</v>
      </c>
      <c r="C325" s="9" t="s">
        <v>154</v>
      </c>
      <c r="D325" s="9" t="s">
        <v>5</v>
      </c>
      <c r="E325" s="80"/>
      <c r="F325" s="81"/>
      <c r="G325" s="82"/>
    </row>
    <row r="326" spans="1:7" ht="15">
      <c r="A326" s="8" t="s">
        <v>0</v>
      </c>
      <c r="B326" s="9" t="s">
        <v>0</v>
      </c>
      <c r="C326" s="9" t="s">
        <v>155</v>
      </c>
      <c r="D326" s="9" t="s">
        <v>0</v>
      </c>
      <c r="E326" s="80"/>
      <c r="F326" s="81"/>
      <c r="G326" s="82"/>
    </row>
    <row r="327" spans="1:7" ht="15.75">
      <c r="A327" s="8" t="s">
        <v>0</v>
      </c>
      <c r="B327" s="9" t="s">
        <v>0</v>
      </c>
      <c r="C327" s="9" t="s">
        <v>604</v>
      </c>
      <c r="D327" s="9" t="s">
        <v>0</v>
      </c>
      <c r="E327" s="80"/>
      <c r="F327" s="81"/>
      <c r="G327" s="83">
        <f>ROUND(SUM(G328:G332),5)</f>
        <v>1026147.37317</v>
      </c>
    </row>
    <row r="328" spans="1:7" ht="15">
      <c r="A328" s="8" t="s">
        <v>0</v>
      </c>
      <c r="B328" s="9" t="s">
        <v>0</v>
      </c>
      <c r="C328" s="9" t="s">
        <v>32</v>
      </c>
      <c r="D328" s="9" t="s">
        <v>20</v>
      </c>
      <c r="E328" s="80">
        <f>320.825</f>
        <v>320.825</v>
      </c>
      <c r="F328" s="81">
        <f>ROUND('Gia VL'!Q69/1000,5)</f>
        <v>1701.3145</v>
      </c>
      <c r="G328" s="82">
        <f>ROUND(E328*F328,5)</f>
        <v>545824.22446</v>
      </c>
    </row>
    <row r="329" spans="1:7" ht="15">
      <c r="A329" s="8" t="s">
        <v>0</v>
      </c>
      <c r="B329" s="9" t="s">
        <v>0</v>
      </c>
      <c r="C329" s="9" t="s">
        <v>21</v>
      </c>
      <c r="D329" s="9" t="s">
        <v>22</v>
      </c>
      <c r="E329" s="80">
        <f>0.523775</f>
        <v>0.523775</v>
      </c>
      <c r="F329" s="81">
        <f>'Gia VL'!Q18</f>
        <v>379127.7</v>
      </c>
      <c r="G329" s="82">
        <f>ROUND(E329*F329,5)</f>
        <v>198577.61107</v>
      </c>
    </row>
    <row r="330" spans="1:7" ht="15">
      <c r="A330" s="8" t="s">
        <v>0</v>
      </c>
      <c r="B330" s="9" t="s">
        <v>0</v>
      </c>
      <c r="C330" s="9" t="s">
        <v>33</v>
      </c>
      <c r="D330" s="9" t="s">
        <v>22</v>
      </c>
      <c r="E330" s="80">
        <f>0.86305</f>
        <v>0.86305</v>
      </c>
      <c r="F330" s="81">
        <f>'Gia VL'!Q75</f>
        <v>312527.3</v>
      </c>
      <c r="G330" s="82">
        <f>ROUND(E330*F330,5)</f>
        <v>269726.68627</v>
      </c>
    </row>
    <row r="331" spans="1:7" ht="15">
      <c r="A331" s="8" t="s">
        <v>0</v>
      </c>
      <c r="B331" s="9" t="s">
        <v>0</v>
      </c>
      <c r="C331" s="9" t="s">
        <v>24</v>
      </c>
      <c r="D331" s="9" t="s">
        <v>22</v>
      </c>
      <c r="E331" s="80">
        <f>0.19475</f>
        <v>0.19475</v>
      </c>
      <c r="F331" s="81">
        <f>'Gia VL'!Q47</f>
        <v>9545.45</v>
      </c>
      <c r="G331" s="82">
        <f>ROUND(E331*F331,5)</f>
        <v>1858.97639</v>
      </c>
    </row>
    <row r="332" spans="1:7" ht="15">
      <c r="A332" s="8" t="s">
        <v>0</v>
      </c>
      <c r="B332" s="9" t="s">
        <v>0</v>
      </c>
      <c r="C332" s="9" t="s">
        <v>609</v>
      </c>
      <c r="D332" s="9" t="s">
        <v>605</v>
      </c>
      <c r="E332" s="80">
        <f>1</f>
        <v>1</v>
      </c>
      <c r="F332" s="81"/>
      <c r="G332" s="82">
        <f>ROUND(SUM(G328:G331)*E332/100,5)</f>
        <v>10159.87498</v>
      </c>
    </row>
    <row r="333" spans="1:7" ht="15.75">
      <c r="A333" s="8" t="s">
        <v>0</v>
      </c>
      <c r="B333" s="9" t="s">
        <v>0</v>
      </c>
      <c r="C333" s="9" t="s">
        <v>603</v>
      </c>
      <c r="D333" s="9" t="s">
        <v>0</v>
      </c>
      <c r="E333" s="80"/>
      <c r="F333" s="81"/>
      <c r="G333" s="83">
        <f>ROUND(SUM(G334:G334),5)</f>
        <v>670852</v>
      </c>
    </row>
    <row r="334" spans="1:7" ht="15">
      <c r="A334" s="8" t="s">
        <v>0</v>
      </c>
      <c r="B334" s="9" t="s">
        <v>0</v>
      </c>
      <c r="C334" s="9" t="s">
        <v>44</v>
      </c>
      <c r="D334" s="9" t="s">
        <v>8</v>
      </c>
      <c r="E334" s="80">
        <f>2.66</f>
        <v>2.66</v>
      </c>
      <c r="F334" s="81">
        <f>'Gia NC,CM'!P11</f>
        <v>252200</v>
      </c>
      <c r="G334" s="82">
        <f>ROUND(E334*F334,5)</f>
        <v>670852</v>
      </c>
    </row>
    <row r="335" spans="1:7" ht="15.75">
      <c r="A335" s="8" t="s">
        <v>0</v>
      </c>
      <c r="B335" s="9" t="s">
        <v>0</v>
      </c>
      <c r="C335" s="9" t="s">
        <v>602</v>
      </c>
      <c r="D335" s="9" t="s">
        <v>0</v>
      </c>
      <c r="E335" s="80"/>
      <c r="F335" s="81"/>
      <c r="G335" s="83">
        <f>ROUND(SUM(G336:G340),5)</f>
        <v>54756.7503</v>
      </c>
    </row>
    <row r="336" spans="1:7" ht="15">
      <c r="A336" s="8" t="s">
        <v>0</v>
      </c>
      <c r="B336" s="9" t="s">
        <v>0</v>
      </c>
      <c r="C336" s="9" t="s">
        <v>26</v>
      </c>
      <c r="D336" s="9" t="s">
        <v>10</v>
      </c>
      <c r="E336" s="80">
        <f>0.095</f>
        <v>0.095</v>
      </c>
      <c r="F336" s="81">
        <f>'Gia NC,CM'!P25</f>
        <v>318885.3</v>
      </c>
      <c r="G336" s="82">
        <f>ROUND(E336*F336,5)</f>
        <v>30294.1035</v>
      </c>
    </row>
    <row r="337" spans="1:7" ht="15">
      <c r="A337" s="8" t="s">
        <v>0</v>
      </c>
      <c r="B337" s="9" t="s">
        <v>0</v>
      </c>
      <c r="C337" s="9" t="s">
        <v>34</v>
      </c>
      <c r="D337" s="9" t="s">
        <v>10</v>
      </c>
      <c r="E337" s="80">
        <f>0.089</f>
        <v>0.089</v>
      </c>
      <c r="F337" s="81">
        <f>'Gia NC,CM'!P30</f>
        <v>274861.2</v>
      </c>
      <c r="G337" s="82">
        <f>ROUND(E337*F337,5)</f>
        <v>24462.6468</v>
      </c>
    </row>
    <row r="338" spans="1:7" ht="15">
      <c r="A338" s="8" t="s">
        <v>0</v>
      </c>
      <c r="B338" s="9" t="s">
        <v>0</v>
      </c>
      <c r="C338" s="9" t="s">
        <v>0</v>
      </c>
      <c r="D338" s="9" t="s">
        <v>0</v>
      </c>
      <c r="E338" s="80"/>
      <c r="F338" s="81"/>
      <c r="G338" s="82"/>
    </row>
    <row r="339" spans="1:7" ht="15">
      <c r="A339" s="8" t="s">
        <v>142</v>
      </c>
      <c r="B339" s="9" t="s">
        <v>157</v>
      </c>
      <c r="C339" s="9" t="s">
        <v>158</v>
      </c>
      <c r="D339" s="9" t="s">
        <v>38</v>
      </c>
      <c r="E339" s="80"/>
      <c r="F339" s="81"/>
      <c r="G339" s="82"/>
    </row>
    <row r="340" spans="1:7" ht="15">
      <c r="A340" s="8" t="s">
        <v>0</v>
      </c>
      <c r="B340" s="9" t="s">
        <v>0</v>
      </c>
      <c r="C340" s="9" t="s">
        <v>159</v>
      </c>
      <c r="D340" s="9" t="s">
        <v>0</v>
      </c>
      <c r="E340" s="80"/>
      <c r="F340" s="81"/>
      <c r="G340" s="82"/>
    </row>
    <row r="341" spans="1:7" ht="15.75">
      <c r="A341" s="8" t="s">
        <v>0</v>
      </c>
      <c r="B341" s="9" t="s">
        <v>0</v>
      </c>
      <c r="C341" s="9" t="s">
        <v>604</v>
      </c>
      <c r="D341" s="9" t="s">
        <v>0</v>
      </c>
      <c r="E341" s="80"/>
      <c r="F341" s="81"/>
      <c r="G341" s="83">
        <f>ROUND(SUM(G342:G346),5)</f>
        <v>66676.86171</v>
      </c>
    </row>
    <row r="342" spans="1:7" ht="15">
      <c r="A342" s="8" t="s">
        <v>0</v>
      </c>
      <c r="B342" s="9" t="s">
        <v>0</v>
      </c>
      <c r="C342" s="9" t="s">
        <v>40</v>
      </c>
      <c r="D342" s="9" t="s">
        <v>22</v>
      </c>
      <c r="E342" s="80">
        <f>0.00794</f>
        <v>0.00794</v>
      </c>
      <c r="F342" s="81">
        <f>'Gia VL'!Q36</f>
        <v>4110579.4</v>
      </c>
      <c r="G342" s="82">
        <f>ROUND(E342*F342,5)</f>
        <v>32638.00044</v>
      </c>
    </row>
    <row r="343" spans="1:7" ht="15">
      <c r="A343" s="8" t="s">
        <v>0</v>
      </c>
      <c r="B343" s="9" t="s">
        <v>0</v>
      </c>
      <c r="C343" s="9" t="s">
        <v>41</v>
      </c>
      <c r="D343" s="9" t="s">
        <v>22</v>
      </c>
      <c r="E343" s="80">
        <f>0.00112</f>
        <v>0.00112</v>
      </c>
      <c r="F343" s="81">
        <f>'Gia VL'!Q42</f>
        <v>4110579.4</v>
      </c>
      <c r="G343" s="82">
        <f>ROUND(E343*F343,5)</f>
        <v>4603.84893</v>
      </c>
    </row>
    <row r="344" spans="1:7" ht="15">
      <c r="A344" s="8" t="s">
        <v>0</v>
      </c>
      <c r="B344" s="9" t="s">
        <v>0</v>
      </c>
      <c r="C344" s="9" t="s">
        <v>42</v>
      </c>
      <c r="D344" s="9" t="s">
        <v>22</v>
      </c>
      <c r="E344" s="80">
        <f>0.00668</f>
        <v>0.00668</v>
      </c>
      <c r="F344" s="81">
        <f>'Gia VL'!Q34</f>
        <v>4110579.4</v>
      </c>
      <c r="G344" s="82">
        <f>ROUND(E344*F344,5)</f>
        <v>27458.67039</v>
      </c>
    </row>
    <row r="345" spans="1:7" ht="15">
      <c r="A345" s="8" t="s">
        <v>0</v>
      </c>
      <c r="B345" s="9" t="s">
        <v>0</v>
      </c>
      <c r="C345" s="9" t="s">
        <v>43</v>
      </c>
      <c r="D345" s="9" t="s">
        <v>20</v>
      </c>
      <c r="E345" s="80">
        <f>0.0805</f>
        <v>0.0805</v>
      </c>
      <c r="F345" s="81">
        <f>ROUND('Gia VL'!Q73/1000,5)</f>
        <v>16350</v>
      </c>
      <c r="G345" s="82">
        <f>ROUND(E345*F345,5)</f>
        <v>1316.175</v>
      </c>
    </row>
    <row r="346" spans="1:7" ht="15">
      <c r="A346" s="8" t="s">
        <v>0</v>
      </c>
      <c r="B346" s="9" t="s">
        <v>0</v>
      </c>
      <c r="C346" s="9" t="s">
        <v>609</v>
      </c>
      <c r="D346" s="9" t="s">
        <v>605</v>
      </c>
      <c r="E346" s="80">
        <f>1</f>
        <v>1</v>
      </c>
      <c r="F346" s="81"/>
      <c r="G346" s="82">
        <f>ROUND(SUM(G342:G345)*E346/100,5)</f>
        <v>660.16695</v>
      </c>
    </row>
    <row r="347" spans="1:7" ht="15.75">
      <c r="A347" s="8" t="s">
        <v>0</v>
      </c>
      <c r="B347" s="9" t="s">
        <v>0</v>
      </c>
      <c r="C347" s="9" t="s">
        <v>603</v>
      </c>
      <c r="D347" s="9" t="s">
        <v>0</v>
      </c>
      <c r="E347" s="80"/>
      <c r="F347" s="81"/>
      <c r="G347" s="83">
        <f>ROUND(SUM(G348:G351),5)</f>
        <v>71801.34</v>
      </c>
    </row>
    <row r="348" spans="1:7" ht="15">
      <c r="A348" s="8" t="s">
        <v>0</v>
      </c>
      <c r="B348" s="9" t="s">
        <v>0</v>
      </c>
      <c r="C348" s="9" t="s">
        <v>44</v>
      </c>
      <c r="D348" s="9" t="s">
        <v>8</v>
      </c>
      <c r="E348" s="80">
        <f>0.2847</f>
        <v>0.2847</v>
      </c>
      <c r="F348" s="81">
        <f>'Gia NC,CM'!P11</f>
        <v>252200</v>
      </c>
      <c r="G348" s="82">
        <f>ROUND(E348*F348,5)</f>
        <v>71801.34</v>
      </c>
    </row>
    <row r="349" spans="1:7" ht="15">
      <c r="A349" s="8" t="s">
        <v>0</v>
      </c>
      <c r="B349" s="9" t="s">
        <v>0</v>
      </c>
      <c r="C349" s="9" t="s">
        <v>0</v>
      </c>
      <c r="D349" s="9" t="s">
        <v>0</v>
      </c>
      <c r="E349" s="80"/>
      <c r="F349" s="81"/>
      <c r="G349" s="82"/>
    </row>
    <row r="350" spans="1:7" ht="15">
      <c r="A350" s="8" t="s">
        <v>145</v>
      </c>
      <c r="B350" s="9" t="s">
        <v>161</v>
      </c>
      <c r="C350" s="9" t="s">
        <v>162</v>
      </c>
      <c r="D350" s="9" t="s">
        <v>73</v>
      </c>
      <c r="E350" s="80"/>
      <c r="F350" s="81"/>
      <c r="G350" s="82"/>
    </row>
    <row r="351" spans="1:7" ht="15">
      <c r="A351" s="8" t="s">
        <v>0</v>
      </c>
      <c r="B351" s="9" t="s">
        <v>0</v>
      </c>
      <c r="C351" s="9" t="s">
        <v>135</v>
      </c>
      <c r="D351" s="9" t="s">
        <v>0</v>
      </c>
      <c r="E351" s="80"/>
      <c r="F351" s="81"/>
      <c r="G351" s="82"/>
    </row>
    <row r="352" spans="1:7" ht="15.75">
      <c r="A352" s="8" t="s">
        <v>0</v>
      </c>
      <c r="B352" s="9" t="s">
        <v>0</v>
      </c>
      <c r="C352" s="9" t="s">
        <v>604</v>
      </c>
      <c r="D352" s="9" t="s">
        <v>0</v>
      </c>
      <c r="E352" s="80"/>
      <c r="F352" s="81"/>
      <c r="G352" s="83">
        <f>ROUND(SUM(G353:G354),5)</f>
        <v>16740621.387</v>
      </c>
    </row>
    <row r="353" spans="1:7" ht="15">
      <c r="A353" s="8" t="s">
        <v>0</v>
      </c>
      <c r="B353" s="9" t="s">
        <v>0</v>
      </c>
      <c r="C353" s="9" t="s">
        <v>75</v>
      </c>
      <c r="D353" s="9" t="s">
        <v>20</v>
      </c>
      <c r="E353" s="80">
        <f>1005</f>
        <v>1005</v>
      </c>
      <c r="F353" s="81">
        <f>ROUND('Gia VL'!Q59/1000,5)</f>
        <v>16395.8974</v>
      </c>
      <c r="G353" s="82">
        <f>ROUND(E353*F353,5)</f>
        <v>16477876.887</v>
      </c>
    </row>
    <row r="354" spans="1:7" ht="15">
      <c r="A354" s="8" t="s">
        <v>0</v>
      </c>
      <c r="B354" s="9" t="s">
        <v>0</v>
      </c>
      <c r="C354" s="9" t="s">
        <v>76</v>
      </c>
      <c r="D354" s="9" t="s">
        <v>20</v>
      </c>
      <c r="E354" s="80">
        <f>16.07</f>
        <v>16.07</v>
      </c>
      <c r="F354" s="81">
        <f>ROUND('Gia VL'!Q24/1000,5)</f>
        <v>16350</v>
      </c>
      <c r="G354" s="82">
        <f>ROUND(E354*F354,5)</f>
        <v>262744.5</v>
      </c>
    </row>
    <row r="355" spans="1:7" ht="15.75">
      <c r="A355" s="8" t="s">
        <v>0</v>
      </c>
      <c r="B355" s="9" t="s">
        <v>0</v>
      </c>
      <c r="C355" s="9" t="s">
        <v>603</v>
      </c>
      <c r="D355" s="9" t="s">
        <v>0</v>
      </c>
      <c r="E355" s="80"/>
      <c r="F355" s="81"/>
      <c r="G355" s="83">
        <f>ROUND(SUM(G356:G356),5)</f>
        <v>4655612</v>
      </c>
    </row>
    <row r="356" spans="1:7" ht="15">
      <c r="A356" s="8" t="s">
        <v>0</v>
      </c>
      <c r="B356" s="9" t="s">
        <v>0</v>
      </c>
      <c r="C356" s="9" t="s">
        <v>44</v>
      </c>
      <c r="D356" s="9" t="s">
        <v>8</v>
      </c>
      <c r="E356" s="80">
        <f>18.46</f>
        <v>18.46</v>
      </c>
      <c r="F356" s="81">
        <f>'Gia NC,CM'!P11</f>
        <v>252200</v>
      </c>
      <c r="G356" s="82">
        <f>ROUND(E356*F356,5)</f>
        <v>4655612</v>
      </c>
    </row>
    <row r="357" spans="1:7" ht="15.75">
      <c r="A357" s="8" t="s">
        <v>0</v>
      </c>
      <c r="B357" s="9" t="s">
        <v>0</v>
      </c>
      <c r="C357" s="9" t="s">
        <v>602</v>
      </c>
      <c r="D357" s="9" t="s">
        <v>0</v>
      </c>
      <c r="E357" s="80"/>
      <c r="F357" s="81"/>
      <c r="G357" s="83">
        <f>ROUND(SUM(G358:G361),5)</f>
        <v>111746.08</v>
      </c>
    </row>
    <row r="358" spans="1:7" ht="15">
      <c r="A358" s="8" t="s">
        <v>0</v>
      </c>
      <c r="B358" s="9" t="s">
        <v>0</v>
      </c>
      <c r="C358" s="9" t="s">
        <v>77</v>
      </c>
      <c r="D358" s="9" t="s">
        <v>10</v>
      </c>
      <c r="E358" s="80">
        <f>0.4</f>
        <v>0.4</v>
      </c>
      <c r="F358" s="81">
        <f>'Gia NC,CM'!P21</f>
        <v>279365.2</v>
      </c>
      <c r="G358" s="82">
        <f>ROUND(E358*F358,5)</f>
        <v>111746.08</v>
      </c>
    </row>
    <row r="359" spans="1:7" ht="15">
      <c r="A359" s="8" t="s">
        <v>0</v>
      </c>
      <c r="B359" s="9" t="s">
        <v>0</v>
      </c>
      <c r="C359" s="9" t="s">
        <v>0</v>
      </c>
      <c r="D359" s="9" t="s">
        <v>0</v>
      </c>
      <c r="E359" s="80"/>
      <c r="F359" s="81"/>
      <c r="G359" s="82"/>
    </row>
    <row r="360" spans="1:7" ht="15">
      <c r="A360" s="8" t="s">
        <v>148</v>
      </c>
      <c r="B360" s="9" t="s">
        <v>164</v>
      </c>
      <c r="C360" s="9" t="s">
        <v>162</v>
      </c>
      <c r="D360" s="9" t="s">
        <v>73</v>
      </c>
      <c r="E360" s="80"/>
      <c r="F360" s="81"/>
      <c r="G360" s="82"/>
    </row>
    <row r="361" spans="1:7" ht="15">
      <c r="A361" s="8" t="s">
        <v>0</v>
      </c>
      <c r="B361" s="9" t="s">
        <v>0</v>
      </c>
      <c r="C361" s="9" t="s">
        <v>165</v>
      </c>
      <c r="D361" s="9" t="s">
        <v>0</v>
      </c>
      <c r="E361" s="80"/>
      <c r="F361" s="81"/>
      <c r="G361" s="82"/>
    </row>
    <row r="362" spans="1:7" ht="15.75">
      <c r="A362" s="8" t="s">
        <v>0</v>
      </c>
      <c r="B362" s="9" t="s">
        <v>0</v>
      </c>
      <c r="C362" s="9" t="s">
        <v>604</v>
      </c>
      <c r="D362" s="9" t="s">
        <v>0</v>
      </c>
      <c r="E362" s="80"/>
      <c r="F362" s="81"/>
      <c r="G362" s="83">
        <f>ROUND(SUM(G363:G365),5)</f>
        <v>16704488.80263</v>
      </c>
    </row>
    <row r="363" spans="1:7" ht="15">
      <c r="A363" s="8" t="s">
        <v>0</v>
      </c>
      <c r="B363" s="9" t="s">
        <v>0</v>
      </c>
      <c r="C363" s="9" t="s">
        <v>166</v>
      </c>
      <c r="D363" s="9" t="s">
        <v>20</v>
      </c>
      <c r="E363" s="80">
        <f>1020</f>
        <v>1020</v>
      </c>
      <c r="F363" s="81">
        <f>ROUND('Gia VL'!Q63/1000,5)</f>
        <v>16145.8974</v>
      </c>
      <c r="G363" s="82">
        <f>ROUND(E363*F363,5)</f>
        <v>16468815.348</v>
      </c>
    </row>
    <row r="364" spans="1:7" ht="15">
      <c r="A364" s="8" t="s">
        <v>0</v>
      </c>
      <c r="B364" s="9" t="s">
        <v>0</v>
      </c>
      <c r="C364" s="9" t="s">
        <v>76</v>
      </c>
      <c r="D364" s="9" t="s">
        <v>20</v>
      </c>
      <c r="E364" s="80">
        <f>9.28</f>
        <v>9.28</v>
      </c>
      <c r="F364" s="81">
        <f>ROUND('Gia VL'!Q24/1000,5)</f>
        <v>16350</v>
      </c>
      <c r="G364" s="82">
        <f>ROUND(E364*F364,5)</f>
        <v>151728</v>
      </c>
    </row>
    <row r="365" spans="1:7" ht="15">
      <c r="A365" s="8" t="s">
        <v>0</v>
      </c>
      <c r="B365" s="9" t="s">
        <v>0</v>
      </c>
      <c r="C365" s="9" t="s">
        <v>82</v>
      </c>
      <c r="D365" s="9" t="s">
        <v>20</v>
      </c>
      <c r="E365" s="80">
        <f>4.617</f>
        <v>4.617</v>
      </c>
      <c r="F365" s="81">
        <f>ROUND('Gia VL'!Q50/1000,5)</f>
        <v>18181.8182</v>
      </c>
      <c r="G365" s="82">
        <f>ROUND(E365*F365,5)</f>
        <v>83945.45463</v>
      </c>
    </row>
    <row r="366" spans="1:7" ht="15.75">
      <c r="A366" s="8" t="s">
        <v>0</v>
      </c>
      <c r="B366" s="9" t="s">
        <v>0</v>
      </c>
      <c r="C366" s="9" t="s">
        <v>603</v>
      </c>
      <c r="D366" s="9" t="s">
        <v>0</v>
      </c>
      <c r="E366" s="80"/>
      <c r="F366" s="81"/>
      <c r="G366" s="83">
        <f>ROUND(SUM(G367:G367),5)</f>
        <v>3954496</v>
      </c>
    </row>
    <row r="367" spans="1:7" ht="15">
      <c r="A367" s="8" t="s">
        <v>0</v>
      </c>
      <c r="B367" s="9" t="s">
        <v>0</v>
      </c>
      <c r="C367" s="9" t="s">
        <v>44</v>
      </c>
      <c r="D367" s="9" t="s">
        <v>8</v>
      </c>
      <c r="E367" s="80">
        <f>15.68</f>
        <v>15.68</v>
      </c>
      <c r="F367" s="81">
        <f>'Gia NC,CM'!P11</f>
        <v>252200</v>
      </c>
      <c r="G367" s="82">
        <f>ROUND(E367*F367,5)</f>
        <v>3954496</v>
      </c>
    </row>
    <row r="368" spans="1:7" ht="15.75">
      <c r="A368" s="8" t="s">
        <v>0</v>
      </c>
      <c r="B368" s="9" t="s">
        <v>0</v>
      </c>
      <c r="C368" s="9" t="s">
        <v>602</v>
      </c>
      <c r="D368" s="9" t="s">
        <v>0</v>
      </c>
      <c r="E368" s="80"/>
      <c r="F368" s="81"/>
      <c r="G368" s="83">
        <f>ROUND(SUM(G369:G373),5)</f>
        <v>549173.6149</v>
      </c>
    </row>
    <row r="369" spans="1:7" ht="15">
      <c r="A369" s="8" t="s">
        <v>0</v>
      </c>
      <c r="B369" s="9" t="s">
        <v>0</v>
      </c>
      <c r="C369" s="9" t="s">
        <v>83</v>
      </c>
      <c r="D369" s="9" t="s">
        <v>10</v>
      </c>
      <c r="E369" s="80">
        <f>1.123</f>
        <v>1.123</v>
      </c>
      <c r="F369" s="81">
        <f>'Gia NC,CM'!P22</f>
        <v>409418.3</v>
      </c>
      <c r="G369" s="82">
        <f>ROUND(E369*F369,5)</f>
        <v>459776.7509</v>
      </c>
    </row>
    <row r="370" spans="1:7" ht="15">
      <c r="A370" s="8" t="s">
        <v>0</v>
      </c>
      <c r="B370" s="9" t="s">
        <v>0</v>
      </c>
      <c r="C370" s="9" t="s">
        <v>77</v>
      </c>
      <c r="D370" s="9" t="s">
        <v>10</v>
      </c>
      <c r="E370" s="80">
        <f>0.32</f>
        <v>0.32</v>
      </c>
      <c r="F370" s="81">
        <f>'Gia NC,CM'!P21</f>
        <v>279365.2</v>
      </c>
      <c r="G370" s="82">
        <f>ROUND(E370*F370,5)</f>
        <v>89396.864</v>
      </c>
    </row>
    <row r="371" spans="1:7" ht="15">
      <c r="A371" s="8" t="s">
        <v>0</v>
      </c>
      <c r="B371" s="9" t="s">
        <v>0</v>
      </c>
      <c r="C371" s="9" t="s">
        <v>0</v>
      </c>
      <c r="D371" s="9" t="s">
        <v>0</v>
      </c>
      <c r="E371" s="80"/>
      <c r="F371" s="81"/>
      <c r="G371" s="82"/>
    </row>
    <row r="372" spans="1:7" ht="15">
      <c r="A372" s="8" t="s">
        <v>152</v>
      </c>
      <c r="B372" s="9" t="s">
        <v>168</v>
      </c>
      <c r="C372" s="9" t="s">
        <v>169</v>
      </c>
      <c r="D372" s="9" t="s">
        <v>38</v>
      </c>
      <c r="E372" s="80"/>
      <c r="F372" s="81"/>
      <c r="G372" s="82"/>
    </row>
    <row r="373" spans="1:7" ht="15">
      <c r="A373" s="8" t="s">
        <v>0</v>
      </c>
      <c r="B373" s="9" t="s">
        <v>0</v>
      </c>
      <c r="C373" s="9" t="s">
        <v>105</v>
      </c>
      <c r="D373" s="9" t="s">
        <v>0</v>
      </c>
      <c r="E373" s="80"/>
      <c r="F373" s="81"/>
      <c r="G373" s="82"/>
    </row>
    <row r="374" spans="1:7" ht="15.75">
      <c r="A374" s="8" t="s">
        <v>0</v>
      </c>
      <c r="B374" s="9" t="s">
        <v>0</v>
      </c>
      <c r="C374" s="9" t="s">
        <v>604</v>
      </c>
      <c r="D374" s="9" t="s">
        <v>0</v>
      </c>
      <c r="E374" s="80"/>
      <c r="F374" s="81"/>
      <c r="G374" s="83">
        <f>ROUND(SUM(G375:G378),5)</f>
        <v>10707.85201</v>
      </c>
    </row>
    <row r="375" spans="1:7" ht="15">
      <c r="A375" s="8" t="s">
        <v>0</v>
      </c>
      <c r="B375" s="9" t="s">
        <v>0</v>
      </c>
      <c r="C375" s="9" t="s">
        <v>106</v>
      </c>
      <c r="D375" s="9" t="s">
        <v>20</v>
      </c>
      <c r="E375" s="80">
        <f>0.012*264</f>
        <v>3.168</v>
      </c>
      <c r="F375" s="81">
        <f>ROUND('Gia VL'!Q65/1000,5)</f>
        <v>1701.3145</v>
      </c>
      <c r="G375" s="82">
        <f>ROUND(E375*F375,5)</f>
        <v>5389.76434</v>
      </c>
    </row>
    <row r="376" spans="1:7" ht="15">
      <c r="A376" s="8" t="s">
        <v>0</v>
      </c>
      <c r="B376" s="9" t="s">
        <v>0</v>
      </c>
      <c r="C376" s="9" t="s">
        <v>61</v>
      </c>
      <c r="D376" s="9" t="s">
        <v>22</v>
      </c>
      <c r="E376" s="80">
        <f>0.012*1.19</f>
        <v>0.01428</v>
      </c>
      <c r="F376" s="81">
        <f>'Gia VL'!Q15</f>
        <v>359127.7</v>
      </c>
      <c r="G376" s="82">
        <f>ROUND(E376*F376,5)</f>
        <v>5128.34356</v>
      </c>
    </row>
    <row r="377" spans="1:7" ht="15">
      <c r="A377" s="8" t="s">
        <v>0</v>
      </c>
      <c r="B377" s="9" t="s">
        <v>0</v>
      </c>
      <c r="C377" s="9" t="s">
        <v>24</v>
      </c>
      <c r="D377" s="9" t="s">
        <v>22</v>
      </c>
      <c r="E377" s="80">
        <f>0.012*0.275</f>
        <v>0.0033000000000000004</v>
      </c>
      <c r="F377" s="81">
        <f>'Gia VL'!Q47</f>
        <v>9545.45</v>
      </c>
      <c r="G377" s="82">
        <f>ROUND(E377*F377,5)</f>
        <v>31.49999</v>
      </c>
    </row>
    <row r="378" spans="1:7" ht="15">
      <c r="A378" s="8" t="s">
        <v>0</v>
      </c>
      <c r="B378" s="9" t="s">
        <v>0</v>
      </c>
      <c r="C378" s="9" t="s">
        <v>609</v>
      </c>
      <c r="D378" s="9" t="s">
        <v>605</v>
      </c>
      <c r="E378" s="80">
        <f>1.5</f>
        <v>1.5</v>
      </c>
      <c r="F378" s="81"/>
      <c r="G378" s="82">
        <f>ROUND(SUM(G375:G377)*E378/100,5)</f>
        <v>158.24412</v>
      </c>
    </row>
    <row r="379" spans="1:7" ht="15.75">
      <c r="A379" s="8" t="s">
        <v>0</v>
      </c>
      <c r="B379" s="9" t="s">
        <v>0</v>
      </c>
      <c r="C379" s="9" t="s">
        <v>603</v>
      </c>
      <c r="D379" s="9" t="s">
        <v>0</v>
      </c>
      <c r="E379" s="80"/>
      <c r="F379" s="81"/>
      <c r="G379" s="83">
        <f>ROUND(SUM(G380:G382),5)</f>
        <v>65704.728</v>
      </c>
    </row>
    <row r="380" spans="1:7" ht="15">
      <c r="A380" s="8" t="s">
        <v>0</v>
      </c>
      <c r="B380" s="9" t="s">
        <v>0</v>
      </c>
      <c r="C380" s="9" t="s">
        <v>99</v>
      </c>
      <c r="D380" s="9" t="s">
        <v>8</v>
      </c>
      <c r="E380" s="80">
        <f>0.24</f>
        <v>0.24</v>
      </c>
      <c r="F380" s="81">
        <f>'Gia NC,CM'!P14</f>
        <v>273769.7</v>
      </c>
      <c r="G380" s="82">
        <f>ROUND(E380*F380,5)</f>
        <v>65704.728</v>
      </c>
    </row>
    <row r="381" spans="1:7" ht="15">
      <c r="A381" s="8" t="s">
        <v>0</v>
      </c>
      <c r="B381" s="9" t="s">
        <v>0</v>
      </c>
      <c r="C381" s="9" t="s">
        <v>0</v>
      </c>
      <c r="D381" s="9" t="s">
        <v>0</v>
      </c>
      <c r="E381" s="80"/>
      <c r="F381" s="81"/>
      <c r="G381" s="82"/>
    </row>
    <row r="382" spans="1:7" ht="15">
      <c r="A382" s="8" t="s">
        <v>156</v>
      </c>
      <c r="B382" s="9" t="s">
        <v>171</v>
      </c>
      <c r="C382" s="9" t="s">
        <v>172</v>
      </c>
      <c r="D382" s="9" t="s">
        <v>104</v>
      </c>
      <c r="E382" s="80"/>
      <c r="F382" s="81"/>
      <c r="G382" s="82"/>
    </row>
    <row r="383" spans="1:7" ht="15.75">
      <c r="A383" s="8" t="s">
        <v>0</v>
      </c>
      <c r="B383" s="9" t="s">
        <v>0</v>
      </c>
      <c r="C383" s="9" t="s">
        <v>604</v>
      </c>
      <c r="D383" s="9" t="s">
        <v>0</v>
      </c>
      <c r="E383" s="80"/>
      <c r="F383" s="81"/>
      <c r="G383" s="83">
        <f>ROUND(SUM(G384:G387),5)</f>
        <v>12539.78353</v>
      </c>
    </row>
    <row r="384" spans="1:7" ht="15">
      <c r="A384" s="8" t="s">
        <v>0</v>
      </c>
      <c r="B384" s="9" t="s">
        <v>0</v>
      </c>
      <c r="C384" s="9" t="s">
        <v>19</v>
      </c>
      <c r="D384" s="9" t="s">
        <v>20</v>
      </c>
      <c r="E384" s="80">
        <f>0.012*385</f>
        <v>4.62</v>
      </c>
      <c r="F384" s="81">
        <f>ROUND('Gia VL'!Q67/1000,5)</f>
        <v>1637.6775</v>
      </c>
      <c r="G384" s="82">
        <f>ROUND(E384*F384,5)</f>
        <v>7566.07005</v>
      </c>
    </row>
    <row r="385" spans="1:7" ht="15">
      <c r="A385" s="8" t="s">
        <v>0</v>
      </c>
      <c r="B385" s="9" t="s">
        <v>0</v>
      </c>
      <c r="C385" s="9" t="s">
        <v>61</v>
      </c>
      <c r="D385" s="9" t="s">
        <v>22</v>
      </c>
      <c r="E385" s="80">
        <f>0.012*1.118</f>
        <v>0.013416</v>
      </c>
      <c r="F385" s="81">
        <f>'Gia VL'!Q15</f>
        <v>359127.7</v>
      </c>
      <c r="G385" s="82">
        <f>ROUND(E385*F385,5)</f>
        <v>4818.05722</v>
      </c>
    </row>
    <row r="386" spans="1:7" ht="15">
      <c r="A386" s="8" t="s">
        <v>0</v>
      </c>
      <c r="B386" s="9" t="s">
        <v>0</v>
      </c>
      <c r="C386" s="9" t="s">
        <v>24</v>
      </c>
      <c r="D386" s="9" t="s">
        <v>22</v>
      </c>
      <c r="E386" s="80">
        <f>0.012*0.275</f>
        <v>0.0033000000000000004</v>
      </c>
      <c r="F386" s="81">
        <f>'Gia VL'!Q47</f>
        <v>9545.45</v>
      </c>
      <c r="G386" s="82">
        <f>ROUND(E386*F386,5)</f>
        <v>31.49999</v>
      </c>
    </row>
    <row r="387" spans="1:7" ht="15">
      <c r="A387" s="8" t="s">
        <v>0</v>
      </c>
      <c r="B387" s="9" t="s">
        <v>0</v>
      </c>
      <c r="C387" s="9" t="s">
        <v>609</v>
      </c>
      <c r="D387" s="9" t="s">
        <v>605</v>
      </c>
      <c r="E387" s="80">
        <f>1</f>
        <v>1</v>
      </c>
      <c r="F387" s="81"/>
      <c r="G387" s="82">
        <f>ROUND(SUM(G384:G386)*E387/100,5)</f>
        <v>124.15627</v>
      </c>
    </row>
    <row r="388" spans="1:7" ht="15.75">
      <c r="A388" s="8" t="s">
        <v>0</v>
      </c>
      <c r="B388" s="9" t="s">
        <v>0</v>
      </c>
      <c r="C388" s="9" t="s">
        <v>603</v>
      </c>
      <c r="D388" s="9" t="s">
        <v>0</v>
      </c>
      <c r="E388" s="80"/>
      <c r="F388" s="81"/>
      <c r="G388" s="83">
        <f>ROUND(SUM(G389:G391),5)</f>
        <v>125535.852</v>
      </c>
    </row>
    <row r="389" spans="1:7" ht="15">
      <c r="A389" s="8" t="s">
        <v>0</v>
      </c>
      <c r="B389" s="9" t="s">
        <v>0</v>
      </c>
      <c r="C389" s="9" t="s">
        <v>173</v>
      </c>
      <c r="D389" s="9" t="s">
        <v>8</v>
      </c>
      <c r="E389" s="80">
        <f>0.39</f>
        <v>0.39</v>
      </c>
      <c r="F389" s="81">
        <f>'Gia NC,CM'!P16</f>
        <v>321886.8</v>
      </c>
      <c r="G389" s="82">
        <f>ROUND(E389*F389,5)</f>
        <v>125535.852</v>
      </c>
    </row>
    <row r="390" spans="1:7" ht="15">
      <c r="A390" s="8" t="s">
        <v>0</v>
      </c>
      <c r="B390" s="9" t="s">
        <v>0</v>
      </c>
      <c r="C390" s="9" t="s">
        <v>0</v>
      </c>
      <c r="D390" s="9" t="s">
        <v>0</v>
      </c>
      <c r="E390" s="80"/>
      <c r="F390" s="81"/>
      <c r="G390" s="82"/>
    </row>
    <row r="391" spans="1:7" ht="15">
      <c r="A391" s="8" t="s">
        <v>160</v>
      </c>
      <c r="B391" s="9" t="s">
        <v>175</v>
      </c>
      <c r="C391" s="9" t="s">
        <v>176</v>
      </c>
      <c r="D391" s="9" t="s">
        <v>38</v>
      </c>
      <c r="E391" s="80"/>
      <c r="F391" s="81"/>
      <c r="G391" s="82"/>
    </row>
    <row r="392" spans="1:7" ht="15.75">
      <c r="A392" s="8" t="s">
        <v>0</v>
      </c>
      <c r="B392" s="9" t="s">
        <v>0</v>
      </c>
      <c r="C392" s="9" t="s">
        <v>604</v>
      </c>
      <c r="D392" s="9" t="s">
        <v>0</v>
      </c>
      <c r="E392" s="80"/>
      <c r="F392" s="81"/>
      <c r="G392" s="83">
        <f>ROUND(SUM(G393:G399),5)</f>
        <v>144096.2063</v>
      </c>
    </row>
    <row r="393" spans="1:7" ht="15">
      <c r="A393" s="8" t="s">
        <v>0</v>
      </c>
      <c r="B393" s="9" t="s">
        <v>0</v>
      </c>
      <c r="C393" s="9" t="s">
        <v>177</v>
      </c>
      <c r="D393" s="9" t="s">
        <v>97</v>
      </c>
      <c r="E393" s="80">
        <f>1.01</f>
        <v>1.01</v>
      </c>
      <c r="F393" s="81">
        <f>'Gia VL'!Q27</f>
        <v>118181.8</v>
      </c>
      <c r="G393" s="82">
        <f aca="true" t="shared" si="1" ref="G393:G398">ROUND(E393*F393,5)</f>
        <v>119363.618</v>
      </c>
    </row>
    <row r="394" spans="1:7" ht="15">
      <c r="A394" s="8" t="s">
        <v>0</v>
      </c>
      <c r="B394" s="9" t="s">
        <v>0</v>
      </c>
      <c r="C394" s="9" t="s">
        <v>32</v>
      </c>
      <c r="D394" s="9" t="s">
        <v>20</v>
      </c>
      <c r="E394" s="80">
        <f>6.6</f>
        <v>6.6</v>
      </c>
      <c r="F394" s="81">
        <f>ROUND('Gia VL'!Q69/1000,5)</f>
        <v>1701.3145</v>
      </c>
      <c r="G394" s="82">
        <f t="shared" si="1"/>
        <v>11228.6757</v>
      </c>
    </row>
    <row r="395" spans="1:7" ht="15">
      <c r="A395" s="8" t="s">
        <v>0</v>
      </c>
      <c r="B395" s="9" t="s">
        <v>0</v>
      </c>
      <c r="C395" s="9" t="s">
        <v>61</v>
      </c>
      <c r="D395" s="9" t="s">
        <v>22</v>
      </c>
      <c r="E395" s="80">
        <f>0.02975</f>
        <v>0.02975</v>
      </c>
      <c r="F395" s="81">
        <f>'Gia VL'!Q15</f>
        <v>359127.7</v>
      </c>
      <c r="G395" s="82">
        <f t="shared" si="1"/>
        <v>10684.04908</v>
      </c>
    </row>
    <row r="396" spans="1:7" ht="15">
      <c r="A396" s="8" t="s">
        <v>0</v>
      </c>
      <c r="B396" s="9" t="s">
        <v>0</v>
      </c>
      <c r="C396" s="9" t="s">
        <v>24</v>
      </c>
      <c r="D396" s="9" t="s">
        <v>22</v>
      </c>
      <c r="E396" s="80">
        <f>0.006875</f>
        <v>0.006875</v>
      </c>
      <c r="F396" s="81">
        <f>'Gia VL'!Q47</f>
        <v>9545.45</v>
      </c>
      <c r="G396" s="82">
        <f t="shared" si="1"/>
        <v>65.62497</v>
      </c>
    </row>
    <row r="397" spans="1:7" ht="15">
      <c r="A397" s="8" t="s">
        <v>0</v>
      </c>
      <c r="B397" s="9" t="s">
        <v>0</v>
      </c>
      <c r="C397" s="9" t="s">
        <v>19</v>
      </c>
      <c r="D397" s="9" t="s">
        <v>20</v>
      </c>
      <c r="E397" s="80">
        <f>0.8</f>
        <v>0.8</v>
      </c>
      <c r="F397" s="81">
        <f>ROUND('Gia VL'!Q67/1000,5)</f>
        <v>1637.6775</v>
      </c>
      <c r="G397" s="82">
        <f t="shared" si="1"/>
        <v>1310.142</v>
      </c>
    </row>
    <row r="398" spans="1:7" ht="15">
      <c r="A398" s="8" t="s">
        <v>0</v>
      </c>
      <c r="B398" s="9" t="s">
        <v>0</v>
      </c>
      <c r="C398" s="9" t="s">
        <v>98</v>
      </c>
      <c r="D398" s="9" t="s">
        <v>20</v>
      </c>
      <c r="E398" s="80">
        <f>0.16</f>
        <v>0.16</v>
      </c>
      <c r="F398" s="81">
        <f>ROUND('Gia VL'!Q71/1000,5)</f>
        <v>4545</v>
      </c>
      <c r="G398" s="82">
        <f t="shared" si="1"/>
        <v>727.2</v>
      </c>
    </row>
    <row r="399" spans="1:7" ht="15">
      <c r="A399" s="8" t="s">
        <v>0</v>
      </c>
      <c r="B399" s="9" t="s">
        <v>0</v>
      </c>
      <c r="C399" s="9" t="s">
        <v>609</v>
      </c>
      <c r="D399" s="9" t="s">
        <v>605</v>
      </c>
      <c r="E399" s="80">
        <f>0.5</f>
        <v>0.5</v>
      </c>
      <c r="F399" s="81"/>
      <c r="G399" s="82">
        <f>ROUND(SUM(G393:G398)*E399/100,5)</f>
        <v>716.89655</v>
      </c>
    </row>
    <row r="400" spans="1:7" ht="15.75">
      <c r="A400" s="8" t="s">
        <v>0</v>
      </c>
      <c r="B400" s="9" t="s">
        <v>0</v>
      </c>
      <c r="C400" s="9" t="s">
        <v>603</v>
      </c>
      <c r="D400" s="9" t="s">
        <v>0</v>
      </c>
      <c r="E400" s="80"/>
      <c r="F400" s="81"/>
      <c r="G400" s="83">
        <f>ROUND(SUM(G401:G401),5)</f>
        <v>46540.849</v>
      </c>
    </row>
    <row r="401" spans="1:7" ht="15">
      <c r="A401" s="8" t="s">
        <v>0</v>
      </c>
      <c r="B401" s="9" t="s">
        <v>0</v>
      </c>
      <c r="C401" s="9" t="s">
        <v>99</v>
      </c>
      <c r="D401" s="9" t="s">
        <v>8</v>
      </c>
      <c r="E401" s="80">
        <f>0.17</f>
        <v>0.17</v>
      </c>
      <c r="F401" s="81">
        <f>'Gia NC,CM'!P14</f>
        <v>273769.7</v>
      </c>
      <c r="G401" s="82">
        <f>ROUND(E401*F401,5)</f>
        <v>46540.849</v>
      </c>
    </row>
    <row r="402" spans="1:7" ht="15.75">
      <c r="A402" s="8" t="s">
        <v>0</v>
      </c>
      <c r="B402" s="9" t="s">
        <v>0</v>
      </c>
      <c r="C402" s="9" t="s">
        <v>602</v>
      </c>
      <c r="D402" s="9" t="s">
        <v>0</v>
      </c>
      <c r="E402" s="80"/>
      <c r="F402" s="81"/>
      <c r="G402" s="83">
        <f>ROUND(SUM(G403:G405),5)</f>
        <v>834.519</v>
      </c>
    </row>
    <row r="403" spans="1:7" ht="15">
      <c r="A403" s="8" t="s">
        <v>0</v>
      </c>
      <c r="B403" s="9" t="s">
        <v>0</v>
      </c>
      <c r="C403" s="9" t="s">
        <v>100</v>
      </c>
      <c r="D403" s="9" t="s">
        <v>10</v>
      </c>
      <c r="E403" s="80">
        <f>0.03</f>
        <v>0.03</v>
      </c>
      <c r="F403" s="81">
        <f>'Gia NC,CM'!P20</f>
        <v>27817.3</v>
      </c>
      <c r="G403" s="82">
        <f>ROUND(E403*F403,5)</f>
        <v>834.519</v>
      </c>
    </row>
    <row r="404" spans="1:7" ht="15">
      <c r="A404" s="8" t="s">
        <v>0</v>
      </c>
      <c r="B404" s="9" t="s">
        <v>0</v>
      </c>
      <c r="C404" s="9" t="s">
        <v>0</v>
      </c>
      <c r="D404" s="9" t="s">
        <v>0</v>
      </c>
      <c r="E404" s="80"/>
      <c r="F404" s="81"/>
      <c r="G404" s="82"/>
    </row>
    <row r="405" spans="1:7" ht="15">
      <c r="A405" s="8" t="s">
        <v>163</v>
      </c>
      <c r="B405" s="9" t="s">
        <v>179</v>
      </c>
      <c r="C405" s="9" t="s">
        <v>180</v>
      </c>
      <c r="D405" s="9" t="s">
        <v>38</v>
      </c>
      <c r="E405" s="80"/>
      <c r="F405" s="81"/>
      <c r="G405" s="82"/>
    </row>
    <row r="406" spans="1:7" ht="15.75">
      <c r="A406" s="8" t="s">
        <v>0</v>
      </c>
      <c r="B406" s="9" t="s">
        <v>0</v>
      </c>
      <c r="C406" s="9" t="s">
        <v>604</v>
      </c>
      <c r="D406" s="9" t="s">
        <v>0</v>
      </c>
      <c r="E406" s="80"/>
      <c r="F406" s="81"/>
      <c r="G406" s="83">
        <f>ROUND(SUM(G407:G410),5)</f>
        <v>607344.78127</v>
      </c>
    </row>
    <row r="407" spans="1:7" ht="15">
      <c r="A407" s="8" t="s">
        <v>0</v>
      </c>
      <c r="B407" s="9" t="s">
        <v>0</v>
      </c>
      <c r="C407" s="9" t="s">
        <v>181</v>
      </c>
      <c r="D407" s="9" t="s">
        <v>60</v>
      </c>
      <c r="E407" s="80">
        <f>89</f>
        <v>89</v>
      </c>
      <c r="F407" s="81">
        <f>'Gia VL'!Q46</f>
        <v>6545.45</v>
      </c>
      <c r="G407" s="82">
        <f>ROUND(E407*F407,5)</f>
        <v>582545.05</v>
      </c>
    </row>
    <row r="408" spans="1:7" ht="15">
      <c r="A408" s="8" t="s">
        <v>0</v>
      </c>
      <c r="B408" s="9" t="s">
        <v>0</v>
      </c>
      <c r="C408" s="9" t="s">
        <v>32</v>
      </c>
      <c r="D408" s="9" t="s">
        <v>20</v>
      </c>
      <c r="E408" s="80">
        <f>8.475</f>
        <v>8.475</v>
      </c>
      <c r="F408" s="81">
        <f>ROUND('Gia VL'!Q69/1000,5)</f>
        <v>1701.3145</v>
      </c>
      <c r="G408" s="82">
        <f>ROUND(E408*F408,5)</f>
        <v>14418.64039</v>
      </c>
    </row>
    <row r="409" spans="1:7" ht="15">
      <c r="A409" s="8" t="s">
        <v>0</v>
      </c>
      <c r="B409" s="9" t="s">
        <v>0</v>
      </c>
      <c r="C409" s="9" t="s">
        <v>61</v>
      </c>
      <c r="D409" s="9" t="s">
        <v>22</v>
      </c>
      <c r="E409" s="80">
        <f>0.028725</f>
        <v>0.028725</v>
      </c>
      <c r="F409" s="81">
        <f>'Gia VL'!Q15</f>
        <v>359127.7</v>
      </c>
      <c r="G409" s="82">
        <f>ROUND(E409*F409,5)</f>
        <v>10315.94318</v>
      </c>
    </row>
    <row r="410" spans="1:7" ht="15">
      <c r="A410" s="8" t="s">
        <v>0</v>
      </c>
      <c r="B410" s="9" t="s">
        <v>0</v>
      </c>
      <c r="C410" s="9" t="s">
        <v>24</v>
      </c>
      <c r="D410" s="9" t="s">
        <v>22</v>
      </c>
      <c r="E410" s="80">
        <f>0.006825</f>
        <v>0.006825</v>
      </c>
      <c r="F410" s="81">
        <f>'Gia VL'!Q47</f>
        <v>9545.45</v>
      </c>
      <c r="G410" s="82">
        <f>ROUND(E410*F410,5)</f>
        <v>65.1477</v>
      </c>
    </row>
    <row r="411" spans="1:7" ht="15.75">
      <c r="A411" s="8" t="s">
        <v>0</v>
      </c>
      <c r="B411" s="9" t="s">
        <v>0</v>
      </c>
      <c r="C411" s="9" t="s">
        <v>603</v>
      </c>
      <c r="D411" s="9" t="s">
        <v>0</v>
      </c>
      <c r="E411" s="80"/>
      <c r="F411" s="81"/>
      <c r="G411" s="83">
        <f>ROUND(SUM(G412:G414),5)</f>
        <v>97097</v>
      </c>
    </row>
    <row r="412" spans="1:7" ht="15">
      <c r="A412" s="8" t="s">
        <v>0</v>
      </c>
      <c r="B412" s="9" t="s">
        <v>0</v>
      </c>
      <c r="C412" s="9" t="s">
        <v>44</v>
      </c>
      <c r="D412" s="9" t="s">
        <v>8</v>
      </c>
      <c r="E412" s="80">
        <f>0.385</f>
        <v>0.385</v>
      </c>
      <c r="F412" s="81">
        <f>'Gia NC,CM'!P11</f>
        <v>252200</v>
      </c>
      <c r="G412" s="82">
        <f>ROUND(E412*F412,5)</f>
        <v>97097</v>
      </c>
    </row>
    <row r="413" spans="1:7" ht="15">
      <c r="A413" s="8" t="s">
        <v>0</v>
      </c>
      <c r="B413" s="9" t="s">
        <v>0</v>
      </c>
      <c r="C413" s="9" t="s">
        <v>0</v>
      </c>
      <c r="D413" s="9" t="s">
        <v>0</v>
      </c>
      <c r="E413" s="80"/>
      <c r="F413" s="81"/>
      <c r="G413" s="82"/>
    </row>
    <row r="414" spans="1:7" ht="15">
      <c r="A414" s="8" t="s">
        <v>167</v>
      </c>
      <c r="B414" s="9" t="s">
        <v>183</v>
      </c>
      <c r="C414" s="9" t="s">
        <v>184</v>
      </c>
      <c r="D414" s="9" t="s">
        <v>104</v>
      </c>
      <c r="E414" s="80"/>
      <c r="F414" s="81"/>
      <c r="G414" s="82"/>
    </row>
    <row r="415" spans="1:7" ht="15.75">
      <c r="A415" s="8" t="s">
        <v>0</v>
      </c>
      <c r="B415" s="9" t="s">
        <v>0</v>
      </c>
      <c r="C415" s="9" t="s">
        <v>604</v>
      </c>
      <c r="D415" s="9" t="s">
        <v>0</v>
      </c>
      <c r="E415" s="80"/>
      <c r="F415" s="81"/>
      <c r="G415" s="83">
        <f>ROUND(SUM(G416:G419),5)</f>
        <v>71277.50985</v>
      </c>
    </row>
    <row r="416" spans="1:7" ht="15">
      <c r="A416" s="8" t="s">
        <v>0</v>
      </c>
      <c r="B416" s="9" t="s">
        <v>0</v>
      </c>
      <c r="C416" s="9" t="s">
        <v>185</v>
      </c>
      <c r="D416" s="9" t="s">
        <v>60</v>
      </c>
      <c r="E416" s="80">
        <f>39</f>
        <v>39</v>
      </c>
      <c r="F416" s="81">
        <f>'Gia VL'!Q28</f>
        <v>1489.5</v>
      </c>
      <c r="G416" s="82">
        <f>ROUND(E416*F416,5)</f>
        <v>58090.5</v>
      </c>
    </row>
    <row r="417" spans="1:7" ht="15">
      <c r="A417" s="8" t="s">
        <v>0</v>
      </c>
      <c r="B417" s="9" t="s">
        <v>0</v>
      </c>
      <c r="C417" s="9" t="s">
        <v>32</v>
      </c>
      <c r="D417" s="9" t="s">
        <v>20</v>
      </c>
      <c r="E417" s="80">
        <f>3.96</f>
        <v>3.96</v>
      </c>
      <c r="F417" s="81">
        <f>ROUND('Gia VL'!Q69/1000,5)</f>
        <v>1701.3145</v>
      </c>
      <c r="G417" s="82">
        <f>ROUND(E417*F417,5)</f>
        <v>6737.20542</v>
      </c>
    </row>
    <row r="418" spans="1:7" ht="15">
      <c r="A418" s="8" t="s">
        <v>0</v>
      </c>
      <c r="B418" s="9" t="s">
        <v>0</v>
      </c>
      <c r="C418" s="9" t="s">
        <v>61</v>
      </c>
      <c r="D418" s="9" t="s">
        <v>22</v>
      </c>
      <c r="E418" s="80">
        <f>0.01785</f>
        <v>0.01785</v>
      </c>
      <c r="F418" s="81">
        <f>'Gia VL'!Q15</f>
        <v>359127.7</v>
      </c>
      <c r="G418" s="82">
        <f>ROUND(E418*F418,5)</f>
        <v>6410.42945</v>
      </c>
    </row>
    <row r="419" spans="1:7" ht="15">
      <c r="A419" s="8" t="s">
        <v>0</v>
      </c>
      <c r="B419" s="9" t="s">
        <v>0</v>
      </c>
      <c r="C419" s="9" t="s">
        <v>24</v>
      </c>
      <c r="D419" s="9" t="s">
        <v>22</v>
      </c>
      <c r="E419" s="80">
        <f>0.004125</f>
        <v>0.004125</v>
      </c>
      <c r="F419" s="81">
        <f>'Gia VL'!Q47</f>
        <v>9545.45</v>
      </c>
      <c r="G419" s="82">
        <f>ROUND(E419*F419,5)</f>
        <v>39.37498</v>
      </c>
    </row>
    <row r="420" spans="1:7" ht="15.75">
      <c r="A420" s="8" t="s">
        <v>0</v>
      </c>
      <c r="B420" s="9" t="s">
        <v>0</v>
      </c>
      <c r="C420" s="9" t="s">
        <v>603</v>
      </c>
      <c r="D420" s="9" t="s">
        <v>0</v>
      </c>
      <c r="E420" s="80"/>
      <c r="F420" s="81"/>
      <c r="G420" s="83">
        <f>ROUND(SUM(G421:G424),5)</f>
        <v>131409.456</v>
      </c>
    </row>
    <row r="421" spans="1:7" ht="15">
      <c r="A421" s="8" t="s">
        <v>0</v>
      </c>
      <c r="B421" s="9" t="s">
        <v>0</v>
      </c>
      <c r="C421" s="9" t="s">
        <v>99</v>
      </c>
      <c r="D421" s="9" t="s">
        <v>8</v>
      </c>
      <c r="E421" s="80">
        <f>0.48</f>
        <v>0.48</v>
      </c>
      <c r="F421" s="81">
        <f>'Gia NC,CM'!P14</f>
        <v>273769.7</v>
      </c>
      <c r="G421" s="82">
        <f>ROUND(E421*F421,5)</f>
        <v>131409.456</v>
      </c>
    </row>
    <row r="422" spans="1:7" ht="15">
      <c r="A422" s="8" t="s">
        <v>0</v>
      </c>
      <c r="B422" s="9" t="s">
        <v>0</v>
      </c>
      <c r="C422" s="9" t="s">
        <v>0</v>
      </c>
      <c r="D422" s="9" t="s">
        <v>0</v>
      </c>
      <c r="E422" s="80"/>
      <c r="F422" s="81"/>
      <c r="G422" s="82"/>
    </row>
    <row r="423" spans="1:7" ht="15">
      <c r="A423" s="8" t="s">
        <v>170</v>
      </c>
      <c r="B423" s="9" t="s">
        <v>187</v>
      </c>
      <c r="C423" s="9" t="s">
        <v>131</v>
      </c>
      <c r="D423" s="9" t="s">
        <v>38</v>
      </c>
      <c r="E423" s="80"/>
      <c r="F423" s="81"/>
      <c r="G423" s="82"/>
    </row>
    <row r="424" spans="1:7" ht="15">
      <c r="A424" s="8" t="s">
        <v>0</v>
      </c>
      <c r="B424" s="9" t="s">
        <v>0</v>
      </c>
      <c r="C424" s="9" t="s">
        <v>105</v>
      </c>
      <c r="D424" s="9" t="s">
        <v>0</v>
      </c>
      <c r="E424" s="80"/>
      <c r="F424" s="81"/>
      <c r="G424" s="82"/>
    </row>
    <row r="425" spans="1:7" ht="15.75">
      <c r="A425" s="8" t="s">
        <v>0</v>
      </c>
      <c r="B425" s="9" t="s">
        <v>0</v>
      </c>
      <c r="C425" s="9" t="s">
        <v>604</v>
      </c>
      <c r="D425" s="9" t="s">
        <v>0</v>
      </c>
      <c r="E425" s="80"/>
      <c r="F425" s="81"/>
      <c r="G425" s="83">
        <f>ROUND(SUM(G426:G429),5)</f>
        <v>21051.92736</v>
      </c>
    </row>
    <row r="426" spans="1:7" ht="15">
      <c r="A426" s="8" t="s">
        <v>0</v>
      </c>
      <c r="B426" s="9" t="s">
        <v>0</v>
      </c>
      <c r="C426" s="9" t="s">
        <v>32</v>
      </c>
      <c r="D426" s="9" t="s">
        <v>20</v>
      </c>
      <c r="E426" s="80">
        <f>6.7725</f>
        <v>6.7725</v>
      </c>
      <c r="F426" s="81">
        <f>ROUND('Gia VL'!Q69/1000,5)</f>
        <v>1701.3145</v>
      </c>
      <c r="G426" s="82">
        <f>ROUND(E426*F426,5)</f>
        <v>11522.15245</v>
      </c>
    </row>
    <row r="427" spans="1:7" ht="15">
      <c r="A427" s="8" t="s">
        <v>0</v>
      </c>
      <c r="B427" s="9" t="s">
        <v>0</v>
      </c>
      <c r="C427" s="9" t="s">
        <v>61</v>
      </c>
      <c r="D427" s="9" t="s">
        <v>22</v>
      </c>
      <c r="E427" s="80">
        <f>0.026078</f>
        <v>0.026078</v>
      </c>
      <c r="F427" s="81">
        <f>'Gia VL'!Q15</f>
        <v>359127.7</v>
      </c>
      <c r="G427" s="82">
        <f>ROUND(E427*F427,5)</f>
        <v>9365.33216</v>
      </c>
    </row>
    <row r="428" spans="1:7" ht="15">
      <c r="A428" s="8" t="s">
        <v>0</v>
      </c>
      <c r="B428" s="9" t="s">
        <v>0</v>
      </c>
      <c r="C428" s="9" t="s">
        <v>24</v>
      </c>
      <c r="D428" s="9" t="s">
        <v>22</v>
      </c>
      <c r="E428" s="80">
        <f>0.006255</f>
        <v>0.006255</v>
      </c>
      <c r="F428" s="81">
        <f>'Gia VL'!Q47</f>
        <v>9545.45</v>
      </c>
      <c r="G428" s="82">
        <f>ROUND(E428*F428,5)</f>
        <v>59.70679</v>
      </c>
    </row>
    <row r="429" spans="1:7" ht="15">
      <c r="A429" s="8" t="s">
        <v>0</v>
      </c>
      <c r="B429" s="9" t="s">
        <v>0</v>
      </c>
      <c r="C429" s="9" t="s">
        <v>609</v>
      </c>
      <c r="D429" s="9" t="s">
        <v>605</v>
      </c>
      <c r="E429" s="80">
        <f>0.5</f>
        <v>0.5</v>
      </c>
      <c r="F429" s="81"/>
      <c r="G429" s="82">
        <f>ROUND(SUM(G426:G428)*E429/100,5)</f>
        <v>104.73596</v>
      </c>
    </row>
    <row r="430" spans="1:7" ht="15.75">
      <c r="A430" s="8" t="s">
        <v>0</v>
      </c>
      <c r="B430" s="9" t="s">
        <v>0</v>
      </c>
      <c r="C430" s="9" t="s">
        <v>603</v>
      </c>
      <c r="D430" s="9" t="s">
        <v>0</v>
      </c>
      <c r="E430" s="80"/>
      <c r="F430" s="81"/>
      <c r="G430" s="83">
        <f>ROUND(SUM(G431:G431),5)</f>
        <v>105401.3345</v>
      </c>
    </row>
    <row r="431" spans="1:7" ht="15">
      <c r="A431" s="8" t="s">
        <v>0</v>
      </c>
      <c r="B431" s="9" t="s">
        <v>0</v>
      </c>
      <c r="C431" s="9" t="s">
        <v>99</v>
      </c>
      <c r="D431" s="9" t="s">
        <v>8</v>
      </c>
      <c r="E431" s="80">
        <f>0.385</f>
        <v>0.385</v>
      </c>
      <c r="F431" s="81">
        <f>'Gia NC,CM'!P14</f>
        <v>273769.7</v>
      </c>
      <c r="G431" s="82">
        <f>ROUND(E431*F431,5)</f>
        <v>105401.3345</v>
      </c>
    </row>
    <row r="432" spans="1:7" ht="15.75">
      <c r="A432" s="8" t="s">
        <v>0</v>
      </c>
      <c r="B432" s="9" t="s">
        <v>0</v>
      </c>
      <c r="C432" s="9" t="s">
        <v>602</v>
      </c>
      <c r="D432" s="9" t="s">
        <v>0</v>
      </c>
      <c r="E432" s="80"/>
      <c r="F432" s="81"/>
      <c r="G432" s="83">
        <f>ROUND(SUM(G433:G435),5)</f>
        <v>878.8458</v>
      </c>
    </row>
    <row r="433" spans="1:7" ht="15">
      <c r="A433" s="8" t="s">
        <v>0</v>
      </c>
      <c r="B433" s="9" t="s">
        <v>0</v>
      </c>
      <c r="C433" s="9" t="s">
        <v>117</v>
      </c>
      <c r="D433" s="9" t="s">
        <v>10</v>
      </c>
      <c r="E433" s="80">
        <f>0.003</f>
        <v>0.003</v>
      </c>
      <c r="F433" s="81">
        <f>'Gia NC,CM'!P24</f>
        <v>292948.6</v>
      </c>
      <c r="G433" s="82">
        <f>ROUND(E433*F433,5)</f>
        <v>878.8458</v>
      </c>
    </row>
    <row r="434" spans="1:7" ht="15">
      <c r="A434" s="8" t="s">
        <v>0</v>
      </c>
      <c r="B434" s="9" t="s">
        <v>0</v>
      </c>
      <c r="C434" s="9" t="s">
        <v>0</v>
      </c>
      <c r="D434" s="9" t="s">
        <v>0</v>
      </c>
      <c r="E434" s="80"/>
      <c r="F434" s="81"/>
      <c r="G434" s="82"/>
    </row>
    <row r="435" spans="1:7" ht="15">
      <c r="A435" s="8" t="s">
        <v>174</v>
      </c>
      <c r="B435" s="9" t="s">
        <v>189</v>
      </c>
      <c r="C435" s="9" t="s">
        <v>190</v>
      </c>
      <c r="D435" s="9" t="s">
        <v>191</v>
      </c>
      <c r="E435" s="80"/>
      <c r="F435" s="81"/>
      <c r="G435" s="82"/>
    </row>
    <row r="436" spans="1:7" ht="15.75">
      <c r="A436" s="8" t="s">
        <v>0</v>
      </c>
      <c r="B436" s="9" t="s">
        <v>0</v>
      </c>
      <c r="C436" s="9" t="s">
        <v>604</v>
      </c>
      <c r="D436" s="9" t="s">
        <v>0</v>
      </c>
      <c r="E436" s="80"/>
      <c r="F436" s="81"/>
      <c r="G436" s="83">
        <f>ROUND(SUM(G437:G442),5)</f>
        <v>29985.07379</v>
      </c>
    </row>
    <row r="437" spans="1:7" ht="15">
      <c r="A437" s="8" t="s">
        <v>0</v>
      </c>
      <c r="B437" s="9" t="s">
        <v>0</v>
      </c>
      <c r="C437" s="9" t="s">
        <v>192</v>
      </c>
      <c r="D437" s="9" t="s">
        <v>193</v>
      </c>
      <c r="E437" s="80">
        <f>0.8</f>
        <v>0.8</v>
      </c>
      <c r="F437" s="81">
        <f>ROUND('Gia VL'!Q57/1000,5)</f>
        <v>16350</v>
      </c>
      <c r="G437" s="82">
        <f>ROUND(E437*F437,5)</f>
        <v>13080</v>
      </c>
    </row>
    <row r="438" spans="1:7" ht="15">
      <c r="A438" s="8" t="s">
        <v>0</v>
      </c>
      <c r="B438" s="9" t="s">
        <v>0</v>
      </c>
      <c r="C438" s="9" t="s">
        <v>194</v>
      </c>
      <c r="D438" s="9" t="s">
        <v>193</v>
      </c>
      <c r="E438" s="80">
        <f>0.03</f>
        <v>0.03</v>
      </c>
      <c r="F438" s="81">
        <f>ROUND('Gia VL'!Q56/1000,5)</f>
        <v>16350</v>
      </c>
      <c r="G438" s="82">
        <f>ROUND(E438*F438,5)</f>
        <v>490.5</v>
      </c>
    </row>
    <row r="439" spans="1:7" ht="15">
      <c r="A439" s="8" t="s">
        <v>0</v>
      </c>
      <c r="B439" s="9" t="s">
        <v>0</v>
      </c>
      <c r="C439" s="9" t="s">
        <v>32</v>
      </c>
      <c r="D439" s="9" t="s">
        <v>20</v>
      </c>
      <c r="E439" s="80">
        <f>0.017*301</f>
        <v>5.117</v>
      </c>
      <c r="F439" s="81">
        <f>ROUND('Gia VL'!Q69/1000,5)</f>
        <v>1701.3145</v>
      </c>
      <c r="G439" s="82">
        <f>ROUND(E439*F439,5)</f>
        <v>8705.6263</v>
      </c>
    </row>
    <row r="440" spans="1:7" ht="15">
      <c r="A440" s="8" t="s">
        <v>0</v>
      </c>
      <c r="B440" s="9" t="s">
        <v>0</v>
      </c>
      <c r="C440" s="9" t="s">
        <v>61</v>
      </c>
      <c r="D440" s="9" t="s">
        <v>22</v>
      </c>
      <c r="E440" s="80">
        <f>0.017*1.159</f>
        <v>0.019703000000000002</v>
      </c>
      <c r="F440" s="81">
        <f>'Gia VL'!Q15</f>
        <v>359127.7</v>
      </c>
      <c r="G440" s="82">
        <f>ROUND(E440*F440,5)</f>
        <v>7075.89307</v>
      </c>
    </row>
    <row r="441" spans="1:7" ht="15">
      <c r="A441" s="8" t="s">
        <v>0</v>
      </c>
      <c r="B441" s="9" t="s">
        <v>0</v>
      </c>
      <c r="C441" s="9" t="s">
        <v>24</v>
      </c>
      <c r="D441" s="9" t="s">
        <v>22</v>
      </c>
      <c r="E441" s="80">
        <f>0.017*0.278</f>
        <v>0.004726000000000001</v>
      </c>
      <c r="F441" s="81">
        <f>'Gia VL'!Q47</f>
        <v>9545.45</v>
      </c>
      <c r="G441" s="82">
        <f>ROUND(E441*F441,5)</f>
        <v>45.1118</v>
      </c>
    </row>
    <row r="442" spans="1:7" ht="15">
      <c r="A442" s="8" t="s">
        <v>0</v>
      </c>
      <c r="B442" s="9" t="s">
        <v>0</v>
      </c>
      <c r="C442" s="9" t="s">
        <v>609</v>
      </c>
      <c r="D442" s="9" t="s">
        <v>605</v>
      </c>
      <c r="E442" s="80">
        <f>2</f>
        <v>2</v>
      </c>
      <c r="F442" s="81"/>
      <c r="G442" s="82">
        <f>ROUND(SUM(G437:G441)*E442/100,5)</f>
        <v>587.94262</v>
      </c>
    </row>
    <row r="443" spans="1:7" ht="15.75">
      <c r="A443" s="8" t="s">
        <v>0</v>
      </c>
      <c r="B443" s="9" t="s">
        <v>0</v>
      </c>
      <c r="C443" s="9" t="s">
        <v>603</v>
      </c>
      <c r="D443" s="9" t="s">
        <v>0</v>
      </c>
      <c r="E443" s="80"/>
      <c r="F443" s="81"/>
      <c r="G443" s="83">
        <f>ROUND(SUM(G444:G446),5)</f>
        <v>305039.5</v>
      </c>
    </row>
    <row r="444" spans="1:7" ht="15">
      <c r="A444" s="8" t="s">
        <v>0</v>
      </c>
      <c r="B444" s="9" t="s">
        <v>0</v>
      </c>
      <c r="C444" s="9" t="s">
        <v>195</v>
      </c>
      <c r="D444" s="9" t="s">
        <v>8</v>
      </c>
      <c r="E444" s="80">
        <f>1</f>
        <v>1</v>
      </c>
      <c r="F444" s="81">
        <f>'Gia NC,CM'!P15</f>
        <v>305039.5</v>
      </c>
      <c r="G444" s="82">
        <f>ROUND(E444*F444,5)</f>
        <v>305039.5</v>
      </c>
    </row>
    <row r="445" spans="1:7" ht="15">
      <c r="A445" s="8" t="s">
        <v>0</v>
      </c>
      <c r="B445" s="9" t="s">
        <v>0</v>
      </c>
      <c r="C445" s="9" t="s">
        <v>0</v>
      </c>
      <c r="D445" s="9" t="s">
        <v>0</v>
      </c>
      <c r="E445" s="80"/>
      <c r="F445" s="81"/>
      <c r="G445" s="82"/>
    </row>
    <row r="446" spans="1:7" ht="15">
      <c r="A446" s="8" t="s">
        <v>178</v>
      </c>
      <c r="B446" s="9" t="s">
        <v>197</v>
      </c>
      <c r="C446" s="9" t="s">
        <v>198</v>
      </c>
      <c r="D446" s="9" t="s">
        <v>199</v>
      </c>
      <c r="E446" s="80"/>
      <c r="F446" s="81"/>
      <c r="G446" s="82"/>
    </row>
    <row r="447" spans="1:7" ht="15.75">
      <c r="A447" s="8" t="s">
        <v>0</v>
      </c>
      <c r="B447" s="9" t="s">
        <v>0</v>
      </c>
      <c r="C447" s="9" t="s">
        <v>604</v>
      </c>
      <c r="D447" s="9" t="s">
        <v>0</v>
      </c>
      <c r="E447" s="80"/>
      <c r="F447" s="81"/>
      <c r="G447" s="83">
        <f>ROUND(SUM(G448:G450),5)</f>
        <v>1863636.36</v>
      </c>
    </row>
    <row r="448" spans="1:7" ht="15">
      <c r="A448" s="8" t="s">
        <v>0</v>
      </c>
      <c r="B448" s="9" t="s">
        <v>0</v>
      </c>
      <c r="C448" s="9" t="s">
        <v>200</v>
      </c>
      <c r="D448" s="9" t="s">
        <v>199</v>
      </c>
      <c r="E448" s="80">
        <f>1</f>
        <v>1</v>
      </c>
      <c r="F448" s="81">
        <f>'Gia VL'!Q44</f>
        <v>1863636.36</v>
      </c>
      <c r="G448" s="82">
        <f>ROUND(E448*F448,5)</f>
        <v>1863636.36</v>
      </c>
    </row>
    <row r="449" spans="1:7" ht="15">
      <c r="A449" s="8" t="s">
        <v>0</v>
      </c>
      <c r="B449" s="9" t="s">
        <v>0</v>
      </c>
      <c r="C449" s="9" t="s">
        <v>0</v>
      </c>
      <c r="D449" s="9" t="s">
        <v>0</v>
      </c>
      <c r="E449" s="80"/>
      <c r="F449" s="81"/>
      <c r="G449" s="82"/>
    </row>
    <row r="450" spans="1:7" ht="15">
      <c r="A450" s="8" t="s">
        <v>182</v>
      </c>
      <c r="B450" s="9" t="s">
        <v>202</v>
      </c>
      <c r="C450" s="9" t="s">
        <v>203</v>
      </c>
      <c r="D450" s="9" t="s">
        <v>204</v>
      </c>
      <c r="E450" s="80"/>
      <c r="F450" s="81"/>
      <c r="G450" s="82"/>
    </row>
    <row r="451" spans="1:7" ht="15.75">
      <c r="A451" s="8" t="s">
        <v>0</v>
      </c>
      <c r="B451" s="9" t="s">
        <v>0</v>
      </c>
      <c r="C451" s="9" t="s">
        <v>604</v>
      </c>
      <c r="D451" s="9" t="s">
        <v>0</v>
      </c>
      <c r="E451" s="80"/>
      <c r="F451" s="81"/>
      <c r="G451" s="83">
        <f>ROUND(SUM(G452:G454),5)</f>
        <v>863636.36</v>
      </c>
    </row>
    <row r="452" spans="1:7" ht="15">
      <c r="A452" s="8" t="s">
        <v>0</v>
      </c>
      <c r="B452" s="9" t="s">
        <v>0</v>
      </c>
      <c r="C452" s="9" t="s">
        <v>205</v>
      </c>
      <c r="D452" s="9" t="s">
        <v>204</v>
      </c>
      <c r="E452" s="80">
        <f>1</f>
        <v>1</v>
      </c>
      <c r="F452" s="81">
        <f>'Gia VL'!Q45</f>
        <v>863636.36</v>
      </c>
      <c r="G452" s="82">
        <f>ROUND(E452*F452,5)</f>
        <v>863636.36</v>
      </c>
    </row>
    <row r="453" spans="1:7" ht="15">
      <c r="A453" s="8" t="s">
        <v>0</v>
      </c>
      <c r="B453" s="9" t="s">
        <v>0</v>
      </c>
      <c r="C453" s="9" t="s">
        <v>0</v>
      </c>
      <c r="D453" s="9" t="s">
        <v>0</v>
      </c>
      <c r="E453" s="80"/>
      <c r="F453" s="81"/>
      <c r="G453" s="82"/>
    </row>
    <row r="454" spans="1:7" ht="15">
      <c r="A454" s="8" t="s">
        <v>186</v>
      </c>
      <c r="B454" s="9" t="s">
        <v>207</v>
      </c>
      <c r="C454" s="9" t="s">
        <v>208</v>
      </c>
      <c r="D454" s="9" t="s">
        <v>204</v>
      </c>
      <c r="E454" s="80"/>
      <c r="F454" s="81"/>
      <c r="G454" s="82"/>
    </row>
    <row r="455" spans="1:7" ht="15.75">
      <c r="A455" s="8" t="s">
        <v>0</v>
      </c>
      <c r="B455" s="9" t="s">
        <v>0</v>
      </c>
      <c r="C455" s="9" t="s">
        <v>604</v>
      </c>
      <c r="D455" s="9" t="s">
        <v>0</v>
      </c>
      <c r="E455" s="80"/>
      <c r="F455" s="81"/>
      <c r="G455" s="83">
        <f>ROUND(SUM(G456:G459),5)</f>
        <v>181818.2</v>
      </c>
    </row>
    <row r="456" spans="1:7" ht="15">
      <c r="A456" s="8" t="s">
        <v>0</v>
      </c>
      <c r="B456" s="9" t="s">
        <v>0</v>
      </c>
      <c r="C456" s="9" t="s">
        <v>209</v>
      </c>
      <c r="D456" s="9" t="s">
        <v>204</v>
      </c>
      <c r="E456" s="80">
        <f>1</f>
        <v>1</v>
      </c>
      <c r="F456" s="81">
        <f>'Gia VL'!Q86</f>
        <v>181818.2</v>
      </c>
      <c r="G456" s="82">
        <f>ROUND(E456*F456,5)</f>
        <v>181818.2</v>
      </c>
    </row>
    <row r="457" spans="1:7" ht="15">
      <c r="A457" s="8" t="s">
        <v>0</v>
      </c>
      <c r="B457" s="9" t="s">
        <v>0</v>
      </c>
      <c r="C457" s="9" t="s">
        <v>0</v>
      </c>
      <c r="D457" s="9" t="s">
        <v>0</v>
      </c>
      <c r="E457" s="80"/>
      <c r="F457" s="81"/>
      <c r="G457" s="82"/>
    </row>
    <row r="458" spans="1:7" ht="15">
      <c r="A458" s="8" t="s">
        <v>188</v>
      </c>
      <c r="B458" s="9" t="s">
        <v>211</v>
      </c>
      <c r="C458" s="9" t="s">
        <v>212</v>
      </c>
      <c r="D458" s="9" t="s">
        <v>213</v>
      </c>
      <c r="E458" s="80"/>
      <c r="F458" s="81"/>
      <c r="G458" s="82"/>
    </row>
    <row r="459" spans="1:7" ht="15">
      <c r="A459" s="8" t="s">
        <v>0</v>
      </c>
      <c r="B459" s="9" t="s">
        <v>0</v>
      </c>
      <c r="C459" s="9" t="s">
        <v>214</v>
      </c>
      <c r="D459" s="9" t="s">
        <v>0</v>
      </c>
      <c r="E459" s="80"/>
      <c r="F459" s="81"/>
      <c r="G459" s="82"/>
    </row>
    <row r="460" spans="1:7" ht="15.75">
      <c r="A460" s="8" t="s">
        <v>0</v>
      </c>
      <c r="B460" s="9" t="s">
        <v>0</v>
      </c>
      <c r="C460" s="9" t="s">
        <v>604</v>
      </c>
      <c r="D460" s="9" t="s">
        <v>0</v>
      </c>
      <c r="E460" s="80"/>
      <c r="F460" s="81"/>
      <c r="G460" s="83">
        <f>ROUND(SUM(G461:G463),5)</f>
        <v>34715.45033</v>
      </c>
    </row>
    <row r="461" spans="1:7" ht="15">
      <c r="A461" s="8" t="s">
        <v>0</v>
      </c>
      <c r="B461" s="9" t="s">
        <v>0</v>
      </c>
      <c r="C461" s="9" t="s">
        <v>215</v>
      </c>
      <c r="D461" s="9" t="s">
        <v>216</v>
      </c>
      <c r="E461" s="80">
        <f>0.155</f>
        <v>0.155</v>
      </c>
      <c r="F461" s="81">
        <f>'Gia VL'!Q53</f>
        <v>95960</v>
      </c>
      <c r="G461" s="82">
        <f>ROUND(E461*F461,5)</f>
        <v>14873.8</v>
      </c>
    </row>
    <row r="462" spans="1:7" ht="15">
      <c r="A462" s="8" t="s">
        <v>0</v>
      </c>
      <c r="B462" s="9" t="s">
        <v>0</v>
      </c>
      <c r="C462" s="9" t="s">
        <v>217</v>
      </c>
      <c r="D462" s="9" t="s">
        <v>216</v>
      </c>
      <c r="E462" s="80">
        <f>0.247</f>
        <v>0.247</v>
      </c>
      <c r="F462" s="81">
        <f>'Gia VL'!Q55</f>
        <v>78939</v>
      </c>
      <c r="G462" s="82">
        <f>ROUND(E462*F462,5)</f>
        <v>19497.933</v>
      </c>
    </row>
    <row r="463" spans="1:7" ht="15">
      <c r="A463" s="8" t="s">
        <v>0</v>
      </c>
      <c r="B463" s="9" t="s">
        <v>0</v>
      </c>
      <c r="C463" s="9" t="s">
        <v>609</v>
      </c>
      <c r="D463" s="9" t="s">
        <v>605</v>
      </c>
      <c r="E463" s="80">
        <f>1</f>
        <v>1</v>
      </c>
      <c r="F463" s="81"/>
      <c r="G463" s="82">
        <f>ROUND(SUM(G461:G462)*E463/100,5)</f>
        <v>343.71733</v>
      </c>
    </row>
    <row r="464" spans="1:7" ht="15.75">
      <c r="A464" s="8" t="s">
        <v>0</v>
      </c>
      <c r="B464" s="9" t="s">
        <v>0</v>
      </c>
      <c r="C464" s="9" t="s">
        <v>603</v>
      </c>
      <c r="D464" s="9" t="s">
        <v>0</v>
      </c>
      <c r="E464" s="80"/>
      <c r="F464" s="81"/>
      <c r="G464" s="83">
        <f>ROUND(SUM(G465:G468),5)</f>
        <v>16645.2</v>
      </c>
    </row>
    <row r="465" spans="1:7" ht="15">
      <c r="A465" s="8" t="s">
        <v>0</v>
      </c>
      <c r="B465" s="9" t="s">
        <v>0</v>
      </c>
      <c r="C465" s="9" t="s">
        <v>44</v>
      </c>
      <c r="D465" s="9" t="s">
        <v>8</v>
      </c>
      <c r="E465" s="80">
        <f>0.066</f>
        <v>0.066</v>
      </c>
      <c r="F465" s="81">
        <f>'Gia NC,CM'!P11</f>
        <v>252200</v>
      </c>
      <c r="G465" s="82">
        <f>ROUND(E465*F465,5)</f>
        <v>16645.2</v>
      </c>
    </row>
    <row r="466" spans="1:7" ht="15">
      <c r="A466" s="8" t="s">
        <v>0</v>
      </c>
      <c r="B466" s="9" t="s">
        <v>0</v>
      </c>
      <c r="C466" s="9" t="s">
        <v>0</v>
      </c>
      <c r="D466" s="9" t="s">
        <v>0</v>
      </c>
      <c r="E466" s="80"/>
      <c r="F466" s="81"/>
      <c r="G466" s="82"/>
    </row>
    <row r="467" spans="1:7" ht="15">
      <c r="A467" s="8" t="s">
        <v>196</v>
      </c>
      <c r="B467" s="9" t="s">
        <v>219</v>
      </c>
      <c r="C467" s="9" t="s">
        <v>220</v>
      </c>
      <c r="D467" s="9" t="s">
        <v>213</v>
      </c>
      <c r="E467" s="80"/>
      <c r="F467" s="81"/>
      <c r="G467" s="82"/>
    </row>
    <row r="468" spans="1:7" ht="15">
      <c r="A468" s="8" t="s">
        <v>0</v>
      </c>
      <c r="B468" s="9" t="s">
        <v>0</v>
      </c>
      <c r="C468" s="9" t="s">
        <v>214</v>
      </c>
      <c r="D468" s="9" t="s">
        <v>0</v>
      </c>
      <c r="E468" s="80"/>
      <c r="F468" s="81"/>
      <c r="G468" s="82"/>
    </row>
    <row r="469" spans="1:7" ht="15.75">
      <c r="A469" s="8" t="s">
        <v>0</v>
      </c>
      <c r="B469" s="9" t="s">
        <v>0</v>
      </c>
      <c r="C469" s="9" t="s">
        <v>604</v>
      </c>
      <c r="D469" s="9" t="s">
        <v>0</v>
      </c>
      <c r="E469" s="80"/>
      <c r="F469" s="81"/>
      <c r="G469" s="83">
        <f>ROUND(SUM(G470:G472),5)</f>
        <v>45663.45744</v>
      </c>
    </row>
    <row r="470" spans="1:7" ht="15">
      <c r="A470" s="8" t="s">
        <v>0</v>
      </c>
      <c r="B470" s="9" t="s">
        <v>0</v>
      </c>
      <c r="C470" s="9" t="s">
        <v>221</v>
      </c>
      <c r="D470" s="9" t="s">
        <v>216</v>
      </c>
      <c r="E470" s="80">
        <f>0.15</f>
        <v>0.15</v>
      </c>
      <c r="F470" s="81">
        <f>'Gia VL'!Q52</f>
        <v>149394</v>
      </c>
      <c r="G470" s="82">
        <f>ROUND(E470*F470,5)</f>
        <v>22409.1</v>
      </c>
    </row>
    <row r="471" spans="1:7" ht="15">
      <c r="A471" s="8" t="s">
        <v>0</v>
      </c>
      <c r="B471" s="9" t="s">
        <v>0</v>
      </c>
      <c r="C471" s="9" t="s">
        <v>222</v>
      </c>
      <c r="D471" s="9" t="s">
        <v>216</v>
      </c>
      <c r="E471" s="80">
        <f>0.237</f>
        <v>0.237</v>
      </c>
      <c r="F471" s="81">
        <f>'Gia VL'!Q54</f>
        <v>96212</v>
      </c>
      <c r="G471" s="82">
        <f>ROUND(E471*F471,5)</f>
        <v>22802.244</v>
      </c>
    </row>
    <row r="472" spans="1:7" ht="15">
      <c r="A472" s="8" t="s">
        <v>0</v>
      </c>
      <c r="B472" s="9" t="s">
        <v>0</v>
      </c>
      <c r="C472" s="9" t="s">
        <v>609</v>
      </c>
      <c r="D472" s="9" t="s">
        <v>605</v>
      </c>
      <c r="E472" s="80">
        <f>1</f>
        <v>1</v>
      </c>
      <c r="F472" s="81"/>
      <c r="G472" s="82">
        <f>ROUND(SUM(G470:G471)*E472/100,5)</f>
        <v>452.11344</v>
      </c>
    </row>
    <row r="473" spans="1:7" ht="15.75">
      <c r="A473" s="8" t="s">
        <v>0</v>
      </c>
      <c r="B473" s="9" t="s">
        <v>0</v>
      </c>
      <c r="C473" s="9" t="s">
        <v>603</v>
      </c>
      <c r="D473" s="9" t="s">
        <v>0</v>
      </c>
      <c r="E473" s="80"/>
      <c r="F473" s="81"/>
      <c r="G473" s="83">
        <f>ROUND(SUM(G474:G477),5)</f>
        <v>18410.6</v>
      </c>
    </row>
    <row r="474" spans="1:7" ht="15">
      <c r="A474" s="8" t="s">
        <v>0</v>
      </c>
      <c r="B474" s="9" t="s">
        <v>0</v>
      </c>
      <c r="C474" s="9" t="s">
        <v>44</v>
      </c>
      <c r="D474" s="9" t="s">
        <v>8</v>
      </c>
      <c r="E474" s="80">
        <f>0.073</f>
        <v>0.073</v>
      </c>
      <c r="F474" s="81">
        <f>'Gia NC,CM'!P11</f>
        <v>252200</v>
      </c>
      <c r="G474" s="82">
        <f>ROUND(E474*F474,5)</f>
        <v>18410.6</v>
      </c>
    </row>
    <row r="475" spans="1:7" ht="15">
      <c r="A475" s="8" t="s">
        <v>0</v>
      </c>
      <c r="B475" s="9" t="s">
        <v>0</v>
      </c>
      <c r="C475" s="9" t="s">
        <v>0</v>
      </c>
      <c r="D475" s="9" t="s">
        <v>0</v>
      </c>
      <c r="E475" s="80"/>
      <c r="F475" s="81"/>
      <c r="G475" s="82"/>
    </row>
    <row r="476" spans="1:7" ht="15">
      <c r="A476" s="8" t="s">
        <v>201</v>
      </c>
      <c r="B476" s="9" t="s">
        <v>224</v>
      </c>
      <c r="C476" s="9" t="s">
        <v>225</v>
      </c>
      <c r="D476" s="9" t="s">
        <v>38</v>
      </c>
      <c r="E476" s="80"/>
      <c r="F476" s="81"/>
      <c r="G476" s="82"/>
    </row>
    <row r="477" spans="1:7" ht="15">
      <c r="A477" s="8" t="s">
        <v>0</v>
      </c>
      <c r="B477" s="9" t="s">
        <v>0</v>
      </c>
      <c r="C477" s="9" t="s">
        <v>226</v>
      </c>
      <c r="D477" s="9" t="s">
        <v>0</v>
      </c>
      <c r="E477" s="80"/>
      <c r="F477" s="81"/>
      <c r="G477" s="82"/>
    </row>
    <row r="478" spans="1:7" ht="15.75">
      <c r="A478" s="8" t="s">
        <v>0</v>
      </c>
      <c r="B478" s="9" t="s">
        <v>0</v>
      </c>
      <c r="C478" s="9" t="s">
        <v>604</v>
      </c>
      <c r="D478" s="9" t="s">
        <v>0</v>
      </c>
      <c r="E478" s="80"/>
      <c r="F478" s="81"/>
      <c r="G478" s="83">
        <f>ROUND(SUM(G479:G483),5)</f>
        <v>4661.48038</v>
      </c>
    </row>
    <row r="479" spans="1:7" ht="15">
      <c r="A479" s="8" t="s">
        <v>0</v>
      </c>
      <c r="B479" s="9" t="s">
        <v>0</v>
      </c>
      <c r="C479" s="9" t="s">
        <v>40</v>
      </c>
      <c r="D479" s="9" t="s">
        <v>22</v>
      </c>
      <c r="E479" s="80">
        <f>0.00035</f>
        <v>0.00035</v>
      </c>
      <c r="F479" s="81">
        <f>'Gia VL'!Q36</f>
        <v>4110579.4</v>
      </c>
      <c r="G479" s="82">
        <f>ROUND(E479*F479,5)</f>
        <v>1438.70279</v>
      </c>
    </row>
    <row r="480" spans="1:7" ht="15">
      <c r="A480" s="8" t="s">
        <v>0</v>
      </c>
      <c r="B480" s="9" t="s">
        <v>0</v>
      </c>
      <c r="C480" s="9" t="s">
        <v>227</v>
      </c>
      <c r="D480" s="9" t="s">
        <v>20</v>
      </c>
      <c r="E480" s="80">
        <f>0.095</f>
        <v>0.095</v>
      </c>
      <c r="F480" s="81">
        <f>ROUND('Gia VL'!Q25/1000,5)</f>
        <v>20454.5455</v>
      </c>
      <c r="G480" s="82">
        <f>ROUND(E480*F480,5)</f>
        <v>1943.18182</v>
      </c>
    </row>
    <row r="481" spans="1:7" ht="15">
      <c r="A481" s="8" t="s">
        <v>0</v>
      </c>
      <c r="B481" s="9" t="s">
        <v>0</v>
      </c>
      <c r="C481" s="9" t="s">
        <v>81</v>
      </c>
      <c r="D481" s="9" t="s">
        <v>20</v>
      </c>
      <c r="E481" s="80">
        <f>0.015</f>
        <v>0.015</v>
      </c>
      <c r="F481" s="81">
        <f>ROUND('Gia VL'!Q61/1000,5)</f>
        <v>16145.8974</v>
      </c>
      <c r="G481" s="82">
        <f>ROUND(E481*F481,5)</f>
        <v>242.18846</v>
      </c>
    </row>
    <row r="482" spans="1:7" ht="15">
      <c r="A482" s="8" t="s">
        <v>0</v>
      </c>
      <c r="B482" s="9" t="s">
        <v>0</v>
      </c>
      <c r="C482" s="9" t="s">
        <v>228</v>
      </c>
      <c r="D482" s="9" t="s">
        <v>20</v>
      </c>
      <c r="E482" s="80">
        <f>0.03</f>
        <v>0.03</v>
      </c>
      <c r="F482" s="81">
        <f>ROUND('Gia VL'!Q58/1000,5)</f>
        <v>20454.5455</v>
      </c>
      <c r="G482" s="82">
        <f>ROUND(E482*F482,5)</f>
        <v>613.63637</v>
      </c>
    </row>
    <row r="483" spans="1:7" ht="15">
      <c r="A483" s="8" t="s">
        <v>0</v>
      </c>
      <c r="B483" s="9" t="s">
        <v>0</v>
      </c>
      <c r="C483" s="9" t="s">
        <v>609</v>
      </c>
      <c r="D483" s="9" t="s">
        <v>605</v>
      </c>
      <c r="E483" s="80">
        <f>10</f>
        <v>10</v>
      </c>
      <c r="F483" s="81"/>
      <c r="G483" s="82">
        <f>ROUND(SUM(G479:G482)*E483/100,5)</f>
        <v>423.77094</v>
      </c>
    </row>
    <row r="484" spans="1:7" ht="15.75">
      <c r="A484" s="8" t="s">
        <v>0</v>
      </c>
      <c r="B484" s="9" t="s">
        <v>0</v>
      </c>
      <c r="C484" s="9" t="s">
        <v>603</v>
      </c>
      <c r="D484" s="9" t="s">
        <v>0</v>
      </c>
      <c r="E484" s="80"/>
      <c r="F484" s="81"/>
      <c r="G484" s="83">
        <f>ROUND(SUM(G485:G487),5)</f>
        <v>13871</v>
      </c>
    </row>
    <row r="485" spans="1:7" ht="15">
      <c r="A485" s="8" t="s">
        <v>0</v>
      </c>
      <c r="B485" s="9" t="s">
        <v>0</v>
      </c>
      <c r="C485" s="9" t="s">
        <v>44</v>
      </c>
      <c r="D485" s="9" t="s">
        <v>8</v>
      </c>
      <c r="E485" s="80">
        <f>0.055</f>
        <v>0.055</v>
      </c>
      <c r="F485" s="81">
        <f>'Gia NC,CM'!P11</f>
        <v>252200</v>
      </c>
      <c r="G485" s="82">
        <f>ROUND(E485*F485,5)</f>
        <v>13871</v>
      </c>
    </row>
    <row r="486" spans="1:7" ht="15">
      <c r="A486" s="8" t="s">
        <v>0</v>
      </c>
      <c r="B486" s="9" t="s">
        <v>0</v>
      </c>
      <c r="C486" s="9" t="s">
        <v>0</v>
      </c>
      <c r="D486" s="9" t="s">
        <v>0</v>
      </c>
      <c r="E486" s="80"/>
      <c r="F486" s="81"/>
      <c r="G486" s="82"/>
    </row>
    <row r="487" spans="1:7" ht="15">
      <c r="A487" s="8" t="s">
        <v>206</v>
      </c>
      <c r="B487" s="9" t="s">
        <v>230</v>
      </c>
      <c r="C487" s="9" t="s">
        <v>231</v>
      </c>
      <c r="D487" s="9" t="s">
        <v>5</v>
      </c>
      <c r="E487" s="80"/>
      <c r="F487" s="81"/>
      <c r="G487" s="82"/>
    </row>
    <row r="488" spans="1:7" ht="15.75">
      <c r="A488" s="8" t="s">
        <v>0</v>
      </c>
      <c r="B488" s="9" t="s">
        <v>0</v>
      </c>
      <c r="C488" s="9" t="s">
        <v>604</v>
      </c>
      <c r="D488" s="9" t="s">
        <v>0</v>
      </c>
      <c r="E488" s="80"/>
      <c r="F488" s="81"/>
      <c r="G488" s="83">
        <f>ROUND(SUM(G489:G490),5)</f>
        <v>32095859.54232</v>
      </c>
    </row>
    <row r="489" spans="1:7" ht="15">
      <c r="A489" s="8" t="s">
        <v>0</v>
      </c>
      <c r="B489" s="9" t="s">
        <v>0</v>
      </c>
      <c r="C489" s="9" t="s">
        <v>232</v>
      </c>
      <c r="D489" s="9" t="s">
        <v>22</v>
      </c>
      <c r="E489" s="80">
        <f>1.12</f>
        <v>1.12</v>
      </c>
      <c r="F489" s="81">
        <f>'Gia VL'!Q38</f>
        <v>27292397.57</v>
      </c>
      <c r="G489" s="82">
        <f>ROUND(E489*F489,5)</f>
        <v>30567485.2784</v>
      </c>
    </row>
    <row r="490" spans="1:7" ht="15">
      <c r="A490" s="8" t="s">
        <v>0</v>
      </c>
      <c r="B490" s="9" t="s">
        <v>0</v>
      </c>
      <c r="C490" s="9" t="s">
        <v>609</v>
      </c>
      <c r="D490" s="9" t="s">
        <v>605</v>
      </c>
      <c r="E490" s="80">
        <f>5</f>
        <v>5</v>
      </c>
      <c r="F490" s="81"/>
      <c r="G490" s="82">
        <f>ROUND(SUM(G489:G489)*E490/100,5)</f>
        <v>1528374.26392</v>
      </c>
    </row>
    <row r="491" spans="1:7" ht="15.75">
      <c r="A491" s="8" t="s">
        <v>0</v>
      </c>
      <c r="B491" s="9" t="s">
        <v>0</v>
      </c>
      <c r="C491" s="9" t="s">
        <v>603</v>
      </c>
      <c r="D491" s="9" t="s">
        <v>0</v>
      </c>
      <c r="E491" s="80"/>
      <c r="F491" s="81"/>
      <c r="G491" s="83">
        <f>ROUND(SUM(G492:G494),5)</f>
        <v>2045342</v>
      </c>
    </row>
    <row r="492" spans="1:7" ht="15">
      <c r="A492" s="8" t="s">
        <v>0</v>
      </c>
      <c r="B492" s="9" t="s">
        <v>0</v>
      </c>
      <c r="C492" s="9" t="s">
        <v>44</v>
      </c>
      <c r="D492" s="9" t="s">
        <v>8</v>
      </c>
      <c r="E492" s="80">
        <f>8.11</f>
        <v>8.11</v>
      </c>
      <c r="F492" s="81">
        <f>'Gia NC,CM'!P11</f>
        <v>252200</v>
      </c>
      <c r="G492" s="82">
        <f>ROUND(E492*F492,5)</f>
        <v>2045342</v>
      </c>
    </row>
    <row r="493" spans="1:7" ht="15">
      <c r="A493" s="8" t="s">
        <v>0</v>
      </c>
      <c r="B493" s="9" t="s">
        <v>0</v>
      </c>
      <c r="C493" s="9" t="s">
        <v>0</v>
      </c>
      <c r="D493" s="9" t="s">
        <v>0</v>
      </c>
      <c r="E493" s="80"/>
      <c r="F493" s="81"/>
      <c r="G493" s="82"/>
    </row>
    <row r="494" spans="1:7" ht="15">
      <c r="A494" s="8" t="s">
        <v>210</v>
      </c>
      <c r="B494" s="9" t="s">
        <v>234</v>
      </c>
      <c r="C494" s="9" t="s">
        <v>235</v>
      </c>
      <c r="D494" s="9" t="s">
        <v>38</v>
      </c>
      <c r="E494" s="80"/>
      <c r="F494" s="81"/>
      <c r="G494" s="82"/>
    </row>
    <row r="495" spans="1:7" ht="15.75">
      <c r="A495" s="8" t="s">
        <v>0</v>
      </c>
      <c r="B495" s="9" t="s">
        <v>0</v>
      </c>
      <c r="C495" s="9" t="s">
        <v>603</v>
      </c>
      <c r="D495" s="9" t="s">
        <v>0</v>
      </c>
      <c r="E495" s="80"/>
      <c r="F495" s="81"/>
      <c r="G495" s="83">
        <f>ROUND(SUM(G496:G498),5)</f>
        <v>4721284.05</v>
      </c>
    </row>
    <row r="496" spans="1:7" ht="15">
      <c r="A496" s="8" t="s">
        <v>0</v>
      </c>
      <c r="B496" s="9" t="s">
        <v>0</v>
      </c>
      <c r="C496" s="9" t="s">
        <v>236</v>
      </c>
      <c r="D496" s="9" t="s">
        <v>8</v>
      </c>
      <c r="E496" s="80">
        <f>10.5</f>
        <v>10.5</v>
      </c>
      <c r="F496" s="81">
        <f>'Gia NC,CM'!P17</f>
        <v>449646.1</v>
      </c>
      <c r="G496" s="82">
        <f>ROUND(E496*F496,5)</f>
        <v>4721284.05</v>
      </c>
    </row>
    <row r="497" spans="1:7" ht="15">
      <c r="A497" s="8" t="s">
        <v>0</v>
      </c>
      <c r="B497" s="9" t="s">
        <v>0</v>
      </c>
      <c r="C497" s="9" t="s">
        <v>0</v>
      </c>
      <c r="D497" s="9" t="s">
        <v>0</v>
      </c>
      <c r="E497" s="80"/>
      <c r="F497" s="81"/>
      <c r="G497" s="82"/>
    </row>
    <row r="498" spans="1:7" ht="15">
      <c r="A498" s="8" t="s">
        <v>218</v>
      </c>
      <c r="B498" s="9" t="s">
        <v>238</v>
      </c>
      <c r="C498" s="9" t="s">
        <v>239</v>
      </c>
      <c r="D498" s="9" t="s">
        <v>97</v>
      </c>
      <c r="E498" s="80"/>
      <c r="F498" s="81"/>
      <c r="G498" s="82"/>
    </row>
    <row r="499" spans="1:7" ht="15.75">
      <c r="A499" s="8" t="s">
        <v>0</v>
      </c>
      <c r="B499" s="9" t="s">
        <v>0</v>
      </c>
      <c r="C499" s="9" t="s">
        <v>604</v>
      </c>
      <c r="D499" s="9" t="s">
        <v>0</v>
      </c>
      <c r="E499" s="80"/>
      <c r="F499" s="81"/>
      <c r="G499" s="83">
        <f>ROUND(SUM(G500:G502),5)</f>
        <v>227272.7</v>
      </c>
    </row>
    <row r="500" spans="1:7" ht="15">
      <c r="A500" s="8" t="s">
        <v>0</v>
      </c>
      <c r="B500" s="9" t="s">
        <v>0</v>
      </c>
      <c r="C500" s="9" t="s">
        <v>240</v>
      </c>
      <c r="D500" s="9" t="s">
        <v>97</v>
      </c>
      <c r="E500" s="80">
        <f>1</f>
        <v>1</v>
      </c>
      <c r="F500" s="81">
        <f>'Gia VL'!Q85</f>
        <v>227272.7</v>
      </c>
      <c r="G500" s="82">
        <f>ROUND(E500*F500,5)</f>
        <v>227272.7</v>
      </c>
    </row>
    <row r="501" spans="1:7" ht="15">
      <c r="A501" s="8" t="s">
        <v>0</v>
      </c>
      <c r="B501" s="9" t="s">
        <v>0</v>
      </c>
      <c r="C501" s="9" t="s">
        <v>0</v>
      </c>
      <c r="D501" s="9" t="s">
        <v>0</v>
      </c>
      <c r="E501" s="80"/>
      <c r="F501" s="81"/>
      <c r="G501" s="82"/>
    </row>
    <row r="502" spans="1:7" ht="15">
      <c r="A502" s="8" t="s">
        <v>223</v>
      </c>
      <c r="B502" s="9" t="s">
        <v>242</v>
      </c>
      <c r="C502" s="9" t="s">
        <v>243</v>
      </c>
      <c r="D502" s="9" t="s">
        <v>244</v>
      </c>
      <c r="E502" s="80"/>
      <c r="F502" s="81"/>
      <c r="G502" s="82"/>
    </row>
    <row r="503" spans="1:7" ht="15.75">
      <c r="A503" s="8" t="s">
        <v>0</v>
      </c>
      <c r="B503" s="9" t="s">
        <v>0</v>
      </c>
      <c r="C503" s="9" t="s">
        <v>610</v>
      </c>
      <c r="D503" s="9" t="s">
        <v>0</v>
      </c>
      <c r="E503" s="80"/>
      <c r="F503" s="81"/>
      <c r="G503" s="83">
        <f>ROUND(SUM(G504:G505),5)</f>
        <v>138409.054</v>
      </c>
    </row>
    <row r="504" spans="1:7" ht="15">
      <c r="A504" s="8" t="s">
        <v>0</v>
      </c>
      <c r="B504" s="9" t="s">
        <v>0</v>
      </c>
      <c r="C504" s="9" t="s">
        <v>245</v>
      </c>
      <c r="D504" s="9" t="s">
        <v>246</v>
      </c>
      <c r="E504" s="80">
        <f>1</f>
        <v>1</v>
      </c>
      <c r="F504" s="81">
        <f>'Gia VL'!Q88</f>
        <v>136363.6</v>
      </c>
      <c r="G504" s="82">
        <f>ROUND(E504*F504,5)</f>
        <v>136363.6</v>
      </c>
    </row>
    <row r="505" spans="1:7" ht="15">
      <c r="A505" s="8" t="s">
        <v>0</v>
      </c>
      <c r="B505" s="9" t="s">
        <v>0</v>
      </c>
      <c r="C505" s="9" t="s">
        <v>609</v>
      </c>
      <c r="D505" s="9" t="s">
        <v>605</v>
      </c>
      <c r="E505" s="80">
        <f>1.5</f>
        <v>1.5</v>
      </c>
      <c r="F505" s="81"/>
      <c r="G505" s="82">
        <f>ROUND(SUM(G504:G504)*E505/100,5)</f>
        <v>2045.454</v>
      </c>
    </row>
    <row r="506" spans="1:7" ht="15.75">
      <c r="A506" s="8" t="s">
        <v>0</v>
      </c>
      <c r="B506" s="9" t="s">
        <v>0</v>
      </c>
      <c r="C506" s="9" t="s">
        <v>608</v>
      </c>
      <c r="D506" s="9" t="s">
        <v>0</v>
      </c>
      <c r="E506" s="80"/>
      <c r="F506" s="81"/>
      <c r="G506" s="83">
        <f>ROUND(SUM(G507:G509),5)</f>
        <v>37830</v>
      </c>
    </row>
    <row r="507" spans="1:7" ht="15">
      <c r="A507" s="8" t="s">
        <v>0</v>
      </c>
      <c r="B507" s="9" t="s">
        <v>0</v>
      </c>
      <c r="C507" s="9" t="s">
        <v>44</v>
      </c>
      <c r="D507" s="9" t="s">
        <v>8</v>
      </c>
      <c r="E507" s="80">
        <f>0.15</f>
        <v>0.15</v>
      </c>
      <c r="F507" s="81">
        <f>'Gia NC,CM'!P11</f>
        <v>252200</v>
      </c>
      <c r="G507" s="82">
        <f>ROUND(E507*F507,5)</f>
        <v>37830</v>
      </c>
    </row>
    <row r="508" spans="1:7" ht="15">
      <c r="A508" s="8" t="s">
        <v>0</v>
      </c>
      <c r="B508" s="9" t="s">
        <v>0</v>
      </c>
      <c r="C508" s="9" t="s">
        <v>0</v>
      </c>
      <c r="D508" s="9" t="s">
        <v>0</v>
      </c>
      <c r="E508" s="80"/>
      <c r="F508" s="81"/>
      <c r="G508" s="82"/>
    </row>
    <row r="509" spans="1:7" ht="15">
      <c r="A509" s="8" t="s">
        <v>229</v>
      </c>
      <c r="B509" s="9" t="s">
        <v>248</v>
      </c>
      <c r="C509" s="9" t="s">
        <v>249</v>
      </c>
      <c r="D509" s="9" t="s">
        <v>250</v>
      </c>
      <c r="E509" s="80"/>
      <c r="F509" s="81"/>
      <c r="G509" s="82"/>
    </row>
    <row r="510" spans="1:7" ht="15.75">
      <c r="A510" s="8" t="s">
        <v>0</v>
      </c>
      <c r="B510" s="9" t="s">
        <v>0</v>
      </c>
      <c r="C510" s="9" t="s">
        <v>610</v>
      </c>
      <c r="D510" s="9" t="s">
        <v>0</v>
      </c>
      <c r="E510" s="80"/>
      <c r="F510" s="81"/>
      <c r="G510" s="83">
        <f>ROUND(SUM(G511:G512),5)</f>
        <v>19999.35138</v>
      </c>
    </row>
    <row r="511" spans="1:7" ht="15">
      <c r="A511" s="8" t="s">
        <v>0</v>
      </c>
      <c r="B511" s="9" t="s">
        <v>0</v>
      </c>
      <c r="C511" s="9" t="s">
        <v>251</v>
      </c>
      <c r="D511" s="9" t="s">
        <v>252</v>
      </c>
      <c r="E511" s="80">
        <f>1.01</f>
        <v>1.01</v>
      </c>
      <c r="F511" s="81">
        <f>'Gia VL'!Q22</f>
        <v>19224.6</v>
      </c>
      <c r="G511" s="82">
        <f>ROUND(E511*F511,5)</f>
        <v>19416.846</v>
      </c>
    </row>
    <row r="512" spans="1:7" ht="15">
      <c r="A512" s="8" t="s">
        <v>0</v>
      </c>
      <c r="B512" s="9" t="s">
        <v>0</v>
      </c>
      <c r="C512" s="9" t="s">
        <v>609</v>
      </c>
      <c r="D512" s="9" t="s">
        <v>605</v>
      </c>
      <c r="E512" s="80">
        <f>3</f>
        <v>3</v>
      </c>
      <c r="F512" s="81"/>
      <c r="G512" s="82">
        <f>ROUND(SUM(G511:G511)*E512/100,5)</f>
        <v>582.50538</v>
      </c>
    </row>
    <row r="513" spans="1:7" ht="15.75">
      <c r="A513" s="8" t="s">
        <v>0</v>
      </c>
      <c r="B513" s="9" t="s">
        <v>0</v>
      </c>
      <c r="C513" s="9" t="s">
        <v>608</v>
      </c>
      <c r="D513" s="9" t="s">
        <v>0</v>
      </c>
      <c r="E513" s="80"/>
      <c r="F513" s="81"/>
      <c r="G513" s="83">
        <f>ROUND(SUM(G514:G516),5)</f>
        <v>7061.6</v>
      </c>
    </row>
    <row r="514" spans="1:7" ht="15">
      <c r="A514" s="8" t="s">
        <v>0</v>
      </c>
      <c r="B514" s="9" t="s">
        <v>0</v>
      </c>
      <c r="C514" s="9" t="s">
        <v>44</v>
      </c>
      <c r="D514" s="9" t="s">
        <v>8</v>
      </c>
      <c r="E514" s="80">
        <f>0.028</f>
        <v>0.028</v>
      </c>
      <c r="F514" s="81">
        <f>'Gia NC,CM'!P11</f>
        <v>252200</v>
      </c>
      <c r="G514" s="82">
        <f>ROUND(E514*F514,5)</f>
        <v>7061.6</v>
      </c>
    </row>
    <row r="515" spans="1:7" ht="15">
      <c r="A515" s="8" t="s">
        <v>0</v>
      </c>
      <c r="B515" s="9" t="s">
        <v>0</v>
      </c>
      <c r="C515" s="9" t="s">
        <v>0</v>
      </c>
      <c r="D515" s="9" t="s">
        <v>0</v>
      </c>
      <c r="E515" s="80"/>
      <c r="F515" s="81"/>
      <c r="G515" s="82"/>
    </row>
    <row r="516" spans="1:7" ht="15">
      <c r="A516" s="8" t="s">
        <v>233</v>
      </c>
      <c r="B516" s="9" t="s">
        <v>254</v>
      </c>
      <c r="C516" s="9" t="s">
        <v>255</v>
      </c>
      <c r="D516" s="9" t="s">
        <v>250</v>
      </c>
      <c r="E516" s="80"/>
      <c r="F516" s="81"/>
      <c r="G516" s="82"/>
    </row>
    <row r="517" spans="1:7" ht="15.75">
      <c r="A517" s="8" t="s">
        <v>0</v>
      </c>
      <c r="B517" s="9" t="s">
        <v>0</v>
      </c>
      <c r="C517" s="9" t="s">
        <v>610</v>
      </c>
      <c r="D517" s="9" t="s">
        <v>0</v>
      </c>
      <c r="E517" s="80"/>
      <c r="F517" s="81"/>
      <c r="G517" s="83">
        <f>ROUND(SUM(G518:G519),5)</f>
        <v>29315.654</v>
      </c>
    </row>
    <row r="518" spans="1:7" ht="15">
      <c r="A518" s="8" t="s">
        <v>0</v>
      </c>
      <c r="B518" s="9" t="s">
        <v>0</v>
      </c>
      <c r="C518" s="9" t="s">
        <v>256</v>
      </c>
      <c r="D518" s="9" t="s">
        <v>252</v>
      </c>
      <c r="E518" s="80">
        <f>1.01</f>
        <v>1.01</v>
      </c>
      <c r="F518" s="81">
        <f>'Gia VL'!Q23</f>
        <v>28180</v>
      </c>
      <c r="G518" s="82">
        <f>ROUND(E518*F518,5)</f>
        <v>28461.8</v>
      </c>
    </row>
    <row r="519" spans="1:7" ht="15">
      <c r="A519" s="8" t="s">
        <v>0</v>
      </c>
      <c r="B519" s="9" t="s">
        <v>0</v>
      </c>
      <c r="C519" s="9" t="s">
        <v>609</v>
      </c>
      <c r="D519" s="9" t="s">
        <v>605</v>
      </c>
      <c r="E519" s="80">
        <f>3</f>
        <v>3</v>
      </c>
      <c r="F519" s="81"/>
      <c r="G519" s="82">
        <f>ROUND(SUM(G518:G518)*E519/100,5)</f>
        <v>853.854</v>
      </c>
    </row>
    <row r="520" spans="1:7" ht="15.75">
      <c r="A520" s="8" t="s">
        <v>0</v>
      </c>
      <c r="B520" s="9" t="s">
        <v>0</v>
      </c>
      <c r="C520" s="9" t="s">
        <v>608</v>
      </c>
      <c r="D520" s="9" t="s">
        <v>0</v>
      </c>
      <c r="E520" s="80"/>
      <c r="F520" s="81"/>
      <c r="G520" s="83">
        <f>ROUND(SUM(G521:G524),5)</f>
        <v>7061.6</v>
      </c>
    </row>
    <row r="521" spans="1:7" ht="15">
      <c r="A521" s="8" t="s">
        <v>0</v>
      </c>
      <c r="B521" s="9" t="s">
        <v>0</v>
      </c>
      <c r="C521" s="9" t="s">
        <v>44</v>
      </c>
      <c r="D521" s="9" t="s">
        <v>8</v>
      </c>
      <c r="E521" s="80">
        <f>0.028</f>
        <v>0.028</v>
      </c>
      <c r="F521" s="81">
        <f>'Gia NC,CM'!P11</f>
        <v>252200</v>
      </c>
      <c r="G521" s="82">
        <f>ROUND(E521*F521,5)</f>
        <v>7061.6</v>
      </c>
    </row>
    <row r="522" spans="1:7" ht="15">
      <c r="A522" s="8" t="s">
        <v>0</v>
      </c>
      <c r="B522" s="9" t="s">
        <v>0</v>
      </c>
      <c r="C522" s="9" t="s">
        <v>0</v>
      </c>
      <c r="D522" s="9" t="s">
        <v>0</v>
      </c>
      <c r="E522" s="80"/>
      <c r="F522" s="81"/>
      <c r="G522" s="82"/>
    </row>
    <row r="523" spans="1:7" ht="15">
      <c r="A523" s="8" t="s">
        <v>237</v>
      </c>
      <c r="B523" s="9" t="s">
        <v>259</v>
      </c>
      <c r="C523" s="9" t="s">
        <v>260</v>
      </c>
      <c r="D523" s="9" t="s">
        <v>38</v>
      </c>
      <c r="E523" s="80"/>
      <c r="F523" s="81"/>
      <c r="G523" s="82"/>
    </row>
    <row r="524" spans="1:7" ht="15">
      <c r="A524" s="8" t="s">
        <v>0</v>
      </c>
      <c r="B524" s="9" t="s">
        <v>0</v>
      </c>
      <c r="C524" s="9" t="s">
        <v>261</v>
      </c>
      <c r="D524" s="9" t="s">
        <v>0</v>
      </c>
      <c r="E524" s="80"/>
      <c r="F524" s="81"/>
      <c r="G524" s="82"/>
    </row>
    <row r="525" spans="1:7" ht="15.75">
      <c r="A525" s="8" t="s">
        <v>0</v>
      </c>
      <c r="B525" s="9" t="s">
        <v>0</v>
      </c>
      <c r="C525" s="9" t="s">
        <v>604</v>
      </c>
      <c r="D525" s="9" t="s">
        <v>0</v>
      </c>
      <c r="E525" s="80"/>
      <c r="F525" s="81"/>
      <c r="G525" s="83">
        <f>ROUND(SUM(G526:G530),5)</f>
        <v>118886.04895</v>
      </c>
    </row>
    <row r="526" spans="1:7" ht="15">
      <c r="A526" s="8" t="s">
        <v>0</v>
      </c>
      <c r="B526" s="9" t="s">
        <v>0</v>
      </c>
      <c r="C526" s="9" t="s">
        <v>262</v>
      </c>
      <c r="D526" s="9" t="s">
        <v>97</v>
      </c>
      <c r="E526" s="80">
        <f>1.01</f>
        <v>1.01</v>
      </c>
      <c r="F526" s="81">
        <f>'Gia VL'!Q31</f>
        <v>95818.5</v>
      </c>
      <c r="G526" s="82">
        <f>ROUND(E526*F526,5)</f>
        <v>96776.685</v>
      </c>
    </row>
    <row r="527" spans="1:7" ht="15">
      <c r="A527" s="8" t="s">
        <v>0</v>
      </c>
      <c r="B527" s="9" t="s">
        <v>0</v>
      </c>
      <c r="C527" s="9" t="s">
        <v>32</v>
      </c>
      <c r="D527" s="9" t="s">
        <v>20</v>
      </c>
      <c r="E527" s="80">
        <f>6.6</f>
        <v>6.6</v>
      </c>
      <c r="F527" s="81">
        <f>ROUND('Gia VL'!Q69/1000,5)</f>
        <v>1701.3145</v>
      </c>
      <c r="G527" s="82">
        <f>ROUND(E527*F527,5)</f>
        <v>11228.6757</v>
      </c>
    </row>
    <row r="528" spans="1:7" ht="15">
      <c r="A528" s="8" t="s">
        <v>0</v>
      </c>
      <c r="B528" s="9" t="s">
        <v>0</v>
      </c>
      <c r="C528" s="9" t="s">
        <v>61</v>
      </c>
      <c r="D528" s="9" t="s">
        <v>22</v>
      </c>
      <c r="E528" s="80">
        <f>0.02975</f>
        <v>0.02975</v>
      </c>
      <c r="F528" s="81">
        <f>'Gia VL'!Q15</f>
        <v>359127.7</v>
      </c>
      <c r="G528" s="82">
        <f>ROUND(E528*F528,5)</f>
        <v>10684.04908</v>
      </c>
    </row>
    <row r="529" spans="1:7" ht="15">
      <c r="A529" s="8" t="s">
        <v>0</v>
      </c>
      <c r="B529" s="9" t="s">
        <v>0</v>
      </c>
      <c r="C529" s="9" t="s">
        <v>24</v>
      </c>
      <c r="D529" s="9" t="s">
        <v>22</v>
      </c>
      <c r="E529" s="80">
        <f>0.006875</f>
        <v>0.006875</v>
      </c>
      <c r="F529" s="81">
        <f>'Gia VL'!Q47</f>
        <v>9545.45</v>
      </c>
      <c r="G529" s="82">
        <f>ROUND(E529*F529,5)</f>
        <v>65.62497</v>
      </c>
    </row>
    <row r="530" spans="1:7" ht="15">
      <c r="A530" s="8" t="s">
        <v>0</v>
      </c>
      <c r="B530" s="9" t="s">
        <v>0</v>
      </c>
      <c r="C530" s="9" t="s">
        <v>19</v>
      </c>
      <c r="D530" s="9" t="s">
        <v>20</v>
      </c>
      <c r="E530" s="80">
        <f>0.08</f>
        <v>0.08</v>
      </c>
      <c r="F530" s="81">
        <f>ROUND('Gia VL'!Q67/1000,5)</f>
        <v>1637.6775</v>
      </c>
      <c r="G530" s="82">
        <f>ROUND(E530*F530,5)</f>
        <v>131.0142</v>
      </c>
    </row>
    <row r="531" spans="1:7" ht="15.75">
      <c r="A531" s="8" t="s">
        <v>0</v>
      </c>
      <c r="B531" s="9" t="s">
        <v>0</v>
      </c>
      <c r="C531" s="9" t="s">
        <v>603</v>
      </c>
      <c r="D531" s="9" t="s">
        <v>0</v>
      </c>
      <c r="E531" s="80"/>
      <c r="F531" s="81"/>
      <c r="G531" s="83">
        <f>ROUND(SUM(G532:G535),5)</f>
        <v>41065.455</v>
      </c>
    </row>
    <row r="532" spans="1:7" ht="15">
      <c r="A532" s="8" t="s">
        <v>0</v>
      </c>
      <c r="B532" s="9" t="s">
        <v>0</v>
      </c>
      <c r="C532" s="9" t="s">
        <v>99</v>
      </c>
      <c r="D532" s="9" t="s">
        <v>8</v>
      </c>
      <c r="E532" s="80">
        <f>0.15</f>
        <v>0.15</v>
      </c>
      <c r="F532" s="81">
        <f>'Gia NC,CM'!P14</f>
        <v>273769.7</v>
      </c>
      <c r="G532" s="82">
        <f>ROUND(E532*F532,5)</f>
        <v>41065.455</v>
      </c>
    </row>
    <row r="533" spans="1:7" ht="15">
      <c r="A533" s="8" t="s">
        <v>0</v>
      </c>
      <c r="B533" s="9" t="s">
        <v>0</v>
      </c>
      <c r="C533" s="9" t="s">
        <v>0</v>
      </c>
      <c r="D533" s="9" t="s">
        <v>0</v>
      </c>
      <c r="E533" s="80"/>
      <c r="F533" s="81"/>
      <c r="G533" s="82"/>
    </row>
    <row r="534" spans="1:7" ht="15">
      <c r="A534" s="8" t="s">
        <v>241</v>
      </c>
      <c r="B534" s="9" t="s">
        <v>264</v>
      </c>
      <c r="C534" s="9" t="s">
        <v>265</v>
      </c>
      <c r="D534" s="9" t="s">
        <v>5</v>
      </c>
      <c r="E534" s="80"/>
      <c r="F534" s="81"/>
      <c r="G534" s="82"/>
    </row>
    <row r="535" spans="1:7" ht="15">
      <c r="A535" s="8" t="s">
        <v>0</v>
      </c>
      <c r="B535" s="9" t="s">
        <v>0</v>
      </c>
      <c r="C535" s="9" t="s">
        <v>266</v>
      </c>
      <c r="D535" s="9" t="s">
        <v>0</v>
      </c>
      <c r="E535" s="80"/>
      <c r="F535" s="81"/>
      <c r="G535" s="82"/>
    </row>
    <row r="536" spans="1:7" ht="15.75">
      <c r="A536" s="8" t="s">
        <v>0</v>
      </c>
      <c r="B536" s="9" t="s">
        <v>0</v>
      </c>
      <c r="C536" s="9" t="s">
        <v>604</v>
      </c>
      <c r="D536" s="9" t="s">
        <v>0</v>
      </c>
      <c r="E536" s="80"/>
      <c r="F536" s="81"/>
      <c r="G536" s="83">
        <f>ROUND(SUM(G537:G541),5)</f>
        <v>857819.13939</v>
      </c>
    </row>
    <row r="537" spans="1:7" ht="15">
      <c r="A537" s="8" t="s">
        <v>0</v>
      </c>
      <c r="B537" s="9" t="s">
        <v>0</v>
      </c>
      <c r="C537" s="9" t="s">
        <v>32</v>
      </c>
      <c r="D537" s="9" t="s">
        <v>20</v>
      </c>
      <c r="E537" s="80">
        <f>210.125</f>
        <v>210.125</v>
      </c>
      <c r="F537" s="81">
        <f>ROUND('Gia VL'!Q69/1000,5)</f>
        <v>1701.3145</v>
      </c>
      <c r="G537" s="82">
        <f>ROUND(E537*F537,5)</f>
        <v>357488.70931</v>
      </c>
    </row>
    <row r="538" spans="1:7" ht="15">
      <c r="A538" s="8" t="s">
        <v>0</v>
      </c>
      <c r="B538" s="9" t="s">
        <v>0</v>
      </c>
      <c r="C538" s="9" t="s">
        <v>21</v>
      </c>
      <c r="D538" s="9" t="s">
        <v>22</v>
      </c>
      <c r="E538" s="80">
        <f>0.562725</f>
        <v>0.562725</v>
      </c>
      <c r="F538" s="81">
        <f>'Gia VL'!Q18</f>
        <v>379127.7</v>
      </c>
      <c r="G538" s="82">
        <f>ROUND(E538*F538,5)</f>
        <v>213344.63498</v>
      </c>
    </row>
    <row r="539" spans="1:7" ht="15">
      <c r="A539" s="8" t="s">
        <v>0</v>
      </c>
      <c r="B539" s="9" t="s">
        <v>0</v>
      </c>
      <c r="C539" s="9" t="s">
        <v>267</v>
      </c>
      <c r="D539" s="9" t="s">
        <v>22</v>
      </c>
      <c r="E539" s="80">
        <f>0.91225</f>
        <v>0.91225</v>
      </c>
      <c r="F539" s="81">
        <f>'Gia VL'!Q78</f>
        <v>303436.2</v>
      </c>
      <c r="G539" s="82">
        <f>ROUND(E539*F539,5)</f>
        <v>276809.67345</v>
      </c>
    </row>
    <row r="540" spans="1:7" ht="15">
      <c r="A540" s="8" t="s">
        <v>0</v>
      </c>
      <c r="B540" s="9" t="s">
        <v>0</v>
      </c>
      <c r="C540" s="9" t="s">
        <v>24</v>
      </c>
      <c r="D540" s="9" t="s">
        <v>22</v>
      </c>
      <c r="E540" s="80">
        <f>0.1763</f>
        <v>0.1763</v>
      </c>
      <c r="F540" s="81">
        <f>'Gia VL'!Q47</f>
        <v>9545.45</v>
      </c>
      <c r="G540" s="82">
        <f>ROUND(E540*F540,5)</f>
        <v>1682.86284</v>
      </c>
    </row>
    <row r="541" spans="1:7" ht="15">
      <c r="A541" s="8" t="s">
        <v>0</v>
      </c>
      <c r="B541" s="9" t="s">
        <v>0</v>
      </c>
      <c r="C541" s="9" t="s">
        <v>609</v>
      </c>
      <c r="D541" s="9" t="s">
        <v>605</v>
      </c>
      <c r="E541" s="80">
        <f>1</f>
        <v>1</v>
      </c>
      <c r="F541" s="81"/>
      <c r="G541" s="82">
        <f>ROUND(SUM(G537:G540)*E541/100,5)</f>
        <v>8493.25881</v>
      </c>
    </row>
    <row r="542" spans="1:7" ht="15.75">
      <c r="A542" s="8" t="s">
        <v>0</v>
      </c>
      <c r="B542" s="9" t="s">
        <v>0</v>
      </c>
      <c r="C542" s="9" t="s">
        <v>603</v>
      </c>
      <c r="D542" s="9" t="s">
        <v>0</v>
      </c>
      <c r="E542" s="80"/>
      <c r="F542" s="81"/>
      <c r="G542" s="83">
        <f>ROUND(SUM(G543:G543),5)</f>
        <v>274450.057</v>
      </c>
    </row>
    <row r="543" spans="1:7" ht="15">
      <c r="A543" s="8" t="s">
        <v>0</v>
      </c>
      <c r="B543" s="9" t="s">
        <v>0</v>
      </c>
      <c r="C543" s="9" t="s">
        <v>25</v>
      </c>
      <c r="D543" s="9" t="s">
        <v>8</v>
      </c>
      <c r="E543" s="80">
        <f>1.19</f>
        <v>1.19</v>
      </c>
      <c r="F543" s="81">
        <f>'Gia NC,CM'!P9</f>
        <v>230630.3</v>
      </c>
      <c r="G543" s="82">
        <f>ROUND(E543*F543,5)</f>
        <v>274450.057</v>
      </c>
    </row>
    <row r="544" spans="1:7" ht="15.75">
      <c r="A544" s="8" t="s">
        <v>0</v>
      </c>
      <c r="B544" s="9" t="s">
        <v>0</v>
      </c>
      <c r="C544" s="9" t="s">
        <v>602</v>
      </c>
      <c r="D544" s="9" t="s">
        <v>0</v>
      </c>
      <c r="E544" s="80"/>
      <c r="F544" s="81"/>
      <c r="G544" s="83">
        <f>ROUND(SUM(G545:G548),5)</f>
        <v>54409.0095</v>
      </c>
    </row>
    <row r="545" spans="1:7" ht="15">
      <c r="A545" s="8" t="s">
        <v>0</v>
      </c>
      <c r="B545" s="9" t="s">
        <v>0</v>
      </c>
      <c r="C545" s="9" t="s">
        <v>26</v>
      </c>
      <c r="D545" s="9" t="s">
        <v>10</v>
      </c>
      <c r="E545" s="80">
        <f>0.095</f>
        <v>0.095</v>
      </c>
      <c r="F545" s="81">
        <f>'Gia NC,CM'!P25</f>
        <v>318885.3</v>
      </c>
      <c r="G545" s="82">
        <f>ROUND(E545*F545,5)</f>
        <v>30294.1035</v>
      </c>
    </row>
    <row r="546" spans="1:7" ht="15">
      <c r="A546" s="8" t="s">
        <v>0</v>
      </c>
      <c r="B546" s="9" t="s">
        <v>0</v>
      </c>
      <c r="C546" s="9" t="s">
        <v>27</v>
      </c>
      <c r="D546" s="9" t="s">
        <v>10</v>
      </c>
      <c r="E546" s="80">
        <f>0.089</f>
        <v>0.089</v>
      </c>
      <c r="F546" s="81">
        <f>'Gia NC,CM'!P29</f>
        <v>270954</v>
      </c>
      <c r="G546" s="82">
        <f>ROUND(E546*F546,5)</f>
        <v>24114.906</v>
      </c>
    </row>
    <row r="547" spans="1:7" ht="15">
      <c r="A547" s="8" t="s">
        <v>0</v>
      </c>
      <c r="B547" s="9" t="s">
        <v>0</v>
      </c>
      <c r="C547" s="9" t="s">
        <v>0</v>
      </c>
      <c r="D547" s="9" t="s">
        <v>0</v>
      </c>
      <c r="E547" s="80"/>
      <c r="F547" s="81"/>
      <c r="G547" s="82"/>
    </row>
    <row r="548" spans="1:7" ht="15">
      <c r="A548" s="8" t="s">
        <v>247</v>
      </c>
      <c r="B548" s="9" t="s">
        <v>269</v>
      </c>
      <c r="C548" s="9" t="s">
        <v>270</v>
      </c>
      <c r="D548" s="9" t="s">
        <v>38</v>
      </c>
      <c r="E548" s="80"/>
      <c r="F548" s="81"/>
      <c r="G548" s="82"/>
    </row>
    <row r="549" spans="1:7" ht="15.75">
      <c r="A549" s="8" t="s">
        <v>0</v>
      </c>
      <c r="B549" s="9" t="s">
        <v>0</v>
      </c>
      <c r="C549" s="9" t="s">
        <v>604</v>
      </c>
      <c r="D549" s="9" t="s">
        <v>0</v>
      </c>
      <c r="E549" s="80"/>
      <c r="F549" s="81"/>
      <c r="G549" s="83">
        <f>ROUND(SUM(G550:G552),5)</f>
        <v>58185.10446</v>
      </c>
    </row>
    <row r="550" spans="1:7" ht="15">
      <c r="A550" s="8" t="s">
        <v>0</v>
      </c>
      <c r="B550" s="9" t="s">
        <v>0</v>
      </c>
      <c r="C550" s="9" t="s">
        <v>40</v>
      </c>
      <c r="D550" s="9" t="s">
        <v>22</v>
      </c>
      <c r="E550" s="80">
        <f>0.00794</f>
        <v>0.00794</v>
      </c>
      <c r="F550" s="81">
        <f>'Gia VL'!Q36</f>
        <v>4110579.4</v>
      </c>
      <c r="G550" s="82">
        <f>ROUND(E550*F550,5)</f>
        <v>32638.00044</v>
      </c>
    </row>
    <row r="551" spans="1:7" ht="15">
      <c r="A551" s="8" t="s">
        <v>0</v>
      </c>
      <c r="B551" s="9" t="s">
        <v>0</v>
      </c>
      <c r="C551" s="9" t="s">
        <v>271</v>
      </c>
      <c r="D551" s="9" t="s">
        <v>22</v>
      </c>
      <c r="E551" s="80">
        <f>0.0054</f>
        <v>0.0054</v>
      </c>
      <c r="F551" s="81">
        <f>'Gia VL'!Q40</f>
        <v>4519670.3</v>
      </c>
      <c r="G551" s="82">
        <f>ROUND(E551*F551,5)</f>
        <v>24406.21962</v>
      </c>
    </row>
    <row r="552" spans="1:7" ht="15">
      <c r="A552" s="8" t="s">
        <v>0</v>
      </c>
      <c r="B552" s="9" t="s">
        <v>0</v>
      </c>
      <c r="C552" s="9" t="s">
        <v>609</v>
      </c>
      <c r="D552" s="9" t="s">
        <v>605</v>
      </c>
      <c r="E552" s="80">
        <f>2</f>
        <v>2</v>
      </c>
      <c r="F552" s="81"/>
      <c r="G552" s="82">
        <f>ROUND(SUM(G550:G551)*E552/100,5)</f>
        <v>1140.8844</v>
      </c>
    </row>
    <row r="553" spans="1:7" ht="15.75">
      <c r="A553" s="8" t="s">
        <v>0</v>
      </c>
      <c r="B553" s="9" t="s">
        <v>0</v>
      </c>
      <c r="C553" s="9" t="s">
        <v>603</v>
      </c>
      <c r="D553" s="9" t="s">
        <v>0</v>
      </c>
      <c r="E553" s="80"/>
      <c r="F553" s="81"/>
      <c r="G553" s="83">
        <f>ROUND(SUM(G554:G557),5)</f>
        <v>34047</v>
      </c>
    </row>
    <row r="554" spans="1:7" ht="15">
      <c r="A554" s="8" t="s">
        <v>0</v>
      </c>
      <c r="B554" s="9" t="s">
        <v>0</v>
      </c>
      <c r="C554" s="9" t="s">
        <v>44</v>
      </c>
      <c r="D554" s="9" t="s">
        <v>8</v>
      </c>
      <c r="E554" s="80">
        <f>0.135</f>
        <v>0.135</v>
      </c>
      <c r="F554" s="81">
        <f>'Gia NC,CM'!P11</f>
        <v>252200</v>
      </c>
      <c r="G554" s="82">
        <f>ROUND(E554*F554,5)</f>
        <v>34047</v>
      </c>
    </row>
    <row r="555" spans="1:7" ht="15">
      <c r="A555" s="8" t="s">
        <v>0</v>
      </c>
      <c r="B555" s="9" t="s">
        <v>0</v>
      </c>
      <c r="C555" s="9" t="s">
        <v>0</v>
      </c>
      <c r="D555" s="9" t="s">
        <v>0</v>
      </c>
      <c r="E555" s="80"/>
      <c r="F555" s="81"/>
      <c r="G555" s="82"/>
    </row>
    <row r="556" spans="1:7" ht="15">
      <c r="A556" s="8" t="s">
        <v>253</v>
      </c>
      <c r="B556" s="9" t="s">
        <v>277</v>
      </c>
      <c r="C556" s="9" t="s">
        <v>278</v>
      </c>
      <c r="D556" s="9" t="s">
        <v>5</v>
      </c>
      <c r="E556" s="80"/>
      <c r="F556" s="81"/>
      <c r="G556" s="82"/>
    </row>
    <row r="557" spans="1:7" ht="15">
      <c r="A557" s="8" t="s">
        <v>0</v>
      </c>
      <c r="B557" s="9" t="s">
        <v>0</v>
      </c>
      <c r="C557" s="9" t="s">
        <v>279</v>
      </c>
      <c r="D557" s="9" t="s">
        <v>0</v>
      </c>
      <c r="E557" s="80"/>
      <c r="F557" s="81"/>
      <c r="G557" s="82"/>
    </row>
    <row r="558" spans="1:7" ht="15.75">
      <c r="A558" s="8" t="s">
        <v>0</v>
      </c>
      <c r="B558" s="9" t="s">
        <v>0</v>
      </c>
      <c r="C558" s="9" t="s">
        <v>604</v>
      </c>
      <c r="D558" s="9" t="s">
        <v>0</v>
      </c>
      <c r="E558" s="80"/>
      <c r="F558" s="81"/>
      <c r="G558" s="83">
        <f>ROUND(SUM(G559:G563),5)</f>
        <v>1301971.89687</v>
      </c>
    </row>
    <row r="559" spans="1:7" ht="15">
      <c r="A559" s="8" t="s">
        <v>0</v>
      </c>
      <c r="B559" s="9" t="s">
        <v>0</v>
      </c>
      <c r="C559" s="9" t="s">
        <v>185</v>
      </c>
      <c r="D559" s="9" t="s">
        <v>60</v>
      </c>
      <c r="E559" s="80">
        <f>658</f>
        <v>658</v>
      </c>
      <c r="F559" s="81">
        <f>'Gia VL'!Q28</f>
        <v>1489.5</v>
      </c>
      <c r="G559" s="82">
        <f>ROUND(E559*F559,5)</f>
        <v>980091</v>
      </c>
    </row>
    <row r="560" spans="1:7" ht="15">
      <c r="A560" s="8" t="s">
        <v>0</v>
      </c>
      <c r="B560" s="9" t="s">
        <v>0</v>
      </c>
      <c r="C560" s="9" t="s">
        <v>32</v>
      </c>
      <c r="D560" s="9" t="s">
        <v>20</v>
      </c>
      <c r="E560" s="80">
        <f>92.886</f>
        <v>92.886</v>
      </c>
      <c r="F560" s="81">
        <f>ROUND('Gia VL'!Q69/1000,5)</f>
        <v>1701.3145</v>
      </c>
      <c r="G560" s="82">
        <f>ROUND(E560*F560,5)</f>
        <v>158028.29865</v>
      </c>
    </row>
    <row r="561" spans="1:7" ht="15">
      <c r="A561" s="8" t="s">
        <v>0</v>
      </c>
      <c r="B561" s="9" t="s">
        <v>0</v>
      </c>
      <c r="C561" s="9" t="s">
        <v>61</v>
      </c>
      <c r="D561" s="9" t="s">
        <v>22</v>
      </c>
      <c r="E561" s="80">
        <f>0.314826</f>
        <v>0.314826</v>
      </c>
      <c r="F561" s="81">
        <f>'Gia VL'!Q15</f>
        <v>359127.7</v>
      </c>
      <c r="G561" s="82">
        <f>ROUND(E561*F561,5)</f>
        <v>113062.73728</v>
      </c>
    </row>
    <row r="562" spans="1:7" ht="15">
      <c r="A562" s="8" t="s">
        <v>0</v>
      </c>
      <c r="B562" s="9" t="s">
        <v>0</v>
      </c>
      <c r="C562" s="9" t="s">
        <v>24</v>
      </c>
      <c r="D562" s="9" t="s">
        <v>22</v>
      </c>
      <c r="E562" s="80">
        <f>0.074802</f>
        <v>0.074802</v>
      </c>
      <c r="F562" s="81">
        <f>'Gia VL'!Q47</f>
        <v>9545.45</v>
      </c>
      <c r="G562" s="82">
        <f>ROUND(E562*F562,5)</f>
        <v>714.01875</v>
      </c>
    </row>
    <row r="563" spans="1:7" ht="15">
      <c r="A563" s="8" t="s">
        <v>0</v>
      </c>
      <c r="B563" s="9" t="s">
        <v>0</v>
      </c>
      <c r="C563" s="9" t="s">
        <v>609</v>
      </c>
      <c r="D563" s="9" t="s">
        <v>605</v>
      </c>
      <c r="E563" s="80">
        <f>4</f>
        <v>4</v>
      </c>
      <c r="F563" s="81"/>
      <c r="G563" s="82">
        <f>ROUND(SUM(G559:G562)*E563/100,5)</f>
        <v>50075.84219</v>
      </c>
    </row>
    <row r="564" spans="1:7" ht="15.75">
      <c r="A564" s="8" t="s">
        <v>0</v>
      </c>
      <c r="B564" s="9" t="s">
        <v>0</v>
      </c>
      <c r="C564" s="9" t="s">
        <v>603</v>
      </c>
      <c r="D564" s="9" t="s">
        <v>0</v>
      </c>
      <c r="E564" s="80"/>
      <c r="F564" s="81"/>
      <c r="G564" s="83">
        <f>ROUND(SUM(G565:G565),5)</f>
        <v>622934</v>
      </c>
    </row>
    <row r="565" spans="1:7" ht="15">
      <c r="A565" s="8" t="s">
        <v>0</v>
      </c>
      <c r="B565" s="9" t="s">
        <v>0</v>
      </c>
      <c r="C565" s="9" t="s">
        <v>44</v>
      </c>
      <c r="D565" s="9" t="s">
        <v>8</v>
      </c>
      <c r="E565" s="80">
        <f>2.47</f>
        <v>2.47</v>
      </c>
      <c r="F565" s="81">
        <f>'Gia NC,CM'!P11</f>
        <v>252200</v>
      </c>
      <c r="G565" s="82">
        <f>ROUND(E565*F565,5)</f>
        <v>622934</v>
      </c>
    </row>
    <row r="566" spans="1:7" ht="15.75">
      <c r="A566" s="8" t="s">
        <v>0</v>
      </c>
      <c r="B566" s="9" t="s">
        <v>0</v>
      </c>
      <c r="C566" s="9" t="s">
        <v>602</v>
      </c>
      <c r="D566" s="9" t="s">
        <v>0</v>
      </c>
      <c r="E566" s="80"/>
      <c r="F566" s="81"/>
      <c r="G566" s="83">
        <f>ROUND(SUM(G567:G571),5)</f>
        <v>10304.46701</v>
      </c>
    </row>
    <row r="567" spans="1:7" ht="15">
      <c r="A567" s="8" t="s">
        <v>0</v>
      </c>
      <c r="B567" s="9" t="s">
        <v>0</v>
      </c>
      <c r="C567" s="9" t="s">
        <v>62</v>
      </c>
      <c r="D567" s="9" t="s">
        <v>10</v>
      </c>
      <c r="E567" s="80">
        <f>0.035</f>
        <v>0.035</v>
      </c>
      <c r="F567" s="81">
        <f>'Gia NC,CM'!P26</f>
        <v>292948.6</v>
      </c>
      <c r="G567" s="82">
        <f>ROUND(E567*F567,5)</f>
        <v>10253.201</v>
      </c>
    </row>
    <row r="568" spans="1:7" ht="15">
      <c r="A568" s="8" t="s">
        <v>0</v>
      </c>
      <c r="B568" s="9" t="s">
        <v>0</v>
      </c>
      <c r="C568" s="9" t="s">
        <v>606</v>
      </c>
      <c r="D568" s="9" t="s">
        <v>605</v>
      </c>
      <c r="E568" s="80">
        <f>0.5</f>
        <v>0.5</v>
      </c>
      <c r="F568" s="81"/>
      <c r="G568" s="82">
        <f>ROUND(SUM(G567:G567)*E568/100,5)</f>
        <v>51.26601</v>
      </c>
    </row>
    <row r="569" spans="1:7" ht="15">
      <c r="A569" s="8" t="s">
        <v>0</v>
      </c>
      <c r="B569" s="9" t="s">
        <v>0</v>
      </c>
      <c r="C569" s="9" t="s">
        <v>0</v>
      </c>
      <c r="D569" s="9" t="s">
        <v>0</v>
      </c>
      <c r="E569" s="80"/>
      <c r="F569" s="81"/>
      <c r="G569" s="82"/>
    </row>
    <row r="570" spans="1:7" ht="15">
      <c r="A570" s="8" t="s">
        <v>258</v>
      </c>
      <c r="B570" s="9" t="s">
        <v>281</v>
      </c>
      <c r="C570" s="9" t="s">
        <v>282</v>
      </c>
      <c r="D570" s="9" t="s">
        <v>38</v>
      </c>
      <c r="E570" s="80"/>
      <c r="F570" s="81"/>
      <c r="G570" s="82"/>
    </row>
    <row r="571" spans="1:7" ht="15">
      <c r="A571" s="8" t="s">
        <v>0</v>
      </c>
      <c r="B571" s="9" t="s">
        <v>0</v>
      </c>
      <c r="C571" s="9" t="s">
        <v>105</v>
      </c>
      <c r="D571" s="9" t="s">
        <v>0</v>
      </c>
      <c r="E571" s="80"/>
      <c r="F571" s="81"/>
      <c r="G571" s="82"/>
    </row>
    <row r="572" spans="1:7" ht="15.75">
      <c r="A572" s="8" t="s">
        <v>0</v>
      </c>
      <c r="B572" s="9" t="s">
        <v>0</v>
      </c>
      <c r="C572" s="9" t="s">
        <v>604</v>
      </c>
      <c r="D572" s="9" t="s">
        <v>0</v>
      </c>
      <c r="E572" s="80"/>
      <c r="F572" s="81"/>
      <c r="G572" s="83">
        <f>ROUND(SUM(G573:G576),5)</f>
        <v>15020.00422</v>
      </c>
    </row>
    <row r="573" spans="1:7" ht="15">
      <c r="A573" s="8" t="s">
        <v>0</v>
      </c>
      <c r="B573" s="9" t="s">
        <v>0</v>
      </c>
      <c r="C573" s="9" t="s">
        <v>32</v>
      </c>
      <c r="D573" s="9" t="s">
        <v>20</v>
      </c>
      <c r="E573" s="80">
        <f>4.488</f>
        <v>4.488</v>
      </c>
      <c r="F573" s="81">
        <f>ROUND('Gia VL'!Q69/1000,5)</f>
        <v>1701.3145</v>
      </c>
      <c r="G573" s="82">
        <f>ROUND(E573*F573,5)</f>
        <v>7635.49948</v>
      </c>
    </row>
    <row r="574" spans="1:7" ht="15">
      <c r="A574" s="8" t="s">
        <v>0</v>
      </c>
      <c r="B574" s="9" t="s">
        <v>0</v>
      </c>
      <c r="C574" s="9" t="s">
        <v>61</v>
      </c>
      <c r="D574" s="9" t="s">
        <v>22</v>
      </c>
      <c r="E574" s="80">
        <f>0.02023</f>
        <v>0.02023</v>
      </c>
      <c r="F574" s="81">
        <f>'Gia VL'!Q15</f>
        <v>359127.7</v>
      </c>
      <c r="G574" s="82">
        <f>ROUND(E574*F574,5)</f>
        <v>7265.15337</v>
      </c>
    </row>
    <row r="575" spans="1:7" ht="15">
      <c r="A575" s="8" t="s">
        <v>0</v>
      </c>
      <c r="B575" s="9" t="s">
        <v>0</v>
      </c>
      <c r="C575" s="9" t="s">
        <v>24</v>
      </c>
      <c r="D575" s="9" t="s">
        <v>22</v>
      </c>
      <c r="E575" s="80">
        <f>0.004675</f>
        <v>0.004675</v>
      </c>
      <c r="F575" s="81">
        <f>'Gia VL'!Q47</f>
        <v>9545.45</v>
      </c>
      <c r="G575" s="82">
        <f>ROUND(E575*F575,5)</f>
        <v>44.62498</v>
      </c>
    </row>
    <row r="576" spans="1:7" ht="15">
      <c r="A576" s="8" t="s">
        <v>0</v>
      </c>
      <c r="B576" s="9" t="s">
        <v>0</v>
      </c>
      <c r="C576" s="9" t="s">
        <v>609</v>
      </c>
      <c r="D576" s="9" t="s">
        <v>605</v>
      </c>
      <c r="E576" s="80">
        <f>0.5</f>
        <v>0.5</v>
      </c>
      <c r="F576" s="81"/>
      <c r="G576" s="82">
        <f>ROUND(SUM(G573:G575)*E576/100,5)</f>
        <v>74.72639</v>
      </c>
    </row>
    <row r="577" spans="1:7" ht="15.75">
      <c r="A577" s="8" t="s">
        <v>0</v>
      </c>
      <c r="B577" s="9" t="s">
        <v>0</v>
      </c>
      <c r="C577" s="9" t="s">
        <v>603</v>
      </c>
      <c r="D577" s="9" t="s">
        <v>0</v>
      </c>
      <c r="E577" s="80"/>
      <c r="F577" s="81"/>
      <c r="G577" s="83">
        <f>ROUND(SUM(G578:G578),5)</f>
        <v>65572</v>
      </c>
    </row>
    <row r="578" spans="1:7" ht="15">
      <c r="A578" s="8" t="s">
        <v>0</v>
      </c>
      <c r="B578" s="9" t="s">
        <v>0</v>
      </c>
      <c r="C578" s="9" t="s">
        <v>44</v>
      </c>
      <c r="D578" s="9" t="s">
        <v>8</v>
      </c>
      <c r="E578" s="80">
        <f>0.26</f>
        <v>0.26</v>
      </c>
      <c r="F578" s="81">
        <f>'Gia NC,CM'!P11</f>
        <v>252200</v>
      </c>
      <c r="G578" s="82">
        <f>ROUND(E578*F578,5)</f>
        <v>65572</v>
      </c>
    </row>
    <row r="579" spans="1:7" ht="15.75">
      <c r="A579" s="8" t="s">
        <v>0</v>
      </c>
      <c r="B579" s="9" t="s">
        <v>0</v>
      </c>
      <c r="C579" s="9" t="s">
        <v>602</v>
      </c>
      <c r="D579" s="9" t="s">
        <v>0</v>
      </c>
      <c r="E579" s="80"/>
      <c r="F579" s="81"/>
      <c r="G579" s="83">
        <f>ROUND(SUM(G580:G582),5)</f>
        <v>585.8972</v>
      </c>
    </row>
    <row r="580" spans="1:7" ht="15">
      <c r="A580" s="8" t="s">
        <v>0</v>
      </c>
      <c r="B580" s="9" t="s">
        <v>0</v>
      </c>
      <c r="C580" s="9" t="s">
        <v>117</v>
      </c>
      <c r="D580" s="9" t="s">
        <v>10</v>
      </c>
      <c r="E580" s="80">
        <f>0.002</f>
        <v>0.002</v>
      </c>
      <c r="F580" s="81">
        <f>'Gia NC,CM'!P24</f>
        <v>292948.6</v>
      </c>
      <c r="G580" s="82">
        <f>ROUND(E580*F580,5)</f>
        <v>585.8972</v>
      </c>
    </row>
    <row r="581" spans="1:7" ht="15">
      <c r="A581" s="8" t="s">
        <v>0</v>
      </c>
      <c r="B581" s="9" t="s">
        <v>0</v>
      </c>
      <c r="C581" s="9" t="s">
        <v>0</v>
      </c>
      <c r="D581" s="9" t="s">
        <v>0</v>
      </c>
      <c r="E581" s="80"/>
      <c r="F581" s="81"/>
      <c r="G581" s="82"/>
    </row>
    <row r="582" spans="1:7" ht="15">
      <c r="A582" s="8" t="s">
        <v>263</v>
      </c>
      <c r="B582" s="9" t="s">
        <v>286</v>
      </c>
      <c r="C582" s="9" t="s">
        <v>287</v>
      </c>
      <c r="D582" s="9" t="s">
        <v>288</v>
      </c>
      <c r="E582" s="80"/>
      <c r="F582" s="81"/>
      <c r="G582" s="82"/>
    </row>
    <row r="583" spans="1:7" ht="15.75">
      <c r="A583" s="8" t="s">
        <v>0</v>
      </c>
      <c r="B583" s="9" t="s">
        <v>0</v>
      </c>
      <c r="C583" s="9" t="s">
        <v>603</v>
      </c>
      <c r="D583" s="9" t="s">
        <v>0</v>
      </c>
      <c r="E583" s="80"/>
      <c r="F583" s="81"/>
      <c r="G583" s="83">
        <f>ROUND(SUM(G584:G584),5)</f>
        <v>280.19606</v>
      </c>
    </row>
    <row r="584" spans="1:7" ht="15">
      <c r="A584" s="8" t="s">
        <v>0</v>
      </c>
      <c r="B584" s="9" t="s">
        <v>0</v>
      </c>
      <c r="C584" s="9" t="s">
        <v>289</v>
      </c>
      <c r="D584" s="9" t="s">
        <v>8</v>
      </c>
      <c r="E584" s="80">
        <f>0.00108</f>
        <v>0.00108</v>
      </c>
      <c r="F584" s="81">
        <f>'Gia NC,CM'!P13</f>
        <v>259440.8</v>
      </c>
      <c r="G584" s="82">
        <f>ROUND(E584*F584,5)</f>
        <v>280.19606</v>
      </c>
    </row>
    <row r="585" spans="1:7" ht="15.75">
      <c r="A585" s="8" t="s">
        <v>0</v>
      </c>
      <c r="B585" s="9" t="s">
        <v>0</v>
      </c>
      <c r="C585" s="9" t="s">
        <v>602</v>
      </c>
      <c r="D585" s="9" t="s">
        <v>0</v>
      </c>
      <c r="E585" s="80"/>
      <c r="F585" s="81"/>
      <c r="G585" s="83">
        <f>ROUND(SUM(G586:G589),5)</f>
        <v>5.57501</v>
      </c>
    </row>
    <row r="586" spans="1:7" ht="15">
      <c r="A586" s="8" t="s">
        <v>0</v>
      </c>
      <c r="B586" s="9" t="s">
        <v>0</v>
      </c>
      <c r="C586" s="9" t="s">
        <v>290</v>
      </c>
      <c r="D586" s="9" t="s">
        <v>10</v>
      </c>
      <c r="E586" s="80">
        <f>0.00045</f>
        <v>0.00045</v>
      </c>
      <c r="F586" s="81">
        <f>'Gia NC,CM'!P19</f>
        <v>12388.9</v>
      </c>
      <c r="G586" s="82">
        <f>ROUND(E586*F586,5)</f>
        <v>5.57501</v>
      </c>
    </row>
    <row r="587" spans="1:7" ht="15">
      <c r="A587" s="8" t="s">
        <v>0</v>
      </c>
      <c r="B587" s="9" t="s">
        <v>0</v>
      </c>
      <c r="C587" s="9" t="s">
        <v>0</v>
      </c>
      <c r="D587" s="9" t="s">
        <v>0</v>
      </c>
      <c r="E587" s="80"/>
      <c r="F587" s="81"/>
      <c r="G587" s="82"/>
    </row>
    <row r="588" spans="1:7" ht="15">
      <c r="A588" s="8" t="s">
        <v>268</v>
      </c>
      <c r="B588" s="9" t="s">
        <v>292</v>
      </c>
      <c r="C588" s="9" t="s">
        <v>293</v>
      </c>
      <c r="D588" s="9" t="s">
        <v>294</v>
      </c>
      <c r="E588" s="80"/>
      <c r="F588" s="81"/>
      <c r="G588" s="82"/>
    </row>
    <row r="589" spans="1:7" ht="15">
      <c r="A589" s="8" t="s">
        <v>0</v>
      </c>
      <c r="B589" s="9" t="s">
        <v>0</v>
      </c>
      <c r="C589" s="9" t="s">
        <v>295</v>
      </c>
      <c r="D589" s="9" t="s">
        <v>0</v>
      </c>
      <c r="E589" s="80"/>
      <c r="F589" s="81"/>
      <c r="G589" s="82"/>
    </row>
    <row r="590" spans="1:7" ht="15.75">
      <c r="A590" s="8" t="s">
        <v>0</v>
      </c>
      <c r="B590" s="9" t="s">
        <v>0</v>
      </c>
      <c r="C590" s="9" t="s">
        <v>604</v>
      </c>
      <c r="D590" s="9" t="s">
        <v>0</v>
      </c>
      <c r="E590" s="80"/>
      <c r="F590" s="81"/>
      <c r="G590" s="83">
        <f>ROUND(SUM(G591:G593),5)</f>
        <v>12055.03294</v>
      </c>
    </row>
    <row r="591" spans="1:7" ht="15">
      <c r="A591" s="8" t="s">
        <v>0</v>
      </c>
      <c r="B591" s="9" t="s">
        <v>0</v>
      </c>
      <c r="C591" s="9" t="s">
        <v>296</v>
      </c>
      <c r="D591" s="9" t="s">
        <v>20</v>
      </c>
      <c r="E591" s="80">
        <f>0.125</f>
        <v>0.125</v>
      </c>
      <c r="F591" s="81">
        <f>ROUND('Gia VL'!Q51/1000,5)</f>
        <v>95000</v>
      </c>
      <c r="G591" s="82">
        <f>ROUND(E591*F591,5)</f>
        <v>11875</v>
      </c>
    </row>
    <row r="592" spans="1:7" ht="15">
      <c r="A592" s="8" t="s">
        <v>0</v>
      </c>
      <c r="B592" s="9" t="s">
        <v>0</v>
      </c>
      <c r="C592" s="9" t="s">
        <v>297</v>
      </c>
      <c r="D592" s="9" t="s">
        <v>20</v>
      </c>
      <c r="E592" s="80">
        <f>0.09</f>
        <v>0.09</v>
      </c>
      <c r="F592" s="81">
        <f>ROUND('Gia VL'!Q72/1000,5)</f>
        <v>20.886</v>
      </c>
      <c r="G592" s="82">
        <f>ROUND(E592*F592,5)</f>
        <v>1.87974</v>
      </c>
    </row>
    <row r="593" spans="1:7" ht="15">
      <c r="A593" s="8" t="s">
        <v>0</v>
      </c>
      <c r="B593" s="9" t="s">
        <v>0</v>
      </c>
      <c r="C593" s="9" t="s">
        <v>609</v>
      </c>
      <c r="D593" s="9" t="s">
        <v>605</v>
      </c>
      <c r="E593" s="80">
        <f>1.5</f>
        <v>1.5</v>
      </c>
      <c r="F593" s="81"/>
      <c r="G593" s="82">
        <f>ROUND(SUM(G591:G592)*E593/100,5)</f>
        <v>178.1532</v>
      </c>
    </row>
    <row r="594" spans="1:7" ht="15.75">
      <c r="A594" s="8" t="s">
        <v>0</v>
      </c>
      <c r="B594" s="9" t="s">
        <v>0</v>
      </c>
      <c r="C594" s="9" t="s">
        <v>603</v>
      </c>
      <c r="D594" s="9" t="s">
        <v>0</v>
      </c>
      <c r="E594" s="80"/>
      <c r="F594" s="81"/>
      <c r="G594" s="83">
        <f>ROUND(SUM(G595:G595),5)</f>
        <v>764660.25</v>
      </c>
    </row>
    <row r="595" spans="1:7" ht="15">
      <c r="A595" s="8" t="s">
        <v>0</v>
      </c>
      <c r="B595" s="9" t="s">
        <v>0</v>
      </c>
      <c r="C595" s="9" t="s">
        <v>298</v>
      </c>
      <c r="D595" s="9" t="s">
        <v>8</v>
      </c>
      <c r="E595" s="80">
        <f>4.05</f>
        <v>4.05</v>
      </c>
      <c r="F595" s="81">
        <f>'Gia NC,CM'!P12</f>
        <v>188805</v>
      </c>
      <c r="G595" s="82">
        <f>ROUND(E595*F595,5)</f>
        <v>764660.25</v>
      </c>
    </row>
    <row r="596" spans="1:7" ht="15.75">
      <c r="A596" s="8" t="s">
        <v>0</v>
      </c>
      <c r="B596" s="9" t="s">
        <v>0</v>
      </c>
      <c r="C596" s="9" t="s">
        <v>602</v>
      </c>
      <c r="D596" s="9" t="s">
        <v>0</v>
      </c>
      <c r="E596" s="80"/>
      <c r="F596" s="81"/>
      <c r="G596" s="83">
        <f>ROUND(SUM(G597:G600),5)</f>
        <v>186309.855</v>
      </c>
    </row>
    <row r="597" spans="1:7" ht="15">
      <c r="A597" s="8" t="s">
        <v>0</v>
      </c>
      <c r="B597" s="9" t="s">
        <v>0</v>
      </c>
      <c r="C597" s="9" t="s">
        <v>299</v>
      </c>
      <c r="D597" s="9" t="s">
        <v>10</v>
      </c>
      <c r="E597" s="80">
        <f>0.135</f>
        <v>0.135</v>
      </c>
      <c r="F597" s="81">
        <f>'Gia NC,CM'!P32</f>
        <v>1380073</v>
      </c>
      <c r="G597" s="82">
        <f>ROUND(E597*F597,5)</f>
        <v>186309.855</v>
      </c>
    </row>
    <row r="598" spans="1:7" ht="15">
      <c r="A598" s="8" t="s">
        <v>0</v>
      </c>
      <c r="B598" s="9" t="s">
        <v>0</v>
      </c>
      <c r="C598" s="9"/>
      <c r="D598" s="9"/>
      <c r="E598" s="80"/>
      <c r="F598" s="81">
        <f>'Gia NC,CM'!P36</f>
        <v>0</v>
      </c>
      <c r="G598" s="82">
        <f>ROUND(E598*F598,5)</f>
        <v>0</v>
      </c>
    </row>
    <row r="599" spans="1:7" ht="15">
      <c r="A599" s="8" t="s">
        <v>0</v>
      </c>
      <c r="B599" s="9" t="s">
        <v>0</v>
      </c>
      <c r="C599" s="9" t="s">
        <v>0</v>
      </c>
      <c r="D599" s="9" t="s">
        <v>0</v>
      </c>
      <c r="E599" s="80"/>
      <c r="F599" s="81"/>
      <c r="G599" s="82"/>
    </row>
    <row r="600" spans="1:7" ht="15">
      <c r="A600" s="8" t="s">
        <v>272</v>
      </c>
      <c r="B600" s="9" t="s">
        <v>855</v>
      </c>
      <c r="C600" s="9" t="s">
        <v>303</v>
      </c>
      <c r="D600" s="9" t="s">
        <v>304</v>
      </c>
      <c r="E600" s="80"/>
      <c r="F600" s="81"/>
      <c r="G600" s="82"/>
    </row>
    <row r="601" spans="1:7" ht="15.75">
      <c r="A601" s="8" t="s">
        <v>0</v>
      </c>
      <c r="B601" s="9" t="s">
        <v>0</v>
      </c>
      <c r="C601" s="9" t="s">
        <v>603</v>
      </c>
      <c r="D601" s="9" t="s">
        <v>0</v>
      </c>
      <c r="E601" s="80"/>
      <c r="F601" s="81"/>
      <c r="G601" s="83">
        <f>ROUND(SUM(G602:G605),5)</f>
        <v>105586.8</v>
      </c>
    </row>
    <row r="602" spans="1:7" ht="15">
      <c r="A602" s="8" t="s">
        <v>0</v>
      </c>
      <c r="B602" s="9" t="s">
        <v>0</v>
      </c>
      <c r="C602" s="9" t="s">
        <v>305</v>
      </c>
      <c r="D602" s="9" t="s">
        <v>8</v>
      </c>
      <c r="E602" s="80">
        <v>0.6</v>
      </c>
      <c r="F602" s="81">
        <f>'Gia NC,CM'!P10</f>
        <v>175978</v>
      </c>
      <c r="G602" s="82">
        <f>ROUND(E602*F602,5)</f>
        <v>105586.8</v>
      </c>
    </row>
    <row r="603" spans="1:7" ht="15">
      <c r="A603" s="8" t="s">
        <v>0</v>
      </c>
      <c r="B603" s="9" t="s">
        <v>0</v>
      </c>
      <c r="C603" s="9" t="s">
        <v>0</v>
      </c>
      <c r="D603" s="9" t="s">
        <v>0</v>
      </c>
      <c r="E603" s="80"/>
      <c r="F603" s="81"/>
      <c r="G603" s="82"/>
    </row>
    <row r="604" spans="1:7" ht="15">
      <c r="A604" s="8" t="s">
        <v>273</v>
      </c>
      <c r="B604" s="9" t="s">
        <v>307</v>
      </c>
      <c r="C604" s="9" t="s">
        <v>308</v>
      </c>
      <c r="D604" s="9" t="s">
        <v>304</v>
      </c>
      <c r="E604" s="80"/>
      <c r="F604" s="81"/>
      <c r="G604" s="82"/>
    </row>
    <row r="605" spans="1:7" ht="15">
      <c r="A605" s="8" t="s">
        <v>0</v>
      </c>
      <c r="B605" s="9" t="s">
        <v>0</v>
      </c>
      <c r="C605" s="9" t="s">
        <v>309</v>
      </c>
      <c r="D605" s="9" t="s">
        <v>0</v>
      </c>
      <c r="E605" s="80"/>
      <c r="F605" s="81"/>
      <c r="G605" s="82"/>
    </row>
    <row r="606" spans="1:7" ht="15.75">
      <c r="A606" s="8" t="s">
        <v>0</v>
      </c>
      <c r="B606" s="9" t="s">
        <v>0</v>
      </c>
      <c r="C606" s="9" t="s">
        <v>604</v>
      </c>
      <c r="D606" s="9" t="s">
        <v>0</v>
      </c>
      <c r="E606" s="80"/>
      <c r="F606" s="81"/>
      <c r="G606" s="83">
        <f>ROUND(SUM(G607:G614),5)</f>
        <v>156170.92689</v>
      </c>
    </row>
    <row r="607" spans="1:7" ht="15">
      <c r="A607" s="8" t="s">
        <v>0</v>
      </c>
      <c r="B607" s="9" t="s">
        <v>0</v>
      </c>
      <c r="C607" s="9" t="s">
        <v>310</v>
      </c>
      <c r="D607" s="9" t="s">
        <v>304</v>
      </c>
      <c r="E607" s="80">
        <f>4</f>
        <v>4</v>
      </c>
      <c r="F607" s="81">
        <f>'Gia VL'!Q48</f>
        <v>5454.55</v>
      </c>
      <c r="G607" s="82">
        <f aca="true" t="shared" si="2" ref="G607:G613">ROUND(E607*F607,5)</f>
        <v>21818.2</v>
      </c>
    </row>
    <row r="608" spans="1:7" ht="15">
      <c r="A608" s="8" t="s">
        <v>0</v>
      </c>
      <c r="B608" s="9" t="s">
        <v>0</v>
      </c>
      <c r="C608" s="9" t="s">
        <v>311</v>
      </c>
      <c r="D608" s="9" t="s">
        <v>304</v>
      </c>
      <c r="E608" s="80">
        <f>4</f>
        <v>4</v>
      </c>
      <c r="F608" s="81">
        <f>'Gia VL'!Q21</f>
        <v>18181.82</v>
      </c>
      <c r="G608" s="82">
        <f t="shared" si="2"/>
        <v>72727.28</v>
      </c>
    </row>
    <row r="609" spans="1:7" ht="15">
      <c r="A609" s="8" t="s">
        <v>0</v>
      </c>
      <c r="B609" s="9" t="s">
        <v>0</v>
      </c>
      <c r="C609" s="9" t="s">
        <v>312</v>
      </c>
      <c r="D609" s="9" t="s">
        <v>204</v>
      </c>
      <c r="E609" s="80">
        <f>0.1</f>
        <v>0.1</v>
      </c>
      <c r="F609" s="81">
        <f>'Gia VL'!Q8</f>
        <v>5454.55</v>
      </c>
      <c r="G609" s="82">
        <f t="shared" si="2"/>
        <v>545.455</v>
      </c>
    </row>
    <row r="610" spans="1:7" ht="15">
      <c r="A610" s="8" t="s">
        <v>0</v>
      </c>
      <c r="B610" s="9" t="s">
        <v>0</v>
      </c>
      <c r="C610" s="9" t="s">
        <v>43</v>
      </c>
      <c r="D610" s="9" t="s">
        <v>20</v>
      </c>
      <c r="E610" s="80">
        <f>0.05</f>
        <v>0.05</v>
      </c>
      <c r="F610" s="81">
        <f>ROUND('Gia VL'!Q73/1000,5)</f>
        <v>16350</v>
      </c>
      <c r="G610" s="82">
        <f t="shared" si="2"/>
        <v>817.5</v>
      </c>
    </row>
    <row r="611" spans="1:7" ht="15">
      <c r="A611" s="8" t="s">
        <v>0</v>
      </c>
      <c r="B611" s="9" t="s">
        <v>0</v>
      </c>
      <c r="C611" s="9" t="s">
        <v>24</v>
      </c>
      <c r="D611" s="9" t="s">
        <v>22</v>
      </c>
      <c r="E611" s="80">
        <f>0.02</f>
        <v>0.02</v>
      </c>
      <c r="F611" s="81">
        <f>'Gia VL'!Q47</f>
        <v>9545.45</v>
      </c>
      <c r="G611" s="82">
        <f t="shared" si="2"/>
        <v>190.909</v>
      </c>
    </row>
    <row r="612" spans="1:7" ht="15">
      <c r="A612" s="8" t="s">
        <v>0</v>
      </c>
      <c r="B612" s="9" t="s">
        <v>0</v>
      </c>
      <c r="C612" s="9" t="s">
        <v>313</v>
      </c>
      <c r="D612" s="9" t="s">
        <v>20</v>
      </c>
      <c r="E612" s="80">
        <f>7.24</f>
        <v>7.24</v>
      </c>
      <c r="F612" s="81">
        <f>ROUND('Gia VL'!Q49/1000,5)</f>
        <v>5454.54545</v>
      </c>
      <c r="G612" s="82">
        <f t="shared" si="2"/>
        <v>39490.90906</v>
      </c>
    </row>
    <row r="613" spans="1:7" ht="15">
      <c r="A613" s="8" t="s">
        <v>0</v>
      </c>
      <c r="B613" s="9" t="s">
        <v>0</v>
      </c>
      <c r="C613" s="9" t="s">
        <v>314</v>
      </c>
      <c r="D613" s="9" t="s">
        <v>22</v>
      </c>
      <c r="E613" s="80">
        <f>0.067</f>
        <v>0.067</v>
      </c>
      <c r="F613" s="81">
        <f>'Gia VL'!Q87</f>
        <v>272727.3</v>
      </c>
      <c r="G613" s="82">
        <f t="shared" si="2"/>
        <v>18272.7291</v>
      </c>
    </row>
    <row r="614" spans="1:7" ht="15">
      <c r="A614" s="8" t="s">
        <v>0</v>
      </c>
      <c r="B614" s="9" t="s">
        <v>0</v>
      </c>
      <c r="C614" s="9" t="s">
        <v>609</v>
      </c>
      <c r="D614" s="9" t="s">
        <v>605</v>
      </c>
      <c r="E614" s="80">
        <f>1.5</f>
        <v>1.5</v>
      </c>
      <c r="F614" s="81"/>
      <c r="G614" s="82">
        <f>ROUND(SUM(G607:G613)*E614/100,5)</f>
        <v>2307.94473</v>
      </c>
    </row>
    <row r="615" spans="1:7" ht="15.75">
      <c r="A615" s="8" t="s">
        <v>0</v>
      </c>
      <c r="B615" s="9" t="s">
        <v>0</v>
      </c>
      <c r="C615" s="9" t="s">
        <v>603</v>
      </c>
      <c r="D615" s="9" t="s">
        <v>0</v>
      </c>
      <c r="E615" s="80"/>
      <c r="F615" s="81"/>
      <c r="G615" s="83">
        <f>ROUND(SUM(G616:G619),5)</f>
        <v>180553.428</v>
      </c>
    </row>
    <row r="616" spans="1:7" ht="15">
      <c r="A616" s="8" t="s">
        <v>0</v>
      </c>
      <c r="B616" s="9" t="s">
        <v>0</v>
      </c>
      <c r="C616" s="9" t="s">
        <v>305</v>
      </c>
      <c r="D616" s="9" t="s">
        <v>8</v>
      </c>
      <c r="E616" s="80">
        <f>1.026</f>
        <v>1.026</v>
      </c>
      <c r="F616" s="81">
        <f>'Gia NC,CM'!P10</f>
        <v>175978</v>
      </c>
      <c r="G616" s="82">
        <f>ROUND(E616*F616,5)</f>
        <v>180553.428</v>
      </c>
    </row>
    <row r="617" spans="1:7" ht="15">
      <c r="A617" s="8" t="s">
        <v>0</v>
      </c>
      <c r="B617" s="9" t="s">
        <v>0</v>
      </c>
      <c r="C617" s="9" t="s">
        <v>0</v>
      </c>
      <c r="D617" s="9" t="s">
        <v>0</v>
      </c>
      <c r="E617" s="80"/>
      <c r="F617" s="81"/>
      <c r="G617" s="82"/>
    </row>
    <row r="618" spans="1:7" ht="15">
      <c r="A618" s="8" t="s">
        <v>274</v>
      </c>
      <c r="B618" s="9" t="s">
        <v>316</v>
      </c>
      <c r="C618" s="9" t="s">
        <v>317</v>
      </c>
      <c r="D618" s="9" t="s">
        <v>304</v>
      </c>
      <c r="E618" s="80"/>
      <c r="F618" s="81"/>
      <c r="G618" s="82"/>
    </row>
    <row r="619" spans="1:7" ht="15">
      <c r="A619" s="8" t="s">
        <v>0</v>
      </c>
      <c r="B619" s="9" t="s">
        <v>0</v>
      </c>
      <c r="C619" s="9" t="s">
        <v>318</v>
      </c>
      <c r="D619" s="9" t="s">
        <v>0</v>
      </c>
      <c r="E619" s="80"/>
      <c r="F619" s="81"/>
      <c r="G619" s="82"/>
    </row>
    <row r="620" spans="1:7" ht="15.75">
      <c r="A620" s="8" t="s">
        <v>0</v>
      </c>
      <c r="B620" s="9" t="s">
        <v>0</v>
      </c>
      <c r="C620" s="9" t="s">
        <v>604</v>
      </c>
      <c r="D620" s="9" t="s">
        <v>0</v>
      </c>
      <c r="E620" s="80"/>
      <c r="F620" s="81"/>
      <c r="G620" s="83">
        <f>ROUND(SUM(G621:G621),5)</f>
        <v>4772.725</v>
      </c>
    </row>
    <row r="621" spans="1:7" ht="15">
      <c r="A621" s="8" t="s">
        <v>0</v>
      </c>
      <c r="B621" s="9" t="s">
        <v>0</v>
      </c>
      <c r="C621" s="9" t="s">
        <v>24</v>
      </c>
      <c r="D621" s="9" t="s">
        <v>22</v>
      </c>
      <c r="E621" s="80">
        <f>0.5</f>
        <v>0.5</v>
      </c>
      <c r="F621" s="81">
        <f>'Gia VL'!Q47</f>
        <v>9545.45</v>
      </c>
      <c r="G621" s="82">
        <f>ROUND(E621*F621,5)</f>
        <v>4772.725</v>
      </c>
    </row>
    <row r="622" spans="1:7" ht="15.75">
      <c r="A622" s="8" t="s">
        <v>0</v>
      </c>
      <c r="B622" s="9" t="s">
        <v>0</v>
      </c>
      <c r="C622" s="9" t="s">
        <v>603</v>
      </c>
      <c r="D622" s="9" t="s">
        <v>0</v>
      </c>
      <c r="E622" s="80"/>
      <c r="F622" s="81"/>
      <c r="G622" s="83">
        <f>ROUND(SUM(G623:G625),5)</f>
        <v>17421.822</v>
      </c>
    </row>
    <row r="623" spans="1:7" ht="15">
      <c r="A623" s="8" t="s">
        <v>0</v>
      </c>
      <c r="B623" s="9" t="s">
        <v>0</v>
      </c>
      <c r="C623" s="9" t="s">
        <v>305</v>
      </c>
      <c r="D623" s="9" t="s">
        <v>8</v>
      </c>
      <c r="E623" s="80">
        <f>0.099</f>
        <v>0.099</v>
      </c>
      <c r="F623" s="81">
        <f>'Gia NC,CM'!P10</f>
        <v>175978</v>
      </c>
      <c r="G623" s="82">
        <f>ROUND(E623*F623,5)</f>
        <v>17421.822</v>
      </c>
    </row>
    <row r="624" spans="1:7" ht="15">
      <c r="A624" s="8" t="s">
        <v>0</v>
      </c>
      <c r="B624" s="9" t="s">
        <v>0</v>
      </c>
      <c r="C624" s="9" t="s">
        <v>0</v>
      </c>
      <c r="D624" s="9" t="s">
        <v>0</v>
      </c>
      <c r="E624" s="80"/>
      <c r="F624" s="81"/>
      <c r="G624" s="82"/>
    </row>
    <row r="625" spans="1:7" ht="15">
      <c r="A625" s="8" t="s">
        <v>276</v>
      </c>
      <c r="B625" s="9" t="s">
        <v>320</v>
      </c>
      <c r="C625" s="9" t="s">
        <v>321</v>
      </c>
      <c r="D625" s="9" t="s">
        <v>38</v>
      </c>
      <c r="E625" s="80"/>
      <c r="F625" s="81"/>
      <c r="G625" s="82"/>
    </row>
    <row r="626" spans="1:7" ht="15.75">
      <c r="A626" s="8" t="s">
        <v>0</v>
      </c>
      <c r="B626" s="9" t="s">
        <v>0</v>
      </c>
      <c r="C626" s="9" t="s">
        <v>610</v>
      </c>
      <c r="D626" s="9" t="s">
        <v>0</v>
      </c>
      <c r="E626" s="80"/>
      <c r="F626" s="81"/>
      <c r="G626" s="83">
        <f>ROUND(SUM(G627:G628),5)</f>
        <v>8590.9089</v>
      </c>
    </row>
    <row r="627" spans="1:7" ht="15">
      <c r="A627" s="8" t="s">
        <v>0</v>
      </c>
      <c r="B627" s="9" t="s">
        <v>0</v>
      </c>
      <c r="C627" s="9" t="s">
        <v>322</v>
      </c>
      <c r="D627" s="9" t="s">
        <v>323</v>
      </c>
      <c r="E627" s="80">
        <f>0.1</f>
        <v>0.1</v>
      </c>
      <c r="F627" s="81">
        <f>'Gia VL'!Q14</f>
        <v>81818.18</v>
      </c>
      <c r="G627" s="82">
        <f>ROUND(E627*F627,5)</f>
        <v>8181.818</v>
      </c>
    </row>
    <row r="628" spans="1:7" ht="15">
      <c r="A628" s="8" t="s">
        <v>0</v>
      </c>
      <c r="B628" s="9" t="s">
        <v>0</v>
      </c>
      <c r="C628" s="9" t="s">
        <v>609</v>
      </c>
      <c r="D628" s="9" t="s">
        <v>605</v>
      </c>
      <c r="E628" s="80">
        <f>5</f>
        <v>5</v>
      </c>
      <c r="F628" s="81"/>
      <c r="G628" s="82">
        <f>ROUND(SUM(G627:G627)*E628/100,5)</f>
        <v>409.0909</v>
      </c>
    </row>
    <row r="629" spans="1:7" ht="15.75">
      <c r="A629" s="8" t="s">
        <v>0</v>
      </c>
      <c r="B629" s="9" t="s">
        <v>0</v>
      </c>
      <c r="C629" s="9" t="s">
        <v>608</v>
      </c>
      <c r="D629" s="9" t="s">
        <v>0</v>
      </c>
      <c r="E629" s="80"/>
      <c r="F629" s="81"/>
      <c r="G629" s="83">
        <f>ROUND(SUM(G630:G632),5)</f>
        <v>51701</v>
      </c>
    </row>
    <row r="630" spans="1:7" ht="15">
      <c r="A630" s="8" t="s">
        <v>0</v>
      </c>
      <c r="B630" s="9" t="s">
        <v>0</v>
      </c>
      <c r="C630" s="9" t="s">
        <v>44</v>
      </c>
      <c r="D630" s="9" t="s">
        <v>8</v>
      </c>
      <c r="E630" s="80">
        <f>0.205</f>
        <v>0.205</v>
      </c>
      <c r="F630" s="81">
        <f>'Gia NC,CM'!P11</f>
        <v>252200</v>
      </c>
      <c r="G630" s="82">
        <f>ROUND(E630*F630,5)</f>
        <v>51701</v>
      </c>
    </row>
    <row r="631" spans="1:7" ht="15">
      <c r="A631" s="8" t="s">
        <v>0</v>
      </c>
      <c r="B631" s="9" t="s">
        <v>0</v>
      </c>
      <c r="C631" s="9" t="s">
        <v>0</v>
      </c>
      <c r="D631" s="9" t="s">
        <v>0</v>
      </c>
      <c r="E631" s="80"/>
      <c r="F631" s="81"/>
      <c r="G631" s="82"/>
    </row>
    <row r="632" spans="1:7" ht="15">
      <c r="A632" s="8" t="s">
        <v>280</v>
      </c>
      <c r="B632" s="9" t="s">
        <v>326</v>
      </c>
      <c r="C632" s="9" t="s">
        <v>327</v>
      </c>
      <c r="D632" s="9" t="s">
        <v>104</v>
      </c>
      <c r="E632" s="80"/>
      <c r="F632" s="81"/>
      <c r="G632" s="82"/>
    </row>
    <row r="633" spans="1:7" ht="15.75">
      <c r="A633" s="8" t="s">
        <v>0</v>
      </c>
      <c r="B633" s="9" t="s">
        <v>0</v>
      </c>
      <c r="C633" s="9" t="s">
        <v>610</v>
      </c>
      <c r="D633" s="9" t="s">
        <v>0</v>
      </c>
      <c r="E633" s="80"/>
      <c r="F633" s="81"/>
      <c r="G633" s="83">
        <f>ROUND(SUM(G634:G636),5)</f>
        <v>4228.35941</v>
      </c>
    </row>
    <row r="634" spans="1:7" ht="15">
      <c r="A634" s="8" t="s">
        <v>0</v>
      </c>
      <c r="B634" s="9" t="s">
        <v>0</v>
      </c>
      <c r="C634" s="9" t="s">
        <v>328</v>
      </c>
      <c r="D634" s="9" t="s">
        <v>329</v>
      </c>
      <c r="E634" s="80">
        <f>0.074</f>
        <v>0.074</v>
      </c>
      <c r="F634" s="81">
        <f>'Gia VL'!Q74</f>
        <v>36363.6</v>
      </c>
      <c r="G634" s="82">
        <f>ROUND(E634*F634,5)</f>
        <v>2690.9064</v>
      </c>
    </row>
    <row r="635" spans="1:7" ht="15">
      <c r="A635" s="8" t="s">
        <v>0</v>
      </c>
      <c r="B635" s="9" t="s">
        <v>0</v>
      </c>
      <c r="C635" s="9" t="s">
        <v>330</v>
      </c>
      <c r="D635" s="9" t="s">
        <v>329</v>
      </c>
      <c r="E635" s="80">
        <f>0.04</f>
        <v>0.04</v>
      </c>
      <c r="F635" s="81">
        <f>'Gia VL'!Q84</f>
        <v>36363.6</v>
      </c>
      <c r="G635" s="82">
        <f>ROUND(E635*F635,5)</f>
        <v>1454.544</v>
      </c>
    </row>
    <row r="636" spans="1:7" ht="15">
      <c r="A636" s="8" t="s">
        <v>0</v>
      </c>
      <c r="B636" s="9" t="s">
        <v>0</v>
      </c>
      <c r="C636" s="9" t="s">
        <v>609</v>
      </c>
      <c r="D636" s="9" t="s">
        <v>605</v>
      </c>
      <c r="E636" s="80">
        <f>2</f>
        <v>2</v>
      </c>
      <c r="F636" s="81"/>
      <c r="G636" s="82">
        <f>ROUND(SUM(G634:G635)*E636/100,5)</f>
        <v>82.90901</v>
      </c>
    </row>
    <row r="637" spans="1:7" ht="15.75">
      <c r="A637" s="8" t="s">
        <v>0</v>
      </c>
      <c r="B637" s="9" t="s">
        <v>0</v>
      </c>
      <c r="C637" s="9" t="s">
        <v>608</v>
      </c>
      <c r="D637" s="9" t="s">
        <v>0</v>
      </c>
      <c r="E637" s="80"/>
      <c r="F637" s="81"/>
      <c r="G637" s="83">
        <f>ROUND(SUM(G638:G638),5)</f>
        <v>118534</v>
      </c>
    </row>
    <row r="638" spans="1:7" ht="15">
      <c r="A638" s="8" t="s">
        <v>0</v>
      </c>
      <c r="B638" s="9" t="s">
        <v>0</v>
      </c>
      <c r="C638" s="9" t="s">
        <v>44</v>
      </c>
      <c r="D638" s="9" t="s">
        <v>8</v>
      </c>
      <c r="E638" s="80">
        <f>0.47</f>
        <v>0.47</v>
      </c>
      <c r="F638" s="81">
        <f>'Gia NC,CM'!P11</f>
        <v>252200</v>
      </c>
      <c r="G638" s="82">
        <f>ROUND(E638*F638,5)</f>
        <v>118534</v>
      </c>
    </row>
    <row r="639" spans="1:7" ht="15.75">
      <c r="A639" s="8" t="s">
        <v>0</v>
      </c>
      <c r="B639" s="9" t="s">
        <v>0</v>
      </c>
      <c r="C639" s="9" t="s">
        <v>607</v>
      </c>
      <c r="D639" s="9" t="s">
        <v>0</v>
      </c>
      <c r="E639" s="80"/>
      <c r="F639" s="81"/>
      <c r="G639" s="83">
        <f>ROUND(SUM(G640:G645),5)</f>
        <v>3170.7144</v>
      </c>
    </row>
    <row r="640" spans="1:7" ht="15">
      <c r="A640" s="8" t="s">
        <v>0</v>
      </c>
      <c r="B640" s="9" t="s">
        <v>0</v>
      </c>
      <c r="C640" s="9" t="s">
        <v>331</v>
      </c>
      <c r="D640" s="9" t="s">
        <v>10</v>
      </c>
      <c r="E640" s="80">
        <f>0.1</f>
        <v>0.1</v>
      </c>
      <c r="F640" s="81">
        <f>'Gia NC,CM'!P18</f>
        <v>26796</v>
      </c>
      <c r="G640" s="82">
        <f>ROUND(E640*F640,5)</f>
        <v>2679.6</v>
      </c>
    </row>
    <row r="641" spans="1:7" ht="15">
      <c r="A641" s="8" t="s">
        <v>0</v>
      </c>
      <c r="B641" s="9" t="s">
        <v>0</v>
      </c>
      <c r="C641" s="9" t="s">
        <v>332</v>
      </c>
      <c r="D641" s="9" t="s">
        <v>10</v>
      </c>
      <c r="E641" s="80">
        <f>0.045</f>
        <v>0.045</v>
      </c>
      <c r="F641" s="81">
        <f>'Gia NC,CM'!P23</f>
        <v>7558.4</v>
      </c>
      <c r="G641" s="82">
        <f>ROUND(E641*F641,5)</f>
        <v>340.128</v>
      </c>
    </row>
    <row r="642" spans="1:7" ht="15">
      <c r="A642" s="8" t="s">
        <v>0</v>
      </c>
      <c r="B642" s="9" t="s">
        <v>0</v>
      </c>
      <c r="C642" s="9" t="s">
        <v>606</v>
      </c>
      <c r="D642" s="9" t="s">
        <v>605</v>
      </c>
      <c r="E642" s="80">
        <f>5</f>
        <v>5</v>
      </c>
      <c r="F642" s="81"/>
      <c r="G642" s="82">
        <f>ROUND(SUM(G640:G641)*E642/100,5)</f>
        <v>150.9864</v>
      </c>
    </row>
    <row r="643" spans="1:7" ht="15">
      <c r="A643" s="8" t="s">
        <v>0</v>
      </c>
      <c r="B643" s="9" t="s">
        <v>0</v>
      </c>
      <c r="C643" s="9" t="s">
        <v>0</v>
      </c>
      <c r="D643" s="9" t="s">
        <v>0</v>
      </c>
      <c r="E643" s="80"/>
      <c r="F643" s="81"/>
      <c r="G643" s="82"/>
    </row>
    <row r="644" spans="1:7" ht="15">
      <c r="A644" s="8" t="s">
        <v>283</v>
      </c>
      <c r="B644" s="9" t="s">
        <v>334</v>
      </c>
      <c r="C644" s="9" t="s">
        <v>335</v>
      </c>
      <c r="D644" s="9" t="s">
        <v>5</v>
      </c>
      <c r="E644" s="80"/>
      <c r="F644" s="81"/>
      <c r="G644" s="82"/>
    </row>
    <row r="645" spans="1:7" ht="15">
      <c r="A645" s="8" t="s">
        <v>0</v>
      </c>
      <c r="B645" s="9" t="s">
        <v>0</v>
      </c>
      <c r="C645" s="9" t="s">
        <v>336</v>
      </c>
      <c r="D645" s="9" t="s">
        <v>0</v>
      </c>
      <c r="E645" s="80"/>
      <c r="F645" s="81"/>
      <c r="G645" s="82"/>
    </row>
    <row r="646" spans="1:7" ht="15.75">
      <c r="A646" s="8" t="s">
        <v>0</v>
      </c>
      <c r="B646" s="9" t="s">
        <v>0</v>
      </c>
      <c r="C646" s="9" t="s">
        <v>603</v>
      </c>
      <c r="D646" s="9" t="s">
        <v>0</v>
      </c>
      <c r="E646" s="80"/>
      <c r="F646" s="81"/>
      <c r="G646" s="83">
        <f>ROUND(SUM(G647:G647),5)</f>
        <v>2841.2696</v>
      </c>
    </row>
    <row r="647" spans="1:7" ht="15">
      <c r="A647" s="8" t="s">
        <v>0</v>
      </c>
      <c r="B647" s="9" t="s">
        <v>0</v>
      </c>
      <c r="C647" s="9" t="s">
        <v>7</v>
      </c>
      <c r="D647" s="9" t="s">
        <v>8</v>
      </c>
      <c r="E647" s="80">
        <f>0.013</f>
        <v>0.013</v>
      </c>
      <c r="F647" s="81">
        <f>'Gia NC,CM'!P8</f>
        <v>218559.2</v>
      </c>
      <c r="G647" s="82">
        <f>ROUND(E647*F647,5)</f>
        <v>2841.2696</v>
      </c>
    </row>
    <row r="648" spans="1:7" ht="15.75">
      <c r="A648" s="8" t="s">
        <v>0</v>
      </c>
      <c r="B648" s="9" t="s">
        <v>0</v>
      </c>
      <c r="C648" s="9" t="s">
        <v>602</v>
      </c>
      <c r="D648" s="9" t="s">
        <v>0</v>
      </c>
      <c r="E648" s="80"/>
      <c r="F648" s="81"/>
      <c r="G648" s="83">
        <f>ROUND(SUM(G649:G652),5)</f>
        <v>88602.239</v>
      </c>
    </row>
    <row r="649" spans="1:7" ht="15">
      <c r="A649" s="8" t="s">
        <v>0</v>
      </c>
      <c r="B649" s="9" t="s">
        <v>0</v>
      </c>
      <c r="C649" s="9" t="s">
        <v>337</v>
      </c>
      <c r="D649" s="9" t="s">
        <v>10</v>
      </c>
      <c r="E649" s="80">
        <f>0.022</f>
        <v>0.022</v>
      </c>
      <c r="F649" s="81">
        <f>'Gia NC,CM'!P27</f>
        <v>4027374.5</v>
      </c>
      <c r="G649" s="82">
        <f>ROUND(E649*F649,5)</f>
        <v>88602.239</v>
      </c>
    </row>
    <row r="650" spans="1:7" ht="15">
      <c r="A650" s="8" t="s">
        <v>0</v>
      </c>
      <c r="B650" s="9" t="s">
        <v>0</v>
      </c>
      <c r="C650" s="9" t="s">
        <v>0</v>
      </c>
      <c r="D650" s="9" t="s">
        <v>0</v>
      </c>
      <c r="E650" s="80"/>
      <c r="F650" s="81"/>
      <c r="G650" s="82"/>
    </row>
    <row r="651" spans="1:7" ht="15">
      <c r="A651" s="8" t="s">
        <v>285</v>
      </c>
      <c r="B651" s="9" t="s">
        <v>340</v>
      </c>
      <c r="C651" s="9" t="s">
        <v>341</v>
      </c>
      <c r="D651" s="9" t="s">
        <v>5</v>
      </c>
      <c r="E651" s="80"/>
      <c r="F651" s="81"/>
      <c r="G651" s="82"/>
    </row>
    <row r="652" spans="1:7" ht="15">
      <c r="A652" s="8" t="s">
        <v>0</v>
      </c>
      <c r="B652" s="9" t="s">
        <v>0</v>
      </c>
      <c r="C652" s="9" t="s">
        <v>342</v>
      </c>
      <c r="D652" s="9" t="s">
        <v>0</v>
      </c>
      <c r="E652" s="80"/>
      <c r="F652" s="81"/>
      <c r="G652" s="82"/>
    </row>
    <row r="653" spans="1:7" ht="15.75">
      <c r="A653" s="8" t="s">
        <v>0</v>
      </c>
      <c r="B653" s="9" t="s">
        <v>0</v>
      </c>
      <c r="C653" s="9" t="s">
        <v>604</v>
      </c>
      <c r="D653" s="9" t="s">
        <v>0</v>
      </c>
      <c r="E653" s="80"/>
      <c r="F653" s="81"/>
      <c r="G653" s="83">
        <f>ROUND(SUM(G654:G657),5)</f>
        <v>773921.80161</v>
      </c>
    </row>
    <row r="654" spans="1:7" ht="15">
      <c r="A654" s="8" t="s">
        <v>0</v>
      </c>
      <c r="B654" s="9" t="s">
        <v>0</v>
      </c>
      <c r="C654" s="9" t="s">
        <v>19</v>
      </c>
      <c r="D654" s="9" t="s">
        <v>20</v>
      </c>
      <c r="E654" s="80">
        <f>197.825</f>
        <v>197.825</v>
      </c>
      <c r="F654" s="81">
        <f>ROUND('Gia VL'!Q67/1000,5)</f>
        <v>1637.6775</v>
      </c>
      <c r="G654" s="82">
        <f>ROUND(E654*F654,5)</f>
        <v>323973.55144</v>
      </c>
    </row>
    <row r="655" spans="1:7" ht="15">
      <c r="A655" s="8" t="s">
        <v>0</v>
      </c>
      <c r="B655" s="9" t="s">
        <v>0</v>
      </c>
      <c r="C655" s="9" t="s">
        <v>21</v>
      </c>
      <c r="D655" s="9" t="s">
        <v>22</v>
      </c>
      <c r="E655" s="80">
        <f>0.572975</f>
        <v>0.572975</v>
      </c>
      <c r="F655" s="81">
        <f>'Gia VL'!Q18</f>
        <v>379127.7</v>
      </c>
      <c r="G655" s="82">
        <f>ROUND(E655*F655,5)</f>
        <v>217230.69391</v>
      </c>
    </row>
    <row r="656" spans="1:7" ht="15">
      <c r="A656" s="8" t="s">
        <v>0</v>
      </c>
      <c r="B656" s="9" t="s">
        <v>0</v>
      </c>
      <c r="C656" s="9" t="s">
        <v>23</v>
      </c>
      <c r="D656" s="9" t="s">
        <v>22</v>
      </c>
      <c r="E656" s="80">
        <f>0.92865</f>
        <v>0.92865</v>
      </c>
      <c r="F656" s="81">
        <f>'Gia VL'!Q81</f>
        <v>248890.90000000002</v>
      </c>
      <c r="G656" s="82">
        <f>ROUND(E656*F656,5)</f>
        <v>231132.53429</v>
      </c>
    </row>
    <row r="657" spans="1:7" ht="15">
      <c r="A657" s="8" t="s">
        <v>0</v>
      </c>
      <c r="B657" s="9" t="s">
        <v>0</v>
      </c>
      <c r="C657" s="9" t="s">
        <v>24</v>
      </c>
      <c r="D657" s="9" t="s">
        <v>22</v>
      </c>
      <c r="E657" s="80">
        <f>0.16605</f>
        <v>0.16605</v>
      </c>
      <c r="F657" s="81">
        <f>'Gia VL'!Q47</f>
        <v>9545.45</v>
      </c>
      <c r="G657" s="82">
        <f>ROUND(E657*F657,5)</f>
        <v>1585.02197</v>
      </c>
    </row>
    <row r="658" spans="1:7" ht="15.75">
      <c r="A658" s="8" t="s">
        <v>0</v>
      </c>
      <c r="B658" s="9" t="s">
        <v>0</v>
      </c>
      <c r="C658" s="9" t="s">
        <v>603</v>
      </c>
      <c r="D658" s="9" t="s">
        <v>0</v>
      </c>
      <c r="E658" s="80"/>
      <c r="F658" s="81"/>
      <c r="G658" s="83">
        <f>ROUND(SUM(G659:G659),5)</f>
        <v>246774.421</v>
      </c>
    </row>
    <row r="659" spans="1:7" ht="15">
      <c r="A659" s="8" t="s">
        <v>0</v>
      </c>
      <c r="B659" s="9" t="s">
        <v>0</v>
      </c>
      <c r="C659" s="9" t="s">
        <v>25</v>
      </c>
      <c r="D659" s="9" t="s">
        <v>8</v>
      </c>
      <c r="E659" s="80">
        <f>1.07</f>
        <v>1.07</v>
      </c>
      <c r="F659" s="81">
        <f>'Gia NC,CM'!P9</f>
        <v>230630.3</v>
      </c>
      <c r="G659" s="82">
        <f>ROUND(E659*F659,5)</f>
        <v>246774.421</v>
      </c>
    </row>
    <row r="660" spans="1:7" ht="15.75">
      <c r="A660" s="8" t="s">
        <v>0</v>
      </c>
      <c r="B660" s="9" t="s">
        <v>0</v>
      </c>
      <c r="C660" s="9" t="s">
        <v>602</v>
      </c>
      <c r="D660" s="9" t="s">
        <v>0</v>
      </c>
      <c r="E660" s="80"/>
      <c r="F660" s="81"/>
      <c r="G660" s="83">
        <f>ROUND(SUM(G661:G665),5)</f>
        <v>54409.0095</v>
      </c>
    </row>
    <row r="661" spans="1:7" ht="15">
      <c r="A661" s="8" t="s">
        <v>0</v>
      </c>
      <c r="B661" s="9" t="s">
        <v>0</v>
      </c>
      <c r="C661" s="9" t="s">
        <v>26</v>
      </c>
      <c r="D661" s="9" t="s">
        <v>10</v>
      </c>
      <c r="E661" s="80">
        <f>0.095</f>
        <v>0.095</v>
      </c>
      <c r="F661" s="81">
        <f>'Gia NC,CM'!P25</f>
        <v>318885.3</v>
      </c>
      <c r="G661" s="82">
        <f>ROUND(E661*F661,5)</f>
        <v>30294.1035</v>
      </c>
    </row>
    <row r="662" spans="1:7" ht="15">
      <c r="A662" s="8" t="s">
        <v>0</v>
      </c>
      <c r="B662" s="9" t="s">
        <v>0</v>
      </c>
      <c r="C662" s="9" t="s">
        <v>27</v>
      </c>
      <c r="D662" s="9" t="s">
        <v>10</v>
      </c>
      <c r="E662" s="80">
        <f>0.089</f>
        <v>0.089</v>
      </c>
      <c r="F662" s="81">
        <f>'Gia NC,CM'!P29</f>
        <v>270954</v>
      </c>
      <c r="G662" s="82">
        <f>ROUND(E662*F662,5)</f>
        <v>24114.906</v>
      </c>
    </row>
    <row r="663" spans="1:7" ht="15">
      <c r="A663" s="8" t="s">
        <v>0</v>
      </c>
      <c r="B663" s="9" t="s">
        <v>0</v>
      </c>
      <c r="C663" s="9" t="s">
        <v>0</v>
      </c>
      <c r="D663" s="9" t="s">
        <v>0</v>
      </c>
      <c r="E663" s="80"/>
      <c r="F663" s="81"/>
      <c r="G663" s="82"/>
    </row>
    <row r="664" spans="1:7" ht="15">
      <c r="A664" s="8" t="s">
        <v>291</v>
      </c>
      <c r="B664" s="9" t="s">
        <v>344</v>
      </c>
      <c r="C664" s="9" t="s">
        <v>345</v>
      </c>
      <c r="D664" s="9" t="s">
        <v>104</v>
      </c>
      <c r="E664" s="80"/>
      <c r="F664" s="81"/>
      <c r="G664" s="82"/>
    </row>
    <row r="665" spans="1:7" ht="15">
      <c r="A665" s="8" t="s">
        <v>0</v>
      </c>
      <c r="B665" s="9" t="s">
        <v>0</v>
      </c>
      <c r="C665" s="9" t="s">
        <v>346</v>
      </c>
      <c r="D665" s="9" t="s">
        <v>0</v>
      </c>
      <c r="E665" s="80"/>
      <c r="F665" s="81"/>
      <c r="G665" s="82"/>
    </row>
    <row r="666" spans="1:7" ht="15.75">
      <c r="A666" s="8" t="s">
        <v>0</v>
      </c>
      <c r="B666" s="9" t="s">
        <v>0</v>
      </c>
      <c r="C666" s="9" t="s">
        <v>604</v>
      </c>
      <c r="D666" s="9" t="s">
        <v>0</v>
      </c>
      <c r="E666" s="80"/>
      <c r="F666" s="81"/>
      <c r="G666" s="83">
        <f>ROUND(SUM(G667:G669),5)</f>
        <v>4311.66911</v>
      </c>
    </row>
    <row r="667" spans="1:7" ht="15">
      <c r="A667" s="8" t="s">
        <v>0</v>
      </c>
      <c r="B667" s="9" t="s">
        <v>0</v>
      </c>
      <c r="C667" s="9" t="s">
        <v>19</v>
      </c>
      <c r="D667" s="9" t="s">
        <v>20</v>
      </c>
      <c r="E667" s="80">
        <f>1.32</f>
        <v>1.32</v>
      </c>
      <c r="F667" s="81">
        <f>ROUND('Gia VL'!Q67/1000,5)</f>
        <v>1637.6775</v>
      </c>
      <c r="G667" s="82">
        <f>ROUND(E667*F667,5)</f>
        <v>2161.7343</v>
      </c>
    </row>
    <row r="668" spans="1:7" ht="15">
      <c r="A668" s="8" t="s">
        <v>0</v>
      </c>
      <c r="B668" s="9" t="s">
        <v>0</v>
      </c>
      <c r="C668" s="9" t="s">
        <v>61</v>
      </c>
      <c r="D668" s="9" t="s">
        <v>22</v>
      </c>
      <c r="E668" s="80">
        <f>0.00595</f>
        <v>0.00595</v>
      </c>
      <c r="F668" s="81">
        <f>'Gia VL'!Q15</f>
        <v>359127.7</v>
      </c>
      <c r="G668" s="82">
        <f>ROUND(E668*F668,5)</f>
        <v>2136.80982</v>
      </c>
    </row>
    <row r="669" spans="1:7" ht="15">
      <c r="A669" s="8" t="s">
        <v>0</v>
      </c>
      <c r="B669" s="9" t="s">
        <v>0</v>
      </c>
      <c r="C669" s="9" t="s">
        <v>24</v>
      </c>
      <c r="D669" s="9" t="s">
        <v>22</v>
      </c>
      <c r="E669" s="80">
        <f>0.001375</f>
        <v>0.001375</v>
      </c>
      <c r="F669" s="81">
        <f>'Gia VL'!Q47</f>
        <v>9545.45</v>
      </c>
      <c r="G669" s="82">
        <f>ROUND(E669*F669,5)</f>
        <v>13.12499</v>
      </c>
    </row>
    <row r="670" spans="1:7" ht="15.75">
      <c r="A670" s="8" t="s">
        <v>0</v>
      </c>
      <c r="B670" s="9" t="s">
        <v>0</v>
      </c>
      <c r="C670" s="9" t="s">
        <v>603</v>
      </c>
      <c r="D670" s="9" t="s">
        <v>0</v>
      </c>
      <c r="E670" s="80"/>
      <c r="F670" s="81"/>
      <c r="G670" s="83">
        <f>ROUND(SUM(G671:G673),5)</f>
        <v>27376.97</v>
      </c>
    </row>
    <row r="671" spans="1:7" ht="15">
      <c r="A671" s="8" t="s">
        <v>0</v>
      </c>
      <c r="B671" s="9" t="s">
        <v>0</v>
      </c>
      <c r="C671" s="9" t="s">
        <v>99</v>
      </c>
      <c r="D671" s="9" t="s">
        <v>8</v>
      </c>
      <c r="E671" s="80">
        <f>0.1</f>
        <v>0.1</v>
      </c>
      <c r="F671" s="81">
        <f>'Gia NC,CM'!P14</f>
        <v>273769.7</v>
      </c>
      <c r="G671" s="82">
        <f>ROUND(E671*F671,5)</f>
        <v>27376.97</v>
      </c>
    </row>
    <row r="672" spans="1:7" ht="15">
      <c r="A672" s="8" t="s">
        <v>0</v>
      </c>
      <c r="B672" s="9" t="s">
        <v>0</v>
      </c>
      <c r="C672" s="9" t="s">
        <v>0</v>
      </c>
      <c r="D672" s="9" t="s">
        <v>0</v>
      </c>
      <c r="E672" s="80"/>
      <c r="F672" s="81"/>
      <c r="G672" s="82"/>
    </row>
    <row r="673" spans="1:7" ht="15">
      <c r="A673" s="8" t="s">
        <v>301</v>
      </c>
      <c r="B673" s="9" t="s">
        <v>348</v>
      </c>
      <c r="C673" s="9" t="s">
        <v>349</v>
      </c>
      <c r="D673" s="9" t="s">
        <v>60</v>
      </c>
      <c r="E673" s="80"/>
      <c r="F673" s="81"/>
      <c r="G673" s="82"/>
    </row>
    <row r="674" spans="1:7" ht="15.75">
      <c r="A674" s="8" t="s">
        <v>0</v>
      </c>
      <c r="B674" s="9" t="s">
        <v>0</v>
      </c>
      <c r="C674" s="9" t="s">
        <v>604</v>
      </c>
      <c r="D674" s="9" t="s">
        <v>0</v>
      </c>
      <c r="E674" s="80"/>
      <c r="F674" s="81"/>
      <c r="G674" s="83">
        <f>ROUND(SUM(G675:G678),5)</f>
        <v>550000</v>
      </c>
    </row>
    <row r="675" spans="1:7" ht="15">
      <c r="A675" s="8" t="s">
        <v>0</v>
      </c>
      <c r="B675" s="9" t="s">
        <v>0</v>
      </c>
      <c r="C675" s="9" t="s">
        <v>350</v>
      </c>
      <c r="D675" s="9" t="s">
        <v>329</v>
      </c>
      <c r="E675" s="80">
        <f>1</f>
        <v>1</v>
      </c>
      <c r="F675" s="81">
        <f>'Gia VL'!Q12</f>
        <v>550000</v>
      </c>
      <c r="G675" s="82">
        <f>ROUND(E675*F675,5)</f>
        <v>550000</v>
      </c>
    </row>
    <row r="676" spans="1:7" ht="15">
      <c r="A676" s="8" t="s">
        <v>0</v>
      </c>
      <c r="B676" s="9" t="s">
        <v>0</v>
      </c>
      <c r="C676" s="9" t="s">
        <v>0</v>
      </c>
      <c r="D676" s="9" t="s">
        <v>0</v>
      </c>
      <c r="E676" s="80"/>
      <c r="F676" s="81"/>
      <c r="G676" s="82"/>
    </row>
    <row r="677" spans="1:7" ht="15">
      <c r="A677" s="8" t="s">
        <v>306</v>
      </c>
      <c r="B677" s="9" t="s">
        <v>352</v>
      </c>
      <c r="C677" s="9" t="s">
        <v>353</v>
      </c>
      <c r="D677" s="9" t="s">
        <v>5</v>
      </c>
      <c r="E677" s="80"/>
      <c r="F677" s="81"/>
      <c r="G677" s="82"/>
    </row>
    <row r="678" spans="1:7" ht="15">
      <c r="A678" s="8" t="s">
        <v>0</v>
      </c>
      <c r="B678" s="9" t="s">
        <v>0</v>
      </c>
      <c r="C678" s="9" t="s">
        <v>354</v>
      </c>
      <c r="D678" s="9" t="s">
        <v>0</v>
      </c>
      <c r="E678" s="80"/>
      <c r="F678" s="81"/>
      <c r="G678" s="82"/>
    </row>
    <row r="679" spans="1:7" ht="15.75">
      <c r="A679" s="8" t="s">
        <v>0</v>
      </c>
      <c r="B679" s="9" t="s">
        <v>0</v>
      </c>
      <c r="C679" s="9" t="s">
        <v>602</v>
      </c>
      <c r="D679" s="9" t="s">
        <v>0</v>
      </c>
      <c r="E679" s="80"/>
      <c r="F679" s="81"/>
      <c r="G679" s="83">
        <f>ROUND(SUM(G680:G683),5)</f>
        <v>27519.23979</v>
      </c>
    </row>
    <row r="680" spans="1:7" ht="15">
      <c r="A680" s="8" t="s">
        <v>0</v>
      </c>
      <c r="B680" s="9" t="s">
        <v>0</v>
      </c>
      <c r="C680" s="9" t="s">
        <v>355</v>
      </c>
      <c r="D680" s="9" t="s">
        <v>10</v>
      </c>
      <c r="E680" s="80">
        <f>0.01711</f>
        <v>0.01711</v>
      </c>
      <c r="F680" s="81">
        <f>'Gia NC,CM'!P33</f>
        <v>1608371.7</v>
      </c>
      <c r="G680" s="82">
        <f>ROUND(E680*F680,5)</f>
        <v>27519.23979</v>
      </c>
    </row>
    <row r="681" spans="1:7" ht="15">
      <c r="A681" s="8" t="s">
        <v>0</v>
      </c>
      <c r="B681" s="9" t="s">
        <v>0</v>
      </c>
      <c r="C681" s="9" t="s">
        <v>0</v>
      </c>
      <c r="D681" s="9" t="s">
        <v>0</v>
      </c>
      <c r="E681" s="80"/>
      <c r="F681" s="81"/>
      <c r="G681" s="82"/>
    </row>
    <row r="682" spans="1:7" ht="15">
      <c r="A682" s="8" t="s">
        <v>315</v>
      </c>
      <c r="B682" s="9" t="s">
        <v>357</v>
      </c>
      <c r="C682" s="9" t="s">
        <v>358</v>
      </c>
      <c r="D682" s="9" t="s">
        <v>5</v>
      </c>
      <c r="E682" s="80"/>
      <c r="F682" s="81"/>
      <c r="G682" s="82"/>
    </row>
    <row r="683" spans="1:7" ht="15">
      <c r="A683" s="8" t="s">
        <v>0</v>
      </c>
      <c r="B683" s="9" t="s">
        <v>0</v>
      </c>
      <c r="C683" s="9" t="s">
        <v>359</v>
      </c>
      <c r="D683" s="9" t="s">
        <v>0</v>
      </c>
      <c r="E683" s="80"/>
      <c r="F683" s="81"/>
      <c r="G683" s="82"/>
    </row>
    <row r="684" spans="1:7" ht="15.75">
      <c r="A684" s="8" t="s">
        <v>0</v>
      </c>
      <c r="B684" s="9" t="s">
        <v>0</v>
      </c>
      <c r="C684" s="9" t="s">
        <v>602</v>
      </c>
      <c r="D684" s="9" t="s">
        <v>0</v>
      </c>
      <c r="E684" s="80"/>
      <c r="F684" s="81"/>
      <c r="G684" s="83">
        <f>ROUND(SUM(G685:G688),5)</f>
        <v>11065.5973</v>
      </c>
    </row>
    <row r="685" spans="1:7" ht="15">
      <c r="A685" s="8" t="s">
        <v>0</v>
      </c>
      <c r="B685" s="9" t="s">
        <v>0</v>
      </c>
      <c r="C685" s="9" t="s">
        <v>355</v>
      </c>
      <c r="D685" s="9" t="s">
        <v>10</v>
      </c>
      <c r="E685" s="80">
        <f>0.00688</f>
        <v>0.00688</v>
      </c>
      <c r="F685" s="81">
        <f>'Gia NC,CM'!P33</f>
        <v>1608371.7</v>
      </c>
      <c r="G685" s="82">
        <f>ROUND(E685*F685,5)</f>
        <v>11065.5973</v>
      </c>
    </row>
    <row r="686" spans="1:7" ht="15">
      <c r="A686" s="8" t="s">
        <v>0</v>
      </c>
      <c r="B686" s="9" t="s">
        <v>0</v>
      </c>
      <c r="C686" s="9" t="s">
        <v>0</v>
      </c>
      <c r="D686" s="9" t="s">
        <v>0</v>
      </c>
      <c r="E686" s="80"/>
      <c r="F686" s="81"/>
      <c r="G686" s="82"/>
    </row>
    <row r="687" spans="1:7" ht="15">
      <c r="A687" s="8" t="s">
        <v>319</v>
      </c>
      <c r="B687" s="9" t="s">
        <v>366</v>
      </c>
      <c r="C687" s="9" t="s">
        <v>367</v>
      </c>
      <c r="D687" s="9" t="s">
        <v>368</v>
      </c>
      <c r="E687" s="80"/>
      <c r="F687" s="81"/>
      <c r="G687" s="82"/>
    </row>
    <row r="688" spans="1:7" ht="15">
      <c r="A688" s="8" t="s">
        <v>0</v>
      </c>
      <c r="B688" s="9" t="s">
        <v>0</v>
      </c>
      <c r="C688" s="9" t="s">
        <v>369</v>
      </c>
      <c r="D688" s="9" t="s">
        <v>0</v>
      </c>
      <c r="E688" s="80"/>
      <c r="F688" s="81"/>
      <c r="G688" s="82"/>
    </row>
    <row r="689" spans="1:7" ht="15.75">
      <c r="A689" s="8" t="s">
        <v>0</v>
      </c>
      <c r="B689" s="9" t="s">
        <v>0</v>
      </c>
      <c r="C689" s="9" t="s">
        <v>603</v>
      </c>
      <c r="D689" s="9" t="s">
        <v>0</v>
      </c>
      <c r="E689" s="80"/>
      <c r="F689" s="81"/>
      <c r="G689" s="83">
        <f>ROUND(SUM(G690:G693),5)</f>
        <v>67753.352</v>
      </c>
    </row>
    <row r="690" spans="1:7" ht="15">
      <c r="A690" s="8" t="s">
        <v>0</v>
      </c>
      <c r="B690" s="9" t="s">
        <v>0</v>
      </c>
      <c r="C690" s="9" t="s">
        <v>7</v>
      </c>
      <c r="D690" s="9" t="s">
        <v>8</v>
      </c>
      <c r="E690" s="80">
        <f>0.31</f>
        <v>0.31</v>
      </c>
      <c r="F690" s="81">
        <f>'Gia NC,CM'!P8</f>
        <v>218559.2</v>
      </c>
      <c r="G690" s="82">
        <f>ROUND(E690*F690,5)</f>
        <v>67753.352</v>
      </c>
    </row>
    <row r="691" spans="1:7" ht="15">
      <c r="A691" s="8" t="s">
        <v>0</v>
      </c>
      <c r="B691" s="9" t="s">
        <v>0</v>
      </c>
      <c r="C691" s="9" t="s">
        <v>0</v>
      </c>
      <c r="D691" s="9" t="s">
        <v>0</v>
      </c>
      <c r="E691" s="80"/>
      <c r="F691" s="81"/>
      <c r="G691" s="82"/>
    </row>
    <row r="692" spans="1:7" ht="15">
      <c r="A692" s="8" t="s">
        <v>325</v>
      </c>
      <c r="B692" s="9" t="s">
        <v>371</v>
      </c>
      <c r="C692" s="9" t="s">
        <v>367</v>
      </c>
      <c r="D692" s="9" t="s">
        <v>368</v>
      </c>
      <c r="E692" s="80"/>
      <c r="F692" s="81"/>
      <c r="G692" s="82"/>
    </row>
    <row r="693" spans="1:7" ht="15">
      <c r="A693" s="8" t="s">
        <v>0</v>
      </c>
      <c r="B693" s="9" t="s">
        <v>0</v>
      </c>
      <c r="C693" s="9" t="s">
        <v>372</v>
      </c>
      <c r="D693" s="9" t="s">
        <v>0</v>
      </c>
      <c r="E693" s="80"/>
      <c r="F693" s="81"/>
      <c r="G693" s="82"/>
    </row>
    <row r="694" spans="1:7" ht="15.75">
      <c r="A694" s="8" t="s">
        <v>0</v>
      </c>
      <c r="B694" s="9" t="s">
        <v>0</v>
      </c>
      <c r="C694" s="9" t="s">
        <v>603</v>
      </c>
      <c r="D694" s="9" t="s">
        <v>0</v>
      </c>
      <c r="E694" s="80"/>
      <c r="F694" s="81"/>
      <c r="G694" s="83">
        <f>ROUND(SUM(G695:G698),5)</f>
        <v>41526.248</v>
      </c>
    </row>
    <row r="695" spans="1:7" ht="15">
      <c r="A695" s="8" t="s">
        <v>0</v>
      </c>
      <c r="B695" s="9" t="s">
        <v>0</v>
      </c>
      <c r="C695" s="9" t="s">
        <v>7</v>
      </c>
      <c r="D695" s="9" t="s">
        <v>8</v>
      </c>
      <c r="E695" s="80">
        <f>0.19</f>
        <v>0.19</v>
      </c>
      <c r="F695" s="81">
        <f>'Gia NC,CM'!P8</f>
        <v>218559.2</v>
      </c>
      <c r="G695" s="82">
        <f>ROUND(E695*F695,5)</f>
        <v>41526.248</v>
      </c>
    </row>
    <row r="696" spans="1:7" ht="15">
      <c r="A696" s="8" t="s">
        <v>0</v>
      </c>
      <c r="B696" s="9" t="s">
        <v>0</v>
      </c>
      <c r="C696" s="9" t="s">
        <v>0</v>
      </c>
      <c r="D696" s="9" t="s">
        <v>0</v>
      </c>
      <c r="E696" s="80"/>
      <c r="F696" s="81"/>
      <c r="G696" s="82"/>
    </row>
    <row r="697" spans="1:7" ht="15">
      <c r="A697" s="8" t="s">
        <v>333</v>
      </c>
      <c r="B697" s="9" t="s">
        <v>374</v>
      </c>
      <c r="C697" s="9" t="s">
        <v>367</v>
      </c>
      <c r="D697" s="9" t="s">
        <v>73</v>
      </c>
      <c r="E697" s="80"/>
      <c r="F697" s="81"/>
      <c r="G697" s="82"/>
    </row>
    <row r="698" spans="1:7" ht="15">
      <c r="A698" s="8" t="s">
        <v>0</v>
      </c>
      <c r="B698" s="9" t="s">
        <v>0</v>
      </c>
      <c r="C698" s="9" t="s">
        <v>375</v>
      </c>
      <c r="D698" s="9" t="s">
        <v>0</v>
      </c>
      <c r="E698" s="80"/>
      <c r="F698" s="81"/>
      <c r="G698" s="82"/>
    </row>
    <row r="699" spans="1:7" ht="15.75">
      <c r="A699" s="8" t="s">
        <v>0</v>
      </c>
      <c r="B699" s="9" t="s">
        <v>0</v>
      </c>
      <c r="C699" s="9" t="s">
        <v>603</v>
      </c>
      <c r="D699" s="9" t="s">
        <v>0</v>
      </c>
      <c r="E699" s="80"/>
      <c r="F699" s="81"/>
      <c r="G699" s="83">
        <f>ROUND(SUM(G700:G703),5)</f>
        <v>24041.512</v>
      </c>
    </row>
    <row r="700" spans="1:7" ht="15">
      <c r="A700" s="8" t="s">
        <v>0</v>
      </c>
      <c r="B700" s="9" t="s">
        <v>0</v>
      </c>
      <c r="C700" s="9" t="s">
        <v>7</v>
      </c>
      <c r="D700" s="9" t="s">
        <v>8</v>
      </c>
      <c r="E700" s="80">
        <f>0.11</f>
        <v>0.11</v>
      </c>
      <c r="F700" s="81">
        <f>'Gia NC,CM'!P8</f>
        <v>218559.2</v>
      </c>
      <c r="G700" s="82">
        <f>ROUND(E700*F700,5)</f>
        <v>24041.512</v>
      </c>
    </row>
    <row r="701" spans="1:7" ht="15">
      <c r="A701" s="8" t="s">
        <v>0</v>
      </c>
      <c r="B701" s="9" t="s">
        <v>0</v>
      </c>
      <c r="C701" s="9" t="s">
        <v>0</v>
      </c>
      <c r="D701" s="9" t="s">
        <v>0</v>
      </c>
      <c r="E701" s="80"/>
      <c r="F701" s="81"/>
      <c r="G701" s="82"/>
    </row>
    <row r="702" spans="1:7" ht="15">
      <c r="A702" s="8" t="s">
        <v>338</v>
      </c>
      <c r="B702" s="9" t="s">
        <v>377</v>
      </c>
      <c r="C702" s="9" t="s">
        <v>367</v>
      </c>
      <c r="D702" s="9" t="s">
        <v>22</v>
      </c>
      <c r="E702" s="80"/>
      <c r="F702" s="81"/>
      <c r="G702" s="82"/>
    </row>
    <row r="703" spans="1:7" ht="15">
      <c r="A703" s="8" t="s">
        <v>0</v>
      </c>
      <c r="B703" s="9" t="s">
        <v>0</v>
      </c>
      <c r="C703" s="9" t="s">
        <v>378</v>
      </c>
      <c r="D703" s="9" t="s">
        <v>0</v>
      </c>
      <c r="E703" s="80"/>
      <c r="F703" s="81"/>
      <c r="G703" s="82"/>
    </row>
    <row r="704" spans="1:7" ht="15.75">
      <c r="A704" s="8" t="s">
        <v>0</v>
      </c>
      <c r="B704" s="9" t="s">
        <v>0</v>
      </c>
      <c r="C704" s="9" t="s">
        <v>603</v>
      </c>
      <c r="D704" s="9" t="s">
        <v>0</v>
      </c>
      <c r="E704" s="80"/>
      <c r="F704" s="81"/>
      <c r="G704" s="83">
        <f>ROUND(SUM(G705:G708),5)</f>
        <v>19670.328</v>
      </c>
    </row>
    <row r="705" spans="1:7" ht="15">
      <c r="A705" s="8" t="s">
        <v>0</v>
      </c>
      <c r="B705" s="9" t="s">
        <v>0</v>
      </c>
      <c r="C705" s="9" t="s">
        <v>7</v>
      </c>
      <c r="D705" s="9" t="s">
        <v>8</v>
      </c>
      <c r="E705" s="80">
        <f>0.09</f>
        <v>0.09</v>
      </c>
      <c r="F705" s="81">
        <f>'Gia NC,CM'!P8</f>
        <v>218559.2</v>
      </c>
      <c r="G705" s="82">
        <f>ROUND(E705*F705,5)</f>
        <v>19670.328</v>
      </c>
    </row>
    <row r="706" spans="1:7" ht="15">
      <c r="A706" s="8" t="s">
        <v>0</v>
      </c>
      <c r="B706" s="9" t="s">
        <v>0</v>
      </c>
      <c r="C706" s="9" t="s">
        <v>0</v>
      </c>
      <c r="D706" s="9" t="s">
        <v>0</v>
      </c>
      <c r="E706" s="80"/>
      <c r="F706" s="81"/>
      <c r="G706" s="82"/>
    </row>
    <row r="707" spans="1:7" ht="15">
      <c r="A707" s="8" t="s">
        <v>339</v>
      </c>
      <c r="B707" s="9" t="s">
        <v>380</v>
      </c>
      <c r="C707" s="9" t="s">
        <v>367</v>
      </c>
      <c r="D707" s="9" t="s">
        <v>73</v>
      </c>
      <c r="E707" s="80"/>
      <c r="F707" s="81"/>
      <c r="G707" s="82"/>
    </row>
    <row r="708" spans="1:7" ht="15">
      <c r="A708" s="8" t="s">
        <v>0</v>
      </c>
      <c r="B708" s="9" t="s">
        <v>0</v>
      </c>
      <c r="C708" s="9" t="s">
        <v>381</v>
      </c>
      <c r="D708" s="9" t="s">
        <v>0</v>
      </c>
      <c r="E708" s="80"/>
      <c r="F708" s="81"/>
      <c r="G708" s="82"/>
    </row>
    <row r="709" spans="1:7" ht="15.75">
      <c r="A709" s="8" t="s">
        <v>0</v>
      </c>
      <c r="B709" s="9" t="s">
        <v>0</v>
      </c>
      <c r="C709" s="9" t="s">
        <v>603</v>
      </c>
      <c r="D709" s="9" t="s">
        <v>0</v>
      </c>
      <c r="E709" s="80"/>
      <c r="F709" s="81"/>
      <c r="G709" s="83">
        <f>ROUND(SUM(G710:G713),5)</f>
        <v>45897.432</v>
      </c>
    </row>
    <row r="710" spans="1:7" ht="15">
      <c r="A710" s="8" t="s">
        <v>0</v>
      </c>
      <c r="B710" s="9" t="s">
        <v>0</v>
      </c>
      <c r="C710" s="9" t="s">
        <v>7</v>
      </c>
      <c r="D710" s="9" t="s">
        <v>8</v>
      </c>
      <c r="E710" s="80">
        <f>0.21</f>
        <v>0.21</v>
      </c>
      <c r="F710" s="81">
        <f>'Gia NC,CM'!P8</f>
        <v>218559.2</v>
      </c>
      <c r="G710" s="82">
        <f>ROUND(E710*F710,5)</f>
        <v>45897.432</v>
      </c>
    </row>
    <row r="711" spans="1:7" ht="15">
      <c r="A711" s="8" t="s">
        <v>0</v>
      </c>
      <c r="B711" s="9" t="s">
        <v>0</v>
      </c>
      <c r="C711" s="9" t="s">
        <v>0</v>
      </c>
      <c r="D711" s="9" t="s">
        <v>0</v>
      </c>
      <c r="E711" s="80"/>
      <c r="F711" s="81"/>
      <c r="G711" s="82"/>
    </row>
    <row r="712" spans="1:7" ht="15">
      <c r="A712" s="8" t="s">
        <v>343</v>
      </c>
      <c r="B712" s="9" t="s">
        <v>383</v>
      </c>
      <c r="C712" s="9" t="s">
        <v>384</v>
      </c>
      <c r="D712" s="9" t="s">
        <v>385</v>
      </c>
      <c r="E712" s="80"/>
      <c r="F712" s="81"/>
      <c r="G712" s="82"/>
    </row>
    <row r="713" spans="1:7" ht="15">
      <c r="A713" s="8" t="s">
        <v>0</v>
      </c>
      <c r="B713" s="9" t="s">
        <v>0</v>
      </c>
      <c r="C713" s="9" t="s">
        <v>386</v>
      </c>
      <c r="D713" s="9" t="s">
        <v>0</v>
      </c>
      <c r="E713" s="80"/>
      <c r="F713" s="81"/>
      <c r="G713" s="82"/>
    </row>
    <row r="714" spans="1:7" ht="15.75">
      <c r="A714" s="8" t="s">
        <v>0</v>
      </c>
      <c r="B714" s="9" t="s">
        <v>0</v>
      </c>
      <c r="C714" s="9" t="s">
        <v>602</v>
      </c>
      <c r="D714" s="9" t="s">
        <v>0</v>
      </c>
      <c r="E714" s="80"/>
      <c r="F714" s="81"/>
      <c r="G714" s="83">
        <f>ROUND(SUM(G715:G718),5)</f>
        <v>51471.801</v>
      </c>
    </row>
    <row r="715" spans="1:7" ht="15">
      <c r="A715" s="8" t="s">
        <v>0</v>
      </c>
      <c r="B715" s="9" t="s">
        <v>0</v>
      </c>
      <c r="C715" s="9" t="s">
        <v>387</v>
      </c>
      <c r="D715" s="9" t="s">
        <v>10</v>
      </c>
      <c r="E715" s="80">
        <f>0.027</f>
        <v>0.027</v>
      </c>
      <c r="F715" s="81">
        <f>'Gia NC,CM'!P34</f>
        <v>1906363</v>
      </c>
      <c r="G715" s="82">
        <f>ROUND(E715*F715,5)</f>
        <v>51471.801</v>
      </c>
    </row>
    <row r="716" spans="1:7" ht="15">
      <c r="A716" s="8" t="s">
        <v>0</v>
      </c>
      <c r="B716" s="9" t="s">
        <v>0</v>
      </c>
      <c r="C716" s="9" t="s">
        <v>0</v>
      </c>
      <c r="D716" s="9" t="s">
        <v>0</v>
      </c>
      <c r="E716" s="80"/>
      <c r="F716" s="81"/>
      <c r="G716" s="82"/>
    </row>
    <row r="717" spans="1:7" ht="15">
      <c r="A717" s="8" t="s">
        <v>347</v>
      </c>
      <c r="B717" s="9" t="s">
        <v>389</v>
      </c>
      <c r="C717" s="9" t="s">
        <v>384</v>
      </c>
      <c r="D717" s="9" t="s">
        <v>385</v>
      </c>
      <c r="E717" s="80"/>
      <c r="F717" s="81"/>
      <c r="G717" s="82"/>
    </row>
    <row r="718" spans="1:7" ht="15">
      <c r="A718" s="8" t="s">
        <v>0</v>
      </c>
      <c r="B718" s="9" t="s">
        <v>0</v>
      </c>
      <c r="C718" s="9" t="s">
        <v>390</v>
      </c>
      <c r="D718" s="9" t="s">
        <v>0</v>
      </c>
      <c r="E718" s="80"/>
      <c r="F718" s="81"/>
      <c r="G718" s="82"/>
    </row>
    <row r="719" spans="1:7" ht="15.75">
      <c r="A719" s="8" t="s">
        <v>0</v>
      </c>
      <c r="B719" s="9" t="s">
        <v>0</v>
      </c>
      <c r="C719" s="9" t="s">
        <v>602</v>
      </c>
      <c r="D719" s="9" t="s">
        <v>0</v>
      </c>
      <c r="E719" s="80"/>
      <c r="F719" s="81"/>
      <c r="G719" s="83">
        <f>ROUND(SUM(G720:G723),5)</f>
        <v>36220.897</v>
      </c>
    </row>
    <row r="720" spans="1:7" ht="15">
      <c r="A720" s="8" t="s">
        <v>0</v>
      </c>
      <c r="B720" s="9" t="s">
        <v>0</v>
      </c>
      <c r="C720" s="9" t="s">
        <v>387</v>
      </c>
      <c r="D720" s="9" t="s">
        <v>10</v>
      </c>
      <c r="E720" s="80">
        <f>0.019</f>
        <v>0.019</v>
      </c>
      <c r="F720" s="81">
        <f>'Gia NC,CM'!P34</f>
        <v>1906363</v>
      </c>
      <c r="G720" s="82">
        <f>ROUND(E720*F720,5)</f>
        <v>36220.897</v>
      </c>
    </row>
    <row r="721" spans="1:7" ht="15">
      <c r="A721" s="8" t="s">
        <v>0</v>
      </c>
      <c r="B721" s="9" t="s">
        <v>0</v>
      </c>
      <c r="C721" s="9" t="s">
        <v>0</v>
      </c>
      <c r="D721" s="9" t="s">
        <v>0</v>
      </c>
      <c r="E721" s="80"/>
      <c r="F721" s="81"/>
      <c r="G721" s="82"/>
    </row>
    <row r="722" spans="1:7" ht="15">
      <c r="A722" s="8" t="s">
        <v>351</v>
      </c>
      <c r="B722" s="9" t="s">
        <v>392</v>
      </c>
      <c r="C722" s="9" t="s">
        <v>384</v>
      </c>
      <c r="D722" s="9" t="s">
        <v>385</v>
      </c>
      <c r="E722" s="80"/>
      <c r="F722" s="81"/>
      <c r="G722" s="82"/>
    </row>
    <row r="723" spans="1:7" ht="15">
      <c r="A723" s="8" t="s">
        <v>0</v>
      </c>
      <c r="B723" s="9" t="s">
        <v>0</v>
      </c>
      <c r="C723" s="9" t="s">
        <v>393</v>
      </c>
      <c r="D723" s="9" t="s">
        <v>0</v>
      </c>
      <c r="E723" s="80"/>
      <c r="F723" s="81"/>
      <c r="G723" s="82"/>
    </row>
    <row r="724" spans="1:7" ht="15.75">
      <c r="A724" s="8" t="s">
        <v>0</v>
      </c>
      <c r="B724" s="9" t="s">
        <v>0</v>
      </c>
      <c r="C724" s="9" t="s">
        <v>602</v>
      </c>
      <c r="D724" s="9" t="s">
        <v>0</v>
      </c>
      <c r="E724" s="80"/>
      <c r="F724" s="81"/>
      <c r="G724" s="83">
        <f>ROUND(SUM(G725:G728),5)</f>
        <v>26689.082</v>
      </c>
    </row>
    <row r="725" spans="1:7" ht="15">
      <c r="A725" s="8" t="s">
        <v>0</v>
      </c>
      <c r="B725" s="9" t="s">
        <v>0</v>
      </c>
      <c r="C725" s="9" t="s">
        <v>387</v>
      </c>
      <c r="D725" s="9" t="s">
        <v>10</v>
      </c>
      <c r="E725" s="80">
        <f>0.014</f>
        <v>0.014</v>
      </c>
      <c r="F725" s="81">
        <f>'Gia NC,CM'!P34</f>
        <v>1906363</v>
      </c>
      <c r="G725" s="82">
        <f>ROUND(E725*F725,5)</f>
        <v>26689.082</v>
      </c>
    </row>
    <row r="726" spans="1:7" ht="15">
      <c r="A726" s="8" t="s">
        <v>0</v>
      </c>
      <c r="B726" s="9" t="s">
        <v>0</v>
      </c>
      <c r="C726" s="9" t="s">
        <v>0</v>
      </c>
      <c r="D726" s="9" t="s">
        <v>0</v>
      </c>
      <c r="E726" s="80"/>
      <c r="F726" s="81"/>
      <c r="G726" s="82"/>
    </row>
    <row r="727" spans="1:7" ht="15">
      <c r="A727" s="8" t="s">
        <v>356</v>
      </c>
      <c r="B727" s="9" t="s">
        <v>395</v>
      </c>
      <c r="C727" s="9" t="s">
        <v>396</v>
      </c>
      <c r="D727" s="9" t="s">
        <v>385</v>
      </c>
      <c r="E727" s="80"/>
      <c r="F727" s="81"/>
      <c r="G727" s="82"/>
    </row>
    <row r="728" spans="1:7" ht="15">
      <c r="A728" s="8" t="s">
        <v>0</v>
      </c>
      <c r="B728" s="9" t="s">
        <v>0</v>
      </c>
      <c r="C728" s="9" t="s">
        <v>386</v>
      </c>
      <c r="D728" s="9" t="s">
        <v>0</v>
      </c>
      <c r="E728" s="80"/>
      <c r="F728" s="81"/>
      <c r="G728" s="82"/>
    </row>
    <row r="729" spans="1:7" ht="15.75">
      <c r="A729" s="8" t="s">
        <v>0</v>
      </c>
      <c r="B729" s="9" t="s">
        <v>0</v>
      </c>
      <c r="C729" s="9" t="s">
        <v>602</v>
      </c>
      <c r="D729" s="9" t="s">
        <v>0</v>
      </c>
      <c r="E729" s="80"/>
      <c r="F729" s="81"/>
      <c r="G729" s="83">
        <f>ROUND(SUM(G730:G733),5)</f>
        <v>64816.342</v>
      </c>
    </row>
    <row r="730" spans="1:7" ht="15">
      <c r="A730" s="8" t="s">
        <v>0</v>
      </c>
      <c r="B730" s="9" t="s">
        <v>0</v>
      </c>
      <c r="C730" s="9" t="s">
        <v>387</v>
      </c>
      <c r="D730" s="9" t="s">
        <v>10</v>
      </c>
      <c r="E730" s="80">
        <f>0.034</f>
        <v>0.034</v>
      </c>
      <c r="F730" s="81">
        <f>'Gia NC,CM'!P34</f>
        <v>1906363</v>
      </c>
      <c r="G730" s="82">
        <f>ROUND(E730*F730,5)</f>
        <v>64816.342</v>
      </c>
    </row>
    <row r="731" spans="1:7" ht="15">
      <c r="A731" s="8" t="s">
        <v>0</v>
      </c>
      <c r="B731" s="9" t="s">
        <v>0</v>
      </c>
      <c r="C731" s="9" t="s">
        <v>0</v>
      </c>
      <c r="D731" s="9" t="s">
        <v>0</v>
      </c>
      <c r="E731" s="80"/>
      <c r="F731" s="81"/>
      <c r="G731" s="82"/>
    </row>
    <row r="732" spans="1:7" ht="15">
      <c r="A732" s="8" t="s">
        <v>361</v>
      </c>
      <c r="B732" s="9" t="s">
        <v>398</v>
      </c>
      <c r="C732" s="9" t="s">
        <v>396</v>
      </c>
      <c r="D732" s="9" t="s">
        <v>385</v>
      </c>
      <c r="E732" s="80"/>
      <c r="F732" s="81"/>
      <c r="G732" s="82"/>
    </row>
    <row r="733" spans="1:7" ht="15">
      <c r="A733" s="8" t="s">
        <v>0</v>
      </c>
      <c r="B733" s="9" t="s">
        <v>0</v>
      </c>
      <c r="C733" s="9" t="s">
        <v>390</v>
      </c>
      <c r="D733" s="9" t="s">
        <v>0</v>
      </c>
      <c r="E733" s="80"/>
      <c r="F733" s="81"/>
      <c r="G733" s="82"/>
    </row>
    <row r="734" spans="1:7" ht="15.75">
      <c r="A734" s="8" t="s">
        <v>0</v>
      </c>
      <c r="B734" s="9" t="s">
        <v>0</v>
      </c>
      <c r="C734" s="9" t="s">
        <v>602</v>
      </c>
      <c r="D734" s="9" t="s">
        <v>0</v>
      </c>
      <c r="E734" s="80"/>
      <c r="F734" s="81"/>
      <c r="G734" s="83">
        <f>ROUND(SUM(G735:G738),5)</f>
        <v>47659.075</v>
      </c>
    </row>
    <row r="735" spans="1:7" ht="15">
      <c r="A735" s="8" t="s">
        <v>0</v>
      </c>
      <c r="B735" s="9" t="s">
        <v>0</v>
      </c>
      <c r="C735" s="9" t="s">
        <v>387</v>
      </c>
      <c r="D735" s="9" t="s">
        <v>10</v>
      </c>
      <c r="E735" s="80">
        <f>0.025</f>
        <v>0.025</v>
      </c>
      <c r="F735" s="81">
        <f>'Gia NC,CM'!P34</f>
        <v>1906363</v>
      </c>
      <c r="G735" s="82">
        <f>ROUND(E735*F735,5)</f>
        <v>47659.075</v>
      </c>
    </row>
    <row r="736" spans="1:7" ht="15">
      <c r="A736" s="8" t="s">
        <v>0</v>
      </c>
      <c r="B736" s="9" t="s">
        <v>0</v>
      </c>
      <c r="C736" s="9" t="s">
        <v>0</v>
      </c>
      <c r="D736" s="9" t="s">
        <v>0</v>
      </c>
      <c r="E736" s="80"/>
      <c r="F736" s="81"/>
      <c r="G736" s="82"/>
    </row>
    <row r="737" spans="1:7" ht="15">
      <c r="A737" s="8" t="s">
        <v>363</v>
      </c>
      <c r="B737" s="9" t="s">
        <v>400</v>
      </c>
      <c r="C737" s="9" t="s">
        <v>396</v>
      </c>
      <c r="D737" s="9" t="s">
        <v>385</v>
      </c>
      <c r="E737" s="80"/>
      <c r="F737" s="81"/>
      <c r="G737" s="82"/>
    </row>
    <row r="738" spans="1:7" ht="15">
      <c r="A738" s="8" t="s">
        <v>0</v>
      </c>
      <c r="B738" s="9" t="s">
        <v>0</v>
      </c>
      <c r="C738" s="9" t="s">
        <v>393</v>
      </c>
      <c r="D738" s="9" t="s">
        <v>0</v>
      </c>
      <c r="E738" s="80"/>
      <c r="F738" s="81"/>
      <c r="G738" s="82"/>
    </row>
    <row r="739" spans="1:7" ht="15.75">
      <c r="A739" s="8" t="s">
        <v>0</v>
      </c>
      <c r="B739" s="9" t="s">
        <v>0</v>
      </c>
      <c r="C739" s="9" t="s">
        <v>602</v>
      </c>
      <c r="D739" s="9" t="s">
        <v>0</v>
      </c>
      <c r="E739" s="80"/>
      <c r="F739" s="81"/>
      <c r="G739" s="83">
        <f>ROUND(SUM(G740:G743),5)</f>
        <v>34314.534</v>
      </c>
    </row>
    <row r="740" spans="1:7" ht="15">
      <c r="A740" s="8" t="s">
        <v>0</v>
      </c>
      <c r="B740" s="9" t="s">
        <v>0</v>
      </c>
      <c r="C740" s="9" t="s">
        <v>387</v>
      </c>
      <c r="D740" s="9" t="s">
        <v>10</v>
      </c>
      <c r="E740" s="80">
        <f>0.018</f>
        <v>0.018</v>
      </c>
      <c r="F740" s="81">
        <f>'Gia NC,CM'!P34</f>
        <v>1906363</v>
      </c>
      <c r="G740" s="82">
        <f>ROUND(E740*F740,5)</f>
        <v>34314.534</v>
      </c>
    </row>
    <row r="741" spans="1:7" ht="15">
      <c r="A741" s="8" t="s">
        <v>0</v>
      </c>
      <c r="B741" s="9" t="s">
        <v>0</v>
      </c>
      <c r="C741" s="9" t="s">
        <v>0</v>
      </c>
      <c r="D741" s="9" t="s">
        <v>0</v>
      </c>
      <c r="E741" s="80"/>
      <c r="F741" s="81"/>
      <c r="G741" s="82"/>
    </row>
    <row r="742" spans="1:7" ht="15">
      <c r="A742" s="8" t="s">
        <v>365</v>
      </c>
      <c r="B742" s="9" t="s">
        <v>402</v>
      </c>
      <c r="C742" s="9" t="s">
        <v>403</v>
      </c>
      <c r="D742" s="9" t="s">
        <v>404</v>
      </c>
      <c r="E742" s="80"/>
      <c r="F742" s="81"/>
      <c r="G742" s="82"/>
    </row>
    <row r="743" spans="1:7" ht="15">
      <c r="A743" s="8" t="s">
        <v>0</v>
      </c>
      <c r="B743" s="9" t="s">
        <v>0</v>
      </c>
      <c r="C743" s="9" t="s">
        <v>386</v>
      </c>
      <c r="D743" s="9" t="s">
        <v>0</v>
      </c>
      <c r="E743" s="80"/>
      <c r="F743" s="81"/>
      <c r="G743" s="82"/>
    </row>
    <row r="744" spans="1:7" ht="15.75">
      <c r="A744" s="8" t="s">
        <v>0</v>
      </c>
      <c r="B744" s="9" t="s">
        <v>0</v>
      </c>
      <c r="C744" s="9" t="s">
        <v>602</v>
      </c>
      <c r="D744" s="9" t="s">
        <v>0</v>
      </c>
      <c r="E744" s="80"/>
      <c r="F744" s="81"/>
      <c r="G744" s="83">
        <f>ROUND(SUM(G745:G748),5)</f>
        <v>105245.2256</v>
      </c>
    </row>
    <row r="745" spans="1:7" ht="15">
      <c r="A745" s="8" t="s">
        <v>0</v>
      </c>
      <c r="B745" s="9" t="s">
        <v>0</v>
      </c>
      <c r="C745" s="9" t="s">
        <v>405</v>
      </c>
      <c r="D745" s="9" t="s">
        <v>10</v>
      </c>
      <c r="E745" s="80">
        <f>0.076</f>
        <v>0.076</v>
      </c>
      <c r="F745" s="81">
        <f>'Gia NC,CM'!P35</f>
        <v>1384805.6</v>
      </c>
      <c r="G745" s="82">
        <f>ROUND(E745*F745,5)</f>
        <v>105245.2256</v>
      </c>
    </row>
    <row r="746" spans="1:7" ht="15">
      <c r="A746" s="8" t="s">
        <v>0</v>
      </c>
      <c r="B746" s="9" t="s">
        <v>0</v>
      </c>
      <c r="C746" s="9" t="s">
        <v>0</v>
      </c>
      <c r="D746" s="9" t="s">
        <v>0</v>
      </c>
      <c r="E746" s="80"/>
      <c r="F746" s="81"/>
      <c r="G746" s="82"/>
    </row>
    <row r="747" spans="1:7" ht="15">
      <c r="A747" s="8" t="s">
        <v>370</v>
      </c>
      <c r="B747" s="9" t="s">
        <v>407</v>
      </c>
      <c r="C747" s="9" t="s">
        <v>403</v>
      </c>
      <c r="D747" s="9" t="s">
        <v>404</v>
      </c>
      <c r="E747" s="80"/>
      <c r="F747" s="81"/>
      <c r="G747" s="82"/>
    </row>
    <row r="748" spans="1:7" ht="15">
      <c r="A748" s="8" t="s">
        <v>0</v>
      </c>
      <c r="B748" s="9" t="s">
        <v>0</v>
      </c>
      <c r="C748" s="9" t="s">
        <v>390</v>
      </c>
      <c r="D748" s="9" t="s">
        <v>0</v>
      </c>
      <c r="E748" s="80"/>
      <c r="F748" s="81"/>
      <c r="G748" s="82"/>
    </row>
    <row r="749" spans="1:7" ht="15.75">
      <c r="A749" s="8" t="s">
        <v>0</v>
      </c>
      <c r="B749" s="9" t="s">
        <v>0</v>
      </c>
      <c r="C749" s="9" t="s">
        <v>602</v>
      </c>
      <c r="D749" s="9" t="s">
        <v>0</v>
      </c>
      <c r="E749" s="80"/>
      <c r="F749" s="81"/>
      <c r="G749" s="83">
        <f>ROUND(SUM(G750:G753),5)</f>
        <v>76164.308</v>
      </c>
    </row>
    <row r="750" spans="1:7" ht="15">
      <c r="A750" s="8" t="s">
        <v>0</v>
      </c>
      <c r="B750" s="9" t="s">
        <v>0</v>
      </c>
      <c r="C750" s="9" t="s">
        <v>405</v>
      </c>
      <c r="D750" s="9" t="s">
        <v>10</v>
      </c>
      <c r="E750" s="80">
        <f>0.055</f>
        <v>0.055</v>
      </c>
      <c r="F750" s="81">
        <f>'Gia NC,CM'!P35</f>
        <v>1384805.6</v>
      </c>
      <c r="G750" s="82">
        <f>ROUND(E750*F750,5)</f>
        <v>76164.308</v>
      </c>
    </row>
    <row r="751" spans="1:7" ht="15">
      <c r="A751" s="8" t="s">
        <v>0</v>
      </c>
      <c r="B751" s="9" t="s">
        <v>0</v>
      </c>
      <c r="C751" s="9" t="s">
        <v>0</v>
      </c>
      <c r="D751" s="9" t="s">
        <v>0</v>
      </c>
      <c r="E751" s="80"/>
      <c r="F751" s="81"/>
      <c r="G751" s="82"/>
    </row>
    <row r="752" spans="1:7" ht="15">
      <c r="A752" s="8" t="s">
        <v>373</v>
      </c>
      <c r="B752" s="9" t="s">
        <v>409</v>
      </c>
      <c r="C752" s="9" t="s">
        <v>403</v>
      </c>
      <c r="D752" s="9" t="s">
        <v>404</v>
      </c>
      <c r="E752" s="80"/>
      <c r="F752" s="81"/>
      <c r="G752" s="82"/>
    </row>
    <row r="753" spans="1:7" ht="15">
      <c r="A753" s="8" t="s">
        <v>0</v>
      </c>
      <c r="B753" s="9" t="s">
        <v>0</v>
      </c>
      <c r="C753" s="9" t="s">
        <v>393</v>
      </c>
      <c r="D753" s="9" t="s">
        <v>0</v>
      </c>
      <c r="E753" s="80"/>
      <c r="F753" s="81"/>
      <c r="G753" s="82"/>
    </row>
    <row r="754" spans="1:7" ht="15.75">
      <c r="A754" s="8" t="s">
        <v>0</v>
      </c>
      <c r="B754" s="9" t="s">
        <v>0</v>
      </c>
      <c r="C754" s="9" t="s">
        <v>602</v>
      </c>
      <c r="D754" s="9" t="s">
        <v>0</v>
      </c>
      <c r="E754" s="80"/>
      <c r="F754" s="81"/>
      <c r="G754" s="83">
        <f>ROUND(SUM(G755:G758),5)</f>
        <v>51237.8072</v>
      </c>
    </row>
    <row r="755" spans="1:7" ht="15">
      <c r="A755" s="8" t="s">
        <v>0</v>
      </c>
      <c r="B755" s="9" t="s">
        <v>0</v>
      </c>
      <c r="C755" s="9" t="s">
        <v>405</v>
      </c>
      <c r="D755" s="9" t="s">
        <v>10</v>
      </c>
      <c r="E755" s="80">
        <f>0.037</f>
        <v>0.037</v>
      </c>
      <c r="F755" s="81">
        <f>'Gia NC,CM'!P35</f>
        <v>1384805.6</v>
      </c>
      <c r="G755" s="82">
        <f>ROUND(E755*F755,5)</f>
        <v>51237.8072</v>
      </c>
    </row>
    <row r="756" spans="1:7" ht="15">
      <c r="A756" s="8" t="s">
        <v>0</v>
      </c>
      <c r="B756" s="9" t="s">
        <v>0</v>
      </c>
      <c r="C756" s="9" t="s">
        <v>0</v>
      </c>
      <c r="D756" s="9" t="s">
        <v>0</v>
      </c>
      <c r="E756" s="80"/>
      <c r="F756" s="81"/>
      <c r="G756" s="82"/>
    </row>
    <row r="757" spans="1:7" ht="15">
      <c r="A757" s="8" t="s">
        <v>376</v>
      </c>
      <c r="B757" s="9" t="s">
        <v>411</v>
      </c>
      <c r="C757" s="9" t="s">
        <v>412</v>
      </c>
      <c r="D757" s="9" t="s">
        <v>404</v>
      </c>
      <c r="E757" s="80"/>
      <c r="F757" s="81"/>
      <c r="G757" s="82"/>
    </row>
    <row r="758" spans="1:7" ht="15">
      <c r="A758" s="8" t="s">
        <v>0</v>
      </c>
      <c r="B758" s="9" t="s">
        <v>0</v>
      </c>
      <c r="C758" s="9" t="s">
        <v>386</v>
      </c>
      <c r="D758" s="9" t="s">
        <v>0</v>
      </c>
      <c r="E758" s="80"/>
      <c r="F758" s="81"/>
      <c r="G758" s="82"/>
    </row>
    <row r="759" spans="1:7" ht="15.75">
      <c r="A759" s="8" t="s">
        <v>0</v>
      </c>
      <c r="B759" s="9" t="s">
        <v>0</v>
      </c>
      <c r="C759" s="9" t="s">
        <v>602</v>
      </c>
      <c r="D759" s="9" t="s">
        <v>0</v>
      </c>
      <c r="E759" s="80"/>
      <c r="F759" s="81"/>
      <c r="G759" s="83">
        <f>ROUND(SUM(G760:G763),5)</f>
        <v>149559.0048</v>
      </c>
    </row>
    <row r="760" spans="1:7" ht="15">
      <c r="A760" s="8" t="s">
        <v>0</v>
      </c>
      <c r="B760" s="9" t="s">
        <v>0</v>
      </c>
      <c r="C760" s="9" t="s">
        <v>405</v>
      </c>
      <c r="D760" s="9" t="s">
        <v>10</v>
      </c>
      <c r="E760" s="80">
        <f>0.108</f>
        <v>0.108</v>
      </c>
      <c r="F760" s="81">
        <f>'Gia NC,CM'!P35</f>
        <v>1384805.6</v>
      </c>
      <c r="G760" s="82">
        <f>ROUND(E760*F760,5)</f>
        <v>149559.0048</v>
      </c>
    </row>
    <row r="761" spans="1:7" ht="15">
      <c r="A761" s="8" t="s">
        <v>0</v>
      </c>
      <c r="B761" s="9" t="s">
        <v>0</v>
      </c>
      <c r="C761" s="9" t="s">
        <v>0</v>
      </c>
      <c r="D761" s="9" t="s">
        <v>0</v>
      </c>
      <c r="E761" s="80"/>
      <c r="F761" s="81"/>
      <c r="G761" s="82"/>
    </row>
    <row r="762" spans="1:7" ht="15">
      <c r="A762" s="8" t="s">
        <v>379</v>
      </c>
      <c r="B762" s="9" t="s">
        <v>414</v>
      </c>
      <c r="C762" s="9" t="s">
        <v>412</v>
      </c>
      <c r="D762" s="9" t="s">
        <v>404</v>
      </c>
      <c r="E762" s="80"/>
      <c r="F762" s="81"/>
      <c r="G762" s="82"/>
    </row>
    <row r="763" spans="1:7" ht="15">
      <c r="A763" s="8" t="s">
        <v>0</v>
      </c>
      <c r="B763" s="9" t="s">
        <v>0</v>
      </c>
      <c r="C763" s="9" t="s">
        <v>390</v>
      </c>
      <c r="D763" s="9" t="s">
        <v>0</v>
      </c>
      <c r="E763" s="80"/>
      <c r="F763" s="81"/>
      <c r="G763" s="82"/>
    </row>
    <row r="764" spans="1:7" ht="15.75">
      <c r="A764" s="8" t="s">
        <v>0</v>
      </c>
      <c r="B764" s="9" t="s">
        <v>0</v>
      </c>
      <c r="C764" s="9" t="s">
        <v>602</v>
      </c>
      <c r="D764" s="9" t="s">
        <v>0</v>
      </c>
      <c r="E764" s="80"/>
      <c r="F764" s="81"/>
      <c r="G764" s="83">
        <f>ROUND(SUM(G765:G768),5)</f>
        <v>108014.8368</v>
      </c>
    </row>
    <row r="765" spans="1:7" ht="15">
      <c r="A765" s="8" t="s">
        <v>0</v>
      </c>
      <c r="B765" s="9" t="s">
        <v>0</v>
      </c>
      <c r="C765" s="9" t="s">
        <v>405</v>
      </c>
      <c r="D765" s="9" t="s">
        <v>10</v>
      </c>
      <c r="E765" s="80">
        <f>0.078</f>
        <v>0.078</v>
      </c>
      <c r="F765" s="81">
        <f>'Gia NC,CM'!P35</f>
        <v>1384805.6</v>
      </c>
      <c r="G765" s="82">
        <f>ROUND(E765*F765,5)</f>
        <v>108014.8368</v>
      </c>
    </row>
    <row r="766" spans="1:7" ht="15">
      <c r="A766" s="8" t="s">
        <v>0</v>
      </c>
      <c r="B766" s="9" t="s">
        <v>0</v>
      </c>
      <c r="C766" s="9" t="s">
        <v>0</v>
      </c>
      <c r="D766" s="9" t="s">
        <v>0</v>
      </c>
      <c r="E766" s="80"/>
      <c r="F766" s="81"/>
      <c r="G766" s="82"/>
    </row>
    <row r="767" spans="1:7" ht="15">
      <c r="A767" s="8" t="s">
        <v>382</v>
      </c>
      <c r="B767" s="9" t="s">
        <v>416</v>
      </c>
      <c r="C767" s="9" t="s">
        <v>412</v>
      </c>
      <c r="D767" s="9" t="s">
        <v>404</v>
      </c>
      <c r="E767" s="80"/>
      <c r="F767" s="81"/>
      <c r="G767" s="82"/>
    </row>
    <row r="768" spans="1:7" ht="15">
      <c r="A768" s="8" t="s">
        <v>0</v>
      </c>
      <c r="B768" s="9" t="s">
        <v>0</v>
      </c>
      <c r="C768" s="9" t="s">
        <v>393</v>
      </c>
      <c r="D768" s="9" t="s">
        <v>0</v>
      </c>
      <c r="E768" s="80"/>
      <c r="F768" s="81"/>
      <c r="G768" s="82"/>
    </row>
    <row r="769" spans="1:7" ht="15.75">
      <c r="A769" s="8" t="s">
        <v>0</v>
      </c>
      <c r="B769" s="9" t="s">
        <v>0</v>
      </c>
      <c r="C769" s="9" t="s">
        <v>602</v>
      </c>
      <c r="D769" s="9" t="s">
        <v>0</v>
      </c>
      <c r="E769" s="80"/>
      <c r="F769" s="81"/>
      <c r="G769" s="83">
        <f>ROUND(SUM(G770:G773),5)</f>
        <v>73394.6968</v>
      </c>
    </row>
    <row r="770" spans="1:7" ht="15">
      <c r="A770" s="8" t="s">
        <v>0</v>
      </c>
      <c r="B770" s="9" t="s">
        <v>0</v>
      </c>
      <c r="C770" s="9" t="s">
        <v>405</v>
      </c>
      <c r="D770" s="9" t="s">
        <v>10</v>
      </c>
      <c r="E770" s="80">
        <f>0.053</f>
        <v>0.053</v>
      </c>
      <c r="F770" s="81">
        <f>'Gia NC,CM'!P35</f>
        <v>1384805.6</v>
      </c>
      <c r="G770" s="82">
        <f>ROUND(E770*F770,5)</f>
        <v>73394.6968</v>
      </c>
    </row>
    <row r="771" spans="1:7" ht="15">
      <c r="A771" s="8" t="s">
        <v>0</v>
      </c>
      <c r="B771" s="9" t="s">
        <v>0</v>
      </c>
      <c r="C771" s="9" t="s">
        <v>0</v>
      </c>
      <c r="D771" s="9" t="s">
        <v>0</v>
      </c>
      <c r="E771" s="80"/>
      <c r="F771" s="81"/>
      <c r="G771" s="82"/>
    </row>
    <row r="772" spans="1:7" ht="15">
      <c r="A772" s="8" t="s">
        <v>388</v>
      </c>
      <c r="B772" s="9" t="s">
        <v>418</v>
      </c>
      <c r="C772" s="9" t="s">
        <v>419</v>
      </c>
      <c r="D772" s="9" t="s">
        <v>404</v>
      </c>
      <c r="E772" s="80"/>
      <c r="F772" s="81"/>
      <c r="G772" s="82"/>
    </row>
    <row r="773" spans="1:7" ht="15">
      <c r="A773" s="8" t="s">
        <v>0</v>
      </c>
      <c r="B773" s="9" t="s">
        <v>0</v>
      </c>
      <c r="C773" s="9" t="s">
        <v>386</v>
      </c>
      <c r="D773" s="9" t="s">
        <v>0</v>
      </c>
      <c r="E773" s="80"/>
      <c r="F773" s="81"/>
      <c r="G773" s="82"/>
    </row>
    <row r="774" spans="1:7" ht="15.75">
      <c r="A774" s="8" t="s">
        <v>0</v>
      </c>
      <c r="B774" s="9" t="s">
        <v>0</v>
      </c>
      <c r="C774" s="9" t="s">
        <v>602</v>
      </c>
      <c r="D774" s="9" t="s">
        <v>0</v>
      </c>
      <c r="E774" s="80"/>
      <c r="F774" s="81"/>
      <c r="G774" s="83">
        <f>ROUND(SUM(G775:G778),5)</f>
        <v>30465.7232</v>
      </c>
    </row>
    <row r="775" spans="1:7" ht="15">
      <c r="A775" s="8" t="s">
        <v>0</v>
      </c>
      <c r="B775" s="9" t="s">
        <v>0</v>
      </c>
      <c r="C775" s="9" t="s">
        <v>405</v>
      </c>
      <c r="D775" s="9" t="s">
        <v>10</v>
      </c>
      <c r="E775" s="80">
        <f>0.022</f>
        <v>0.022</v>
      </c>
      <c r="F775" s="81">
        <f>'Gia NC,CM'!P35</f>
        <v>1384805.6</v>
      </c>
      <c r="G775" s="82">
        <f>ROUND(E775*F775,5)</f>
        <v>30465.7232</v>
      </c>
    </row>
    <row r="776" spans="1:7" ht="15">
      <c r="A776" s="8" t="s">
        <v>0</v>
      </c>
      <c r="B776" s="9" t="s">
        <v>0</v>
      </c>
      <c r="C776" s="9" t="s">
        <v>0</v>
      </c>
      <c r="D776" s="9" t="s">
        <v>0</v>
      </c>
      <c r="E776" s="80"/>
      <c r="F776" s="81"/>
      <c r="G776" s="82"/>
    </row>
    <row r="777" spans="1:7" ht="15">
      <c r="A777" s="8" t="s">
        <v>391</v>
      </c>
      <c r="B777" s="9" t="s">
        <v>421</v>
      </c>
      <c r="C777" s="9" t="s">
        <v>419</v>
      </c>
      <c r="D777" s="9" t="s">
        <v>404</v>
      </c>
      <c r="E777" s="80"/>
      <c r="F777" s="81"/>
      <c r="G777" s="82"/>
    </row>
    <row r="778" spans="1:7" ht="15">
      <c r="A778" s="8" t="s">
        <v>0</v>
      </c>
      <c r="B778" s="9" t="s">
        <v>0</v>
      </c>
      <c r="C778" s="9" t="s">
        <v>390</v>
      </c>
      <c r="D778" s="9" t="s">
        <v>0</v>
      </c>
      <c r="E778" s="80"/>
      <c r="F778" s="81"/>
      <c r="G778" s="82"/>
    </row>
    <row r="779" spans="1:7" ht="15.75">
      <c r="A779" s="8" t="s">
        <v>0</v>
      </c>
      <c r="B779" s="9" t="s">
        <v>0</v>
      </c>
      <c r="C779" s="9" t="s">
        <v>602</v>
      </c>
      <c r="D779" s="9" t="s">
        <v>0</v>
      </c>
      <c r="E779" s="80"/>
      <c r="F779" s="81"/>
      <c r="G779" s="83">
        <f>ROUND(SUM(G780:G783),5)</f>
        <v>22156.8896</v>
      </c>
    </row>
    <row r="780" spans="1:7" ht="15">
      <c r="A780" s="8" t="s">
        <v>0</v>
      </c>
      <c r="B780" s="9" t="s">
        <v>0</v>
      </c>
      <c r="C780" s="9" t="s">
        <v>405</v>
      </c>
      <c r="D780" s="9" t="s">
        <v>10</v>
      </c>
      <c r="E780" s="80">
        <f>0.016</f>
        <v>0.016</v>
      </c>
      <c r="F780" s="81">
        <f>'Gia NC,CM'!P35</f>
        <v>1384805.6</v>
      </c>
      <c r="G780" s="82">
        <f>ROUND(E780*F780,5)</f>
        <v>22156.8896</v>
      </c>
    </row>
    <row r="781" spans="1:7" ht="15">
      <c r="A781" s="8" t="s">
        <v>0</v>
      </c>
      <c r="B781" s="9" t="s">
        <v>0</v>
      </c>
      <c r="C781" s="9" t="s">
        <v>0</v>
      </c>
      <c r="D781" s="9" t="s">
        <v>0</v>
      </c>
      <c r="E781" s="80"/>
      <c r="F781" s="81"/>
      <c r="G781" s="82"/>
    </row>
    <row r="782" spans="1:7" ht="15">
      <c r="A782" s="8" t="s">
        <v>394</v>
      </c>
      <c r="B782" s="9" t="s">
        <v>423</v>
      </c>
      <c r="C782" s="9" t="s">
        <v>419</v>
      </c>
      <c r="D782" s="9" t="s">
        <v>404</v>
      </c>
      <c r="E782" s="80"/>
      <c r="F782" s="81"/>
      <c r="G782" s="82"/>
    </row>
    <row r="783" spans="1:7" ht="15">
      <c r="A783" s="8" t="s">
        <v>0</v>
      </c>
      <c r="B783" s="9" t="s">
        <v>0</v>
      </c>
      <c r="C783" s="9" t="s">
        <v>393</v>
      </c>
      <c r="D783" s="9" t="s">
        <v>0</v>
      </c>
      <c r="E783" s="80"/>
      <c r="F783" s="81"/>
      <c r="G783" s="82"/>
    </row>
    <row r="784" spans="1:7" ht="15.75">
      <c r="A784" s="8" t="s">
        <v>0</v>
      </c>
      <c r="B784" s="9" t="s">
        <v>0</v>
      </c>
      <c r="C784" s="9" t="s">
        <v>602</v>
      </c>
      <c r="D784" s="9" t="s">
        <v>0</v>
      </c>
      <c r="E784" s="80"/>
      <c r="F784" s="81"/>
      <c r="G784" s="83">
        <f>ROUND(SUM(G785:G788),5)</f>
        <v>15232.8616</v>
      </c>
    </row>
    <row r="785" spans="1:7" ht="15">
      <c r="A785" s="8" t="s">
        <v>0</v>
      </c>
      <c r="B785" s="9" t="s">
        <v>0</v>
      </c>
      <c r="C785" s="9" t="s">
        <v>405</v>
      </c>
      <c r="D785" s="9" t="s">
        <v>10</v>
      </c>
      <c r="E785" s="80">
        <f>0.011</f>
        <v>0.011</v>
      </c>
      <c r="F785" s="81">
        <f>'Gia NC,CM'!P35</f>
        <v>1384805.6</v>
      </c>
      <c r="G785" s="82">
        <f>ROUND(E785*F785,5)</f>
        <v>15232.8616</v>
      </c>
    </row>
    <row r="786" spans="1:7" ht="15">
      <c r="A786" s="8" t="s">
        <v>0</v>
      </c>
      <c r="B786" s="9" t="s">
        <v>0</v>
      </c>
      <c r="C786" s="9" t="s">
        <v>0</v>
      </c>
      <c r="D786" s="9" t="s">
        <v>0</v>
      </c>
      <c r="E786" s="80"/>
      <c r="F786" s="81"/>
      <c r="G786" s="82"/>
    </row>
    <row r="787" spans="1:7" ht="15">
      <c r="A787" s="8" t="s">
        <v>397</v>
      </c>
      <c r="B787" s="9" t="s">
        <v>425</v>
      </c>
      <c r="C787" s="9" t="s">
        <v>426</v>
      </c>
      <c r="D787" s="9" t="s">
        <v>404</v>
      </c>
      <c r="E787" s="80"/>
      <c r="F787" s="81"/>
      <c r="G787" s="82"/>
    </row>
    <row r="788" spans="1:7" ht="15">
      <c r="A788" s="8" t="s">
        <v>0</v>
      </c>
      <c r="B788" s="9" t="s">
        <v>0</v>
      </c>
      <c r="C788" s="9" t="s">
        <v>386</v>
      </c>
      <c r="D788" s="9" t="s">
        <v>0</v>
      </c>
      <c r="E788" s="80"/>
      <c r="F788" s="81"/>
      <c r="G788" s="82"/>
    </row>
    <row r="789" spans="1:7" ht="15.75">
      <c r="A789" s="8" t="s">
        <v>0</v>
      </c>
      <c r="B789" s="9" t="s">
        <v>0</v>
      </c>
      <c r="C789" s="9" t="s">
        <v>602</v>
      </c>
      <c r="D789" s="9" t="s">
        <v>0</v>
      </c>
      <c r="E789" s="80"/>
      <c r="F789" s="81"/>
      <c r="G789" s="83">
        <f>ROUND(SUM(G790:G793),5)</f>
        <v>33235.3344</v>
      </c>
    </row>
    <row r="790" spans="1:7" ht="15">
      <c r="A790" s="8" t="s">
        <v>0</v>
      </c>
      <c r="B790" s="9" t="s">
        <v>0</v>
      </c>
      <c r="C790" s="9" t="s">
        <v>405</v>
      </c>
      <c r="D790" s="9" t="s">
        <v>10</v>
      </c>
      <c r="E790" s="80">
        <f>0.024</f>
        <v>0.024</v>
      </c>
      <c r="F790" s="81">
        <f>'Gia NC,CM'!P35</f>
        <v>1384805.6</v>
      </c>
      <c r="G790" s="82">
        <f>ROUND(E790*F790,5)</f>
        <v>33235.3344</v>
      </c>
    </row>
    <row r="791" spans="1:7" ht="15">
      <c r="A791" s="8" t="s">
        <v>0</v>
      </c>
      <c r="B791" s="9" t="s">
        <v>0</v>
      </c>
      <c r="C791" s="9" t="s">
        <v>0</v>
      </c>
      <c r="D791" s="9" t="s">
        <v>0</v>
      </c>
      <c r="E791" s="80"/>
      <c r="F791" s="81"/>
      <c r="G791" s="82"/>
    </row>
    <row r="792" spans="1:7" ht="15">
      <c r="A792" s="8" t="s">
        <v>399</v>
      </c>
      <c r="B792" s="9" t="s">
        <v>428</v>
      </c>
      <c r="C792" s="9" t="s">
        <v>426</v>
      </c>
      <c r="D792" s="9" t="s">
        <v>404</v>
      </c>
      <c r="E792" s="80"/>
      <c r="F792" s="81"/>
      <c r="G792" s="82"/>
    </row>
    <row r="793" spans="1:7" ht="15">
      <c r="A793" s="8" t="s">
        <v>0</v>
      </c>
      <c r="B793" s="9" t="s">
        <v>0</v>
      </c>
      <c r="C793" s="9" t="s">
        <v>390</v>
      </c>
      <c r="D793" s="9" t="s">
        <v>0</v>
      </c>
      <c r="E793" s="80"/>
      <c r="F793" s="81"/>
      <c r="G793" s="82"/>
    </row>
    <row r="794" spans="1:7" ht="15.75">
      <c r="A794" s="8" t="s">
        <v>0</v>
      </c>
      <c r="B794" s="9" t="s">
        <v>0</v>
      </c>
      <c r="C794" s="9" t="s">
        <v>602</v>
      </c>
      <c r="D794" s="9" t="s">
        <v>0</v>
      </c>
      <c r="E794" s="80"/>
      <c r="F794" s="81"/>
      <c r="G794" s="83">
        <f>ROUND(SUM(G795:G797),5)</f>
        <v>24926.5008</v>
      </c>
    </row>
    <row r="795" spans="1:7" ht="15">
      <c r="A795" s="8" t="s">
        <v>0</v>
      </c>
      <c r="B795" s="9" t="s">
        <v>0</v>
      </c>
      <c r="C795" s="9" t="s">
        <v>405</v>
      </c>
      <c r="D795" s="9" t="s">
        <v>10</v>
      </c>
      <c r="E795" s="80">
        <f>0.018</f>
        <v>0.018</v>
      </c>
      <c r="F795" s="81">
        <f>'Gia NC,CM'!P35</f>
        <v>1384805.6</v>
      </c>
      <c r="G795" s="82">
        <f>ROUND(E795*F795,5)</f>
        <v>24926.5008</v>
      </c>
    </row>
    <row r="796" spans="1:7" ht="15">
      <c r="A796" s="8" t="s">
        <v>0</v>
      </c>
      <c r="B796" s="9" t="s">
        <v>0</v>
      </c>
      <c r="C796" s="9" t="s">
        <v>0</v>
      </c>
      <c r="D796" s="9" t="s">
        <v>0</v>
      </c>
      <c r="E796" s="80"/>
      <c r="F796" s="81"/>
      <c r="G796" s="82"/>
    </row>
    <row r="797" spans="1:7" ht="15">
      <c r="A797" s="8" t="s">
        <v>401</v>
      </c>
      <c r="B797" s="9" t="s">
        <v>430</v>
      </c>
      <c r="C797" s="9" t="s">
        <v>426</v>
      </c>
      <c r="D797" s="9" t="s">
        <v>404</v>
      </c>
      <c r="E797" s="80"/>
      <c r="F797" s="81"/>
      <c r="G797" s="82"/>
    </row>
    <row r="798" spans="1:7" ht="15.75">
      <c r="A798" s="8" t="s">
        <v>0</v>
      </c>
      <c r="B798" s="9" t="s">
        <v>0</v>
      </c>
      <c r="C798" s="9" t="s">
        <v>602</v>
      </c>
      <c r="D798" s="9" t="s">
        <v>0</v>
      </c>
      <c r="E798" s="80"/>
      <c r="F798" s="81"/>
      <c r="G798" s="83">
        <f>ROUND(SUM(G799:G819),5)</f>
        <v>15232.8616</v>
      </c>
    </row>
    <row r="799" spans="1:7" ht="15">
      <c r="A799" s="8" t="s">
        <v>0</v>
      </c>
      <c r="B799" s="9" t="s">
        <v>0</v>
      </c>
      <c r="C799" s="9" t="s">
        <v>405</v>
      </c>
      <c r="D799" s="9" t="s">
        <v>10</v>
      </c>
      <c r="E799" s="80">
        <f>0.011</f>
        <v>0.011</v>
      </c>
      <c r="F799" s="81">
        <f>'Gia NC,CM'!P35</f>
        <v>1384805.6</v>
      </c>
      <c r="G799" s="82">
        <f>ROUND(E799*F799,5)</f>
        <v>15232.8616</v>
      </c>
    </row>
    <row r="800" spans="1:7" ht="15">
      <c r="A800" s="8" t="s">
        <v>0</v>
      </c>
      <c r="B800" s="9" t="s">
        <v>0</v>
      </c>
      <c r="C800" s="9" t="s">
        <v>0</v>
      </c>
      <c r="D800" s="9" t="s">
        <v>0</v>
      </c>
      <c r="E800" s="80"/>
      <c r="F800" s="81"/>
      <c r="G800" s="82"/>
    </row>
    <row r="801" spans="1:7" ht="15">
      <c r="A801" s="8" t="s">
        <v>0</v>
      </c>
      <c r="B801" s="9" t="s">
        <v>0</v>
      </c>
      <c r="C801" s="9" t="s">
        <v>0</v>
      </c>
      <c r="D801" s="9" t="s">
        <v>0</v>
      </c>
      <c r="E801" s="80"/>
      <c r="F801" s="81"/>
      <c r="G801" s="82"/>
    </row>
    <row r="802" spans="1:7" ht="15">
      <c r="A802" s="8" t="s">
        <v>0</v>
      </c>
      <c r="B802" s="9" t="s">
        <v>0</v>
      </c>
      <c r="C802" s="9" t="s">
        <v>0</v>
      </c>
      <c r="D802" s="9" t="s">
        <v>0</v>
      </c>
      <c r="E802" s="80"/>
      <c r="F802" s="81"/>
      <c r="G802" s="82"/>
    </row>
    <row r="803" spans="1:7" ht="15">
      <c r="A803" s="8" t="s">
        <v>0</v>
      </c>
      <c r="B803" s="9" t="s">
        <v>0</v>
      </c>
      <c r="C803" s="9" t="s">
        <v>0</v>
      </c>
      <c r="D803" s="9" t="s">
        <v>0</v>
      </c>
      <c r="E803" s="80"/>
      <c r="F803" s="81"/>
      <c r="G803" s="82"/>
    </row>
    <row r="804" spans="1:7" ht="15">
      <c r="A804" s="8" t="s">
        <v>0</v>
      </c>
      <c r="B804" s="9" t="s">
        <v>0</v>
      </c>
      <c r="C804" s="9" t="s">
        <v>0</v>
      </c>
      <c r="D804" s="9" t="s">
        <v>0</v>
      </c>
      <c r="E804" s="80"/>
      <c r="F804" s="81"/>
      <c r="G804" s="82"/>
    </row>
    <row r="805" spans="1:7" ht="15">
      <c r="A805" s="8" t="s">
        <v>0</v>
      </c>
      <c r="B805" s="9" t="s">
        <v>0</v>
      </c>
      <c r="C805" s="9" t="s">
        <v>0</v>
      </c>
      <c r="D805" s="9" t="s">
        <v>0</v>
      </c>
      <c r="E805" s="80"/>
      <c r="F805" s="81"/>
      <c r="G805" s="82"/>
    </row>
    <row r="806" spans="1:7" ht="15">
      <c r="A806" s="8" t="s">
        <v>0</v>
      </c>
      <c r="B806" s="9" t="s">
        <v>0</v>
      </c>
      <c r="C806" s="9" t="s">
        <v>0</v>
      </c>
      <c r="D806" s="9" t="s">
        <v>0</v>
      </c>
      <c r="E806" s="80"/>
      <c r="F806" s="81"/>
      <c r="G806" s="82"/>
    </row>
    <row r="807" spans="1:7" ht="15">
      <c r="A807" s="8" t="s">
        <v>0</v>
      </c>
      <c r="B807" s="9" t="s">
        <v>0</v>
      </c>
      <c r="C807" s="9" t="s">
        <v>0</v>
      </c>
      <c r="D807" s="9" t="s">
        <v>0</v>
      </c>
      <c r="E807" s="80"/>
      <c r="F807" s="81"/>
      <c r="G807" s="82"/>
    </row>
    <row r="808" spans="1:7" ht="15">
      <c r="A808" s="8" t="s">
        <v>0</v>
      </c>
      <c r="B808" s="9" t="s">
        <v>0</v>
      </c>
      <c r="C808" s="9" t="s">
        <v>0</v>
      </c>
      <c r="D808" s="9" t="s">
        <v>0</v>
      </c>
      <c r="E808" s="80"/>
      <c r="F808" s="81"/>
      <c r="G808" s="82"/>
    </row>
    <row r="809" spans="1:7" ht="15">
      <c r="A809" s="8" t="s">
        <v>0</v>
      </c>
      <c r="B809" s="9" t="s">
        <v>0</v>
      </c>
      <c r="C809" s="9" t="s">
        <v>0</v>
      </c>
      <c r="D809" s="9" t="s">
        <v>0</v>
      </c>
      <c r="E809" s="80"/>
      <c r="F809" s="81"/>
      <c r="G809" s="82"/>
    </row>
    <row r="810" spans="1:7" ht="15">
      <c r="A810" s="8" t="s">
        <v>0</v>
      </c>
      <c r="B810" s="9" t="s">
        <v>0</v>
      </c>
      <c r="C810" s="9" t="s">
        <v>0</v>
      </c>
      <c r="D810" s="9" t="s">
        <v>0</v>
      </c>
      <c r="E810" s="80"/>
      <c r="F810" s="81"/>
      <c r="G810" s="82"/>
    </row>
    <row r="811" spans="1:7" ht="15">
      <c r="A811" s="8" t="s">
        <v>0</v>
      </c>
      <c r="B811" s="9" t="s">
        <v>0</v>
      </c>
      <c r="C811" s="9" t="s">
        <v>0</v>
      </c>
      <c r="D811" s="9" t="s">
        <v>0</v>
      </c>
      <c r="E811" s="80"/>
      <c r="F811" s="81"/>
      <c r="G811" s="82"/>
    </row>
    <row r="812" spans="1:7" ht="15">
      <c r="A812" s="8" t="s">
        <v>0</v>
      </c>
      <c r="B812" s="9" t="s">
        <v>0</v>
      </c>
      <c r="C812" s="9" t="s">
        <v>0</v>
      </c>
      <c r="D812" s="9" t="s">
        <v>0</v>
      </c>
      <c r="E812" s="80"/>
      <c r="F812" s="81"/>
      <c r="G812" s="82"/>
    </row>
    <row r="813" spans="1:7" ht="15">
      <c r="A813" s="8" t="s">
        <v>0</v>
      </c>
      <c r="B813" s="9" t="s">
        <v>0</v>
      </c>
      <c r="C813" s="9" t="s">
        <v>0</v>
      </c>
      <c r="D813" s="9" t="s">
        <v>0</v>
      </c>
      <c r="E813" s="80"/>
      <c r="F813" s="81"/>
      <c r="G813" s="82"/>
    </row>
    <row r="814" spans="1:7" ht="15">
      <c r="A814" s="8" t="s">
        <v>0</v>
      </c>
      <c r="B814" s="9" t="s">
        <v>0</v>
      </c>
      <c r="C814" s="9" t="s">
        <v>0</v>
      </c>
      <c r="D814" s="9" t="s">
        <v>0</v>
      </c>
      <c r="E814" s="80"/>
      <c r="F814" s="81"/>
      <c r="G814" s="82"/>
    </row>
    <row r="815" spans="1:7" ht="15">
      <c r="A815" s="8" t="s">
        <v>0</v>
      </c>
      <c r="B815" s="9" t="s">
        <v>0</v>
      </c>
      <c r="C815" s="9" t="s">
        <v>0</v>
      </c>
      <c r="D815" s="9" t="s">
        <v>0</v>
      </c>
      <c r="E815" s="80"/>
      <c r="F815" s="81"/>
      <c r="G815" s="82"/>
    </row>
    <row r="816" spans="1:7" ht="15">
      <c r="A816" s="8" t="s">
        <v>0</v>
      </c>
      <c r="B816" s="9" t="s">
        <v>0</v>
      </c>
      <c r="C816" s="9" t="s">
        <v>0</v>
      </c>
      <c r="D816" s="9" t="s">
        <v>0</v>
      </c>
      <c r="E816" s="80"/>
      <c r="F816" s="81"/>
      <c r="G816" s="82"/>
    </row>
    <row r="817" spans="1:7" ht="15">
      <c r="A817" s="8" t="s">
        <v>0</v>
      </c>
      <c r="B817" s="9" t="s">
        <v>0</v>
      </c>
      <c r="C817" s="9" t="s">
        <v>0</v>
      </c>
      <c r="D817" s="9" t="s">
        <v>0</v>
      </c>
      <c r="E817" s="80"/>
      <c r="F817" s="81"/>
      <c r="G817" s="82"/>
    </row>
    <row r="818" spans="1:7" ht="15">
      <c r="A818" s="8" t="s">
        <v>0</v>
      </c>
      <c r="B818" s="9" t="s">
        <v>0</v>
      </c>
      <c r="C818" s="9" t="s">
        <v>0</v>
      </c>
      <c r="D818" s="9" t="s">
        <v>0</v>
      </c>
      <c r="E818" s="80"/>
      <c r="F818" s="81"/>
      <c r="G818" s="82"/>
    </row>
    <row r="819" spans="1:7" ht="15.75" thickBot="1">
      <c r="A819" s="12" t="s">
        <v>0</v>
      </c>
      <c r="B819" s="13" t="s">
        <v>0</v>
      </c>
      <c r="C819" s="13" t="s">
        <v>0</v>
      </c>
      <c r="D819" s="13" t="s">
        <v>0</v>
      </c>
      <c r="E819" s="84"/>
      <c r="F819" s="85"/>
      <c r="G819" s="86"/>
    </row>
  </sheetData>
  <sheetProtection/>
  <mergeCells count="4">
    <mergeCell ref="A1:G1"/>
    <mergeCell ref="A3:G3"/>
    <mergeCell ref="A4:G4"/>
    <mergeCell ref="A5:G5"/>
  </mergeCells>
  <printOptions horizontalCentered="1"/>
  <pageMargins left="0.75" right="0.5" top="0.75" bottom="0.75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6"/>
  <sheetViews>
    <sheetView showZeros="0" zoomScalePageLayoutView="0" workbookViewId="0" topLeftCell="A4">
      <selection activeCell="I10" sqref="I10"/>
    </sheetView>
  </sheetViews>
  <sheetFormatPr defaultColWidth="8.796875" defaultRowHeight="15"/>
  <cols>
    <col min="1" max="1" width="7.59765625" style="94" customWidth="1"/>
    <col min="2" max="2" width="19.59765625" style="94" customWidth="1"/>
    <col min="3" max="3" width="4.09765625" style="94" customWidth="1"/>
    <col min="4" max="4" width="4.09765625" style="95" customWidth="1"/>
    <col min="5" max="5" width="4.59765625" style="96" customWidth="1"/>
    <col min="6" max="7" width="4.09765625" style="96" customWidth="1"/>
    <col min="8" max="8" width="11.09765625" style="94" customWidth="1"/>
    <col min="9" max="9" width="11.59765625" style="94" customWidth="1"/>
    <col min="10" max="10" width="9.09765625" style="97" customWidth="1"/>
    <col min="11" max="15" width="8.59765625" style="97" customWidth="1"/>
    <col min="16" max="16" width="9.09765625" style="97" customWidth="1"/>
    <col min="17" max="16384" width="9" style="94" customWidth="1"/>
  </cols>
  <sheetData>
    <row r="1" spans="1:16" ht="22.5" customHeight="1">
      <c r="A1" s="195" t="s">
        <v>760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</row>
    <row r="2" spans="1:16" ht="12.75">
      <c r="A2" s="116"/>
      <c r="B2" s="116"/>
      <c r="C2" s="116"/>
      <c r="D2" s="117"/>
      <c r="E2" s="118"/>
      <c r="F2" s="118"/>
      <c r="G2" s="118"/>
      <c r="H2" s="116"/>
      <c r="I2" s="116"/>
      <c r="J2" s="119"/>
      <c r="K2" s="119"/>
      <c r="L2" s="119"/>
      <c r="M2" s="119"/>
      <c r="N2" s="119"/>
      <c r="O2" s="119"/>
      <c r="P2" s="119"/>
    </row>
    <row r="3" spans="1:16" s="29" customFormat="1" ht="15" customHeight="1">
      <c r="A3" s="192" t="s">
        <v>735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</row>
    <row r="4" spans="1:16" s="29" customFormat="1" ht="15" customHeight="1">
      <c r="A4" s="192" t="s">
        <v>736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</row>
    <row r="5" spans="1:16" s="29" customFormat="1" ht="15" customHeight="1">
      <c r="A5" s="192" t="s">
        <v>737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</row>
    <row r="6" spans="1:16" ht="13.5" thickBot="1">
      <c r="A6" s="116"/>
      <c r="B6" s="116"/>
      <c r="C6" s="116"/>
      <c r="D6" s="117"/>
      <c r="E6" s="118"/>
      <c r="F6" s="118"/>
      <c r="G6" s="118"/>
      <c r="H6" s="116"/>
      <c r="I6" s="116"/>
      <c r="J6" s="119"/>
      <c r="K6" s="119"/>
      <c r="L6" s="119"/>
      <c r="M6" s="119"/>
      <c r="N6" s="119"/>
      <c r="O6" s="119"/>
      <c r="P6" s="119"/>
    </row>
    <row r="7" spans="1:16" ht="45" customHeight="1">
      <c r="A7" s="120" t="s">
        <v>761</v>
      </c>
      <c r="B7" s="121" t="s">
        <v>762</v>
      </c>
      <c r="C7" s="121" t="s">
        <v>763</v>
      </c>
      <c r="D7" s="122" t="s">
        <v>764</v>
      </c>
      <c r="E7" s="123" t="s">
        <v>765</v>
      </c>
      <c r="F7" s="123" t="s">
        <v>766</v>
      </c>
      <c r="G7" s="123" t="s">
        <v>767</v>
      </c>
      <c r="H7" s="121" t="s">
        <v>768</v>
      </c>
      <c r="I7" s="121" t="s">
        <v>769</v>
      </c>
      <c r="J7" s="124" t="s">
        <v>770</v>
      </c>
      <c r="K7" s="124" t="s">
        <v>771</v>
      </c>
      <c r="L7" s="124" t="s">
        <v>772</v>
      </c>
      <c r="M7" s="124" t="s">
        <v>773</v>
      </c>
      <c r="N7" s="124" t="s">
        <v>774</v>
      </c>
      <c r="O7" s="124" t="s">
        <v>775</v>
      </c>
      <c r="P7" s="125" t="s">
        <v>776</v>
      </c>
    </row>
    <row r="8" spans="1:16" ht="12.75">
      <c r="A8" s="110" t="s">
        <v>0</v>
      </c>
      <c r="B8" s="111" t="s">
        <v>7</v>
      </c>
      <c r="C8" s="111" t="s">
        <v>8</v>
      </c>
      <c r="D8" s="112">
        <v>0</v>
      </c>
      <c r="E8" s="113">
        <v>0</v>
      </c>
      <c r="F8" s="113">
        <v>0</v>
      </c>
      <c r="G8" s="113">
        <v>0</v>
      </c>
      <c r="H8" s="111" t="s">
        <v>0</v>
      </c>
      <c r="I8" s="111" t="s">
        <v>655</v>
      </c>
      <c r="J8" s="114">
        <v>0</v>
      </c>
      <c r="K8" s="114">
        <v>0</v>
      </c>
      <c r="L8" s="114">
        <v>0</v>
      </c>
      <c r="M8" s="114">
        <v>0</v>
      </c>
      <c r="N8" s="114">
        <v>0</v>
      </c>
      <c r="O8" s="114">
        <v>0</v>
      </c>
      <c r="P8" s="115">
        <f>ROUND(218559.2,1)</f>
        <v>218559.2</v>
      </c>
    </row>
    <row r="9" spans="1:16" ht="12.75">
      <c r="A9" s="98" t="s">
        <v>11</v>
      </c>
      <c r="B9" s="99" t="s">
        <v>25</v>
      </c>
      <c r="C9" s="99" t="s">
        <v>8</v>
      </c>
      <c r="D9" s="100">
        <v>0</v>
      </c>
      <c r="E9" s="101">
        <v>0</v>
      </c>
      <c r="F9" s="101">
        <v>0</v>
      </c>
      <c r="G9" s="101">
        <v>0</v>
      </c>
      <c r="H9" s="99" t="s">
        <v>0</v>
      </c>
      <c r="I9" s="99" t="s">
        <v>654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03">
        <f>ROUND(230630.3,1)</f>
        <v>230630.3</v>
      </c>
    </row>
    <row r="10" spans="1:16" ht="12.75">
      <c r="A10" s="98" t="s">
        <v>0</v>
      </c>
      <c r="B10" s="99" t="s">
        <v>305</v>
      </c>
      <c r="C10" s="99" t="s">
        <v>8</v>
      </c>
      <c r="D10" s="100">
        <v>0</v>
      </c>
      <c r="E10" s="101">
        <v>0</v>
      </c>
      <c r="F10" s="101">
        <v>0</v>
      </c>
      <c r="G10" s="101">
        <v>0</v>
      </c>
      <c r="H10" s="99" t="s">
        <v>0</v>
      </c>
      <c r="I10" s="99" t="s">
        <v>653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3">
        <f>ROUND(175978,1)</f>
        <v>175978</v>
      </c>
    </row>
    <row r="11" spans="1:16" ht="12.75">
      <c r="A11" s="98" t="s">
        <v>16</v>
      </c>
      <c r="B11" s="99" t="s">
        <v>44</v>
      </c>
      <c r="C11" s="99" t="s">
        <v>8</v>
      </c>
      <c r="D11" s="100">
        <v>0</v>
      </c>
      <c r="E11" s="101">
        <v>0</v>
      </c>
      <c r="F11" s="101">
        <v>0</v>
      </c>
      <c r="G11" s="101">
        <v>0</v>
      </c>
      <c r="H11" s="99" t="s">
        <v>0</v>
      </c>
      <c r="I11" s="99" t="s">
        <v>652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02">
        <v>0</v>
      </c>
      <c r="P11" s="103">
        <f>ROUND(252200,1)</f>
        <v>252200</v>
      </c>
    </row>
    <row r="12" spans="1:16" ht="12.75">
      <c r="A12" s="98" t="s">
        <v>0</v>
      </c>
      <c r="B12" s="99" t="s">
        <v>298</v>
      </c>
      <c r="C12" s="99" t="s">
        <v>8</v>
      </c>
      <c r="D12" s="100">
        <v>0</v>
      </c>
      <c r="E12" s="101">
        <v>0</v>
      </c>
      <c r="F12" s="101">
        <v>0</v>
      </c>
      <c r="G12" s="101">
        <v>0</v>
      </c>
      <c r="H12" s="99" t="s">
        <v>0</v>
      </c>
      <c r="I12" s="99" t="s">
        <v>651</v>
      </c>
      <c r="J12" s="102">
        <v>0</v>
      </c>
      <c r="K12" s="102">
        <v>0</v>
      </c>
      <c r="L12" s="102">
        <v>0</v>
      </c>
      <c r="M12" s="102">
        <v>0</v>
      </c>
      <c r="N12" s="102">
        <v>0</v>
      </c>
      <c r="O12" s="102">
        <v>0</v>
      </c>
      <c r="P12" s="103">
        <f>ROUND(188805,1)</f>
        <v>188805</v>
      </c>
    </row>
    <row r="13" spans="1:16" ht="12.75">
      <c r="A13" s="98" t="s">
        <v>0</v>
      </c>
      <c r="B13" s="99" t="s">
        <v>289</v>
      </c>
      <c r="C13" s="99" t="s">
        <v>8</v>
      </c>
      <c r="D13" s="100">
        <v>0</v>
      </c>
      <c r="E13" s="101">
        <v>0</v>
      </c>
      <c r="F13" s="101">
        <v>0</v>
      </c>
      <c r="G13" s="101">
        <v>0</v>
      </c>
      <c r="H13" s="99" t="s">
        <v>0</v>
      </c>
      <c r="I13" s="99" t="s">
        <v>650</v>
      </c>
      <c r="J13" s="102">
        <v>0</v>
      </c>
      <c r="K13" s="102">
        <v>0</v>
      </c>
      <c r="L13" s="102">
        <v>0</v>
      </c>
      <c r="M13" s="102">
        <v>0</v>
      </c>
      <c r="N13" s="102">
        <v>0</v>
      </c>
      <c r="O13" s="102">
        <v>0</v>
      </c>
      <c r="P13" s="103">
        <f>ROUND(259440.8,1)</f>
        <v>259440.8</v>
      </c>
    </row>
    <row r="14" spans="1:16" ht="12.75">
      <c r="A14" s="98" t="s">
        <v>28</v>
      </c>
      <c r="B14" s="99" t="s">
        <v>99</v>
      </c>
      <c r="C14" s="99" t="s">
        <v>8</v>
      </c>
      <c r="D14" s="100">
        <v>0</v>
      </c>
      <c r="E14" s="101">
        <v>0</v>
      </c>
      <c r="F14" s="101">
        <v>0</v>
      </c>
      <c r="G14" s="101">
        <v>0</v>
      </c>
      <c r="H14" s="99" t="s">
        <v>0</v>
      </c>
      <c r="I14" s="99" t="s">
        <v>649</v>
      </c>
      <c r="J14" s="102">
        <v>0</v>
      </c>
      <c r="K14" s="102">
        <v>0</v>
      </c>
      <c r="L14" s="102">
        <v>0</v>
      </c>
      <c r="M14" s="102">
        <v>0</v>
      </c>
      <c r="N14" s="102">
        <v>0</v>
      </c>
      <c r="O14" s="102">
        <v>0</v>
      </c>
      <c r="P14" s="103">
        <f>ROUND(273769.7,1)</f>
        <v>273769.7</v>
      </c>
    </row>
    <row r="15" spans="1:16" ht="12.75">
      <c r="A15" s="98" t="s">
        <v>0</v>
      </c>
      <c r="B15" s="99" t="s">
        <v>195</v>
      </c>
      <c r="C15" s="99" t="s">
        <v>8</v>
      </c>
      <c r="D15" s="100">
        <v>0</v>
      </c>
      <c r="E15" s="101">
        <v>0</v>
      </c>
      <c r="F15" s="101">
        <v>0</v>
      </c>
      <c r="G15" s="101">
        <v>0</v>
      </c>
      <c r="H15" s="99" t="s">
        <v>0</v>
      </c>
      <c r="I15" s="99" t="s">
        <v>648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02">
        <v>0</v>
      </c>
      <c r="P15" s="103">
        <f>ROUND(305039.5,1)</f>
        <v>305039.5</v>
      </c>
    </row>
    <row r="16" spans="1:16" ht="12.75">
      <c r="A16" s="98" t="s">
        <v>0</v>
      </c>
      <c r="B16" s="99" t="s">
        <v>173</v>
      </c>
      <c r="C16" s="99" t="s">
        <v>8</v>
      </c>
      <c r="D16" s="100">
        <v>0</v>
      </c>
      <c r="E16" s="101">
        <v>0</v>
      </c>
      <c r="F16" s="101">
        <v>0</v>
      </c>
      <c r="G16" s="101">
        <v>0</v>
      </c>
      <c r="H16" s="99" t="s">
        <v>0</v>
      </c>
      <c r="I16" s="99" t="s">
        <v>647</v>
      </c>
      <c r="J16" s="102">
        <v>0</v>
      </c>
      <c r="K16" s="102">
        <v>0</v>
      </c>
      <c r="L16" s="102">
        <v>0</v>
      </c>
      <c r="M16" s="102">
        <v>0</v>
      </c>
      <c r="N16" s="102">
        <v>0</v>
      </c>
      <c r="O16" s="102">
        <v>0</v>
      </c>
      <c r="P16" s="103">
        <f>ROUND(321886.8,1)</f>
        <v>321886.8</v>
      </c>
    </row>
    <row r="17" spans="1:16" ht="12.75">
      <c r="A17" s="98" t="s">
        <v>45</v>
      </c>
      <c r="B17" s="99" t="s">
        <v>236</v>
      </c>
      <c r="C17" s="99" t="s">
        <v>8</v>
      </c>
      <c r="D17" s="100">
        <v>0</v>
      </c>
      <c r="E17" s="101">
        <v>0</v>
      </c>
      <c r="F17" s="101">
        <v>0</v>
      </c>
      <c r="G17" s="101">
        <v>0</v>
      </c>
      <c r="H17" s="99" t="s">
        <v>0</v>
      </c>
      <c r="I17" s="99" t="s">
        <v>646</v>
      </c>
      <c r="J17" s="102">
        <v>0</v>
      </c>
      <c r="K17" s="102">
        <v>0</v>
      </c>
      <c r="L17" s="102">
        <v>0</v>
      </c>
      <c r="M17" s="102">
        <v>0</v>
      </c>
      <c r="N17" s="102">
        <v>0</v>
      </c>
      <c r="O17" s="102">
        <v>0</v>
      </c>
      <c r="P17" s="103">
        <f>ROUND(449646.1,1)</f>
        <v>449646.1</v>
      </c>
    </row>
    <row r="18" spans="1:16" ht="12.75">
      <c r="A18" s="98" t="s">
        <v>645</v>
      </c>
      <c r="B18" s="99" t="s">
        <v>331</v>
      </c>
      <c r="C18" s="99" t="s">
        <v>10</v>
      </c>
      <c r="D18" s="100">
        <v>120</v>
      </c>
      <c r="E18" s="101">
        <v>20</v>
      </c>
      <c r="F18" s="101">
        <v>5.5</v>
      </c>
      <c r="G18" s="101">
        <v>4</v>
      </c>
      <c r="H18" s="99" t="s">
        <v>644</v>
      </c>
      <c r="I18" s="99" t="s">
        <v>0</v>
      </c>
      <c r="J18" s="102">
        <v>8750</v>
      </c>
      <c r="K18" s="102">
        <f aca="true" t="shared" si="0" ref="K18:K24">J18*E18/D18*10</f>
        <v>14583.333333333332</v>
      </c>
      <c r="L18" s="102">
        <f aca="true" t="shared" si="1" ref="L18:L31">J18*F18/D18*10</f>
        <v>4010.416666666667</v>
      </c>
      <c r="M18" s="102">
        <f>2.7*1864.4*1.05</f>
        <v>5285.574000000001</v>
      </c>
      <c r="N18" s="102"/>
      <c r="O18" s="102">
        <f aca="true" t="shared" si="2" ref="O18:O31">J18*G18/D18*10</f>
        <v>2916.666666666667</v>
      </c>
      <c r="P18" s="103">
        <f aca="true" t="shared" si="3" ref="P18:P36">ROUND(K18+L18+M18+N18+O18,1)</f>
        <v>26796</v>
      </c>
    </row>
    <row r="19" spans="1:16" ht="12.75">
      <c r="A19" s="98" t="s">
        <v>643</v>
      </c>
      <c r="B19" s="99" t="s">
        <v>290</v>
      </c>
      <c r="C19" s="99" t="s">
        <v>10</v>
      </c>
      <c r="D19" s="100">
        <v>190</v>
      </c>
      <c r="E19" s="101">
        <v>20.5</v>
      </c>
      <c r="F19" s="101">
        <v>10.5</v>
      </c>
      <c r="G19" s="101">
        <v>4</v>
      </c>
      <c r="H19" s="99" t="s">
        <v>635</v>
      </c>
      <c r="I19" s="99" t="s">
        <v>0</v>
      </c>
      <c r="J19" s="102">
        <v>4600</v>
      </c>
      <c r="K19" s="102">
        <f t="shared" si="0"/>
        <v>4963.1578947368425</v>
      </c>
      <c r="L19" s="102">
        <f t="shared" si="1"/>
        <v>2542.105263157895</v>
      </c>
      <c r="M19" s="102">
        <f>2*1864.4*1.05</f>
        <v>3915.2400000000002</v>
      </c>
      <c r="N19" s="102"/>
      <c r="O19" s="102">
        <f t="shared" si="2"/>
        <v>968.421052631579</v>
      </c>
      <c r="P19" s="103">
        <f t="shared" si="3"/>
        <v>12388.9</v>
      </c>
    </row>
    <row r="20" spans="1:16" ht="12.75">
      <c r="A20" s="98" t="s">
        <v>642</v>
      </c>
      <c r="B20" s="99" t="s">
        <v>100</v>
      </c>
      <c r="C20" s="99" t="s">
        <v>10</v>
      </c>
      <c r="D20" s="100">
        <v>90</v>
      </c>
      <c r="E20" s="101">
        <v>14</v>
      </c>
      <c r="F20" s="101">
        <v>7</v>
      </c>
      <c r="G20" s="101">
        <v>4</v>
      </c>
      <c r="H20" s="99" t="s">
        <v>641</v>
      </c>
      <c r="I20" s="99" t="s">
        <v>0</v>
      </c>
      <c r="J20" s="102">
        <v>7900</v>
      </c>
      <c r="K20" s="102">
        <f t="shared" si="0"/>
        <v>12288.888888888889</v>
      </c>
      <c r="L20" s="102">
        <f t="shared" si="1"/>
        <v>6144.444444444444</v>
      </c>
      <c r="M20" s="102">
        <f>3*1864.4*1.05</f>
        <v>5872.860000000001</v>
      </c>
      <c r="N20" s="102"/>
      <c r="O20" s="102">
        <f t="shared" si="2"/>
        <v>3511.111111111111</v>
      </c>
      <c r="P20" s="103">
        <f t="shared" si="3"/>
        <v>27817.3</v>
      </c>
    </row>
    <row r="21" spans="1:16" ht="12.75">
      <c r="A21" s="98" t="s">
        <v>640</v>
      </c>
      <c r="B21" s="99" t="s">
        <v>77</v>
      </c>
      <c r="C21" s="99" t="s">
        <v>10</v>
      </c>
      <c r="D21" s="100">
        <v>240</v>
      </c>
      <c r="E21" s="101">
        <v>14</v>
      </c>
      <c r="F21" s="101">
        <v>4.1</v>
      </c>
      <c r="G21" s="101">
        <v>4</v>
      </c>
      <c r="H21" s="99" t="s">
        <v>639</v>
      </c>
      <c r="I21" s="99" t="s">
        <v>619</v>
      </c>
      <c r="J21" s="102">
        <v>18200</v>
      </c>
      <c r="K21" s="102">
        <f t="shared" si="0"/>
        <v>10616.666666666668</v>
      </c>
      <c r="L21" s="102">
        <f t="shared" si="1"/>
        <v>3109.166666666667</v>
      </c>
      <c r="M21" s="102">
        <f>9*1864.4*1.05</f>
        <v>17618.58</v>
      </c>
      <c r="N21" s="102">
        <f>(1*244987.5)*1</f>
        <v>244987.5</v>
      </c>
      <c r="O21" s="102">
        <f t="shared" si="2"/>
        <v>3033.333333333333</v>
      </c>
      <c r="P21" s="103">
        <f t="shared" si="3"/>
        <v>279365.2</v>
      </c>
    </row>
    <row r="22" spans="1:16" ht="12.75">
      <c r="A22" s="98" t="s">
        <v>638</v>
      </c>
      <c r="B22" s="99" t="s">
        <v>83</v>
      </c>
      <c r="C22" s="99" t="s">
        <v>10</v>
      </c>
      <c r="D22" s="100">
        <v>200</v>
      </c>
      <c r="E22" s="101">
        <v>21</v>
      </c>
      <c r="F22" s="101">
        <v>4.8</v>
      </c>
      <c r="G22" s="101">
        <v>5</v>
      </c>
      <c r="H22" s="99" t="s">
        <v>637</v>
      </c>
      <c r="I22" s="99" t="s">
        <v>626</v>
      </c>
      <c r="J22" s="102">
        <v>16000</v>
      </c>
      <c r="K22" s="102">
        <f t="shared" si="0"/>
        <v>16800</v>
      </c>
      <c r="L22" s="102">
        <f t="shared" si="1"/>
        <v>3840</v>
      </c>
      <c r="M22" s="102">
        <f>48*1864.4*1.05</f>
        <v>93965.76000000001</v>
      </c>
      <c r="N22" s="102">
        <f>(1*290812.5)*1</f>
        <v>290812.5</v>
      </c>
      <c r="O22" s="102">
        <f t="shared" si="2"/>
        <v>4000</v>
      </c>
      <c r="P22" s="103">
        <f t="shared" si="3"/>
        <v>409418.3</v>
      </c>
    </row>
    <row r="23" spans="1:16" ht="12.75">
      <c r="A23" s="98" t="s">
        <v>636</v>
      </c>
      <c r="B23" s="99" t="s">
        <v>332</v>
      </c>
      <c r="C23" s="99" t="s">
        <v>10</v>
      </c>
      <c r="D23" s="100">
        <v>220</v>
      </c>
      <c r="E23" s="101">
        <v>14</v>
      </c>
      <c r="F23" s="101">
        <v>4.9</v>
      </c>
      <c r="G23" s="101">
        <v>4</v>
      </c>
      <c r="H23" s="99" t="s">
        <v>635</v>
      </c>
      <c r="I23" s="99" t="s">
        <v>0</v>
      </c>
      <c r="J23" s="102">
        <v>3500</v>
      </c>
      <c r="K23" s="102">
        <f t="shared" si="0"/>
        <v>2227.272727272727</v>
      </c>
      <c r="L23" s="102">
        <f t="shared" si="1"/>
        <v>779.5454545454545</v>
      </c>
      <c r="M23" s="102">
        <f>2*1864.4*1.05</f>
        <v>3915.2400000000002</v>
      </c>
      <c r="N23" s="102"/>
      <c r="O23" s="102">
        <f t="shared" si="2"/>
        <v>636.3636363636364</v>
      </c>
      <c r="P23" s="103">
        <f t="shared" si="3"/>
        <v>7558.4</v>
      </c>
    </row>
    <row r="24" spans="1:16" ht="12.75">
      <c r="A24" s="98" t="s">
        <v>632</v>
      </c>
      <c r="B24" s="99" t="s">
        <v>117</v>
      </c>
      <c r="C24" s="99" t="s">
        <v>10</v>
      </c>
      <c r="D24" s="100">
        <v>170</v>
      </c>
      <c r="E24" s="101">
        <v>19</v>
      </c>
      <c r="F24" s="101">
        <v>6.8</v>
      </c>
      <c r="G24" s="101">
        <v>5</v>
      </c>
      <c r="H24" s="99" t="s">
        <v>631</v>
      </c>
      <c r="I24" s="99" t="s">
        <v>619</v>
      </c>
      <c r="J24" s="102">
        <v>17828</v>
      </c>
      <c r="K24" s="102">
        <f t="shared" si="0"/>
        <v>19925.41176470588</v>
      </c>
      <c r="L24" s="102">
        <f t="shared" si="1"/>
        <v>7131.2</v>
      </c>
      <c r="M24" s="102">
        <f>8*1864.4*1.05</f>
        <v>15660.960000000001</v>
      </c>
      <c r="N24" s="102">
        <f>(1*244987.5)*1</f>
        <v>244987.5</v>
      </c>
      <c r="O24" s="102">
        <f t="shared" si="2"/>
        <v>5243.529411764706</v>
      </c>
      <c r="P24" s="103">
        <f t="shared" si="3"/>
        <v>292948.6</v>
      </c>
    </row>
    <row r="25" spans="1:16" ht="12.75">
      <c r="A25" s="98" t="s">
        <v>634</v>
      </c>
      <c r="B25" s="99" t="s">
        <v>26</v>
      </c>
      <c r="C25" s="99" t="s">
        <v>10</v>
      </c>
      <c r="D25" s="100">
        <v>165</v>
      </c>
      <c r="E25" s="101">
        <v>19</v>
      </c>
      <c r="F25" s="101">
        <v>6.5</v>
      </c>
      <c r="G25" s="101">
        <v>5</v>
      </c>
      <c r="H25" s="99" t="s">
        <v>633</v>
      </c>
      <c r="I25" s="99" t="s">
        <v>619</v>
      </c>
      <c r="J25" s="102">
        <v>30210</v>
      </c>
      <c r="K25" s="102">
        <f>J25*(1-0.1)*E25/D25*10</f>
        <v>31308.545454545456</v>
      </c>
      <c r="L25" s="102">
        <f t="shared" si="1"/>
        <v>11900.90909090909</v>
      </c>
      <c r="M25" s="102">
        <f>11*1864.4*1.05</f>
        <v>21533.820000000003</v>
      </c>
      <c r="N25" s="102">
        <f>(1*244987.5)*1</f>
        <v>244987.5</v>
      </c>
      <c r="O25" s="102">
        <f t="shared" si="2"/>
        <v>9154.545454545456</v>
      </c>
      <c r="P25" s="103">
        <f t="shared" si="3"/>
        <v>318885.3</v>
      </c>
    </row>
    <row r="26" spans="1:16" ht="12.75">
      <c r="A26" s="98" t="s">
        <v>632</v>
      </c>
      <c r="B26" s="99" t="s">
        <v>62</v>
      </c>
      <c r="C26" s="99" t="s">
        <v>10</v>
      </c>
      <c r="D26" s="100">
        <v>170</v>
      </c>
      <c r="E26" s="101">
        <v>19</v>
      </c>
      <c r="F26" s="101">
        <v>6.8</v>
      </c>
      <c r="G26" s="101">
        <v>5</v>
      </c>
      <c r="H26" s="99" t="s">
        <v>631</v>
      </c>
      <c r="I26" s="99" t="s">
        <v>619</v>
      </c>
      <c r="J26" s="102">
        <v>17828</v>
      </c>
      <c r="K26" s="102">
        <f>J26*E26/D26*10</f>
        <v>19925.41176470588</v>
      </c>
      <c r="L26" s="102">
        <f t="shared" si="1"/>
        <v>7131.2</v>
      </c>
      <c r="M26" s="102">
        <f>8*1864.4*1.05</f>
        <v>15660.960000000001</v>
      </c>
      <c r="N26" s="102">
        <f>(1*244987.5)*1</f>
        <v>244987.5</v>
      </c>
      <c r="O26" s="102">
        <f t="shared" si="2"/>
        <v>5243.529411764706</v>
      </c>
      <c r="P26" s="103">
        <f t="shared" si="3"/>
        <v>292948.6</v>
      </c>
    </row>
    <row r="27" spans="1:16" ht="12.75">
      <c r="A27" s="98" t="s">
        <v>630</v>
      </c>
      <c r="B27" s="99" t="s">
        <v>337</v>
      </c>
      <c r="C27" s="99" t="s">
        <v>10</v>
      </c>
      <c r="D27" s="100">
        <v>280</v>
      </c>
      <c r="E27" s="101">
        <v>17</v>
      </c>
      <c r="F27" s="101">
        <v>5.8</v>
      </c>
      <c r="G27" s="101">
        <v>5</v>
      </c>
      <c r="H27" s="99" t="s">
        <v>629</v>
      </c>
      <c r="I27" s="99" t="s">
        <v>626</v>
      </c>
      <c r="J27" s="102">
        <v>2150000</v>
      </c>
      <c r="K27" s="102">
        <f>J27*(1-0.1)*E27/D27*10</f>
        <v>1174821.4285714286</v>
      </c>
      <c r="L27" s="102">
        <f t="shared" si="1"/>
        <v>445357.14285714284</v>
      </c>
      <c r="M27" s="102">
        <f>83*20265*1.03</f>
        <v>1732454.85</v>
      </c>
      <c r="N27" s="102">
        <f>(1*290812.5)*1</f>
        <v>290812.5</v>
      </c>
      <c r="O27" s="102">
        <f t="shared" si="2"/>
        <v>383928.5714285715</v>
      </c>
      <c r="P27" s="103">
        <f t="shared" si="3"/>
        <v>4027374.5</v>
      </c>
    </row>
    <row r="28" spans="1:16" ht="12.75">
      <c r="A28" s="98" t="s">
        <v>628</v>
      </c>
      <c r="B28" s="99" t="s">
        <v>9</v>
      </c>
      <c r="C28" s="99" t="s">
        <v>10</v>
      </c>
      <c r="D28" s="100">
        <v>280</v>
      </c>
      <c r="E28" s="101">
        <v>17</v>
      </c>
      <c r="F28" s="101">
        <v>5.8</v>
      </c>
      <c r="G28" s="101">
        <v>5</v>
      </c>
      <c r="H28" s="99" t="s">
        <v>627</v>
      </c>
      <c r="I28" s="99" t="s">
        <v>626</v>
      </c>
      <c r="J28" s="102">
        <v>809944</v>
      </c>
      <c r="K28" s="102">
        <f>J28*(1-0.1)*E28/D28*10</f>
        <v>442576.54285714286</v>
      </c>
      <c r="L28" s="102">
        <f t="shared" si="1"/>
        <v>167774.11428571428</v>
      </c>
      <c r="M28" s="102">
        <f>43*20265*1.03</f>
        <v>897536.85</v>
      </c>
      <c r="N28" s="102">
        <f>(1*290812.5)*1</f>
        <v>290812.5</v>
      </c>
      <c r="O28" s="102">
        <f t="shared" si="2"/>
        <v>144632.85714285713</v>
      </c>
      <c r="P28" s="103">
        <f t="shared" si="3"/>
        <v>1943332.9</v>
      </c>
    </row>
    <row r="29" spans="1:16" ht="12.75">
      <c r="A29" s="98" t="s">
        <v>625</v>
      </c>
      <c r="B29" s="99" t="s">
        <v>27</v>
      </c>
      <c r="C29" s="99" t="s">
        <v>10</v>
      </c>
      <c r="D29" s="100">
        <v>150</v>
      </c>
      <c r="E29" s="101">
        <v>25</v>
      </c>
      <c r="F29" s="101">
        <v>8.8</v>
      </c>
      <c r="G29" s="101">
        <v>4</v>
      </c>
      <c r="H29" s="99" t="s">
        <v>624</v>
      </c>
      <c r="I29" s="99" t="s">
        <v>619</v>
      </c>
      <c r="J29" s="102">
        <v>6420</v>
      </c>
      <c r="K29" s="102">
        <f>J29*E29/D29*10</f>
        <v>10700</v>
      </c>
      <c r="L29" s="102">
        <f t="shared" si="1"/>
        <v>3766.4000000000005</v>
      </c>
      <c r="M29" s="102">
        <f>5*1864.4*1.05</f>
        <v>9788.1</v>
      </c>
      <c r="N29" s="102">
        <f>(1*244987.5)*1</f>
        <v>244987.5</v>
      </c>
      <c r="O29" s="102">
        <f t="shared" si="2"/>
        <v>1712</v>
      </c>
      <c r="P29" s="103">
        <f t="shared" si="3"/>
        <v>270954</v>
      </c>
    </row>
    <row r="30" spans="1:16" ht="12.75">
      <c r="A30" s="98" t="s">
        <v>623</v>
      </c>
      <c r="B30" s="99" t="s">
        <v>34</v>
      </c>
      <c r="C30" s="99" t="s">
        <v>10</v>
      </c>
      <c r="D30" s="100">
        <v>150</v>
      </c>
      <c r="E30" s="101">
        <v>20</v>
      </c>
      <c r="F30" s="101">
        <v>8.8</v>
      </c>
      <c r="G30" s="101">
        <v>4</v>
      </c>
      <c r="H30" s="99" t="s">
        <v>622</v>
      </c>
      <c r="I30" s="99" t="s">
        <v>619</v>
      </c>
      <c r="J30" s="102">
        <v>7395</v>
      </c>
      <c r="K30" s="102">
        <f>J30*E30/D30*10</f>
        <v>9860</v>
      </c>
      <c r="L30" s="102">
        <f t="shared" si="1"/>
        <v>4338.400000000001</v>
      </c>
      <c r="M30" s="102">
        <f>7*1864.4*1.05</f>
        <v>13703.340000000002</v>
      </c>
      <c r="N30" s="102">
        <f>(1*244987.5)*1</f>
        <v>244987.5</v>
      </c>
      <c r="O30" s="102">
        <f t="shared" si="2"/>
        <v>1972</v>
      </c>
      <c r="P30" s="103">
        <f t="shared" si="3"/>
        <v>274861.2</v>
      </c>
    </row>
    <row r="31" spans="1:16" ht="12.75">
      <c r="A31" s="98" t="s">
        <v>621</v>
      </c>
      <c r="B31" s="99" t="s">
        <v>15</v>
      </c>
      <c r="C31" s="99" t="s">
        <v>10</v>
      </c>
      <c r="D31" s="100">
        <v>200</v>
      </c>
      <c r="E31" s="101">
        <v>20</v>
      </c>
      <c r="F31" s="101">
        <v>5.4</v>
      </c>
      <c r="G31" s="101">
        <v>4</v>
      </c>
      <c r="H31" s="99" t="s">
        <v>620</v>
      </c>
      <c r="I31" s="99" t="s">
        <v>619</v>
      </c>
      <c r="J31" s="102">
        <v>35771</v>
      </c>
      <c r="K31" s="102">
        <f>J31*(1-0.1)*E31/D31*10</f>
        <v>32193.899999999998</v>
      </c>
      <c r="L31" s="102">
        <f t="shared" si="1"/>
        <v>9658.170000000002</v>
      </c>
      <c r="M31" s="102">
        <f>4*21686*1.02</f>
        <v>88478.88</v>
      </c>
      <c r="N31" s="102">
        <f>(1*244987.5)*1</f>
        <v>244987.5</v>
      </c>
      <c r="O31" s="102">
        <f t="shared" si="2"/>
        <v>7154.2</v>
      </c>
      <c r="P31" s="103">
        <f t="shared" si="3"/>
        <v>382472.7</v>
      </c>
    </row>
    <row r="32" spans="1:16" ht="12.75">
      <c r="A32" s="98" t="s">
        <v>0</v>
      </c>
      <c r="B32" s="99" t="s">
        <v>299</v>
      </c>
      <c r="C32" s="99" t="s">
        <v>10</v>
      </c>
      <c r="D32" s="100">
        <v>0</v>
      </c>
      <c r="E32" s="101">
        <v>0</v>
      </c>
      <c r="F32" s="101">
        <v>0</v>
      </c>
      <c r="G32" s="101">
        <v>0</v>
      </c>
      <c r="H32" s="99" t="s">
        <v>0</v>
      </c>
      <c r="I32" s="99" t="s">
        <v>0</v>
      </c>
      <c r="J32" s="102">
        <v>0</v>
      </c>
      <c r="K32" s="102"/>
      <c r="L32" s="102"/>
      <c r="M32" s="102"/>
      <c r="N32" s="102"/>
      <c r="O32" s="102"/>
      <c r="P32" s="103">
        <v>1380073</v>
      </c>
    </row>
    <row r="33" spans="1:16" ht="12.75">
      <c r="A33" s="98" t="s">
        <v>618</v>
      </c>
      <c r="B33" s="99" t="s">
        <v>355</v>
      </c>
      <c r="C33" s="99" t="s">
        <v>10</v>
      </c>
      <c r="D33" s="100">
        <v>260</v>
      </c>
      <c r="E33" s="101">
        <v>17</v>
      </c>
      <c r="F33" s="101">
        <v>7.5</v>
      </c>
      <c r="G33" s="101">
        <v>6</v>
      </c>
      <c r="H33" s="99" t="s">
        <v>617</v>
      </c>
      <c r="I33" s="99" t="s">
        <v>612</v>
      </c>
      <c r="J33" s="102">
        <v>437559</v>
      </c>
      <c r="K33" s="102">
        <f>J33*(1-0.1)*E33/D33*10</f>
        <v>257486.64230769232</v>
      </c>
      <c r="L33" s="102">
        <f>J33*F33/D33*10</f>
        <v>126218.94230769231</v>
      </c>
      <c r="M33" s="102">
        <f>41*20265*1.03</f>
        <v>855790.9500000001</v>
      </c>
      <c r="N33" s="102">
        <f>(1*267900)*1</f>
        <v>267900</v>
      </c>
      <c r="O33" s="102">
        <f>J33*G33/D33*10</f>
        <v>100975.15384615384</v>
      </c>
      <c r="P33" s="103">
        <f t="shared" si="3"/>
        <v>1608371.7</v>
      </c>
    </row>
    <row r="34" spans="1:16" ht="12.75">
      <c r="A34" s="98" t="s">
        <v>616</v>
      </c>
      <c r="B34" s="99" t="s">
        <v>387</v>
      </c>
      <c r="C34" s="99" t="s">
        <v>10</v>
      </c>
      <c r="D34" s="100">
        <v>260</v>
      </c>
      <c r="E34" s="101">
        <v>17</v>
      </c>
      <c r="F34" s="101">
        <v>7.3</v>
      </c>
      <c r="G34" s="101">
        <v>6</v>
      </c>
      <c r="H34" s="99" t="s">
        <v>615</v>
      </c>
      <c r="I34" s="99" t="s">
        <v>612</v>
      </c>
      <c r="J34" s="102">
        <v>616643</v>
      </c>
      <c r="K34" s="102">
        <f>J34*(1-0.1)*E34/D34*10</f>
        <v>362870.68846153846</v>
      </c>
      <c r="L34" s="102">
        <f>J34*F34/D34*10</f>
        <v>173134.38076923075</v>
      </c>
      <c r="M34" s="102">
        <f>46*20265*1.03</f>
        <v>960155.7000000001</v>
      </c>
      <c r="N34" s="102">
        <f>(1*267900)*1</f>
        <v>267900</v>
      </c>
      <c r="O34" s="102">
        <f>J34*G34/D34*10</f>
        <v>142302.23076923078</v>
      </c>
      <c r="P34" s="103">
        <f t="shared" si="3"/>
        <v>1906363</v>
      </c>
    </row>
    <row r="35" spans="1:16" ht="12.75">
      <c r="A35" s="98" t="s">
        <v>614</v>
      </c>
      <c r="B35" s="99" t="s">
        <v>405</v>
      </c>
      <c r="C35" s="99" t="s">
        <v>10</v>
      </c>
      <c r="D35" s="100">
        <v>250</v>
      </c>
      <c r="E35" s="101">
        <v>17</v>
      </c>
      <c r="F35" s="101">
        <v>6.2</v>
      </c>
      <c r="G35" s="101">
        <v>6</v>
      </c>
      <c r="H35" s="99" t="s">
        <v>613</v>
      </c>
      <c r="I35" s="99" t="s">
        <v>612</v>
      </c>
      <c r="J35" s="102">
        <v>427131</v>
      </c>
      <c r="K35" s="102">
        <f>J35*(1-0.1)*E35/D35*10</f>
        <v>261404.17200000002</v>
      </c>
      <c r="L35" s="102">
        <f>J35*F35/D35*10</f>
        <v>105928.48800000001</v>
      </c>
      <c r="M35" s="102">
        <f>31*20265*1.03</f>
        <v>647061.4500000001</v>
      </c>
      <c r="N35" s="102">
        <f>(1*267900)*1</f>
        <v>267900</v>
      </c>
      <c r="O35" s="102">
        <f>J35*G35/D35*10</f>
        <v>102511.44</v>
      </c>
      <c r="P35" s="103">
        <f t="shared" si="3"/>
        <v>1384805.6</v>
      </c>
    </row>
    <row r="36" spans="1:16" ht="13.5" thickBot="1">
      <c r="A36" s="104" t="s">
        <v>0</v>
      </c>
      <c r="B36" s="105" t="s">
        <v>300</v>
      </c>
      <c r="C36" s="105" t="s">
        <v>10</v>
      </c>
      <c r="D36" s="106">
        <v>0</v>
      </c>
      <c r="E36" s="107">
        <v>0</v>
      </c>
      <c r="F36" s="107">
        <v>0</v>
      </c>
      <c r="G36" s="107">
        <v>0</v>
      </c>
      <c r="H36" s="105" t="s">
        <v>0</v>
      </c>
      <c r="I36" s="105" t="s">
        <v>0</v>
      </c>
      <c r="J36" s="108">
        <v>0</v>
      </c>
      <c r="K36" s="108"/>
      <c r="L36" s="108"/>
      <c r="M36" s="108"/>
      <c r="N36" s="108"/>
      <c r="O36" s="108"/>
      <c r="P36" s="109">
        <f t="shared" si="3"/>
        <v>0</v>
      </c>
    </row>
  </sheetData>
  <sheetProtection/>
  <mergeCells count="4">
    <mergeCell ref="A1:P1"/>
    <mergeCell ref="A3:P3"/>
    <mergeCell ref="A4:P4"/>
    <mergeCell ref="A5:P5"/>
  </mergeCells>
  <printOptions horizontalCentered="1"/>
  <pageMargins left="0.42" right="0.4" top="0.7" bottom="0.7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88"/>
  <sheetViews>
    <sheetView showZeros="0" zoomScalePageLayoutView="0" workbookViewId="0" topLeftCell="A1">
      <selection activeCell="A1" sqref="A1:Q1"/>
    </sheetView>
  </sheetViews>
  <sheetFormatPr defaultColWidth="8.796875" defaultRowHeight="15"/>
  <cols>
    <col min="1" max="1" width="3.59765625" style="41" customWidth="1"/>
    <col min="2" max="2" width="18.5" style="41" customWidth="1"/>
    <col min="3" max="3" width="4.09765625" style="41" customWidth="1"/>
    <col min="4" max="4" width="13.59765625" style="41" customWidth="1"/>
    <col min="5" max="5" width="10.3984375" style="41" customWidth="1"/>
    <col min="6" max="9" width="3.5" style="133" customWidth="1"/>
    <col min="10" max="10" width="7" style="42" customWidth="1"/>
    <col min="11" max="13" width="4.3984375" style="136" customWidth="1"/>
    <col min="14" max="15" width="9.3984375" style="42" customWidth="1"/>
    <col min="16" max="17" width="10.8984375" style="42" customWidth="1"/>
    <col min="18" max="18" width="12" style="41" customWidth="1"/>
    <col min="19" max="16384" width="9" style="41" customWidth="1"/>
  </cols>
  <sheetData>
    <row r="1" spans="1:17" ht="21" customHeight="1">
      <c r="A1" s="195" t="s">
        <v>777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</row>
    <row r="2" spans="1:17" ht="14.25">
      <c r="A2" s="44"/>
      <c r="B2" s="44"/>
      <c r="C2" s="44"/>
      <c r="D2" s="44"/>
      <c r="E2" s="44"/>
      <c r="F2" s="146"/>
      <c r="G2" s="146"/>
      <c r="H2" s="146"/>
      <c r="I2" s="146"/>
      <c r="J2" s="45"/>
      <c r="K2" s="147"/>
      <c r="L2" s="147"/>
      <c r="M2" s="147"/>
      <c r="N2" s="45"/>
      <c r="O2" s="45"/>
      <c r="P2" s="45"/>
      <c r="Q2" s="45"/>
    </row>
    <row r="3" spans="1:17" s="29" customFormat="1" ht="16.5" customHeight="1">
      <c r="A3" s="192" t="s">
        <v>735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</row>
    <row r="4" spans="1:17" s="29" customFormat="1" ht="16.5" customHeight="1">
      <c r="A4" s="192" t="s">
        <v>736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</row>
    <row r="5" spans="1:17" s="29" customFormat="1" ht="16.5" customHeight="1">
      <c r="A5" s="192" t="s">
        <v>737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</row>
    <row r="6" spans="1:17" ht="15" thickBot="1">
      <c r="A6" s="44"/>
      <c r="B6" s="44"/>
      <c r="C6" s="44"/>
      <c r="D6" s="44"/>
      <c r="E6" s="44"/>
      <c r="F6" s="146"/>
      <c r="G6" s="146"/>
      <c r="H6" s="146"/>
      <c r="I6" s="146"/>
      <c r="J6" s="45"/>
      <c r="K6" s="147"/>
      <c r="L6" s="147"/>
      <c r="M6" s="147"/>
      <c r="N6" s="45"/>
      <c r="O6" s="45"/>
      <c r="P6" s="45"/>
      <c r="Q6" s="45"/>
    </row>
    <row r="7" spans="1:18" ht="45" customHeight="1">
      <c r="A7" s="151" t="s">
        <v>463</v>
      </c>
      <c r="B7" s="152" t="s">
        <v>778</v>
      </c>
      <c r="C7" s="153" t="s">
        <v>750</v>
      </c>
      <c r="D7" s="152" t="s">
        <v>779</v>
      </c>
      <c r="E7" s="152" t="s">
        <v>780</v>
      </c>
      <c r="F7" s="148" t="s">
        <v>781</v>
      </c>
      <c r="G7" s="148" t="s">
        <v>782</v>
      </c>
      <c r="H7" s="148" t="s">
        <v>783</v>
      </c>
      <c r="I7" s="148" t="s">
        <v>784</v>
      </c>
      <c r="J7" s="149" t="s">
        <v>785</v>
      </c>
      <c r="K7" s="150" t="s">
        <v>786</v>
      </c>
      <c r="L7" s="150" t="s">
        <v>787</v>
      </c>
      <c r="M7" s="150" t="s">
        <v>788</v>
      </c>
      <c r="N7" s="154" t="s">
        <v>789</v>
      </c>
      <c r="O7" s="154" t="s">
        <v>790</v>
      </c>
      <c r="P7" s="155" t="s">
        <v>791</v>
      </c>
      <c r="Q7" s="156" t="s">
        <v>792</v>
      </c>
      <c r="R7" s="41" t="s">
        <v>611</v>
      </c>
    </row>
    <row r="8" spans="1:18" ht="14.25">
      <c r="A8" s="139" t="s">
        <v>527</v>
      </c>
      <c r="B8" s="140" t="s">
        <v>728</v>
      </c>
      <c r="C8" s="140" t="s">
        <v>204</v>
      </c>
      <c r="D8" s="140" t="s">
        <v>0</v>
      </c>
      <c r="E8" s="140" t="s">
        <v>0</v>
      </c>
      <c r="F8" s="141" t="s">
        <v>0</v>
      </c>
      <c r="G8" s="141" t="s">
        <v>0</v>
      </c>
      <c r="H8" s="141"/>
      <c r="I8" s="141" t="s">
        <v>656</v>
      </c>
      <c r="J8" s="142"/>
      <c r="K8" s="143"/>
      <c r="L8" s="143"/>
      <c r="M8" s="143"/>
      <c r="N8" s="144"/>
      <c r="O8" s="144"/>
      <c r="P8" s="144">
        <v>5454.55</v>
      </c>
      <c r="Q8" s="145">
        <f>N8+O8+P8</f>
        <v>5454.55</v>
      </c>
      <c r="R8" s="41" t="s">
        <v>0</v>
      </c>
    </row>
    <row r="9" spans="1:18" ht="14.25">
      <c r="A9" s="49" t="s">
        <v>543</v>
      </c>
      <c r="B9" s="50" t="s">
        <v>727</v>
      </c>
      <c r="C9" s="50" t="s">
        <v>60</v>
      </c>
      <c r="D9" s="50" t="s">
        <v>0</v>
      </c>
      <c r="E9" s="50" t="s">
        <v>0</v>
      </c>
      <c r="F9" s="134" t="s">
        <v>2</v>
      </c>
      <c r="G9" s="134" t="s">
        <v>0</v>
      </c>
      <c r="H9" s="134"/>
      <c r="I9" s="134" t="s">
        <v>706</v>
      </c>
      <c r="J9" s="51"/>
      <c r="K9" s="137"/>
      <c r="L9" s="137"/>
      <c r="M9" s="137"/>
      <c r="N9" s="128">
        <f>SUM(N10:N11)</f>
        <v>239.7</v>
      </c>
      <c r="O9" s="128"/>
      <c r="P9" s="128">
        <v>4769</v>
      </c>
      <c r="Q9" s="129">
        <f>N9+O9+P9</f>
        <v>5008.7</v>
      </c>
      <c r="R9" s="41" t="s">
        <v>0</v>
      </c>
    </row>
    <row r="10" spans="1:18" ht="14.25">
      <c r="A10" s="49" t="s">
        <v>0</v>
      </c>
      <c r="B10" s="50" t="s">
        <v>709</v>
      </c>
      <c r="C10" s="50" t="s">
        <v>0</v>
      </c>
      <c r="D10" s="50" t="s">
        <v>704</v>
      </c>
      <c r="E10" s="50" t="s">
        <v>662</v>
      </c>
      <c r="F10" s="134" t="s">
        <v>0</v>
      </c>
      <c r="G10" s="134" t="s">
        <v>28</v>
      </c>
      <c r="H10" s="134">
        <v>1</v>
      </c>
      <c r="I10" s="134" t="s">
        <v>0</v>
      </c>
      <c r="J10" s="51">
        <f>('Phan tich don gia'!G744)/10</f>
        <v>10524.522560000001</v>
      </c>
      <c r="K10" s="137">
        <v>1.35</v>
      </c>
      <c r="L10" s="137">
        <v>0.0121</v>
      </c>
      <c r="M10" s="137"/>
      <c r="N10" s="51">
        <f>ROUND(J10*K10*L10*H10,1)</f>
        <v>171.9</v>
      </c>
      <c r="O10" s="51"/>
      <c r="P10" s="51"/>
      <c r="Q10" s="130">
        <v>0</v>
      </c>
      <c r="R10" s="41" t="s">
        <v>0</v>
      </c>
    </row>
    <row r="11" spans="1:18" ht="14.25">
      <c r="A11" s="49" t="s">
        <v>0</v>
      </c>
      <c r="B11" s="50" t="s">
        <v>708</v>
      </c>
      <c r="C11" s="50" t="s">
        <v>0</v>
      </c>
      <c r="D11" s="50" t="s">
        <v>0</v>
      </c>
      <c r="E11" s="50" t="s">
        <v>0</v>
      </c>
      <c r="F11" s="134" t="s">
        <v>0</v>
      </c>
      <c r="G11" s="134" t="s">
        <v>0</v>
      </c>
      <c r="H11" s="134"/>
      <c r="I11" s="134" t="s">
        <v>0</v>
      </c>
      <c r="J11" s="51">
        <f>('Phan tich don gia'!G689)/1000</f>
        <v>67.75335199999999</v>
      </c>
      <c r="K11" s="137"/>
      <c r="L11" s="137"/>
      <c r="M11" s="137"/>
      <c r="N11" s="51">
        <f>ROUND(J11,1)</f>
        <v>67.8</v>
      </c>
      <c r="O11" s="51"/>
      <c r="P11" s="51"/>
      <c r="Q11" s="130">
        <v>0</v>
      </c>
      <c r="R11" s="41" t="s">
        <v>0</v>
      </c>
    </row>
    <row r="12" spans="1:18" ht="14.25">
      <c r="A12" s="49" t="s">
        <v>542</v>
      </c>
      <c r="B12" s="50" t="s">
        <v>726</v>
      </c>
      <c r="C12" s="50" t="s">
        <v>329</v>
      </c>
      <c r="D12" s="50" t="s">
        <v>0</v>
      </c>
      <c r="E12" s="50" t="s">
        <v>0</v>
      </c>
      <c r="F12" s="134" t="s">
        <v>0</v>
      </c>
      <c r="G12" s="134" t="s">
        <v>0</v>
      </c>
      <c r="H12" s="134"/>
      <c r="I12" s="134" t="s">
        <v>656</v>
      </c>
      <c r="J12" s="51"/>
      <c r="K12" s="137"/>
      <c r="L12" s="137"/>
      <c r="M12" s="137"/>
      <c r="N12" s="128"/>
      <c r="O12" s="128"/>
      <c r="P12" s="128">
        <v>550000</v>
      </c>
      <c r="Q12" s="129">
        <f>N12+O12+P12</f>
        <v>550000</v>
      </c>
      <c r="R12" s="41" t="s">
        <v>0</v>
      </c>
    </row>
    <row r="13" spans="1:18" ht="14.25">
      <c r="A13" s="49" t="s">
        <v>601</v>
      </c>
      <c r="B13" s="50" t="s">
        <v>725</v>
      </c>
      <c r="C13" s="50" t="s">
        <v>22</v>
      </c>
      <c r="D13" s="50" t="s">
        <v>0</v>
      </c>
      <c r="E13" s="50" t="s">
        <v>0</v>
      </c>
      <c r="F13" s="134" t="s">
        <v>2</v>
      </c>
      <c r="G13" s="134" t="s">
        <v>0</v>
      </c>
      <c r="H13" s="134"/>
      <c r="I13" s="134" t="s">
        <v>656</v>
      </c>
      <c r="J13" s="51"/>
      <c r="K13" s="137"/>
      <c r="L13" s="137"/>
      <c r="M13" s="137"/>
      <c r="N13" s="128"/>
      <c r="O13" s="128"/>
      <c r="P13" s="128">
        <v>109090.9</v>
      </c>
      <c r="Q13" s="129">
        <f>N13+O13+P13</f>
        <v>109090.9</v>
      </c>
      <c r="R13" s="41" t="s">
        <v>0</v>
      </c>
    </row>
    <row r="14" spans="1:18" ht="14.25">
      <c r="A14" s="49" t="s">
        <v>600</v>
      </c>
      <c r="B14" s="50" t="s">
        <v>724</v>
      </c>
      <c r="C14" s="50" t="s">
        <v>323</v>
      </c>
      <c r="D14" s="50" t="s">
        <v>0</v>
      </c>
      <c r="E14" s="50" t="s">
        <v>0</v>
      </c>
      <c r="F14" s="134" t="s">
        <v>0</v>
      </c>
      <c r="G14" s="134" t="s">
        <v>0</v>
      </c>
      <c r="H14" s="134"/>
      <c r="I14" s="134" t="s">
        <v>656</v>
      </c>
      <c r="J14" s="51"/>
      <c r="K14" s="137"/>
      <c r="L14" s="137"/>
      <c r="M14" s="137"/>
      <c r="N14" s="128"/>
      <c r="O14" s="128"/>
      <c r="P14" s="128">
        <v>81818.18</v>
      </c>
      <c r="Q14" s="129">
        <f>N14+O14+P14</f>
        <v>81818.18</v>
      </c>
      <c r="R14" s="41" t="s">
        <v>0</v>
      </c>
    </row>
    <row r="15" spans="1:18" ht="14.25">
      <c r="A15" s="49" t="s">
        <v>599</v>
      </c>
      <c r="B15" s="50" t="s">
        <v>723</v>
      </c>
      <c r="C15" s="50" t="s">
        <v>22</v>
      </c>
      <c r="D15" s="50" t="s">
        <v>0</v>
      </c>
      <c r="E15" s="50" t="s">
        <v>0</v>
      </c>
      <c r="F15" s="134" t="s">
        <v>2</v>
      </c>
      <c r="G15" s="134" t="s">
        <v>0</v>
      </c>
      <c r="H15" s="134"/>
      <c r="I15" s="134" t="s">
        <v>721</v>
      </c>
      <c r="J15" s="51"/>
      <c r="K15" s="137"/>
      <c r="L15" s="137"/>
      <c r="M15" s="137"/>
      <c r="N15" s="128">
        <f>SUM(N16:N17)</f>
        <v>9127.7</v>
      </c>
      <c r="O15" s="128"/>
      <c r="P15" s="128">
        <v>350000</v>
      </c>
      <c r="Q15" s="129">
        <f>N15+O15+P15</f>
        <v>359127.7</v>
      </c>
      <c r="R15" s="41" t="s">
        <v>0</v>
      </c>
    </row>
    <row r="16" spans="1:18" ht="14.25">
      <c r="A16" s="49" t="s">
        <v>0</v>
      </c>
      <c r="B16" s="50" t="s">
        <v>720</v>
      </c>
      <c r="C16" s="50" t="s">
        <v>0</v>
      </c>
      <c r="D16" s="50" t="s">
        <v>719</v>
      </c>
      <c r="E16" s="50" t="s">
        <v>0</v>
      </c>
      <c r="F16" s="134" t="s">
        <v>0</v>
      </c>
      <c r="G16" s="134" t="s">
        <v>2</v>
      </c>
      <c r="H16" s="134">
        <v>1</v>
      </c>
      <c r="I16" s="134" t="s">
        <v>0</v>
      </c>
      <c r="J16" s="51">
        <f>('Phan tich don gia'!G714)/10</f>
        <v>5147.1801</v>
      </c>
      <c r="K16" s="137">
        <v>0.57</v>
      </c>
      <c r="L16" s="137"/>
      <c r="M16" s="137"/>
      <c r="N16" s="51">
        <f>ROUND(J16*K16*H16,1)</f>
        <v>2933.9</v>
      </c>
      <c r="O16" s="51"/>
      <c r="P16" s="51"/>
      <c r="Q16" s="130">
        <v>0</v>
      </c>
      <c r="R16" s="41" t="s">
        <v>0</v>
      </c>
    </row>
    <row r="17" spans="1:18" ht="14.25">
      <c r="A17" s="49" t="s">
        <v>0</v>
      </c>
      <c r="B17" s="50" t="s">
        <v>718</v>
      </c>
      <c r="C17" s="50" t="s">
        <v>0</v>
      </c>
      <c r="D17" s="50" t="s">
        <v>0</v>
      </c>
      <c r="E17" s="50" t="s">
        <v>662</v>
      </c>
      <c r="F17" s="134" t="s">
        <v>0</v>
      </c>
      <c r="G17" s="134" t="s">
        <v>2</v>
      </c>
      <c r="H17" s="134">
        <v>3</v>
      </c>
      <c r="I17" s="134" t="s">
        <v>0</v>
      </c>
      <c r="J17" s="51">
        <f>('Phan tich don gia'!G719)/10</f>
        <v>3622.0896999999995</v>
      </c>
      <c r="K17" s="137">
        <v>0.57</v>
      </c>
      <c r="L17" s="137"/>
      <c r="M17" s="137"/>
      <c r="N17" s="51">
        <f>ROUND(J17*K17*H17,1)</f>
        <v>6193.8</v>
      </c>
      <c r="O17" s="51"/>
      <c r="P17" s="51"/>
      <c r="Q17" s="130">
        <v>0</v>
      </c>
      <c r="R17" s="41" t="s">
        <v>0</v>
      </c>
    </row>
    <row r="18" spans="1:18" ht="14.25">
      <c r="A18" s="49" t="s">
        <v>590</v>
      </c>
      <c r="B18" s="50" t="s">
        <v>722</v>
      </c>
      <c r="C18" s="50" t="s">
        <v>22</v>
      </c>
      <c r="D18" s="50" t="s">
        <v>0</v>
      </c>
      <c r="E18" s="50" t="s">
        <v>0</v>
      </c>
      <c r="F18" s="134" t="s">
        <v>0</v>
      </c>
      <c r="G18" s="134" t="s">
        <v>0</v>
      </c>
      <c r="H18" s="134"/>
      <c r="I18" s="134" t="s">
        <v>721</v>
      </c>
      <c r="J18" s="51"/>
      <c r="K18" s="137"/>
      <c r="L18" s="137"/>
      <c r="M18" s="137"/>
      <c r="N18" s="128">
        <f>SUM(N19:N20)</f>
        <v>9127.7</v>
      </c>
      <c r="O18" s="128"/>
      <c r="P18" s="128">
        <v>370000</v>
      </c>
      <c r="Q18" s="129">
        <f>N18+O18+P18</f>
        <v>379127.7</v>
      </c>
      <c r="R18" s="41" t="s">
        <v>0</v>
      </c>
    </row>
    <row r="19" spans="1:18" ht="14.25">
      <c r="A19" s="49" t="s">
        <v>0</v>
      </c>
      <c r="B19" s="50" t="s">
        <v>720</v>
      </c>
      <c r="C19" s="50" t="s">
        <v>0</v>
      </c>
      <c r="D19" s="50" t="s">
        <v>719</v>
      </c>
      <c r="E19" s="50" t="s">
        <v>0</v>
      </c>
      <c r="F19" s="134" t="s">
        <v>0</v>
      </c>
      <c r="G19" s="134" t="s">
        <v>2</v>
      </c>
      <c r="H19" s="134">
        <v>1</v>
      </c>
      <c r="I19" s="134" t="s">
        <v>0</v>
      </c>
      <c r="J19" s="51">
        <f>('Phan tich don gia'!G714)/10</f>
        <v>5147.1801</v>
      </c>
      <c r="K19" s="137">
        <v>0.57</v>
      </c>
      <c r="L19" s="137"/>
      <c r="M19" s="137"/>
      <c r="N19" s="51">
        <f>ROUND(J19*K19*H19,1)</f>
        <v>2933.9</v>
      </c>
      <c r="O19" s="51"/>
      <c r="P19" s="51"/>
      <c r="Q19" s="130">
        <v>0</v>
      </c>
      <c r="R19" s="41" t="s">
        <v>0</v>
      </c>
    </row>
    <row r="20" spans="1:18" ht="14.25">
      <c r="A20" s="49" t="s">
        <v>0</v>
      </c>
      <c r="B20" s="50" t="s">
        <v>718</v>
      </c>
      <c r="C20" s="50" t="s">
        <v>0</v>
      </c>
      <c r="D20" s="50" t="s">
        <v>0</v>
      </c>
      <c r="E20" s="50" t="s">
        <v>662</v>
      </c>
      <c r="F20" s="134" t="s">
        <v>0</v>
      </c>
      <c r="G20" s="134" t="s">
        <v>2</v>
      </c>
      <c r="H20" s="134">
        <v>3</v>
      </c>
      <c r="I20" s="134" t="s">
        <v>0</v>
      </c>
      <c r="J20" s="51">
        <f>('Phan tich don gia'!G719)/10</f>
        <v>3622.0896999999995</v>
      </c>
      <c r="K20" s="137">
        <v>0.57</v>
      </c>
      <c r="L20" s="137"/>
      <c r="M20" s="137"/>
      <c r="N20" s="51">
        <f>ROUND(J20*K20*H20,1)</f>
        <v>6193.8</v>
      </c>
      <c r="O20" s="51"/>
      <c r="P20" s="51"/>
      <c r="Q20" s="130">
        <v>0</v>
      </c>
      <c r="R20" s="41" t="s">
        <v>0</v>
      </c>
    </row>
    <row r="21" spans="1:18" ht="14.25">
      <c r="A21" s="49" t="s">
        <v>598</v>
      </c>
      <c r="B21" s="50" t="s">
        <v>717</v>
      </c>
      <c r="C21" s="50" t="s">
        <v>304</v>
      </c>
      <c r="D21" s="50" t="s">
        <v>0</v>
      </c>
      <c r="E21" s="50" t="s">
        <v>0</v>
      </c>
      <c r="F21" s="134" t="s">
        <v>0</v>
      </c>
      <c r="G21" s="134" t="s">
        <v>0</v>
      </c>
      <c r="H21" s="134"/>
      <c r="I21" s="134" t="s">
        <v>656</v>
      </c>
      <c r="J21" s="51"/>
      <c r="K21" s="137"/>
      <c r="L21" s="137"/>
      <c r="M21" s="137"/>
      <c r="N21" s="128"/>
      <c r="O21" s="128"/>
      <c r="P21" s="128">
        <v>18181.82</v>
      </c>
      <c r="Q21" s="129">
        <f aca="true" t="shared" si="0" ref="Q21:Q28">N21+O21+P21</f>
        <v>18181.82</v>
      </c>
      <c r="R21" s="41" t="s">
        <v>0</v>
      </c>
    </row>
    <row r="22" spans="1:18" ht="14.25">
      <c r="A22" s="49" t="s">
        <v>597</v>
      </c>
      <c r="B22" s="50" t="s">
        <v>716</v>
      </c>
      <c r="C22" s="50" t="s">
        <v>252</v>
      </c>
      <c r="D22" s="50" t="s">
        <v>0</v>
      </c>
      <c r="E22" s="50" t="s">
        <v>0</v>
      </c>
      <c r="F22" s="134" t="s">
        <v>0</v>
      </c>
      <c r="G22" s="134" t="s">
        <v>0</v>
      </c>
      <c r="H22" s="134"/>
      <c r="I22" s="134" t="s">
        <v>656</v>
      </c>
      <c r="J22" s="51"/>
      <c r="K22" s="137"/>
      <c r="L22" s="137"/>
      <c r="M22" s="137"/>
      <c r="N22" s="128"/>
      <c r="O22" s="128"/>
      <c r="P22" s="128">
        <v>19224.6</v>
      </c>
      <c r="Q22" s="129">
        <f t="shared" si="0"/>
        <v>19224.6</v>
      </c>
      <c r="R22" s="41" t="s">
        <v>0</v>
      </c>
    </row>
    <row r="23" spans="1:18" ht="14.25">
      <c r="A23" s="49" t="s">
        <v>584</v>
      </c>
      <c r="B23" s="50" t="s">
        <v>715</v>
      </c>
      <c r="C23" s="50" t="s">
        <v>252</v>
      </c>
      <c r="D23" s="50" t="s">
        <v>0</v>
      </c>
      <c r="E23" s="50" t="s">
        <v>0</v>
      </c>
      <c r="F23" s="134" t="s">
        <v>0</v>
      </c>
      <c r="G23" s="134" t="s">
        <v>0</v>
      </c>
      <c r="H23" s="134"/>
      <c r="I23" s="134" t="s">
        <v>656</v>
      </c>
      <c r="J23" s="51"/>
      <c r="K23" s="137"/>
      <c r="L23" s="137"/>
      <c r="M23" s="137"/>
      <c r="N23" s="128"/>
      <c r="O23" s="128"/>
      <c r="P23" s="128">
        <v>28180</v>
      </c>
      <c r="Q23" s="129">
        <f t="shared" si="0"/>
        <v>28180</v>
      </c>
      <c r="R23" s="41" t="s">
        <v>0</v>
      </c>
    </row>
    <row r="24" spans="1:18" ht="14.25">
      <c r="A24" s="49" t="s">
        <v>583</v>
      </c>
      <c r="B24" s="50" t="s">
        <v>714</v>
      </c>
      <c r="C24" s="50" t="s">
        <v>73</v>
      </c>
      <c r="D24" s="50" t="s">
        <v>0</v>
      </c>
      <c r="E24" s="50" t="s">
        <v>0</v>
      </c>
      <c r="F24" s="134" t="s">
        <v>11</v>
      </c>
      <c r="G24" s="134" t="s">
        <v>0</v>
      </c>
      <c r="H24" s="134"/>
      <c r="I24" s="134" t="s">
        <v>656</v>
      </c>
      <c r="J24" s="51"/>
      <c r="K24" s="137"/>
      <c r="L24" s="137"/>
      <c r="M24" s="137"/>
      <c r="N24" s="128"/>
      <c r="O24" s="128"/>
      <c r="P24" s="128">
        <v>16350000</v>
      </c>
      <c r="Q24" s="129">
        <f t="shared" si="0"/>
        <v>16350000</v>
      </c>
      <c r="R24" s="41" t="s">
        <v>0</v>
      </c>
    </row>
    <row r="25" spans="1:18" ht="14.25">
      <c r="A25" s="49" t="s">
        <v>596</v>
      </c>
      <c r="B25" s="50" t="s">
        <v>713</v>
      </c>
      <c r="C25" s="50" t="s">
        <v>73</v>
      </c>
      <c r="D25" s="50" t="s">
        <v>0</v>
      </c>
      <c r="E25" s="50" t="s">
        <v>0</v>
      </c>
      <c r="F25" s="134" t="s">
        <v>11</v>
      </c>
      <c r="G25" s="134" t="s">
        <v>0</v>
      </c>
      <c r="H25" s="134"/>
      <c r="I25" s="134" t="s">
        <v>656</v>
      </c>
      <c r="J25" s="51"/>
      <c r="K25" s="137"/>
      <c r="L25" s="137"/>
      <c r="M25" s="137"/>
      <c r="N25" s="128"/>
      <c r="O25" s="128"/>
      <c r="P25" s="128">
        <v>20454545.5</v>
      </c>
      <c r="Q25" s="129">
        <f t="shared" si="0"/>
        <v>20454545.5</v>
      </c>
      <c r="R25" s="41" t="s">
        <v>0</v>
      </c>
    </row>
    <row r="26" spans="1:18" ht="14.25">
      <c r="A26" s="49" t="s">
        <v>595</v>
      </c>
      <c r="B26" s="50" t="s">
        <v>712</v>
      </c>
      <c r="C26" s="50" t="s">
        <v>97</v>
      </c>
      <c r="D26" s="50" t="s">
        <v>0</v>
      </c>
      <c r="E26" s="50" t="s">
        <v>0</v>
      </c>
      <c r="F26" s="134" t="s">
        <v>0</v>
      </c>
      <c r="G26" s="134" t="s">
        <v>0</v>
      </c>
      <c r="H26" s="134"/>
      <c r="I26" s="134" t="s">
        <v>656</v>
      </c>
      <c r="J26" s="51"/>
      <c r="K26" s="137"/>
      <c r="L26" s="137"/>
      <c r="M26" s="137"/>
      <c r="N26" s="128"/>
      <c r="O26" s="128"/>
      <c r="P26" s="128">
        <v>100000</v>
      </c>
      <c r="Q26" s="129">
        <f t="shared" si="0"/>
        <v>100000</v>
      </c>
      <c r="R26" s="41" t="s">
        <v>0</v>
      </c>
    </row>
    <row r="27" spans="1:18" ht="14.25">
      <c r="A27" s="49" t="s">
        <v>594</v>
      </c>
      <c r="B27" s="50" t="s">
        <v>711</v>
      </c>
      <c r="C27" s="50" t="s">
        <v>97</v>
      </c>
      <c r="D27" s="50" t="s">
        <v>0</v>
      </c>
      <c r="E27" s="50" t="s">
        <v>0</v>
      </c>
      <c r="F27" s="134" t="s">
        <v>0</v>
      </c>
      <c r="G27" s="134" t="s">
        <v>0</v>
      </c>
      <c r="H27" s="134"/>
      <c r="I27" s="134" t="s">
        <v>656</v>
      </c>
      <c r="J27" s="51"/>
      <c r="K27" s="137"/>
      <c r="L27" s="137"/>
      <c r="M27" s="137"/>
      <c r="N27" s="128"/>
      <c r="O27" s="128"/>
      <c r="P27" s="128">
        <v>118181.8</v>
      </c>
      <c r="Q27" s="129">
        <f t="shared" si="0"/>
        <v>118181.8</v>
      </c>
      <c r="R27" s="41" t="s">
        <v>0</v>
      </c>
    </row>
    <row r="28" spans="1:18" ht="14.25">
      <c r="A28" s="49" t="s">
        <v>593</v>
      </c>
      <c r="B28" s="50" t="s">
        <v>710</v>
      </c>
      <c r="C28" s="50" t="s">
        <v>60</v>
      </c>
      <c r="D28" s="50" t="s">
        <v>0</v>
      </c>
      <c r="E28" s="50" t="s">
        <v>0</v>
      </c>
      <c r="F28" s="134" t="s">
        <v>2</v>
      </c>
      <c r="G28" s="134" t="s">
        <v>0</v>
      </c>
      <c r="H28" s="134"/>
      <c r="I28" s="134" t="s">
        <v>706</v>
      </c>
      <c r="J28" s="51"/>
      <c r="K28" s="137"/>
      <c r="L28" s="137"/>
      <c r="M28" s="137"/>
      <c r="N28" s="128">
        <f>SUM(N29:N30)</f>
        <v>100.5</v>
      </c>
      <c r="O28" s="128"/>
      <c r="P28" s="128">
        <v>1389</v>
      </c>
      <c r="Q28" s="129">
        <f t="shared" si="0"/>
        <v>1489.5</v>
      </c>
      <c r="R28" s="41" t="s">
        <v>0</v>
      </c>
    </row>
    <row r="29" spans="1:18" ht="14.25">
      <c r="A29" s="49" t="s">
        <v>0</v>
      </c>
      <c r="B29" s="50" t="s">
        <v>709</v>
      </c>
      <c r="C29" s="50" t="s">
        <v>0</v>
      </c>
      <c r="D29" s="50" t="s">
        <v>704</v>
      </c>
      <c r="E29" s="50" t="s">
        <v>662</v>
      </c>
      <c r="F29" s="134" t="s">
        <v>0</v>
      </c>
      <c r="G29" s="134" t="s">
        <v>28</v>
      </c>
      <c r="H29" s="134">
        <v>1</v>
      </c>
      <c r="I29" s="134" t="s">
        <v>0</v>
      </c>
      <c r="J29" s="51">
        <f>('Phan tich don gia'!G744)/10</f>
        <v>10524.522560000001</v>
      </c>
      <c r="K29" s="137">
        <v>1.35</v>
      </c>
      <c r="L29" s="137">
        <v>0.0023</v>
      </c>
      <c r="M29" s="137"/>
      <c r="N29" s="51">
        <f>ROUND(J29*K29*L29*H29,1)</f>
        <v>32.7</v>
      </c>
      <c r="O29" s="51"/>
      <c r="P29" s="51"/>
      <c r="Q29" s="130">
        <v>0</v>
      </c>
      <c r="R29" s="41" t="s">
        <v>0</v>
      </c>
    </row>
    <row r="30" spans="1:18" ht="14.25">
      <c r="A30" s="49" t="s">
        <v>0</v>
      </c>
      <c r="B30" s="50" t="s">
        <v>708</v>
      </c>
      <c r="C30" s="50" t="s">
        <v>0</v>
      </c>
      <c r="D30" s="50" t="s">
        <v>0</v>
      </c>
      <c r="E30" s="50" t="s">
        <v>0</v>
      </c>
      <c r="F30" s="134" t="s">
        <v>0</v>
      </c>
      <c r="G30" s="134" t="s">
        <v>0</v>
      </c>
      <c r="H30" s="134"/>
      <c r="I30" s="134" t="s">
        <v>0</v>
      </c>
      <c r="J30" s="51">
        <f>('Phan tich don gia'!G689)/1000</f>
        <v>67.75335199999999</v>
      </c>
      <c r="K30" s="137"/>
      <c r="L30" s="137"/>
      <c r="M30" s="137"/>
      <c r="N30" s="51">
        <f>ROUND(J30,1)</f>
        <v>67.8</v>
      </c>
      <c r="O30" s="51"/>
      <c r="P30" s="51"/>
      <c r="Q30" s="130">
        <v>0</v>
      </c>
      <c r="R30" s="41" t="s">
        <v>0</v>
      </c>
    </row>
    <row r="31" spans="1:18" ht="14.25">
      <c r="A31" s="49" t="s">
        <v>539</v>
      </c>
      <c r="B31" s="50" t="s">
        <v>707</v>
      </c>
      <c r="C31" s="50" t="s">
        <v>97</v>
      </c>
      <c r="D31" s="50" t="s">
        <v>0</v>
      </c>
      <c r="E31" s="50" t="s">
        <v>0</v>
      </c>
      <c r="F31" s="134" t="s">
        <v>0</v>
      </c>
      <c r="G31" s="134" t="s">
        <v>0</v>
      </c>
      <c r="H31" s="134"/>
      <c r="I31" s="134" t="s">
        <v>706</v>
      </c>
      <c r="J31" s="51"/>
      <c r="K31" s="137"/>
      <c r="L31" s="137"/>
      <c r="M31" s="137"/>
      <c r="N31" s="128">
        <f>SUM(N32:N33)</f>
        <v>150.5</v>
      </c>
      <c r="O31" s="128"/>
      <c r="P31" s="128">
        <v>95668</v>
      </c>
      <c r="Q31" s="129">
        <f>N31+O31+P31</f>
        <v>95818.5</v>
      </c>
      <c r="R31" s="41" t="s">
        <v>0</v>
      </c>
    </row>
    <row r="32" spans="1:18" ht="14.25">
      <c r="A32" s="49" t="s">
        <v>0</v>
      </c>
      <c r="B32" s="50" t="s">
        <v>705</v>
      </c>
      <c r="C32" s="50" t="s">
        <v>0</v>
      </c>
      <c r="D32" s="50" t="s">
        <v>704</v>
      </c>
      <c r="E32" s="50" t="s">
        <v>662</v>
      </c>
      <c r="F32" s="134" t="s">
        <v>0</v>
      </c>
      <c r="G32" s="134" t="s">
        <v>28</v>
      </c>
      <c r="H32" s="134">
        <v>1</v>
      </c>
      <c r="I32" s="134" t="s">
        <v>0</v>
      </c>
      <c r="J32" s="51">
        <f>('Phan tich don gia'!G759)/10</f>
        <v>14955.90048</v>
      </c>
      <c r="K32" s="137">
        <v>1.35</v>
      </c>
      <c r="L32" s="137">
        <v>0.0054</v>
      </c>
      <c r="M32" s="137"/>
      <c r="N32" s="51">
        <f>ROUND(J32*K32*L32*H32,1)</f>
        <v>109</v>
      </c>
      <c r="O32" s="51"/>
      <c r="P32" s="51"/>
      <c r="Q32" s="130">
        <v>0</v>
      </c>
      <c r="R32" s="41" t="s">
        <v>0</v>
      </c>
    </row>
    <row r="33" spans="1:18" ht="14.25">
      <c r="A33" s="49" t="s">
        <v>0</v>
      </c>
      <c r="B33" s="50" t="s">
        <v>703</v>
      </c>
      <c r="C33" s="50" t="s">
        <v>0</v>
      </c>
      <c r="D33" s="50" t="s">
        <v>0</v>
      </c>
      <c r="E33" s="50" t="s">
        <v>0</v>
      </c>
      <c r="F33" s="134" t="s">
        <v>0</v>
      </c>
      <c r="G33" s="134" t="s">
        <v>0</v>
      </c>
      <c r="H33" s="134"/>
      <c r="I33" s="134" t="s">
        <v>0</v>
      </c>
      <c r="J33" s="51">
        <f>('Phan tich don gia'!G694)/1000</f>
        <v>41.526248</v>
      </c>
      <c r="K33" s="137"/>
      <c r="L33" s="137"/>
      <c r="M33" s="137"/>
      <c r="N33" s="51">
        <f>ROUND(J33,1)</f>
        <v>41.5</v>
      </c>
      <c r="O33" s="51"/>
      <c r="P33" s="51"/>
      <c r="Q33" s="130">
        <v>0</v>
      </c>
      <c r="R33" s="41" t="s">
        <v>0</v>
      </c>
    </row>
    <row r="34" spans="1:18" ht="14.25">
      <c r="A34" s="49" t="s">
        <v>592</v>
      </c>
      <c r="B34" s="50" t="s">
        <v>702</v>
      </c>
      <c r="C34" s="50" t="s">
        <v>22</v>
      </c>
      <c r="D34" s="50" t="s">
        <v>0</v>
      </c>
      <c r="E34" s="50" t="s">
        <v>0</v>
      </c>
      <c r="F34" s="134" t="s">
        <v>11</v>
      </c>
      <c r="G34" s="134" t="s">
        <v>0</v>
      </c>
      <c r="H34" s="134"/>
      <c r="I34" s="134" t="s">
        <v>656</v>
      </c>
      <c r="J34" s="51"/>
      <c r="K34" s="137"/>
      <c r="L34" s="137"/>
      <c r="M34" s="137"/>
      <c r="N34" s="128">
        <f>SUM(N35:N35)</f>
        <v>19670.3</v>
      </c>
      <c r="O34" s="128"/>
      <c r="P34" s="128">
        <v>4090909.1</v>
      </c>
      <c r="Q34" s="129">
        <f>N34+O34+P34</f>
        <v>4110579.4</v>
      </c>
      <c r="R34" s="41" t="s">
        <v>0</v>
      </c>
    </row>
    <row r="35" spans="1:18" ht="14.25">
      <c r="A35" s="49" t="s">
        <v>0</v>
      </c>
      <c r="B35" s="50" t="s">
        <v>697</v>
      </c>
      <c r="C35" s="50" t="s">
        <v>0</v>
      </c>
      <c r="D35" s="50" t="s">
        <v>0</v>
      </c>
      <c r="E35" s="50" t="s">
        <v>0</v>
      </c>
      <c r="F35" s="134" t="s">
        <v>0</v>
      </c>
      <c r="G35" s="134" t="s">
        <v>0</v>
      </c>
      <c r="H35" s="134"/>
      <c r="I35" s="134" t="s">
        <v>0</v>
      </c>
      <c r="J35" s="51">
        <f>('Phan tich don gia'!G704)</f>
        <v>19670.328</v>
      </c>
      <c r="K35" s="137"/>
      <c r="L35" s="137"/>
      <c r="M35" s="137"/>
      <c r="N35" s="51">
        <f>ROUND(J35,1)</f>
        <v>19670.3</v>
      </c>
      <c r="O35" s="51"/>
      <c r="P35" s="51"/>
      <c r="Q35" s="130">
        <v>0</v>
      </c>
      <c r="R35" s="41" t="s">
        <v>0</v>
      </c>
    </row>
    <row r="36" spans="1:18" ht="14.25">
      <c r="A36" s="49" t="s">
        <v>589</v>
      </c>
      <c r="B36" s="50" t="s">
        <v>701</v>
      </c>
      <c r="C36" s="50" t="s">
        <v>22</v>
      </c>
      <c r="D36" s="50" t="s">
        <v>0</v>
      </c>
      <c r="E36" s="50" t="s">
        <v>0</v>
      </c>
      <c r="F36" s="134" t="s">
        <v>11</v>
      </c>
      <c r="G36" s="134" t="s">
        <v>0</v>
      </c>
      <c r="H36" s="134"/>
      <c r="I36" s="134" t="s">
        <v>656</v>
      </c>
      <c r="J36" s="51"/>
      <c r="K36" s="137"/>
      <c r="L36" s="137"/>
      <c r="M36" s="137"/>
      <c r="N36" s="128">
        <f>SUM(N37:N37)</f>
        <v>19670.3</v>
      </c>
      <c r="O36" s="128"/>
      <c r="P36" s="128">
        <v>4090909.1</v>
      </c>
      <c r="Q36" s="129">
        <f>N36+O36+P36</f>
        <v>4110579.4</v>
      </c>
      <c r="R36" s="41" t="s">
        <v>0</v>
      </c>
    </row>
    <row r="37" spans="1:18" ht="14.25">
      <c r="A37" s="49" t="s">
        <v>0</v>
      </c>
      <c r="B37" s="50" t="s">
        <v>697</v>
      </c>
      <c r="C37" s="50" t="s">
        <v>0</v>
      </c>
      <c r="D37" s="50" t="s">
        <v>0</v>
      </c>
      <c r="E37" s="50" t="s">
        <v>0</v>
      </c>
      <c r="F37" s="134" t="s">
        <v>0</v>
      </c>
      <c r="G37" s="134" t="s">
        <v>0</v>
      </c>
      <c r="H37" s="134"/>
      <c r="I37" s="134" t="s">
        <v>0</v>
      </c>
      <c r="J37" s="51">
        <f>('Phan tich don gia'!G704)</f>
        <v>19670.328</v>
      </c>
      <c r="K37" s="137"/>
      <c r="L37" s="137"/>
      <c r="M37" s="137"/>
      <c r="N37" s="51">
        <f>ROUND(J37,1)</f>
        <v>19670.3</v>
      </c>
      <c r="O37" s="51"/>
      <c r="P37" s="51"/>
      <c r="Q37" s="130">
        <v>0</v>
      </c>
      <c r="R37" s="41" t="s">
        <v>0</v>
      </c>
    </row>
    <row r="38" spans="1:18" ht="14.25">
      <c r="A38" s="49" t="s">
        <v>588</v>
      </c>
      <c r="B38" s="50" t="s">
        <v>700</v>
      </c>
      <c r="C38" s="50" t="s">
        <v>22</v>
      </c>
      <c r="D38" s="50" t="s">
        <v>0</v>
      </c>
      <c r="E38" s="50" t="s">
        <v>0</v>
      </c>
      <c r="F38" s="134" t="s">
        <v>0</v>
      </c>
      <c r="G38" s="134" t="s">
        <v>0</v>
      </c>
      <c r="H38" s="134"/>
      <c r="I38" s="134" t="s">
        <v>656</v>
      </c>
      <c r="J38" s="51"/>
      <c r="K38" s="137"/>
      <c r="L38" s="137"/>
      <c r="M38" s="137"/>
      <c r="N38" s="128">
        <f>SUM(N39:N39)</f>
        <v>19670.3</v>
      </c>
      <c r="O38" s="128"/>
      <c r="P38" s="128">
        <v>27272727.27</v>
      </c>
      <c r="Q38" s="129">
        <f>N38+O38+P38</f>
        <v>27292397.57</v>
      </c>
      <c r="R38" s="41" t="s">
        <v>0</v>
      </c>
    </row>
    <row r="39" spans="1:18" ht="14.25">
      <c r="A39" s="49" t="s">
        <v>0</v>
      </c>
      <c r="B39" s="50" t="s">
        <v>697</v>
      </c>
      <c r="C39" s="50" t="s">
        <v>0</v>
      </c>
      <c r="D39" s="50" t="s">
        <v>0</v>
      </c>
      <c r="E39" s="50" t="s">
        <v>0</v>
      </c>
      <c r="F39" s="134" t="s">
        <v>0</v>
      </c>
      <c r="G39" s="134" t="s">
        <v>0</v>
      </c>
      <c r="H39" s="134"/>
      <c r="I39" s="134" t="s">
        <v>0</v>
      </c>
      <c r="J39" s="51">
        <f>('Phan tich don gia'!G704)</f>
        <v>19670.328</v>
      </c>
      <c r="K39" s="137"/>
      <c r="L39" s="137"/>
      <c r="M39" s="137"/>
      <c r="N39" s="51">
        <f>ROUND(J39,1)</f>
        <v>19670.3</v>
      </c>
      <c r="O39" s="51"/>
      <c r="P39" s="51"/>
      <c r="Q39" s="130">
        <v>0</v>
      </c>
      <c r="R39" s="41" t="s">
        <v>0</v>
      </c>
    </row>
    <row r="40" spans="1:18" ht="14.25">
      <c r="A40" s="49" t="s">
        <v>586</v>
      </c>
      <c r="B40" s="50" t="s">
        <v>699</v>
      </c>
      <c r="C40" s="50" t="s">
        <v>22</v>
      </c>
      <c r="D40" s="50" t="s">
        <v>0</v>
      </c>
      <c r="E40" s="50" t="s">
        <v>0</v>
      </c>
      <c r="F40" s="134" t="s">
        <v>0</v>
      </c>
      <c r="G40" s="134" t="s">
        <v>0</v>
      </c>
      <c r="H40" s="134"/>
      <c r="I40" s="134" t="s">
        <v>656</v>
      </c>
      <c r="J40" s="51"/>
      <c r="K40" s="137"/>
      <c r="L40" s="137"/>
      <c r="M40" s="137"/>
      <c r="N40" s="128">
        <f>SUM(N41:N41)</f>
        <v>19670.3</v>
      </c>
      <c r="O40" s="128"/>
      <c r="P40" s="128">
        <v>4500000</v>
      </c>
      <c r="Q40" s="129">
        <f>N40+O40+P40</f>
        <v>4519670.3</v>
      </c>
      <c r="R40" s="41" t="s">
        <v>0</v>
      </c>
    </row>
    <row r="41" spans="1:18" ht="14.25">
      <c r="A41" s="49" t="s">
        <v>0</v>
      </c>
      <c r="B41" s="50" t="s">
        <v>697</v>
      </c>
      <c r="C41" s="50" t="s">
        <v>0</v>
      </c>
      <c r="D41" s="50" t="s">
        <v>0</v>
      </c>
      <c r="E41" s="50" t="s">
        <v>0</v>
      </c>
      <c r="F41" s="134" t="s">
        <v>0</v>
      </c>
      <c r="G41" s="134" t="s">
        <v>0</v>
      </c>
      <c r="H41" s="134"/>
      <c r="I41" s="134" t="s">
        <v>0</v>
      </c>
      <c r="J41" s="51">
        <f>('Phan tich don gia'!G704)</f>
        <v>19670.328</v>
      </c>
      <c r="K41" s="137"/>
      <c r="L41" s="137"/>
      <c r="M41" s="137"/>
      <c r="N41" s="51">
        <f>ROUND(J41,1)</f>
        <v>19670.3</v>
      </c>
      <c r="O41" s="51"/>
      <c r="P41" s="51"/>
      <c r="Q41" s="130">
        <v>0</v>
      </c>
      <c r="R41" s="41" t="s">
        <v>0</v>
      </c>
    </row>
    <row r="42" spans="1:18" ht="14.25">
      <c r="A42" s="49" t="s">
        <v>585</v>
      </c>
      <c r="B42" s="50" t="s">
        <v>698</v>
      </c>
      <c r="C42" s="50" t="s">
        <v>22</v>
      </c>
      <c r="D42" s="50" t="s">
        <v>0</v>
      </c>
      <c r="E42" s="50" t="s">
        <v>0</v>
      </c>
      <c r="F42" s="134" t="s">
        <v>11</v>
      </c>
      <c r="G42" s="134" t="s">
        <v>0</v>
      </c>
      <c r="H42" s="134"/>
      <c r="I42" s="134" t="s">
        <v>656</v>
      </c>
      <c r="J42" s="51"/>
      <c r="K42" s="137"/>
      <c r="L42" s="137"/>
      <c r="M42" s="137"/>
      <c r="N42" s="128">
        <f>SUM(N43:N43)</f>
        <v>19670.3</v>
      </c>
      <c r="O42" s="128"/>
      <c r="P42" s="128">
        <v>4090909.1</v>
      </c>
      <c r="Q42" s="129">
        <f>N42+O42+P42</f>
        <v>4110579.4</v>
      </c>
      <c r="R42" s="41" t="s">
        <v>0</v>
      </c>
    </row>
    <row r="43" spans="1:18" ht="14.25">
      <c r="A43" s="49" t="s">
        <v>0</v>
      </c>
      <c r="B43" s="50" t="s">
        <v>697</v>
      </c>
      <c r="C43" s="50" t="s">
        <v>0</v>
      </c>
      <c r="D43" s="50" t="s">
        <v>0</v>
      </c>
      <c r="E43" s="50" t="s">
        <v>0</v>
      </c>
      <c r="F43" s="134" t="s">
        <v>0</v>
      </c>
      <c r="G43" s="134" t="s">
        <v>0</v>
      </c>
      <c r="H43" s="134"/>
      <c r="I43" s="134" t="s">
        <v>0</v>
      </c>
      <c r="J43" s="51">
        <f>('Phan tich don gia'!G704)</f>
        <v>19670.328</v>
      </c>
      <c r="K43" s="137"/>
      <c r="L43" s="137"/>
      <c r="M43" s="137"/>
      <c r="N43" s="51">
        <f>ROUND(J43,1)</f>
        <v>19670.3</v>
      </c>
      <c r="O43" s="51"/>
      <c r="P43" s="51"/>
      <c r="Q43" s="130">
        <v>0</v>
      </c>
      <c r="R43" s="41" t="s">
        <v>0</v>
      </c>
    </row>
    <row r="44" spans="1:18" ht="14.25">
      <c r="A44" s="49" t="s">
        <v>582</v>
      </c>
      <c r="B44" s="50" t="s">
        <v>696</v>
      </c>
      <c r="C44" s="50" t="s">
        <v>199</v>
      </c>
      <c r="D44" s="50" t="s">
        <v>0</v>
      </c>
      <c r="E44" s="50" t="s">
        <v>0</v>
      </c>
      <c r="F44" s="134" t="s">
        <v>0</v>
      </c>
      <c r="G44" s="134" t="s">
        <v>0</v>
      </c>
      <c r="H44" s="134"/>
      <c r="I44" s="134" t="s">
        <v>656</v>
      </c>
      <c r="J44" s="51"/>
      <c r="K44" s="137"/>
      <c r="L44" s="137"/>
      <c r="M44" s="137"/>
      <c r="N44" s="128"/>
      <c r="O44" s="128"/>
      <c r="P44" s="128">
        <v>1863636.36</v>
      </c>
      <c r="Q44" s="129">
        <f aca="true" t="shared" si="1" ref="Q44:Q59">N44+O44+P44</f>
        <v>1863636.36</v>
      </c>
      <c r="R44" s="41" t="s">
        <v>0</v>
      </c>
    </row>
    <row r="45" spans="1:18" ht="14.25">
      <c r="A45" s="49" t="s">
        <v>580</v>
      </c>
      <c r="B45" s="50" t="s">
        <v>695</v>
      </c>
      <c r="C45" s="50" t="s">
        <v>204</v>
      </c>
      <c r="D45" s="50" t="s">
        <v>0</v>
      </c>
      <c r="E45" s="50" t="s">
        <v>0</v>
      </c>
      <c r="F45" s="134" t="s">
        <v>0</v>
      </c>
      <c r="G45" s="134" t="s">
        <v>0</v>
      </c>
      <c r="H45" s="134"/>
      <c r="I45" s="134" t="s">
        <v>656</v>
      </c>
      <c r="J45" s="51"/>
      <c r="K45" s="137"/>
      <c r="L45" s="137"/>
      <c r="M45" s="137"/>
      <c r="N45" s="128"/>
      <c r="O45" s="128"/>
      <c r="P45" s="128">
        <v>863636.36</v>
      </c>
      <c r="Q45" s="129">
        <f t="shared" si="1"/>
        <v>863636.36</v>
      </c>
      <c r="R45" s="41" t="s">
        <v>0</v>
      </c>
    </row>
    <row r="46" spans="1:18" ht="14.25">
      <c r="A46" s="49" t="s">
        <v>579</v>
      </c>
      <c r="B46" s="50" t="s">
        <v>694</v>
      </c>
      <c r="C46" s="50" t="s">
        <v>60</v>
      </c>
      <c r="D46" s="50" t="s">
        <v>0</v>
      </c>
      <c r="E46" s="50" t="s">
        <v>0</v>
      </c>
      <c r="F46" s="134" t="s">
        <v>0</v>
      </c>
      <c r="G46" s="134" t="s">
        <v>0</v>
      </c>
      <c r="H46" s="134"/>
      <c r="I46" s="134" t="s">
        <v>656</v>
      </c>
      <c r="J46" s="51"/>
      <c r="K46" s="137"/>
      <c r="L46" s="137"/>
      <c r="M46" s="137"/>
      <c r="N46" s="128"/>
      <c r="O46" s="128"/>
      <c r="P46" s="128">
        <v>6545.45</v>
      </c>
      <c r="Q46" s="129">
        <f t="shared" si="1"/>
        <v>6545.45</v>
      </c>
      <c r="R46" s="41" t="s">
        <v>0</v>
      </c>
    </row>
    <row r="47" spans="1:18" ht="14.25">
      <c r="A47" s="49" t="s">
        <v>578</v>
      </c>
      <c r="B47" s="50" t="s">
        <v>693</v>
      </c>
      <c r="C47" s="50" t="s">
        <v>22</v>
      </c>
      <c r="D47" s="50" t="s">
        <v>0</v>
      </c>
      <c r="E47" s="50" t="s">
        <v>0</v>
      </c>
      <c r="F47" s="134" t="s">
        <v>16</v>
      </c>
      <c r="G47" s="134" t="s">
        <v>0</v>
      </c>
      <c r="H47" s="134"/>
      <c r="I47" s="134" t="s">
        <v>656</v>
      </c>
      <c r="J47" s="51"/>
      <c r="K47" s="137"/>
      <c r="L47" s="137"/>
      <c r="M47" s="137"/>
      <c r="N47" s="128"/>
      <c r="O47" s="128"/>
      <c r="P47" s="128">
        <v>9545.45</v>
      </c>
      <c r="Q47" s="129">
        <f t="shared" si="1"/>
        <v>9545.45</v>
      </c>
      <c r="R47" s="41" t="s">
        <v>0</v>
      </c>
    </row>
    <row r="48" spans="1:18" ht="14.25">
      <c r="A48" s="49" t="s">
        <v>577</v>
      </c>
      <c r="B48" s="50" t="s">
        <v>692</v>
      </c>
      <c r="C48" s="50" t="s">
        <v>304</v>
      </c>
      <c r="D48" s="50" t="s">
        <v>0</v>
      </c>
      <c r="E48" s="50" t="s">
        <v>0</v>
      </c>
      <c r="F48" s="134" t="s">
        <v>0</v>
      </c>
      <c r="G48" s="134" t="s">
        <v>0</v>
      </c>
      <c r="H48" s="134"/>
      <c r="I48" s="134" t="s">
        <v>656</v>
      </c>
      <c r="J48" s="51"/>
      <c r="K48" s="137"/>
      <c r="L48" s="137"/>
      <c r="M48" s="137"/>
      <c r="N48" s="128"/>
      <c r="O48" s="128"/>
      <c r="P48" s="128">
        <v>5454.55</v>
      </c>
      <c r="Q48" s="129">
        <f t="shared" si="1"/>
        <v>5454.55</v>
      </c>
      <c r="R48" s="41" t="s">
        <v>0</v>
      </c>
    </row>
    <row r="49" spans="1:18" ht="14.25">
      <c r="A49" s="49" t="s">
        <v>576</v>
      </c>
      <c r="B49" s="50" t="s">
        <v>691</v>
      </c>
      <c r="C49" s="50" t="s">
        <v>73</v>
      </c>
      <c r="D49" s="50" t="s">
        <v>0</v>
      </c>
      <c r="E49" s="50" t="s">
        <v>0</v>
      </c>
      <c r="F49" s="134" t="s">
        <v>0</v>
      </c>
      <c r="G49" s="134" t="s">
        <v>0</v>
      </c>
      <c r="H49" s="134"/>
      <c r="I49" s="134" t="s">
        <v>656</v>
      </c>
      <c r="J49" s="51"/>
      <c r="K49" s="137"/>
      <c r="L49" s="137"/>
      <c r="M49" s="137"/>
      <c r="N49" s="128"/>
      <c r="O49" s="128"/>
      <c r="P49" s="128">
        <v>5454545.45</v>
      </c>
      <c r="Q49" s="129">
        <f t="shared" si="1"/>
        <v>5454545.45</v>
      </c>
      <c r="R49" s="41" t="s">
        <v>0</v>
      </c>
    </row>
    <row r="50" spans="1:18" ht="14.25">
      <c r="A50" s="49" t="s">
        <v>574</v>
      </c>
      <c r="B50" s="50" t="s">
        <v>690</v>
      </c>
      <c r="C50" s="50" t="s">
        <v>73</v>
      </c>
      <c r="D50" s="50" t="s">
        <v>0</v>
      </c>
      <c r="E50" s="50" t="s">
        <v>0</v>
      </c>
      <c r="F50" s="134" t="s">
        <v>11</v>
      </c>
      <c r="G50" s="134" t="s">
        <v>0</v>
      </c>
      <c r="H50" s="134"/>
      <c r="I50" s="134" t="s">
        <v>656</v>
      </c>
      <c r="J50" s="51"/>
      <c r="K50" s="137"/>
      <c r="L50" s="137"/>
      <c r="M50" s="137"/>
      <c r="N50" s="128"/>
      <c r="O50" s="128"/>
      <c r="P50" s="128">
        <v>18181818.2</v>
      </c>
      <c r="Q50" s="129">
        <f t="shared" si="1"/>
        <v>18181818.2</v>
      </c>
      <c r="R50" s="41" t="s">
        <v>0</v>
      </c>
    </row>
    <row r="51" spans="1:18" ht="14.25">
      <c r="A51" s="49" t="s">
        <v>573</v>
      </c>
      <c r="B51" s="50" t="s">
        <v>689</v>
      </c>
      <c r="C51" s="50" t="s">
        <v>73</v>
      </c>
      <c r="D51" s="50" t="s">
        <v>0</v>
      </c>
      <c r="E51" s="50" t="s">
        <v>0</v>
      </c>
      <c r="F51" s="134" t="s">
        <v>0</v>
      </c>
      <c r="G51" s="134" t="s">
        <v>0</v>
      </c>
      <c r="H51" s="134"/>
      <c r="I51" s="134" t="s">
        <v>656</v>
      </c>
      <c r="J51" s="51"/>
      <c r="K51" s="137"/>
      <c r="L51" s="137"/>
      <c r="M51" s="137"/>
      <c r="N51" s="128"/>
      <c r="O51" s="128"/>
      <c r="P51" s="128">
        <v>95000000</v>
      </c>
      <c r="Q51" s="129">
        <f t="shared" si="1"/>
        <v>95000000</v>
      </c>
      <c r="R51" s="41" t="s">
        <v>0</v>
      </c>
    </row>
    <row r="52" spans="1:18" ht="14.25">
      <c r="A52" s="49" t="s">
        <v>572</v>
      </c>
      <c r="B52" s="50" t="s">
        <v>688</v>
      </c>
      <c r="C52" s="50" t="s">
        <v>216</v>
      </c>
      <c r="D52" s="50" t="s">
        <v>0</v>
      </c>
      <c r="E52" s="50" t="s">
        <v>0</v>
      </c>
      <c r="F52" s="134" t="s">
        <v>0</v>
      </c>
      <c r="G52" s="134" t="s">
        <v>0</v>
      </c>
      <c r="H52" s="134"/>
      <c r="I52" s="134" t="s">
        <v>656</v>
      </c>
      <c r="J52" s="51"/>
      <c r="K52" s="137"/>
      <c r="L52" s="137"/>
      <c r="M52" s="137"/>
      <c r="N52" s="128"/>
      <c r="O52" s="128"/>
      <c r="P52" s="128">
        <v>149394</v>
      </c>
      <c r="Q52" s="129">
        <f t="shared" si="1"/>
        <v>149394</v>
      </c>
      <c r="R52" s="41" t="s">
        <v>0</v>
      </c>
    </row>
    <row r="53" spans="1:18" ht="14.25">
      <c r="A53" s="49" t="s">
        <v>571</v>
      </c>
      <c r="B53" s="50" t="s">
        <v>687</v>
      </c>
      <c r="C53" s="50" t="s">
        <v>216</v>
      </c>
      <c r="D53" s="50" t="s">
        <v>0</v>
      </c>
      <c r="E53" s="50" t="s">
        <v>0</v>
      </c>
      <c r="F53" s="134" t="s">
        <v>0</v>
      </c>
      <c r="G53" s="134" t="s">
        <v>0</v>
      </c>
      <c r="H53" s="134"/>
      <c r="I53" s="134" t="s">
        <v>656</v>
      </c>
      <c r="J53" s="51"/>
      <c r="K53" s="137"/>
      <c r="L53" s="137"/>
      <c r="M53" s="137"/>
      <c r="N53" s="128"/>
      <c r="O53" s="128"/>
      <c r="P53" s="128">
        <v>95960</v>
      </c>
      <c r="Q53" s="129">
        <f t="shared" si="1"/>
        <v>95960</v>
      </c>
      <c r="R53" s="41" t="s">
        <v>0</v>
      </c>
    </row>
    <row r="54" spans="1:18" ht="14.25">
      <c r="A54" s="49" t="s">
        <v>570</v>
      </c>
      <c r="B54" s="50" t="s">
        <v>686</v>
      </c>
      <c r="C54" s="50" t="s">
        <v>216</v>
      </c>
      <c r="D54" s="50" t="s">
        <v>0</v>
      </c>
      <c r="E54" s="50" t="s">
        <v>0</v>
      </c>
      <c r="F54" s="134" t="s">
        <v>0</v>
      </c>
      <c r="G54" s="134" t="s">
        <v>0</v>
      </c>
      <c r="H54" s="134"/>
      <c r="I54" s="134" t="s">
        <v>656</v>
      </c>
      <c r="J54" s="51"/>
      <c r="K54" s="137"/>
      <c r="L54" s="137"/>
      <c r="M54" s="137"/>
      <c r="N54" s="128"/>
      <c r="O54" s="128"/>
      <c r="P54" s="128">
        <v>96212</v>
      </c>
      <c r="Q54" s="129">
        <f t="shared" si="1"/>
        <v>96212</v>
      </c>
      <c r="R54" s="41" t="s">
        <v>0</v>
      </c>
    </row>
    <row r="55" spans="1:18" ht="14.25">
      <c r="A55" s="49" t="s">
        <v>569</v>
      </c>
      <c r="B55" s="50" t="s">
        <v>685</v>
      </c>
      <c r="C55" s="50" t="s">
        <v>216</v>
      </c>
      <c r="D55" s="50" t="s">
        <v>0</v>
      </c>
      <c r="E55" s="50" t="s">
        <v>0</v>
      </c>
      <c r="F55" s="134" t="s">
        <v>0</v>
      </c>
      <c r="G55" s="134" t="s">
        <v>0</v>
      </c>
      <c r="H55" s="134"/>
      <c r="I55" s="134" t="s">
        <v>656</v>
      </c>
      <c r="J55" s="51"/>
      <c r="K55" s="137"/>
      <c r="L55" s="137"/>
      <c r="M55" s="137"/>
      <c r="N55" s="128"/>
      <c r="O55" s="128"/>
      <c r="P55" s="128">
        <v>78939</v>
      </c>
      <c r="Q55" s="129">
        <f t="shared" si="1"/>
        <v>78939</v>
      </c>
      <c r="R55" s="41" t="s">
        <v>0</v>
      </c>
    </row>
    <row r="56" spans="1:18" ht="14.25">
      <c r="A56" s="49" t="s">
        <v>567</v>
      </c>
      <c r="B56" s="50" t="s">
        <v>684</v>
      </c>
      <c r="C56" s="50" t="s">
        <v>73</v>
      </c>
      <c r="D56" s="50" t="s">
        <v>0</v>
      </c>
      <c r="E56" s="50" t="s">
        <v>0</v>
      </c>
      <c r="F56" s="134" t="s">
        <v>0</v>
      </c>
      <c r="G56" s="134" t="s">
        <v>0</v>
      </c>
      <c r="H56" s="134"/>
      <c r="I56" s="134" t="s">
        <v>656</v>
      </c>
      <c r="J56" s="51"/>
      <c r="K56" s="137"/>
      <c r="L56" s="137"/>
      <c r="M56" s="137"/>
      <c r="N56" s="128"/>
      <c r="O56" s="128"/>
      <c r="P56" s="128">
        <v>16350000</v>
      </c>
      <c r="Q56" s="129">
        <f t="shared" si="1"/>
        <v>16350000</v>
      </c>
      <c r="R56" s="41" t="s">
        <v>0</v>
      </c>
    </row>
    <row r="57" spans="1:18" ht="14.25">
      <c r="A57" s="49" t="s">
        <v>565</v>
      </c>
      <c r="B57" s="50" t="s">
        <v>683</v>
      </c>
      <c r="C57" s="50" t="s">
        <v>73</v>
      </c>
      <c r="D57" s="50" t="s">
        <v>0</v>
      </c>
      <c r="E57" s="50" t="s">
        <v>0</v>
      </c>
      <c r="F57" s="134" t="s">
        <v>0</v>
      </c>
      <c r="G57" s="134" t="s">
        <v>0</v>
      </c>
      <c r="H57" s="134"/>
      <c r="I57" s="134" t="s">
        <v>656</v>
      </c>
      <c r="J57" s="51"/>
      <c r="K57" s="137"/>
      <c r="L57" s="137"/>
      <c r="M57" s="137"/>
      <c r="N57" s="128"/>
      <c r="O57" s="128"/>
      <c r="P57" s="128">
        <v>16350000</v>
      </c>
      <c r="Q57" s="129">
        <f t="shared" si="1"/>
        <v>16350000</v>
      </c>
      <c r="R57" s="41" t="s">
        <v>0</v>
      </c>
    </row>
    <row r="58" spans="1:18" ht="14.25">
      <c r="A58" s="49" t="s">
        <v>564</v>
      </c>
      <c r="B58" s="50" t="s">
        <v>682</v>
      </c>
      <c r="C58" s="50" t="s">
        <v>73</v>
      </c>
      <c r="D58" s="50" t="s">
        <v>0</v>
      </c>
      <c r="E58" s="50" t="s">
        <v>0</v>
      </c>
      <c r="F58" s="134" t="s">
        <v>11</v>
      </c>
      <c r="G58" s="134" t="s">
        <v>0</v>
      </c>
      <c r="H58" s="134"/>
      <c r="I58" s="134" t="s">
        <v>656</v>
      </c>
      <c r="J58" s="51"/>
      <c r="K58" s="137"/>
      <c r="L58" s="137"/>
      <c r="M58" s="137"/>
      <c r="N58" s="128"/>
      <c r="O58" s="128"/>
      <c r="P58" s="128">
        <v>20454545.5</v>
      </c>
      <c r="Q58" s="129">
        <f t="shared" si="1"/>
        <v>20454545.5</v>
      </c>
      <c r="R58" s="41" t="s">
        <v>0</v>
      </c>
    </row>
    <row r="59" spans="1:18" ht="14.25">
      <c r="A59" s="49" t="s">
        <v>563</v>
      </c>
      <c r="B59" s="50" t="s">
        <v>681</v>
      </c>
      <c r="C59" s="50" t="s">
        <v>73</v>
      </c>
      <c r="D59" s="50" t="s">
        <v>0</v>
      </c>
      <c r="E59" s="50" t="s">
        <v>0</v>
      </c>
      <c r="F59" s="134" t="s">
        <v>11</v>
      </c>
      <c r="G59" s="134" t="s">
        <v>0</v>
      </c>
      <c r="H59" s="134"/>
      <c r="I59" s="134" t="s">
        <v>656</v>
      </c>
      <c r="J59" s="51"/>
      <c r="K59" s="137"/>
      <c r="L59" s="137"/>
      <c r="M59" s="137"/>
      <c r="N59" s="128">
        <f>SUM(N60:N60)</f>
        <v>45897.4</v>
      </c>
      <c r="O59" s="128"/>
      <c r="P59" s="128">
        <v>16350000</v>
      </c>
      <c r="Q59" s="129">
        <f t="shared" si="1"/>
        <v>16395897.4</v>
      </c>
      <c r="R59" s="41" t="s">
        <v>0</v>
      </c>
    </row>
    <row r="60" spans="1:18" ht="14.25">
      <c r="A60" s="49" t="s">
        <v>0</v>
      </c>
      <c r="B60" s="50" t="s">
        <v>678</v>
      </c>
      <c r="C60" s="50" t="s">
        <v>0</v>
      </c>
      <c r="D60" s="50" t="s">
        <v>0</v>
      </c>
      <c r="E60" s="50" t="s">
        <v>0</v>
      </c>
      <c r="F60" s="134" t="s">
        <v>0</v>
      </c>
      <c r="G60" s="134" t="s">
        <v>0</v>
      </c>
      <c r="H60" s="134"/>
      <c r="I60" s="134" t="s">
        <v>0</v>
      </c>
      <c r="J60" s="51">
        <f>('Phan tich don gia'!G709)</f>
        <v>45897.432</v>
      </c>
      <c r="K60" s="137"/>
      <c r="L60" s="137"/>
      <c r="M60" s="137"/>
      <c r="N60" s="51">
        <f>ROUND(J60,1)</f>
        <v>45897.4</v>
      </c>
      <c r="O60" s="51"/>
      <c r="P60" s="51"/>
      <c r="Q60" s="130">
        <v>0</v>
      </c>
      <c r="R60" s="41" t="s">
        <v>0</v>
      </c>
    </row>
    <row r="61" spans="1:18" ht="14.25">
      <c r="A61" s="49" t="s">
        <v>562</v>
      </c>
      <c r="B61" s="50" t="s">
        <v>680</v>
      </c>
      <c r="C61" s="50" t="s">
        <v>73</v>
      </c>
      <c r="D61" s="50" t="s">
        <v>0</v>
      </c>
      <c r="E61" s="50" t="s">
        <v>0</v>
      </c>
      <c r="F61" s="134" t="s">
        <v>11</v>
      </c>
      <c r="G61" s="134" t="s">
        <v>0</v>
      </c>
      <c r="H61" s="134"/>
      <c r="I61" s="134" t="s">
        <v>656</v>
      </c>
      <c r="J61" s="51"/>
      <c r="K61" s="137"/>
      <c r="L61" s="137"/>
      <c r="M61" s="137"/>
      <c r="N61" s="128">
        <f>SUM(N62:N62)</f>
        <v>45897.4</v>
      </c>
      <c r="O61" s="128"/>
      <c r="P61" s="128">
        <v>16100000</v>
      </c>
      <c r="Q61" s="129">
        <f>N61+O61+P61</f>
        <v>16145897.4</v>
      </c>
      <c r="R61" s="41" t="s">
        <v>0</v>
      </c>
    </row>
    <row r="62" spans="1:18" ht="14.25">
      <c r="A62" s="49" t="s">
        <v>0</v>
      </c>
      <c r="B62" s="50" t="s">
        <v>678</v>
      </c>
      <c r="C62" s="50" t="s">
        <v>0</v>
      </c>
      <c r="D62" s="50" t="s">
        <v>0</v>
      </c>
      <c r="E62" s="50" t="s">
        <v>0</v>
      </c>
      <c r="F62" s="134" t="s">
        <v>0</v>
      </c>
      <c r="G62" s="134" t="s">
        <v>0</v>
      </c>
      <c r="H62" s="134"/>
      <c r="I62" s="134" t="s">
        <v>0</v>
      </c>
      <c r="J62" s="51">
        <f>('Phan tich don gia'!G709)</f>
        <v>45897.432</v>
      </c>
      <c r="K62" s="137"/>
      <c r="L62" s="137"/>
      <c r="M62" s="137"/>
      <c r="N62" s="51">
        <f>ROUND(J62,1)</f>
        <v>45897.4</v>
      </c>
      <c r="O62" s="51"/>
      <c r="P62" s="51"/>
      <c r="Q62" s="130">
        <v>0</v>
      </c>
      <c r="R62" s="41" t="s">
        <v>0</v>
      </c>
    </row>
    <row r="63" spans="1:18" ht="14.25">
      <c r="A63" s="49" t="s">
        <v>561</v>
      </c>
      <c r="B63" s="50" t="s">
        <v>679</v>
      </c>
      <c r="C63" s="50" t="s">
        <v>73</v>
      </c>
      <c r="D63" s="50" t="s">
        <v>0</v>
      </c>
      <c r="E63" s="50" t="s">
        <v>0</v>
      </c>
      <c r="F63" s="134" t="s">
        <v>11</v>
      </c>
      <c r="G63" s="134" t="s">
        <v>0</v>
      </c>
      <c r="H63" s="134"/>
      <c r="I63" s="134" t="s">
        <v>656</v>
      </c>
      <c r="J63" s="51"/>
      <c r="K63" s="137"/>
      <c r="L63" s="137"/>
      <c r="M63" s="137"/>
      <c r="N63" s="128">
        <f>SUM(N64:N64)</f>
        <v>45897.4</v>
      </c>
      <c r="O63" s="128"/>
      <c r="P63" s="128">
        <v>16100000</v>
      </c>
      <c r="Q63" s="129">
        <f>N63+O63+P63</f>
        <v>16145897.4</v>
      </c>
      <c r="R63" s="41" t="s">
        <v>0</v>
      </c>
    </row>
    <row r="64" spans="1:18" ht="14.25">
      <c r="A64" s="49" t="s">
        <v>0</v>
      </c>
      <c r="B64" s="50" t="s">
        <v>678</v>
      </c>
      <c r="C64" s="50" t="s">
        <v>0</v>
      </c>
      <c r="D64" s="50" t="s">
        <v>0</v>
      </c>
      <c r="E64" s="50" t="s">
        <v>0</v>
      </c>
      <c r="F64" s="134" t="s">
        <v>0</v>
      </c>
      <c r="G64" s="134" t="s">
        <v>0</v>
      </c>
      <c r="H64" s="134"/>
      <c r="I64" s="134" t="s">
        <v>0</v>
      </c>
      <c r="J64" s="51">
        <f>('Phan tich don gia'!G709)</f>
        <v>45897.432</v>
      </c>
      <c r="K64" s="137"/>
      <c r="L64" s="137"/>
      <c r="M64" s="137"/>
      <c r="N64" s="51">
        <f>ROUND(J64,1)</f>
        <v>45897.4</v>
      </c>
      <c r="O64" s="51"/>
      <c r="P64" s="51"/>
      <c r="Q64" s="130">
        <v>0</v>
      </c>
      <c r="R64" s="41" t="s">
        <v>0</v>
      </c>
    </row>
    <row r="65" spans="1:18" ht="14.25">
      <c r="A65" s="49" t="s">
        <v>559</v>
      </c>
      <c r="B65" s="50" t="s">
        <v>677</v>
      </c>
      <c r="C65" s="50" t="s">
        <v>73</v>
      </c>
      <c r="D65" s="50" t="s">
        <v>0</v>
      </c>
      <c r="E65" s="50" t="s">
        <v>0</v>
      </c>
      <c r="F65" s="134" t="s">
        <v>16</v>
      </c>
      <c r="G65" s="134" t="s">
        <v>0</v>
      </c>
      <c r="H65" s="134"/>
      <c r="I65" s="134" t="s">
        <v>656</v>
      </c>
      <c r="J65" s="51"/>
      <c r="K65" s="137"/>
      <c r="L65" s="137"/>
      <c r="M65" s="137"/>
      <c r="N65" s="128">
        <f>SUM(N66:N66)</f>
        <v>24041.5</v>
      </c>
      <c r="O65" s="128"/>
      <c r="P65" s="128">
        <v>1677273</v>
      </c>
      <c r="Q65" s="129">
        <f>N65+O65+P65</f>
        <v>1701314.5</v>
      </c>
      <c r="R65" s="41" t="s">
        <v>0</v>
      </c>
    </row>
    <row r="66" spans="1:18" ht="14.25">
      <c r="A66" s="49" t="s">
        <v>0</v>
      </c>
      <c r="B66" s="50" t="s">
        <v>674</v>
      </c>
      <c r="C66" s="50" t="s">
        <v>0</v>
      </c>
      <c r="D66" s="50" t="s">
        <v>0</v>
      </c>
      <c r="E66" s="50" t="s">
        <v>0</v>
      </c>
      <c r="F66" s="134" t="s">
        <v>0</v>
      </c>
      <c r="G66" s="134" t="s">
        <v>0</v>
      </c>
      <c r="H66" s="134"/>
      <c r="I66" s="134" t="s">
        <v>0</v>
      </c>
      <c r="J66" s="51">
        <f>('Phan tich don gia'!G699)</f>
        <v>24041.512</v>
      </c>
      <c r="K66" s="137"/>
      <c r="L66" s="137"/>
      <c r="M66" s="137"/>
      <c r="N66" s="51">
        <f>ROUND(J66,1)</f>
        <v>24041.5</v>
      </c>
      <c r="O66" s="51"/>
      <c r="P66" s="51"/>
      <c r="Q66" s="130">
        <v>0</v>
      </c>
      <c r="R66" s="41" t="s">
        <v>0</v>
      </c>
    </row>
    <row r="67" spans="1:18" ht="14.25">
      <c r="A67" s="49" t="s">
        <v>558</v>
      </c>
      <c r="B67" s="50" t="s">
        <v>676</v>
      </c>
      <c r="C67" s="50" t="s">
        <v>73</v>
      </c>
      <c r="D67" s="50" t="s">
        <v>0</v>
      </c>
      <c r="E67" s="50" t="s">
        <v>0</v>
      </c>
      <c r="F67" s="134" t="s">
        <v>0</v>
      </c>
      <c r="G67" s="134" t="s">
        <v>0</v>
      </c>
      <c r="H67" s="134"/>
      <c r="I67" s="134" t="s">
        <v>656</v>
      </c>
      <c r="J67" s="51"/>
      <c r="K67" s="137"/>
      <c r="L67" s="137"/>
      <c r="M67" s="137"/>
      <c r="N67" s="128">
        <f>SUM(N68:N68)</f>
        <v>24041.5</v>
      </c>
      <c r="O67" s="128"/>
      <c r="P67" s="128">
        <v>1613636</v>
      </c>
      <c r="Q67" s="129">
        <f>N67+O67+P67</f>
        <v>1637677.5</v>
      </c>
      <c r="R67" s="41" t="s">
        <v>0</v>
      </c>
    </row>
    <row r="68" spans="1:18" ht="14.25">
      <c r="A68" s="49" t="s">
        <v>0</v>
      </c>
      <c r="B68" s="50" t="s">
        <v>674</v>
      </c>
      <c r="C68" s="50" t="s">
        <v>0</v>
      </c>
      <c r="D68" s="50" t="s">
        <v>0</v>
      </c>
      <c r="E68" s="50" t="s">
        <v>0</v>
      </c>
      <c r="F68" s="134" t="s">
        <v>0</v>
      </c>
      <c r="G68" s="134" t="s">
        <v>0</v>
      </c>
      <c r="H68" s="134"/>
      <c r="I68" s="134" t="s">
        <v>0</v>
      </c>
      <c r="J68" s="51">
        <f>('Phan tich don gia'!G699)</f>
        <v>24041.512</v>
      </c>
      <c r="K68" s="137"/>
      <c r="L68" s="137"/>
      <c r="M68" s="137"/>
      <c r="N68" s="51">
        <f>ROUND(J68,1)</f>
        <v>24041.5</v>
      </c>
      <c r="O68" s="51"/>
      <c r="P68" s="51"/>
      <c r="Q68" s="130">
        <v>0</v>
      </c>
      <c r="R68" s="41" t="s">
        <v>0</v>
      </c>
    </row>
    <row r="69" spans="1:18" ht="14.25">
      <c r="A69" s="49" t="s">
        <v>557</v>
      </c>
      <c r="B69" s="50" t="s">
        <v>675</v>
      </c>
      <c r="C69" s="50" t="s">
        <v>73</v>
      </c>
      <c r="D69" s="50" t="s">
        <v>0</v>
      </c>
      <c r="E69" s="50" t="s">
        <v>0</v>
      </c>
      <c r="F69" s="134" t="s">
        <v>0</v>
      </c>
      <c r="G69" s="134" t="s">
        <v>0</v>
      </c>
      <c r="H69" s="134"/>
      <c r="I69" s="134" t="s">
        <v>656</v>
      </c>
      <c r="J69" s="51"/>
      <c r="K69" s="137"/>
      <c r="L69" s="137"/>
      <c r="M69" s="137"/>
      <c r="N69" s="128">
        <f>SUM(N70:N70)</f>
        <v>24041.5</v>
      </c>
      <c r="O69" s="128"/>
      <c r="P69" s="128">
        <v>1677273</v>
      </c>
      <c r="Q69" s="129">
        <f>N69+O69+P69</f>
        <v>1701314.5</v>
      </c>
      <c r="R69" s="41" t="s">
        <v>0</v>
      </c>
    </row>
    <row r="70" spans="1:18" ht="14.25">
      <c r="A70" s="49" t="s">
        <v>0</v>
      </c>
      <c r="B70" s="50" t="s">
        <v>674</v>
      </c>
      <c r="C70" s="50" t="s">
        <v>0</v>
      </c>
      <c r="D70" s="50" t="s">
        <v>0</v>
      </c>
      <c r="E70" s="50" t="s">
        <v>0</v>
      </c>
      <c r="F70" s="134" t="s">
        <v>0</v>
      </c>
      <c r="G70" s="134" t="s">
        <v>0</v>
      </c>
      <c r="H70" s="134"/>
      <c r="I70" s="134" t="s">
        <v>0</v>
      </c>
      <c r="J70" s="51">
        <f>('Phan tich don gia'!G699)</f>
        <v>24041.512</v>
      </c>
      <c r="K70" s="137"/>
      <c r="L70" s="137"/>
      <c r="M70" s="137"/>
      <c r="N70" s="51">
        <f>ROUND(J70,1)</f>
        <v>24041.5</v>
      </c>
      <c r="O70" s="51"/>
      <c r="P70" s="51"/>
      <c r="Q70" s="130">
        <v>0</v>
      </c>
      <c r="R70" s="41" t="s">
        <v>0</v>
      </c>
    </row>
    <row r="71" spans="1:18" ht="14.25">
      <c r="A71" s="49" t="s">
        <v>556</v>
      </c>
      <c r="B71" s="50" t="s">
        <v>673</v>
      </c>
      <c r="C71" s="50" t="s">
        <v>73</v>
      </c>
      <c r="D71" s="50" t="s">
        <v>0</v>
      </c>
      <c r="E71" s="50" t="s">
        <v>0</v>
      </c>
      <c r="F71" s="134" t="s">
        <v>16</v>
      </c>
      <c r="G71" s="134" t="s">
        <v>0</v>
      </c>
      <c r="H71" s="134"/>
      <c r="I71" s="134" t="s">
        <v>656</v>
      </c>
      <c r="J71" s="51"/>
      <c r="K71" s="137"/>
      <c r="L71" s="137"/>
      <c r="M71" s="137"/>
      <c r="N71" s="128"/>
      <c r="O71" s="128"/>
      <c r="P71" s="128">
        <v>4545000</v>
      </c>
      <c r="Q71" s="129">
        <f>N71+O71+P71</f>
        <v>4545000</v>
      </c>
      <c r="R71" s="41" t="s">
        <v>0</v>
      </c>
    </row>
    <row r="72" spans="1:18" ht="14.25">
      <c r="A72" s="49" t="s">
        <v>555</v>
      </c>
      <c r="B72" s="50" t="s">
        <v>672</v>
      </c>
      <c r="C72" s="50" t="s">
        <v>73</v>
      </c>
      <c r="D72" s="50" t="s">
        <v>0</v>
      </c>
      <c r="E72" s="50" t="s">
        <v>0</v>
      </c>
      <c r="F72" s="134" t="s">
        <v>0</v>
      </c>
      <c r="G72" s="134" t="s">
        <v>0</v>
      </c>
      <c r="H72" s="134"/>
      <c r="I72" s="134" t="s">
        <v>656</v>
      </c>
      <c r="J72" s="51"/>
      <c r="K72" s="137"/>
      <c r="L72" s="137"/>
      <c r="M72" s="137"/>
      <c r="N72" s="128"/>
      <c r="O72" s="128"/>
      <c r="P72" s="128">
        <v>20886</v>
      </c>
      <c r="Q72" s="129">
        <f>N72+O72+P72</f>
        <v>20886</v>
      </c>
      <c r="R72" s="41" t="s">
        <v>0</v>
      </c>
    </row>
    <row r="73" spans="1:18" ht="14.25">
      <c r="A73" s="49" t="s">
        <v>520</v>
      </c>
      <c r="B73" s="50" t="s">
        <v>671</v>
      </c>
      <c r="C73" s="50" t="s">
        <v>73</v>
      </c>
      <c r="D73" s="50" t="s">
        <v>0</v>
      </c>
      <c r="E73" s="50" t="s">
        <v>0</v>
      </c>
      <c r="F73" s="134" t="s">
        <v>11</v>
      </c>
      <c r="G73" s="134" t="s">
        <v>0</v>
      </c>
      <c r="H73" s="134"/>
      <c r="I73" s="134" t="s">
        <v>656</v>
      </c>
      <c r="J73" s="51"/>
      <c r="K73" s="137"/>
      <c r="L73" s="137"/>
      <c r="M73" s="137"/>
      <c r="N73" s="128"/>
      <c r="O73" s="128"/>
      <c r="P73" s="128">
        <v>16350000</v>
      </c>
      <c r="Q73" s="129">
        <f>N73+O73+P73</f>
        <v>16350000</v>
      </c>
      <c r="R73" s="41" t="s">
        <v>0</v>
      </c>
    </row>
    <row r="74" spans="1:18" ht="14.25">
      <c r="A74" s="49" t="s">
        <v>554</v>
      </c>
      <c r="B74" s="50" t="s">
        <v>670</v>
      </c>
      <c r="C74" s="50" t="s">
        <v>329</v>
      </c>
      <c r="D74" s="50" t="s">
        <v>0</v>
      </c>
      <c r="E74" s="50" t="s">
        <v>0</v>
      </c>
      <c r="F74" s="134" t="s">
        <v>11</v>
      </c>
      <c r="G74" s="134" t="s">
        <v>0</v>
      </c>
      <c r="H74" s="134"/>
      <c r="I74" s="134" t="s">
        <v>656</v>
      </c>
      <c r="J74" s="51"/>
      <c r="K74" s="137"/>
      <c r="L74" s="137"/>
      <c r="M74" s="137"/>
      <c r="N74" s="128"/>
      <c r="O74" s="128"/>
      <c r="P74" s="128">
        <v>36363.6</v>
      </c>
      <c r="Q74" s="129">
        <f>N74+O74+P74</f>
        <v>36363.6</v>
      </c>
      <c r="R74" s="41" t="s">
        <v>0</v>
      </c>
    </row>
    <row r="75" spans="1:18" ht="14.25">
      <c r="A75" s="49" t="s">
        <v>553</v>
      </c>
      <c r="B75" s="50" t="s">
        <v>669</v>
      </c>
      <c r="C75" s="50" t="s">
        <v>22</v>
      </c>
      <c r="D75" s="50" t="s">
        <v>0</v>
      </c>
      <c r="E75" s="50" t="s">
        <v>0</v>
      </c>
      <c r="F75" s="134" t="s">
        <v>2</v>
      </c>
      <c r="G75" s="134" t="s">
        <v>0</v>
      </c>
      <c r="H75" s="134"/>
      <c r="I75" s="134" t="s">
        <v>666</v>
      </c>
      <c r="J75" s="51"/>
      <c r="K75" s="137"/>
      <c r="L75" s="137"/>
      <c r="M75" s="137"/>
      <c r="N75" s="128">
        <f>SUM(N76:N77)</f>
        <v>21618.2</v>
      </c>
      <c r="O75" s="128"/>
      <c r="P75" s="128">
        <v>290909.1</v>
      </c>
      <c r="Q75" s="129">
        <f>N75+O75+P75</f>
        <v>312527.3</v>
      </c>
      <c r="R75" s="41" t="s">
        <v>0</v>
      </c>
    </row>
    <row r="76" spans="1:18" ht="14.25">
      <c r="A76" s="49" t="s">
        <v>0</v>
      </c>
      <c r="B76" s="50" t="s">
        <v>665</v>
      </c>
      <c r="C76" s="50" t="s">
        <v>0</v>
      </c>
      <c r="D76" s="50" t="s">
        <v>664</v>
      </c>
      <c r="E76" s="50" t="s">
        <v>0</v>
      </c>
      <c r="F76" s="134" t="s">
        <v>0</v>
      </c>
      <c r="G76" s="134" t="s">
        <v>28</v>
      </c>
      <c r="H76" s="134">
        <v>1</v>
      </c>
      <c r="I76" s="134" t="s">
        <v>0</v>
      </c>
      <c r="J76" s="51">
        <f>('Phan tich don gia'!G729)/10</f>
        <v>6481.6341999999995</v>
      </c>
      <c r="K76" s="137">
        <v>1.35</v>
      </c>
      <c r="L76" s="137"/>
      <c r="M76" s="137"/>
      <c r="N76" s="51">
        <f>ROUND(J76*K76*H76,1)</f>
        <v>8750.2</v>
      </c>
      <c r="O76" s="51"/>
      <c r="P76" s="51"/>
      <c r="Q76" s="130">
        <v>0</v>
      </c>
      <c r="R76" s="41" t="s">
        <v>0</v>
      </c>
    </row>
    <row r="77" spans="1:18" ht="14.25">
      <c r="A77" s="49" t="s">
        <v>0</v>
      </c>
      <c r="B77" s="50" t="s">
        <v>663</v>
      </c>
      <c r="C77" s="50" t="s">
        <v>0</v>
      </c>
      <c r="D77" s="50" t="s">
        <v>0</v>
      </c>
      <c r="E77" s="50" t="s">
        <v>662</v>
      </c>
      <c r="F77" s="134" t="s">
        <v>0</v>
      </c>
      <c r="G77" s="134" t="s">
        <v>28</v>
      </c>
      <c r="H77" s="134">
        <v>2</v>
      </c>
      <c r="I77" s="134" t="s">
        <v>0</v>
      </c>
      <c r="J77" s="51">
        <f>('Phan tich don gia'!G734)/10</f>
        <v>4765.907499999999</v>
      </c>
      <c r="K77" s="137">
        <v>1.35</v>
      </c>
      <c r="L77" s="137"/>
      <c r="M77" s="137"/>
      <c r="N77" s="51">
        <f>ROUND(J77*K77*H77,1)</f>
        <v>12868</v>
      </c>
      <c r="O77" s="51"/>
      <c r="P77" s="51"/>
      <c r="Q77" s="130">
        <v>0</v>
      </c>
      <c r="R77" s="41" t="s">
        <v>0</v>
      </c>
    </row>
    <row r="78" spans="1:18" ht="14.25">
      <c r="A78" s="49" t="s">
        <v>552</v>
      </c>
      <c r="B78" s="50" t="s">
        <v>668</v>
      </c>
      <c r="C78" s="50" t="s">
        <v>22</v>
      </c>
      <c r="D78" s="50" t="s">
        <v>0</v>
      </c>
      <c r="E78" s="50" t="s">
        <v>0</v>
      </c>
      <c r="F78" s="134" t="s">
        <v>2</v>
      </c>
      <c r="G78" s="134" t="s">
        <v>0</v>
      </c>
      <c r="H78" s="134"/>
      <c r="I78" s="134" t="s">
        <v>666</v>
      </c>
      <c r="J78" s="51"/>
      <c r="K78" s="137"/>
      <c r="L78" s="137"/>
      <c r="M78" s="137"/>
      <c r="N78" s="128">
        <f>SUM(N79:N80)</f>
        <v>21618.2</v>
      </c>
      <c r="O78" s="128"/>
      <c r="P78" s="128">
        <v>281818</v>
      </c>
      <c r="Q78" s="129">
        <f>N78+O78+P78</f>
        <v>303436.2</v>
      </c>
      <c r="R78" s="41" t="s">
        <v>0</v>
      </c>
    </row>
    <row r="79" spans="1:18" ht="14.25">
      <c r="A79" s="49" t="s">
        <v>0</v>
      </c>
      <c r="B79" s="50" t="s">
        <v>665</v>
      </c>
      <c r="C79" s="50" t="s">
        <v>0</v>
      </c>
      <c r="D79" s="50" t="s">
        <v>664</v>
      </c>
      <c r="E79" s="50" t="s">
        <v>0</v>
      </c>
      <c r="F79" s="134" t="s">
        <v>0</v>
      </c>
      <c r="G79" s="134" t="s">
        <v>28</v>
      </c>
      <c r="H79" s="134">
        <v>1</v>
      </c>
      <c r="I79" s="134" t="s">
        <v>0</v>
      </c>
      <c r="J79" s="51">
        <f>('Phan tich don gia'!G729)/10</f>
        <v>6481.6341999999995</v>
      </c>
      <c r="K79" s="137">
        <v>1.35</v>
      </c>
      <c r="L79" s="137"/>
      <c r="M79" s="137"/>
      <c r="N79" s="51">
        <f>ROUND(J79*K79*H79,1)</f>
        <v>8750.2</v>
      </c>
      <c r="O79" s="51"/>
      <c r="P79" s="51"/>
      <c r="Q79" s="130">
        <v>0</v>
      </c>
      <c r="R79" s="41" t="s">
        <v>0</v>
      </c>
    </row>
    <row r="80" spans="1:18" ht="14.25">
      <c r="A80" s="49" t="s">
        <v>0</v>
      </c>
      <c r="B80" s="50" t="s">
        <v>663</v>
      </c>
      <c r="C80" s="50" t="s">
        <v>0</v>
      </c>
      <c r="D80" s="50" t="s">
        <v>0</v>
      </c>
      <c r="E80" s="50" t="s">
        <v>662</v>
      </c>
      <c r="F80" s="134" t="s">
        <v>0</v>
      </c>
      <c r="G80" s="134" t="s">
        <v>28</v>
      </c>
      <c r="H80" s="134">
        <v>2</v>
      </c>
      <c r="I80" s="134" t="s">
        <v>0</v>
      </c>
      <c r="J80" s="51">
        <f>('Phan tich don gia'!G734)/10</f>
        <v>4765.907499999999</v>
      </c>
      <c r="K80" s="137">
        <v>1.35</v>
      </c>
      <c r="L80" s="137"/>
      <c r="M80" s="137"/>
      <c r="N80" s="51">
        <f>ROUND(J80*K80*H80,1)</f>
        <v>12868</v>
      </c>
      <c r="O80" s="51"/>
      <c r="P80" s="51"/>
      <c r="Q80" s="130">
        <v>0</v>
      </c>
      <c r="R80" s="41" t="s">
        <v>0</v>
      </c>
    </row>
    <row r="81" spans="1:18" ht="14.25">
      <c r="A81" s="49" t="s">
        <v>550</v>
      </c>
      <c r="B81" s="50" t="s">
        <v>667</v>
      </c>
      <c r="C81" s="50" t="s">
        <v>22</v>
      </c>
      <c r="D81" s="50" t="s">
        <v>0</v>
      </c>
      <c r="E81" s="50" t="s">
        <v>0</v>
      </c>
      <c r="F81" s="134" t="s">
        <v>2</v>
      </c>
      <c r="G81" s="134" t="s">
        <v>0</v>
      </c>
      <c r="H81" s="134"/>
      <c r="I81" s="134" t="s">
        <v>666</v>
      </c>
      <c r="J81" s="51"/>
      <c r="K81" s="137"/>
      <c r="L81" s="137"/>
      <c r="M81" s="137"/>
      <c r="N81" s="128">
        <f>SUM(N82:N83)</f>
        <v>21618.2</v>
      </c>
      <c r="O81" s="128"/>
      <c r="P81" s="128">
        <v>227272.7</v>
      </c>
      <c r="Q81" s="129">
        <f>N81+O81+P81</f>
        <v>248890.90000000002</v>
      </c>
      <c r="R81" s="41" t="s">
        <v>0</v>
      </c>
    </row>
    <row r="82" spans="1:18" ht="14.25">
      <c r="A82" s="49" t="s">
        <v>0</v>
      </c>
      <c r="B82" s="50" t="s">
        <v>665</v>
      </c>
      <c r="C82" s="50" t="s">
        <v>0</v>
      </c>
      <c r="D82" s="50" t="s">
        <v>664</v>
      </c>
      <c r="E82" s="50" t="s">
        <v>0</v>
      </c>
      <c r="F82" s="134" t="s">
        <v>0</v>
      </c>
      <c r="G82" s="134" t="s">
        <v>28</v>
      </c>
      <c r="H82" s="134">
        <v>1</v>
      </c>
      <c r="I82" s="134" t="s">
        <v>0</v>
      </c>
      <c r="J82" s="51">
        <f>('Phan tich don gia'!G729)/10</f>
        <v>6481.6341999999995</v>
      </c>
      <c r="K82" s="137">
        <v>1.35</v>
      </c>
      <c r="L82" s="137"/>
      <c r="M82" s="137"/>
      <c r="N82" s="51">
        <f>ROUND(J82*K82*H82,1)</f>
        <v>8750.2</v>
      </c>
      <c r="O82" s="51"/>
      <c r="P82" s="51"/>
      <c r="Q82" s="130">
        <v>0</v>
      </c>
      <c r="R82" s="41" t="s">
        <v>0</v>
      </c>
    </row>
    <row r="83" spans="1:18" ht="14.25">
      <c r="A83" s="49" t="s">
        <v>0</v>
      </c>
      <c r="B83" s="50" t="s">
        <v>663</v>
      </c>
      <c r="C83" s="50" t="s">
        <v>0</v>
      </c>
      <c r="D83" s="50" t="s">
        <v>0</v>
      </c>
      <c r="E83" s="50" t="s">
        <v>662</v>
      </c>
      <c r="F83" s="134" t="s">
        <v>0</v>
      </c>
      <c r="G83" s="134" t="s">
        <v>28</v>
      </c>
      <c r="H83" s="134">
        <v>2</v>
      </c>
      <c r="I83" s="134" t="s">
        <v>0</v>
      </c>
      <c r="J83" s="51">
        <f>('Phan tich don gia'!G734)/10</f>
        <v>4765.907499999999</v>
      </c>
      <c r="K83" s="137">
        <v>1.35</v>
      </c>
      <c r="L83" s="137"/>
      <c r="M83" s="137"/>
      <c r="N83" s="51">
        <f>ROUND(J83*K83*H83,1)</f>
        <v>12868</v>
      </c>
      <c r="O83" s="51"/>
      <c r="P83" s="51"/>
      <c r="Q83" s="130">
        <v>0</v>
      </c>
      <c r="R83" s="41" t="s">
        <v>0</v>
      </c>
    </row>
    <row r="84" spans="1:18" ht="14.25">
      <c r="A84" s="49" t="s">
        <v>549</v>
      </c>
      <c r="B84" s="50" t="s">
        <v>661</v>
      </c>
      <c r="C84" s="50" t="s">
        <v>329</v>
      </c>
      <c r="D84" s="50" t="s">
        <v>0</v>
      </c>
      <c r="E84" s="50" t="s">
        <v>0</v>
      </c>
      <c r="F84" s="134" t="s">
        <v>11</v>
      </c>
      <c r="G84" s="134" t="s">
        <v>0</v>
      </c>
      <c r="H84" s="134"/>
      <c r="I84" s="134" t="s">
        <v>656</v>
      </c>
      <c r="J84" s="51"/>
      <c r="K84" s="137"/>
      <c r="L84" s="137"/>
      <c r="M84" s="137"/>
      <c r="N84" s="128"/>
      <c r="O84" s="128"/>
      <c r="P84" s="128">
        <v>36363.6</v>
      </c>
      <c r="Q84" s="129">
        <f>N84+O84+P84</f>
        <v>36363.6</v>
      </c>
      <c r="R84" s="41" t="s">
        <v>0</v>
      </c>
    </row>
    <row r="85" spans="1:18" ht="14.25">
      <c r="A85" s="49" t="s">
        <v>548</v>
      </c>
      <c r="B85" s="50" t="s">
        <v>660</v>
      </c>
      <c r="C85" s="50" t="s">
        <v>97</v>
      </c>
      <c r="D85" s="50" t="s">
        <v>0</v>
      </c>
      <c r="E85" s="50" t="s">
        <v>0</v>
      </c>
      <c r="F85" s="134" t="s">
        <v>0</v>
      </c>
      <c r="G85" s="134" t="s">
        <v>0</v>
      </c>
      <c r="H85" s="134"/>
      <c r="I85" s="134" t="s">
        <v>656</v>
      </c>
      <c r="J85" s="51"/>
      <c r="K85" s="137"/>
      <c r="L85" s="137"/>
      <c r="M85" s="137"/>
      <c r="N85" s="128"/>
      <c r="O85" s="128"/>
      <c r="P85" s="128">
        <v>227272.7</v>
      </c>
      <c r="Q85" s="129">
        <f>N85+O85+P85</f>
        <v>227272.7</v>
      </c>
      <c r="R85" s="41" t="s">
        <v>0</v>
      </c>
    </row>
    <row r="86" spans="1:18" ht="14.25">
      <c r="A86" s="49" t="s">
        <v>546</v>
      </c>
      <c r="B86" s="50" t="s">
        <v>659</v>
      </c>
      <c r="C86" s="50" t="s">
        <v>204</v>
      </c>
      <c r="D86" s="50" t="s">
        <v>0</v>
      </c>
      <c r="E86" s="50" t="s">
        <v>0</v>
      </c>
      <c r="F86" s="134" t="s">
        <v>0</v>
      </c>
      <c r="G86" s="134" t="s">
        <v>0</v>
      </c>
      <c r="H86" s="134"/>
      <c r="I86" s="134" t="s">
        <v>656</v>
      </c>
      <c r="J86" s="51"/>
      <c r="K86" s="137"/>
      <c r="L86" s="137"/>
      <c r="M86" s="137"/>
      <c r="N86" s="128"/>
      <c r="O86" s="128"/>
      <c r="P86" s="128">
        <v>181818.2</v>
      </c>
      <c r="Q86" s="129">
        <f>N86+O86+P86</f>
        <v>181818.2</v>
      </c>
      <c r="R86" s="41" t="s">
        <v>0</v>
      </c>
    </row>
    <row r="87" spans="1:18" ht="14.25">
      <c r="A87" s="49" t="s">
        <v>545</v>
      </c>
      <c r="B87" s="50" t="s">
        <v>658</v>
      </c>
      <c r="C87" s="50" t="s">
        <v>22</v>
      </c>
      <c r="D87" s="50" t="s">
        <v>0</v>
      </c>
      <c r="E87" s="50" t="s">
        <v>0</v>
      </c>
      <c r="F87" s="134" t="s">
        <v>0</v>
      </c>
      <c r="G87" s="134" t="s">
        <v>0</v>
      </c>
      <c r="H87" s="134"/>
      <c r="I87" s="134" t="s">
        <v>656</v>
      </c>
      <c r="J87" s="51"/>
      <c r="K87" s="137"/>
      <c r="L87" s="137"/>
      <c r="M87" s="137"/>
      <c r="N87" s="128"/>
      <c r="O87" s="128"/>
      <c r="P87" s="128">
        <v>272727.3</v>
      </c>
      <c r="Q87" s="129">
        <f>N87+O87+P87</f>
        <v>272727.3</v>
      </c>
      <c r="R87" s="41" t="s">
        <v>0</v>
      </c>
    </row>
    <row r="88" spans="1:18" ht="15" thickBot="1">
      <c r="A88" s="59" t="s">
        <v>544</v>
      </c>
      <c r="B88" s="60" t="s">
        <v>657</v>
      </c>
      <c r="C88" s="60" t="s">
        <v>246</v>
      </c>
      <c r="D88" s="60" t="s">
        <v>0</v>
      </c>
      <c r="E88" s="60" t="s">
        <v>0</v>
      </c>
      <c r="F88" s="135" t="s">
        <v>0</v>
      </c>
      <c r="G88" s="135" t="s">
        <v>0</v>
      </c>
      <c r="H88" s="135"/>
      <c r="I88" s="135" t="s">
        <v>656</v>
      </c>
      <c r="J88" s="61"/>
      <c r="K88" s="138"/>
      <c r="L88" s="138"/>
      <c r="M88" s="138"/>
      <c r="N88" s="131"/>
      <c r="O88" s="131"/>
      <c r="P88" s="131">
        <v>136363.6</v>
      </c>
      <c r="Q88" s="132">
        <f>N88+O88+P88</f>
        <v>136363.6</v>
      </c>
      <c r="R88" s="41" t="s">
        <v>0</v>
      </c>
    </row>
  </sheetData>
  <sheetProtection/>
  <mergeCells count="4">
    <mergeCell ref="A1:Q1"/>
    <mergeCell ref="A3:Q3"/>
    <mergeCell ref="A4:Q4"/>
    <mergeCell ref="A5:Q5"/>
  </mergeCells>
  <printOptions horizontalCentered="1"/>
  <pageMargins left="0.5" right="0.25" top="0.75" bottom="0.75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"/>
  <sheetViews>
    <sheetView showZeros="0" zoomScalePageLayoutView="0" workbookViewId="0" topLeftCell="A1">
      <selection activeCell="A1" sqref="A1:K1"/>
    </sheetView>
  </sheetViews>
  <sheetFormatPr defaultColWidth="8.796875" defaultRowHeight="15"/>
  <cols>
    <col min="1" max="1" width="3.59765625" style="41" customWidth="1"/>
    <col min="2" max="2" width="7.59765625" style="41" customWidth="1"/>
    <col min="3" max="3" width="25.59765625" style="41" customWidth="1"/>
    <col min="4" max="4" width="4.69921875" style="41" customWidth="1"/>
    <col min="5" max="5" width="7.09765625" style="157" customWidth="1"/>
    <col min="6" max="8" width="6.09765625" style="126" customWidth="1"/>
    <col min="9" max="9" width="6.59765625" style="126" customWidth="1"/>
    <col min="10" max="10" width="60" style="41" hidden="1" customWidth="1"/>
    <col min="11" max="11" width="9.59765625" style="69" customWidth="1"/>
    <col min="12" max="16384" width="9" style="41" customWidth="1"/>
  </cols>
  <sheetData>
    <row r="1" spans="1:11" ht="21" customHeight="1">
      <c r="A1" s="195" t="s">
        <v>793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ht="14.25">
      <c r="A2" s="44"/>
      <c r="B2" s="44"/>
      <c r="C2" s="44"/>
      <c r="D2" s="44"/>
      <c r="E2" s="160"/>
      <c r="F2" s="161"/>
      <c r="G2" s="161"/>
      <c r="H2" s="161"/>
      <c r="I2" s="161"/>
      <c r="J2" s="44"/>
      <c r="K2" s="74"/>
    </row>
    <row r="3" spans="1:11" s="29" customFormat="1" ht="16.5" customHeight="1">
      <c r="A3" s="192" t="s">
        <v>735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</row>
    <row r="4" spans="1:11" s="29" customFormat="1" ht="16.5" customHeight="1">
      <c r="A4" s="192" t="s">
        <v>736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</row>
    <row r="5" spans="1:11" s="29" customFormat="1" ht="16.5" customHeight="1">
      <c r="A5" s="192" t="s">
        <v>737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</row>
    <row r="6" spans="1:11" ht="15" thickBot="1">
      <c r="A6" s="44"/>
      <c r="B6" s="44"/>
      <c r="C6" s="44"/>
      <c r="D6" s="44"/>
      <c r="E6" s="160"/>
      <c r="F6" s="161"/>
      <c r="G6" s="161"/>
      <c r="H6" s="161"/>
      <c r="I6" s="161"/>
      <c r="J6" s="44"/>
      <c r="K6" s="74"/>
    </row>
    <row r="7" spans="1:11" ht="45" customHeight="1">
      <c r="A7" s="151" t="s">
        <v>463</v>
      </c>
      <c r="B7" s="153" t="s">
        <v>748</v>
      </c>
      <c r="C7" s="152" t="s">
        <v>749</v>
      </c>
      <c r="D7" s="153" t="s">
        <v>758</v>
      </c>
      <c r="E7" s="162" t="s">
        <v>794</v>
      </c>
      <c r="F7" s="163" t="s">
        <v>795</v>
      </c>
      <c r="G7" s="163" t="s">
        <v>796</v>
      </c>
      <c r="H7" s="163" t="s">
        <v>797</v>
      </c>
      <c r="I7" s="163" t="s">
        <v>798</v>
      </c>
      <c r="J7" s="152" t="s">
        <v>799</v>
      </c>
      <c r="K7" s="164" t="s">
        <v>800</v>
      </c>
    </row>
    <row r="8" spans="1:11" ht="15" thickBot="1">
      <c r="A8" s="47" t="s">
        <v>0</v>
      </c>
      <c r="B8" s="48" t="s">
        <v>0</v>
      </c>
      <c r="C8" s="48" t="s">
        <v>0</v>
      </c>
      <c r="D8" s="48" t="s">
        <v>0</v>
      </c>
      <c r="E8" s="158" t="s">
        <v>0</v>
      </c>
      <c r="F8" s="127">
        <v>0</v>
      </c>
      <c r="G8" s="127">
        <v>0</v>
      </c>
      <c r="H8" s="127">
        <v>0</v>
      </c>
      <c r="I8" s="127">
        <v>0</v>
      </c>
      <c r="J8" s="48" t="s">
        <v>0</v>
      </c>
      <c r="K8" s="159"/>
    </row>
  </sheetData>
  <sheetProtection/>
  <mergeCells count="4">
    <mergeCell ref="A1:K1"/>
    <mergeCell ref="A3:K3"/>
    <mergeCell ref="A4:K4"/>
    <mergeCell ref="A5:K5"/>
  </mergeCells>
  <printOptions horizontalCentered="1"/>
  <pageMargins left="0.6" right="0.4" top="0.75" bottom="0.75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03"/>
  <sheetViews>
    <sheetView showZeros="0" zoomScalePageLayoutView="0" workbookViewId="0" topLeftCell="A1">
      <selection activeCell="A1" sqref="A1:F1"/>
    </sheetView>
  </sheetViews>
  <sheetFormatPr defaultColWidth="8.796875" defaultRowHeight="15"/>
  <cols>
    <col min="1" max="1" width="4.3984375" style="6" customWidth="1"/>
    <col min="2" max="2" width="32.69921875" style="6" customWidth="1"/>
    <col min="3" max="3" width="5.59765625" style="6" customWidth="1"/>
    <col min="4" max="4" width="12" style="165" customWidth="1"/>
    <col min="5" max="5" width="12.5" style="165" customWidth="1"/>
    <col min="6" max="6" width="15.59765625" style="165" customWidth="1"/>
    <col min="7" max="16384" width="9" style="6" customWidth="1"/>
  </cols>
  <sheetData>
    <row r="1" spans="1:6" ht="21">
      <c r="A1" s="195" t="s">
        <v>801</v>
      </c>
      <c r="B1" s="195"/>
      <c r="C1" s="195"/>
      <c r="D1" s="195"/>
      <c r="E1" s="195"/>
      <c r="F1" s="195"/>
    </row>
    <row r="2" spans="1:6" ht="15.75">
      <c r="A2" s="2"/>
      <c r="B2" s="2"/>
      <c r="C2" s="2"/>
      <c r="D2" s="5"/>
      <c r="E2" s="5"/>
      <c r="F2" s="5"/>
    </row>
    <row r="3" spans="1:6" s="29" customFormat="1" ht="16.5">
      <c r="A3" s="192" t="s">
        <v>735</v>
      </c>
      <c r="B3" s="192"/>
      <c r="C3" s="192"/>
      <c r="D3" s="192"/>
      <c r="E3" s="192"/>
      <c r="F3" s="192"/>
    </row>
    <row r="4" spans="1:6" s="29" customFormat="1" ht="16.5">
      <c r="A4" s="192" t="s">
        <v>736</v>
      </c>
      <c r="B4" s="192"/>
      <c r="C4" s="192"/>
      <c r="D4" s="192"/>
      <c r="E4" s="192"/>
      <c r="F4" s="192"/>
    </row>
    <row r="5" spans="1:6" s="29" customFormat="1" ht="16.5">
      <c r="A5" s="192" t="s">
        <v>737</v>
      </c>
      <c r="B5" s="192"/>
      <c r="C5" s="192"/>
      <c r="D5" s="192"/>
      <c r="E5" s="192"/>
      <c r="F5" s="192"/>
    </row>
    <row r="6" spans="1:6" ht="16.5" thickBot="1">
      <c r="A6" s="2"/>
      <c r="B6" s="2"/>
      <c r="C6" s="2"/>
      <c r="D6" s="5"/>
      <c r="E6" s="5"/>
      <c r="F6" s="5"/>
    </row>
    <row r="7" spans="1:6" ht="45" customHeight="1">
      <c r="A7" s="24" t="s">
        <v>463</v>
      </c>
      <c r="B7" s="25" t="s">
        <v>802</v>
      </c>
      <c r="C7" s="26" t="s">
        <v>758</v>
      </c>
      <c r="D7" s="174" t="s">
        <v>803</v>
      </c>
      <c r="E7" s="174" t="s">
        <v>747</v>
      </c>
      <c r="F7" s="175" t="s">
        <v>745</v>
      </c>
    </row>
    <row r="8" spans="1:6" ht="15.75">
      <c r="A8" s="33" t="s">
        <v>0</v>
      </c>
      <c r="B8" s="34" t="s">
        <v>1</v>
      </c>
      <c r="C8" s="34" t="s">
        <v>0</v>
      </c>
      <c r="D8" s="172">
        <f>SUMIF('Phan tich KL VL,NC,M'!C$8:C$403,B8,'Phan tich KL VL,NC,M'!G$8:G$403)</f>
        <v>0</v>
      </c>
      <c r="E8" s="172">
        <v>0</v>
      </c>
      <c r="F8" s="173"/>
    </row>
    <row r="9" spans="1:6" ht="15">
      <c r="A9" s="8" t="s">
        <v>0</v>
      </c>
      <c r="B9" s="9" t="s">
        <v>0</v>
      </c>
      <c r="C9" s="9" t="s">
        <v>0</v>
      </c>
      <c r="D9" s="168">
        <f>SUMIF('Phan tich KL VL,NC,M'!C$8:C$403,B9,'Phan tich KL VL,NC,M'!G$8:G$403)</f>
        <v>0</v>
      </c>
      <c r="E9" s="168">
        <v>0</v>
      </c>
      <c r="F9" s="169"/>
    </row>
    <row r="10" spans="1:6" ht="15.75">
      <c r="A10" s="30" t="s">
        <v>0</v>
      </c>
      <c r="B10" s="31" t="s">
        <v>731</v>
      </c>
      <c r="C10" s="31" t="s">
        <v>0</v>
      </c>
      <c r="D10" s="166">
        <f>SUMIF('Phan tich KL VL,NC,M'!C$8:C$403,B10,'Phan tich KL VL,NC,M'!G$8:G$403)</f>
        <v>0</v>
      </c>
      <c r="E10" s="166">
        <v>0</v>
      </c>
      <c r="F10" s="167">
        <f>SUM(F11:F53)</f>
        <v>376757718.0655279</v>
      </c>
    </row>
    <row r="11" spans="1:6" ht="15">
      <c r="A11" s="8" t="s">
        <v>0</v>
      </c>
      <c r="B11" s="9" t="s">
        <v>0</v>
      </c>
      <c r="C11" s="9" t="s">
        <v>0</v>
      </c>
      <c r="D11" s="168">
        <f>SUMIF('Phan tich KL VL,NC,M'!C$8:C$403,B11,'Phan tich KL VL,NC,M'!G$8:G$403)</f>
        <v>0</v>
      </c>
      <c r="E11" s="168">
        <v>0</v>
      </c>
      <c r="F11" s="169"/>
    </row>
    <row r="12" spans="1:6" ht="15">
      <c r="A12" s="8" t="s">
        <v>605</v>
      </c>
      <c r="B12" s="9" t="s">
        <v>609</v>
      </c>
      <c r="C12" s="9" t="s">
        <v>605</v>
      </c>
      <c r="D12" s="168">
        <f>100</f>
        <v>100</v>
      </c>
      <c r="E12" s="168">
        <v>29545.28353</v>
      </c>
      <c r="F12" s="169">
        <f aca="true" t="shared" si="0" ref="F12:F52">D12*E12</f>
        <v>2954528.353</v>
      </c>
    </row>
    <row r="13" spans="1:6" ht="15">
      <c r="A13" s="8" t="s">
        <v>2</v>
      </c>
      <c r="B13" s="9" t="s">
        <v>59</v>
      </c>
      <c r="C13" s="9" t="s">
        <v>60</v>
      </c>
      <c r="D13" s="168">
        <f>SUMIF('Phan tich KL VL,NC,M'!C$8:C$403,B13,'Phan tich KL VL,NC,M'!G$8:G$403)</f>
        <v>923.904</v>
      </c>
      <c r="E13" s="168">
        <f>'Gia VL'!Q9</f>
        <v>5008.7</v>
      </c>
      <c r="F13" s="169">
        <f t="shared" si="0"/>
        <v>4627557.9648</v>
      </c>
    </row>
    <row r="14" spans="1:6" ht="15">
      <c r="A14" s="8" t="s">
        <v>11</v>
      </c>
      <c r="B14" s="9" t="s">
        <v>89</v>
      </c>
      <c r="C14" s="9" t="s">
        <v>22</v>
      </c>
      <c r="D14" s="168">
        <f>SUMIF('Phan tich KL VL,NC,M'!C$8:C$403,B14,'Phan tich KL VL,NC,M'!G$8:G$403)</f>
        <v>9.1655672</v>
      </c>
      <c r="E14" s="168">
        <f>'Gia VL'!Q13</f>
        <v>109090.9</v>
      </c>
      <c r="F14" s="169">
        <f t="shared" si="0"/>
        <v>999879.9748584799</v>
      </c>
    </row>
    <row r="15" spans="1:6" ht="15">
      <c r="A15" s="8" t="s">
        <v>16</v>
      </c>
      <c r="B15" s="9" t="s">
        <v>61</v>
      </c>
      <c r="C15" s="9" t="s">
        <v>22</v>
      </c>
      <c r="D15" s="168">
        <f>SUMIF('Phan tich KL VL,NC,M'!C$8:C$403,B15,'Phan tich KL VL,NC,M'!G$8:G$403)</f>
        <v>18.9032868898</v>
      </c>
      <c r="E15" s="168">
        <f>'Gia VL'!Q15</f>
        <v>359127.7</v>
      </c>
      <c r="F15" s="169">
        <f t="shared" si="0"/>
        <v>6788693.943174028</v>
      </c>
    </row>
    <row r="16" spans="1:6" ht="15">
      <c r="A16" s="8" t="s">
        <v>28</v>
      </c>
      <c r="B16" s="9" t="s">
        <v>21</v>
      </c>
      <c r="C16" s="9" t="s">
        <v>22</v>
      </c>
      <c r="D16" s="168">
        <f>SUMIF('Phan tich KL VL,NC,M'!C$8:C$403,B16,'Phan tich KL VL,NC,M'!G$8:G$403)</f>
        <v>25.069941098</v>
      </c>
      <c r="E16" s="168">
        <f>'Gia VL'!Q18</f>
        <v>379127.7</v>
      </c>
      <c r="F16" s="169">
        <f t="shared" si="0"/>
        <v>9504709.107620215</v>
      </c>
    </row>
    <row r="17" spans="1:6" ht="15">
      <c r="A17" s="8" t="s">
        <v>35</v>
      </c>
      <c r="B17" s="9" t="s">
        <v>251</v>
      </c>
      <c r="C17" s="9" t="s">
        <v>252</v>
      </c>
      <c r="D17" s="168">
        <f>SUMIF('Phan tich KL VL,NC,M'!C$8:C$403,B17,'Phan tich KL VL,NC,M'!G$8:G$403)</f>
        <v>40.4</v>
      </c>
      <c r="E17" s="168">
        <f>'Gia VL'!Q22</f>
        <v>19224.6</v>
      </c>
      <c r="F17" s="169">
        <f t="shared" si="0"/>
        <v>776673.84</v>
      </c>
    </row>
    <row r="18" spans="1:6" ht="15">
      <c r="A18" s="8" t="s">
        <v>45</v>
      </c>
      <c r="B18" s="9" t="s">
        <v>256</v>
      </c>
      <c r="C18" s="9" t="s">
        <v>252</v>
      </c>
      <c r="D18" s="168">
        <f>SUMIF('Phan tich KL VL,NC,M'!C$8:C$403,B18,'Phan tich KL VL,NC,M'!G$8:G$403)</f>
        <v>30.3</v>
      </c>
      <c r="E18" s="168">
        <f>'Gia VL'!Q23</f>
        <v>28180</v>
      </c>
      <c r="F18" s="169">
        <f t="shared" si="0"/>
        <v>853854</v>
      </c>
    </row>
    <row r="19" spans="1:6" ht="15">
      <c r="A19" s="8" t="s">
        <v>48</v>
      </c>
      <c r="B19" s="9" t="s">
        <v>76</v>
      </c>
      <c r="C19" s="9" t="s">
        <v>20</v>
      </c>
      <c r="D19" s="168">
        <f>SUMIF('Phan tich KL VL,NC,M'!C$8:C$403,B19,'Phan tich KL VL,NC,M'!G$8:G$403)</f>
        <v>64.8825088</v>
      </c>
      <c r="E19" s="168">
        <f>ROUND('Gia VL'!Q24/1000,5)</f>
        <v>16350</v>
      </c>
      <c r="F19" s="169">
        <f t="shared" si="0"/>
        <v>1060829.0188799999</v>
      </c>
    </row>
    <row r="20" spans="1:6" ht="15">
      <c r="A20" s="8" t="s">
        <v>52</v>
      </c>
      <c r="B20" s="9" t="s">
        <v>227</v>
      </c>
      <c r="C20" s="9" t="s">
        <v>20</v>
      </c>
      <c r="D20" s="168">
        <f>SUMIF('Phan tich KL VL,NC,M'!C$8:C$403,B20,'Phan tich KL VL,NC,M'!G$8:G$403)</f>
        <v>20.358975</v>
      </c>
      <c r="E20" s="168">
        <f>ROUND('Gia VL'!Q25/1000,5)</f>
        <v>20454.5455</v>
      </c>
      <c r="F20" s="169">
        <f t="shared" si="0"/>
        <v>416433.5804708625</v>
      </c>
    </row>
    <row r="21" spans="1:6" ht="15">
      <c r="A21" s="8" t="s">
        <v>55</v>
      </c>
      <c r="B21" s="9" t="s">
        <v>96</v>
      </c>
      <c r="C21" s="9" t="s">
        <v>97</v>
      </c>
      <c r="D21" s="168">
        <f>SUMIF('Phan tich KL VL,NC,M'!C$8:C$403,B21,'Phan tich KL VL,NC,M'!G$8:G$403)</f>
        <v>18.412300000000002</v>
      </c>
      <c r="E21" s="168">
        <f>'Gia VL'!Q26</f>
        <v>100000</v>
      </c>
      <c r="F21" s="169">
        <f t="shared" si="0"/>
        <v>1841230.0000000002</v>
      </c>
    </row>
    <row r="22" spans="1:6" ht="15">
      <c r="A22" s="8" t="s">
        <v>63</v>
      </c>
      <c r="B22" s="9" t="s">
        <v>177</v>
      </c>
      <c r="C22" s="9" t="s">
        <v>97</v>
      </c>
      <c r="D22" s="168">
        <f>SUMIF('Phan tich KL VL,NC,M'!C$8:C$403,B22,'Phan tich KL VL,NC,M'!G$8:G$403)</f>
        <v>76.1944</v>
      </c>
      <c r="E22" s="168">
        <f>'Gia VL'!Q27</f>
        <v>118181.8</v>
      </c>
      <c r="F22" s="169">
        <f t="shared" si="0"/>
        <v>9004791.34192</v>
      </c>
    </row>
    <row r="23" spans="1:6" ht="15">
      <c r="A23" s="8" t="s">
        <v>67</v>
      </c>
      <c r="B23" s="9" t="s">
        <v>185</v>
      </c>
      <c r="C23" s="9" t="s">
        <v>60</v>
      </c>
      <c r="D23" s="168">
        <f>SUMIF('Phan tich KL VL,NC,M'!C$8:C$403,B23,'Phan tich KL VL,NC,M'!G$8:G$403)</f>
        <v>2611.4399999999996</v>
      </c>
      <c r="E23" s="168">
        <f>'Gia VL'!Q28</f>
        <v>1489.5</v>
      </c>
      <c r="F23" s="169">
        <f t="shared" si="0"/>
        <v>3889739.8799999994</v>
      </c>
    </row>
    <row r="24" spans="1:6" ht="15">
      <c r="A24" s="8" t="s">
        <v>70</v>
      </c>
      <c r="B24" s="9" t="s">
        <v>42</v>
      </c>
      <c r="C24" s="9" t="s">
        <v>22</v>
      </c>
      <c r="D24" s="168">
        <f>SUMIF('Phan tich KL VL,NC,M'!C$8:C$403,B24,'Phan tich KL VL,NC,M'!G$8:G$403)</f>
        <v>3.010336272</v>
      </c>
      <c r="E24" s="168">
        <f>'Gia VL'!Q34</f>
        <v>4110579.4</v>
      </c>
      <c r="F24" s="169">
        <f t="shared" si="0"/>
        <v>12374226.266755996</v>
      </c>
    </row>
    <row r="25" spans="1:6" ht="15">
      <c r="A25" s="8" t="s">
        <v>78</v>
      </c>
      <c r="B25" s="9" t="s">
        <v>40</v>
      </c>
      <c r="C25" s="9" t="s">
        <v>22</v>
      </c>
      <c r="D25" s="168">
        <f>SUMIF('Phan tich KL VL,NC,M'!C$8:C$403,B25,'Phan tich KL VL,NC,M'!G$8:G$403)</f>
        <v>3.5771484059999996</v>
      </c>
      <c r="E25" s="168">
        <f>'Gia VL'!Q36</f>
        <v>4110579.4</v>
      </c>
      <c r="F25" s="169">
        <f t="shared" si="0"/>
        <v>14704152.548446434</v>
      </c>
    </row>
    <row r="26" spans="1:6" ht="15">
      <c r="A26" s="8" t="s">
        <v>84</v>
      </c>
      <c r="B26" s="9" t="s">
        <v>232</v>
      </c>
      <c r="C26" s="9" t="s">
        <v>22</v>
      </c>
      <c r="D26" s="168">
        <f>SUMIF('Phan tich KL VL,NC,M'!C$8:C$403,B26,'Phan tich KL VL,NC,M'!G$8:G$403)</f>
        <v>0.92064</v>
      </c>
      <c r="E26" s="168">
        <f>'Gia VL'!Q38</f>
        <v>27292397.57</v>
      </c>
      <c r="F26" s="169">
        <f t="shared" si="0"/>
        <v>25126472.8988448</v>
      </c>
    </row>
    <row r="27" spans="1:6" ht="15">
      <c r="A27" s="8" t="s">
        <v>86</v>
      </c>
      <c r="B27" s="9" t="s">
        <v>41</v>
      </c>
      <c r="C27" s="9" t="s">
        <v>22</v>
      </c>
      <c r="D27" s="168">
        <f>SUMIF('Phan tich KL VL,NC,M'!C$8:C$403,B27,'Phan tich KL VL,NC,M'!G$8:G$403)</f>
        <v>0.6419292959999999</v>
      </c>
      <c r="E27" s="168">
        <f>'Gia VL'!Q42</f>
        <v>4110579.4</v>
      </c>
      <c r="F27" s="169">
        <f t="shared" si="0"/>
        <v>2638701.340394102</v>
      </c>
    </row>
    <row r="28" spans="1:6" ht="15">
      <c r="A28" s="8" t="s">
        <v>90</v>
      </c>
      <c r="B28" s="9" t="s">
        <v>200</v>
      </c>
      <c r="C28" s="9" t="s">
        <v>199</v>
      </c>
      <c r="D28" s="168">
        <f>SUMIF('Phan tich KL VL,NC,M'!C$8:C$403,B28,'Phan tich KL VL,NC,M'!G$8:G$403)</f>
        <v>24</v>
      </c>
      <c r="E28" s="168">
        <f>'Gia VL'!Q44</f>
        <v>1863636.36</v>
      </c>
      <c r="F28" s="169">
        <f t="shared" si="0"/>
        <v>44727272.64</v>
      </c>
    </row>
    <row r="29" spans="1:6" ht="15">
      <c r="A29" s="8" t="s">
        <v>93</v>
      </c>
      <c r="B29" s="9" t="s">
        <v>205</v>
      </c>
      <c r="C29" s="9" t="s">
        <v>204</v>
      </c>
      <c r="D29" s="168">
        <f>SUMIF('Phan tich KL VL,NC,M'!C$8:C$403,B29,'Phan tich KL VL,NC,M'!G$8:G$403)</f>
        <v>2</v>
      </c>
      <c r="E29" s="168">
        <f>'Gia VL'!Q45</f>
        <v>863636.36</v>
      </c>
      <c r="F29" s="169">
        <f t="shared" si="0"/>
        <v>1727272.72</v>
      </c>
    </row>
    <row r="30" spans="1:6" ht="15">
      <c r="A30" s="8" t="s">
        <v>101</v>
      </c>
      <c r="B30" s="9" t="s">
        <v>181</v>
      </c>
      <c r="C30" s="9" t="s">
        <v>60</v>
      </c>
      <c r="D30" s="168">
        <f>SUMIF('Phan tich KL VL,NC,M'!C$8:C$403,B30,'Phan tich KL VL,NC,M'!G$8:G$403)</f>
        <v>12119.6106</v>
      </c>
      <c r="E30" s="168">
        <f>'Gia VL'!Q46</f>
        <v>6545.45</v>
      </c>
      <c r="F30" s="169">
        <f t="shared" si="0"/>
        <v>79328305.20177</v>
      </c>
    </row>
    <row r="31" spans="1:6" ht="15">
      <c r="A31" s="8" t="s">
        <v>107</v>
      </c>
      <c r="B31" s="9" t="s">
        <v>24</v>
      </c>
      <c r="C31" s="9" t="s">
        <v>22</v>
      </c>
      <c r="D31" s="168">
        <f>SUMIF('Phan tich KL VL,NC,M'!C$8:C$403,B31,'Phan tich KL VL,NC,M'!G$8:G$403)</f>
        <v>13.3230881296</v>
      </c>
      <c r="E31" s="168">
        <f>'Gia VL'!Q47</f>
        <v>9545.45</v>
      </c>
      <c r="F31" s="169">
        <f t="shared" si="0"/>
        <v>127174.87158669034</v>
      </c>
    </row>
    <row r="32" spans="1:6" ht="15">
      <c r="A32" s="8" t="s">
        <v>110</v>
      </c>
      <c r="B32" s="9" t="s">
        <v>82</v>
      </c>
      <c r="C32" s="9" t="s">
        <v>20</v>
      </c>
      <c r="D32" s="168">
        <f>SUMIF('Phan tich KL VL,NC,M'!C$8:C$403,B32,'Phan tich KL VL,NC,M'!G$8:G$403)</f>
        <v>15.03508569</v>
      </c>
      <c r="E32" s="168">
        <f>ROUND('Gia VL'!Q50/1000,5)</f>
        <v>18181.8182</v>
      </c>
      <c r="F32" s="169">
        <f t="shared" si="0"/>
        <v>273365.1946370016</v>
      </c>
    </row>
    <row r="33" spans="1:6" ht="15">
      <c r="A33" s="8" t="s">
        <v>113</v>
      </c>
      <c r="B33" s="9" t="s">
        <v>221</v>
      </c>
      <c r="C33" s="9" t="s">
        <v>216</v>
      </c>
      <c r="D33" s="168">
        <f>SUMIF('Phan tich KL VL,NC,M'!C$8:C$403,B33,'Phan tich KL VL,NC,M'!G$8:G$403)</f>
        <v>11.8023</v>
      </c>
      <c r="E33" s="168">
        <f>'Gia VL'!Q52</f>
        <v>149394</v>
      </c>
      <c r="F33" s="169">
        <f t="shared" si="0"/>
        <v>1763192.8062</v>
      </c>
    </row>
    <row r="34" spans="1:6" ht="15">
      <c r="A34" s="8" t="s">
        <v>118</v>
      </c>
      <c r="B34" s="9" t="s">
        <v>215</v>
      </c>
      <c r="C34" s="9" t="s">
        <v>216</v>
      </c>
      <c r="D34" s="168">
        <f>SUMIF('Phan tich KL VL,NC,M'!C$8:C$403,B34,'Phan tich KL VL,NC,M'!G$8:G$403)</f>
        <v>41.732355</v>
      </c>
      <c r="E34" s="168">
        <f>'Gia VL'!Q53</f>
        <v>95960</v>
      </c>
      <c r="F34" s="169">
        <f t="shared" si="0"/>
        <v>4004636.7857999997</v>
      </c>
    </row>
    <row r="35" spans="1:6" ht="15">
      <c r="A35" s="8" t="s">
        <v>122</v>
      </c>
      <c r="B35" s="9" t="s">
        <v>222</v>
      </c>
      <c r="C35" s="9" t="s">
        <v>216</v>
      </c>
      <c r="D35" s="168">
        <f>SUMIF('Phan tich KL VL,NC,M'!C$8:C$403,B35,'Phan tich KL VL,NC,M'!G$8:G$403)</f>
        <v>18.647634</v>
      </c>
      <c r="E35" s="168">
        <f>'Gia VL'!Q54</f>
        <v>96212</v>
      </c>
      <c r="F35" s="169">
        <f t="shared" si="0"/>
        <v>1794126.162408</v>
      </c>
    </row>
    <row r="36" spans="1:6" ht="15">
      <c r="A36" s="8" t="s">
        <v>125</v>
      </c>
      <c r="B36" s="9" t="s">
        <v>217</v>
      </c>
      <c r="C36" s="9" t="s">
        <v>216</v>
      </c>
      <c r="D36" s="168">
        <f>SUMIF('Phan tich KL VL,NC,M'!C$8:C$403,B36,'Phan tich KL VL,NC,M'!G$8:G$403)</f>
        <v>66.502527</v>
      </c>
      <c r="E36" s="168">
        <f>'Gia VL'!Q55</f>
        <v>78939</v>
      </c>
      <c r="F36" s="169">
        <f t="shared" si="0"/>
        <v>5249642.978853</v>
      </c>
    </row>
    <row r="37" spans="1:6" ht="15">
      <c r="A37" s="8" t="s">
        <v>127</v>
      </c>
      <c r="B37" s="9" t="s">
        <v>194</v>
      </c>
      <c r="C37" s="9" t="s">
        <v>20</v>
      </c>
      <c r="D37" s="168">
        <f>SUMIF('Phan tich KL VL,NC,M'!C$8:C$403,B37,'Phan tich KL VL,NC,M'!G$8:G$403)</f>
        <v>1.5</v>
      </c>
      <c r="E37" s="168">
        <f>ROUND('Gia VL'!Q56/1000,5)</f>
        <v>16350</v>
      </c>
      <c r="F37" s="169">
        <f t="shared" si="0"/>
        <v>24525</v>
      </c>
    </row>
    <row r="38" spans="1:6" ht="15">
      <c r="A38" s="8" t="s">
        <v>129</v>
      </c>
      <c r="B38" s="9" t="s">
        <v>192</v>
      </c>
      <c r="C38" s="9" t="s">
        <v>20</v>
      </c>
      <c r="D38" s="168">
        <f>SUMIF('Phan tich KL VL,NC,M'!C$8:C$403,B38,'Phan tich KL VL,NC,M'!G$8:G$403)</f>
        <v>40</v>
      </c>
      <c r="E38" s="168">
        <f>ROUND('Gia VL'!Q57/1000,5)</f>
        <v>16350</v>
      </c>
      <c r="F38" s="169">
        <f t="shared" si="0"/>
        <v>654000</v>
      </c>
    </row>
    <row r="39" spans="1:6" ht="15">
      <c r="A39" s="8" t="s">
        <v>132</v>
      </c>
      <c r="B39" s="9" t="s">
        <v>228</v>
      </c>
      <c r="C39" s="9" t="s">
        <v>20</v>
      </c>
      <c r="D39" s="168">
        <f>SUMIF('Phan tich KL VL,NC,M'!C$8:C$403,B39,'Phan tich KL VL,NC,M'!G$8:G$403)</f>
        <v>6.42915</v>
      </c>
      <c r="E39" s="168">
        <f>ROUND('Gia VL'!Q58/1000,5)</f>
        <v>20454.5455</v>
      </c>
      <c r="F39" s="169">
        <f t="shared" si="0"/>
        <v>131505.341201325</v>
      </c>
    </row>
    <row r="40" spans="1:6" ht="15">
      <c r="A40" s="8" t="s">
        <v>136</v>
      </c>
      <c r="B40" s="9" t="s">
        <v>75</v>
      </c>
      <c r="C40" s="9" t="s">
        <v>20</v>
      </c>
      <c r="D40" s="168">
        <f>SUMIF('Phan tich KL VL,NC,M'!C$8:C$403,B40,'Phan tich KL VL,NC,M'!G$8:G$403)</f>
        <v>2204.8896</v>
      </c>
      <c r="E40" s="168">
        <f>ROUND('Gia VL'!Q59/1000,5)</f>
        <v>16395.8974</v>
      </c>
      <c r="F40" s="169">
        <f t="shared" si="0"/>
        <v>36151143.65992704</v>
      </c>
    </row>
    <row r="41" spans="1:6" ht="15">
      <c r="A41" s="8" t="s">
        <v>139</v>
      </c>
      <c r="B41" s="9" t="s">
        <v>81</v>
      </c>
      <c r="C41" s="9" t="s">
        <v>20</v>
      </c>
      <c r="D41" s="168">
        <f>SUMIF('Phan tich KL VL,NC,M'!C$8:C$403,B41,'Phan tich KL VL,NC,M'!G$8:G$403)</f>
        <v>3094.3347750000003</v>
      </c>
      <c r="E41" s="168">
        <f>ROUND('Gia VL'!Q61/1000,5)</f>
        <v>16145.8974</v>
      </c>
      <c r="F41" s="169">
        <f t="shared" si="0"/>
        <v>49960811.798402086</v>
      </c>
    </row>
    <row r="42" spans="1:6" ht="15">
      <c r="A42" s="8" t="s">
        <v>142</v>
      </c>
      <c r="B42" s="9" t="s">
        <v>166</v>
      </c>
      <c r="C42" s="9" t="s">
        <v>20</v>
      </c>
      <c r="D42" s="168">
        <f>SUMIF('Phan tich KL VL,NC,M'!C$8:C$403,B42,'Phan tich KL VL,NC,M'!G$8:G$403)</f>
        <v>165.20940000000002</v>
      </c>
      <c r="E42" s="168">
        <f>ROUND('Gia VL'!Q63/1000,5)</f>
        <v>16145.8974</v>
      </c>
      <c r="F42" s="169">
        <f t="shared" si="0"/>
        <v>2667454.02191556</v>
      </c>
    </row>
    <row r="43" spans="1:6" ht="15">
      <c r="A43" s="8" t="s">
        <v>145</v>
      </c>
      <c r="B43" s="9" t="s">
        <v>106</v>
      </c>
      <c r="C43" s="9" t="s">
        <v>20</v>
      </c>
      <c r="D43" s="168">
        <f>SUMIF('Phan tich KL VL,NC,M'!C$8:C$403,B43,'Phan tich KL VL,NC,M'!G$8:G$403)</f>
        <v>1802.084328</v>
      </c>
      <c r="E43" s="168">
        <f>ROUND('Gia VL'!Q65/1000,5)</f>
        <v>1701.3145</v>
      </c>
      <c r="F43" s="169">
        <f t="shared" si="0"/>
        <v>3065912.1974491556</v>
      </c>
    </row>
    <row r="44" spans="1:6" ht="15">
      <c r="A44" s="8" t="s">
        <v>148</v>
      </c>
      <c r="B44" s="9" t="s">
        <v>19</v>
      </c>
      <c r="C44" s="9" t="s">
        <v>20</v>
      </c>
      <c r="D44" s="168">
        <f>SUMIF('Phan tich KL VL,NC,M'!C$8:C$403,B44,'Phan tich KL VL,NC,M'!G$8:G$403)</f>
        <v>2045.9001000000003</v>
      </c>
      <c r="E44" s="168">
        <f>ROUND('Gia VL'!Q67/1000,5)</f>
        <v>1637.6775</v>
      </c>
      <c r="F44" s="169">
        <f t="shared" si="0"/>
        <v>3350524.5610177503</v>
      </c>
    </row>
    <row r="45" spans="1:6" ht="15">
      <c r="A45" s="8" t="s">
        <v>152</v>
      </c>
      <c r="B45" s="9" t="s">
        <v>32</v>
      </c>
      <c r="C45" s="9" t="s">
        <v>20</v>
      </c>
      <c r="D45" s="168">
        <f>SUMIF('Phan tich KL VL,NC,M'!C$8:C$403,B45,'Phan tich KL VL,NC,M'!G$8:G$403)</f>
        <v>14881.815671800003</v>
      </c>
      <c r="E45" s="168">
        <f>ROUND('Gia VL'!Q69/1000,5)</f>
        <v>1701.3145</v>
      </c>
      <c r="F45" s="169">
        <f t="shared" si="0"/>
        <v>25318648.788760584</v>
      </c>
    </row>
    <row r="46" spans="1:6" ht="15">
      <c r="A46" s="8" t="s">
        <v>156</v>
      </c>
      <c r="B46" s="9" t="s">
        <v>98</v>
      </c>
      <c r="C46" s="9" t="s">
        <v>20</v>
      </c>
      <c r="D46" s="168">
        <f>SUMIF('Phan tich KL VL,NC,M'!C$8:C$403,B46,'Phan tich KL VL,NC,M'!G$8:G$403)</f>
        <v>15.1695</v>
      </c>
      <c r="E46" s="168">
        <f>ROUND('Gia VL'!Q71/1000,5)</f>
        <v>4545</v>
      </c>
      <c r="F46" s="169">
        <f t="shared" si="0"/>
        <v>68945.3775</v>
      </c>
    </row>
    <row r="47" spans="1:6" ht="15">
      <c r="A47" s="8" t="s">
        <v>160</v>
      </c>
      <c r="B47" s="9" t="s">
        <v>43</v>
      </c>
      <c r="C47" s="9" t="s">
        <v>20</v>
      </c>
      <c r="D47" s="168">
        <f>SUMIF('Phan tich KL VL,NC,M'!C$8:C$403,B47,'Phan tich KL VL,NC,M'!G$8:G$403)</f>
        <v>54.5393526</v>
      </c>
      <c r="E47" s="168">
        <f>ROUND('Gia VL'!Q73/1000,5)</f>
        <v>16350</v>
      </c>
      <c r="F47" s="169">
        <f t="shared" si="0"/>
        <v>891718.41501</v>
      </c>
    </row>
    <row r="48" spans="1:6" ht="15">
      <c r="A48" s="8" t="s">
        <v>163</v>
      </c>
      <c r="B48" s="9" t="s">
        <v>33</v>
      </c>
      <c r="C48" s="9" t="s">
        <v>22</v>
      </c>
      <c r="D48" s="168">
        <f>SUMIF('Phan tich KL VL,NC,M'!C$8:C$403,B48,'Phan tich KL VL,NC,M'!G$8:G$403)</f>
        <v>32.785474356</v>
      </c>
      <c r="E48" s="168">
        <f>'Gia VL'!Q75</f>
        <v>312527.3</v>
      </c>
      <c r="F48" s="169">
        <f t="shared" si="0"/>
        <v>10246355.77969992</v>
      </c>
    </row>
    <row r="49" spans="1:6" ht="15">
      <c r="A49" s="8" t="s">
        <v>167</v>
      </c>
      <c r="B49" s="9" t="s">
        <v>23</v>
      </c>
      <c r="C49" s="9" t="s">
        <v>22</v>
      </c>
      <c r="D49" s="168">
        <f>SUMIF('Phan tich KL VL,NC,M'!C$8:C$403,B49,'Phan tich KL VL,NC,M'!G$8:G$403)</f>
        <v>8.3838522</v>
      </c>
      <c r="E49" s="168">
        <f>'Gia VL'!Q81</f>
        <v>248890.90000000002</v>
      </c>
      <c r="F49" s="169">
        <f t="shared" si="0"/>
        <v>2086664.51952498</v>
      </c>
    </row>
    <row r="50" spans="1:6" ht="15">
      <c r="A50" s="8" t="s">
        <v>170</v>
      </c>
      <c r="B50" s="9" t="s">
        <v>240</v>
      </c>
      <c r="C50" s="9" t="s">
        <v>97</v>
      </c>
      <c r="D50" s="168">
        <f>SUMIF('Phan tich KL VL,NC,M'!C$8:C$403,B50,'Phan tich KL VL,NC,M'!G$8:G$403)</f>
        <v>12.561</v>
      </c>
      <c r="E50" s="168">
        <f>'Gia VL'!Q85</f>
        <v>227272.7</v>
      </c>
      <c r="F50" s="169">
        <f t="shared" si="0"/>
        <v>2854772.3847000003</v>
      </c>
    </row>
    <row r="51" spans="1:6" ht="15">
      <c r="A51" s="8" t="s">
        <v>174</v>
      </c>
      <c r="B51" s="9" t="s">
        <v>209</v>
      </c>
      <c r="C51" s="9" t="s">
        <v>204</v>
      </c>
      <c r="D51" s="168">
        <f>SUMIF('Phan tich KL VL,NC,M'!C$8:C$403,B51,'Phan tich KL VL,NC,M'!G$8:G$403)</f>
        <v>12</v>
      </c>
      <c r="E51" s="168">
        <f>'Gia VL'!Q86</f>
        <v>181818.2</v>
      </c>
      <c r="F51" s="169">
        <f t="shared" si="0"/>
        <v>2181818.4000000004</v>
      </c>
    </row>
    <row r="52" spans="1:6" ht="15">
      <c r="A52" s="8" t="s">
        <v>178</v>
      </c>
      <c r="B52" s="9" t="s">
        <v>245</v>
      </c>
      <c r="C52" s="9" t="s">
        <v>246</v>
      </c>
      <c r="D52" s="168">
        <f>SUMIF('Phan tich KL VL,NC,M'!C$8:C$403,B52,'Phan tich KL VL,NC,M'!G$8:G$403)</f>
        <v>4</v>
      </c>
      <c r="E52" s="168">
        <f>'Gia VL'!Q88</f>
        <v>136363.6</v>
      </c>
      <c r="F52" s="169">
        <f t="shared" si="0"/>
        <v>545454.4</v>
      </c>
    </row>
    <row r="53" spans="1:6" ht="15">
      <c r="A53" s="8" t="s">
        <v>0</v>
      </c>
      <c r="B53" s="9" t="s">
        <v>0</v>
      </c>
      <c r="C53" s="9" t="s">
        <v>0</v>
      </c>
      <c r="D53" s="168">
        <f>SUMIF('Phan tich KL VL,NC,M'!C$8:C$403,B53,'Phan tich KL VL,NC,M'!G$8:G$403)</f>
        <v>0</v>
      </c>
      <c r="E53" s="168">
        <v>0</v>
      </c>
      <c r="F53" s="169"/>
    </row>
    <row r="54" spans="1:6" ht="15.75">
      <c r="A54" s="30" t="s">
        <v>0</v>
      </c>
      <c r="B54" s="31" t="s">
        <v>730</v>
      </c>
      <c r="C54" s="31" t="s">
        <v>0</v>
      </c>
      <c r="D54" s="166">
        <f>SUMIF('Phan tich KL VL,NC,M'!C$8:C$403,B54,'Phan tich KL VL,NC,M'!G$8:G$403)</f>
        <v>0</v>
      </c>
      <c r="E54" s="166">
        <v>0</v>
      </c>
      <c r="F54" s="167">
        <f>SUM(F55:F63)</f>
        <v>207706875.39925805</v>
      </c>
    </row>
    <row r="55" spans="1:6" ht="15">
      <c r="A55" s="8" t="s">
        <v>0</v>
      </c>
      <c r="B55" s="9" t="s">
        <v>0</v>
      </c>
      <c r="C55" s="9" t="s">
        <v>0</v>
      </c>
      <c r="D55" s="168">
        <f>SUMIF('Phan tich KL VL,NC,M'!C$8:C$403,B55,'Phan tich KL VL,NC,M'!G$8:G$403)</f>
        <v>0</v>
      </c>
      <c r="E55" s="168">
        <v>0</v>
      </c>
      <c r="F55" s="169"/>
    </row>
    <row r="56" spans="1:6" ht="15">
      <c r="A56" s="8" t="s">
        <v>182</v>
      </c>
      <c r="B56" s="9" t="s">
        <v>7</v>
      </c>
      <c r="C56" s="9" t="s">
        <v>8</v>
      </c>
      <c r="D56" s="168">
        <f>SUMIF('Phan tich KL VL,NC,M'!C$8:C$403,B56,'Phan tich KL VL,NC,M'!G$8:G$403)</f>
        <v>6.858664004000001</v>
      </c>
      <c r="E56" s="168">
        <f>'Gia NC,CM'!P8</f>
        <v>218559.2</v>
      </c>
      <c r="F56" s="169">
        <f aca="true" t="shared" si="1" ref="F56:F62">D56*E56</f>
        <v>1499024.1177830372</v>
      </c>
    </row>
    <row r="57" spans="1:6" ht="15">
      <c r="A57" s="8" t="s">
        <v>186</v>
      </c>
      <c r="B57" s="9" t="s">
        <v>25</v>
      </c>
      <c r="C57" s="9" t="s">
        <v>8</v>
      </c>
      <c r="D57" s="168">
        <f>SUMIF('Phan tich KL VL,NC,M'!C$8:C$403,B57,'Phan tich KL VL,NC,M'!G$8:G$403)</f>
        <v>19.183535</v>
      </c>
      <c r="E57" s="168">
        <f>'Gia NC,CM'!P9</f>
        <v>230630.3</v>
      </c>
      <c r="F57" s="169">
        <f t="shared" si="1"/>
        <v>4424304.4321105</v>
      </c>
    </row>
    <row r="58" spans="1:6" ht="15">
      <c r="A58" s="8" t="s">
        <v>188</v>
      </c>
      <c r="B58" s="9" t="s">
        <v>44</v>
      </c>
      <c r="C58" s="9" t="s">
        <v>8</v>
      </c>
      <c r="D58" s="168">
        <f>SUMIF('Phan tich KL VL,NC,M'!C$8:C$403,B58,'Phan tich KL VL,NC,M'!G$8:G$403)</f>
        <v>376.1526859</v>
      </c>
      <c r="E58" s="168">
        <f>'Gia NC,CM'!P11</f>
        <v>252200</v>
      </c>
      <c r="F58" s="169">
        <f t="shared" si="1"/>
        <v>94865707.38398</v>
      </c>
    </row>
    <row r="59" spans="1:6" ht="15">
      <c r="A59" s="8" t="s">
        <v>196</v>
      </c>
      <c r="B59" s="9" t="s">
        <v>99</v>
      </c>
      <c r="C59" s="9" t="s">
        <v>8</v>
      </c>
      <c r="D59" s="168">
        <f>SUMIF('Phan tich KL VL,NC,M'!C$8:C$403,B59,'Phan tich KL VL,NC,M'!G$8:G$403)</f>
        <v>224.49280000000002</v>
      </c>
      <c r="E59" s="168">
        <f>'Gia NC,CM'!P14</f>
        <v>273769.7</v>
      </c>
      <c r="F59" s="169">
        <f t="shared" si="1"/>
        <v>61459326.50816001</v>
      </c>
    </row>
    <row r="60" spans="1:6" ht="15">
      <c r="A60" s="8" t="s">
        <v>201</v>
      </c>
      <c r="B60" s="9" t="s">
        <v>195</v>
      </c>
      <c r="C60" s="9" t="s">
        <v>8</v>
      </c>
      <c r="D60" s="168">
        <f>SUMIF('Phan tich KL VL,NC,M'!C$8:C$403,B60,'Phan tich KL VL,NC,M'!G$8:G$403)</f>
        <v>50</v>
      </c>
      <c r="E60" s="168">
        <f>'Gia NC,CM'!P15</f>
        <v>305039.5</v>
      </c>
      <c r="F60" s="169">
        <f t="shared" si="1"/>
        <v>15251975</v>
      </c>
    </row>
    <row r="61" spans="1:6" ht="15">
      <c r="A61" s="8" t="s">
        <v>206</v>
      </c>
      <c r="B61" s="9" t="s">
        <v>173</v>
      </c>
      <c r="C61" s="9" t="s">
        <v>8</v>
      </c>
      <c r="D61" s="168">
        <f>SUMIF('Phan tich KL VL,NC,M'!C$8:C$403,B61,'Phan tich KL VL,NC,M'!G$8:G$403)</f>
        <v>16.848000000000003</v>
      </c>
      <c r="E61" s="168">
        <f>'Gia NC,CM'!P16</f>
        <v>321886.8</v>
      </c>
      <c r="F61" s="169">
        <f t="shared" si="1"/>
        <v>5423148.806400001</v>
      </c>
    </row>
    <row r="62" spans="1:6" ht="15">
      <c r="A62" s="8" t="s">
        <v>210</v>
      </c>
      <c r="B62" s="9" t="s">
        <v>236</v>
      </c>
      <c r="C62" s="9" t="s">
        <v>8</v>
      </c>
      <c r="D62" s="168">
        <f>SUMIF('Phan tich KL VL,NC,M'!C$8:C$403,B62,'Phan tich KL VL,NC,M'!G$8:G$403)</f>
        <v>55.117545</v>
      </c>
      <c r="E62" s="168">
        <f>'Gia NC,CM'!P17</f>
        <v>449646.1</v>
      </c>
      <c r="F62" s="169">
        <f t="shared" si="1"/>
        <v>24783389.1508245</v>
      </c>
    </row>
    <row r="63" spans="1:6" ht="15">
      <c r="A63" s="8" t="s">
        <v>0</v>
      </c>
      <c r="B63" s="9" t="s">
        <v>0</v>
      </c>
      <c r="C63" s="9" t="s">
        <v>0</v>
      </c>
      <c r="D63" s="168">
        <f>SUMIF('Phan tich KL VL,NC,M'!C$8:C$403,B63,'Phan tich KL VL,NC,M'!G$8:G$403)</f>
        <v>0</v>
      </c>
      <c r="E63" s="168">
        <v>0</v>
      </c>
      <c r="F63" s="169"/>
    </row>
    <row r="64" spans="1:6" ht="15.75">
      <c r="A64" s="30" t="s">
        <v>0</v>
      </c>
      <c r="B64" s="31" t="s">
        <v>729</v>
      </c>
      <c r="C64" s="31" t="s">
        <v>0</v>
      </c>
      <c r="D64" s="166">
        <f>SUMIF('Phan tich KL VL,NC,M'!C$8:C$403,B64,'Phan tich KL VL,NC,M'!G$8:G$403)</f>
        <v>0</v>
      </c>
      <c r="E64" s="166">
        <v>0</v>
      </c>
      <c r="F64" s="167">
        <f>SUM(F65:F79)</f>
        <v>7550823.787789227</v>
      </c>
    </row>
    <row r="65" spans="1:6" ht="15">
      <c r="A65" s="8" t="s">
        <v>0</v>
      </c>
      <c r="B65" s="9" t="s">
        <v>0</v>
      </c>
      <c r="C65" s="9" t="s">
        <v>0</v>
      </c>
      <c r="D65" s="168">
        <f>SUMIF('Phan tich KL VL,NC,M'!C$8:C$403,B65,'Phan tich KL VL,NC,M'!G$8:G$403)</f>
        <v>0</v>
      </c>
      <c r="E65" s="168">
        <v>0</v>
      </c>
      <c r="F65" s="169"/>
    </row>
    <row r="66" spans="1:6" ht="15">
      <c r="A66" s="8" t="s">
        <v>605</v>
      </c>
      <c r="B66" s="9" t="s">
        <v>606</v>
      </c>
      <c r="C66" s="9" t="s">
        <v>605</v>
      </c>
      <c r="D66" s="168">
        <f>100</f>
        <v>100</v>
      </c>
      <c r="E66" s="168">
        <v>44.43454</v>
      </c>
      <c r="F66" s="169">
        <f aca="true" t="shared" si="2" ref="F66:F76">D66*E66</f>
        <v>4443.454</v>
      </c>
    </row>
    <row r="67" spans="1:6" ht="15">
      <c r="A67" s="8" t="s">
        <v>218</v>
      </c>
      <c r="B67" s="9" t="s">
        <v>100</v>
      </c>
      <c r="C67" s="9" t="s">
        <v>10</v>
      </c>
      <c r="D67" s="168">
        <f>SUMIF('Phan tich KL VL,NC,M'!C$8:C$403,B67,'Phan tich KL VL,NC,M'!G$8:G$403)</f>
        <v>5.9092</v>
      </c>
      <c r="E67" s="168">
        <f>'Gia NC,CM'!P20</f>
        <v>27817.3</v>
      </c>
      <c r="F67" s="169">
        <f t="shared" si="2"/>
        <v>164377.98916</v>
      </c>
    </row>
    <row r="68" spans="1:6" ht="15">
      <c r="A68" s="8" t="s">
        <v>223</v>
      </c>
      <c r="B68" s="9" t="s">
        <v>77</v>
      </c>
      <c r="C68" s="9" t="s">
        <v>10</v>
      </c>
      <c r="D68" s="168">
        <f>SUMIF('Phan tich KL VL,NC,M'!C$8:C$403,B68,'Phan tich KL VL,NC,M'!G$8:G$403)</f>
        <v>1.8991615999999998</v>
      </c>
      <c r="E68" s="168">
        <f>'Gia NC,CM'!P21</f>
        <v>279365.2</v>
      </c>
      <c r="F68" s="169">
        <f t="shared" si="2"/>
        <v>530559.66021632</v>
      </c>
    </row>
    <row r="69" spans="1:6" ht="15">
      <c r="A69" s="8" t="s">
        <v>229</v>
      </c>
      <c r="B69" s="9" t="s">
        <v>83</v>
      </c>
      <c r="C69" s="9" t="s">
        <v>10</v>
      </c>
      <c r="D69" s="168">
        <f>SUMIF('Phan tich KL VL,NC,M'!C$8:C$403,B69,'Phan tich KL VL,NC,M'!G$8:G$403)</f>
        <v>3.6256139999999997</v>
      </c>
      <c r="E69" s="168">
        <f>'Gia NC,CM'!P22</f>
        <v>409418.3</v>
      </c>
      <c r="F69" s="169">
        <f t="shared" si="2"/>
        <v>1484392.7203361997</v>
      </c>
    </row>
    <row r="70" spans="1:6" ht="15">
      <c r="A70" s="8" t="s">
        <v>233</v>
      </c>
      <c r="B70" s="9" t="s">
        <v>117</v>
      </c>
      <c r="C70" s="9" t="s">
        <v>10</v>
      </c>
      <c r="D70" s="168">
        <f>SUMIF('Phan tich KL VL,NC,M'!C$8:C$403,B70,'Phan tich KL VL,NC,M'!G$8:G$403)</f>
        <v>0.917487</v>
      </c>
      <c r="E70" s="168">
        <f>'Gia NC,CM'!P24</f>
        <v>292948.6</v>
      </c>
      <c r="F70" s="169">
        <f t="shared" si="2"/>
        <v>268776.5321682</v>
      </c>
    </row>
    <row r="71" spans="1:6" ht="15">
      <c r="A71" s="8" t="s">
        <v>237</v>
      </c>
      <c r="B71" s="9" t="s">
        <v>26</v>
      </c>
      <c r="C71" s="9" t="s">
        <v>10</v>
      </c>
      <c r="D71" s="168">
        <f>SUMIF('Phan tich KL VL,NC,M'!C$8:C$403,B71,'Phan tich KL VL,NC,M'!G$8:G$403)</f>
        <v>4.4665124</v>
      </c>
      <c r="E71" s="168">
        <f>'Gia NC,CM'!P25</f>
        <v>318885.3</v>
      </c>
      <c r="F71" s="169">
        <f t="shared" si="2"/>
        <v>1424305.14662772</v>
      </c>
    </row>
    <row r="72" spans="1:6" ht="15">
      <c r="A72" s="8" t="s">
        <v>241</v>
      </c>
      <c r="B72" s="9" t="s">
        <v>62</v>
      </c>
      <c r="C72" s="9" t="s">
        <v>10</v>
      </c>
      <c r="D72" s="168">
        <f>SUMIF('Phan tich KL VL,NC,M'!C$8:C$403,B72,'Phan tich KL VL,NC,M'!G$8:G$403)</f>
        <v>0.086616</v>
      </c>
      <c r="E72" s="168">
        <f>'Gia NC,CM'!P26</f>
        <v>292948.6</v>
      </c>
      <c r="F72" s="169">
        <f t="shared" si="2"/>
        <v>25374.035937599998</v>
      </c>
    </row>
    <row r="73" spans="1:6" ht="15">
      <c r="A73" s="8" t="s">
        <v>247</v>
      </c>
      <c r="B73" s="9" t="s">
        <v>9</v>
      </c>
      <c r="C73" s="9" t="s">
        <v>10</v>
      </c>
      <c r="D73" s="168">
        <f>SUMIF('Phan tich KL VL,NC,M'!C$8:C$403,B73,'Phan tich KL VL,NC,M'!G$8:G$403)</f>
        <v>0.6454417320000001</v>
      </c>
      <c r="E73" s="168">
        <f>'Gia NC,CM'!P28</f>
        <v>1943332.9</v>
      </c>
      <c r="F73" s="169">
        <f t="shared" si="2"/>
        <v>1254308.152828583</v>
      </c>
    </row>
    <row r="74" spans="1:6" ht="15">
      <c r="A74" s="8" t="s">
        <v>253</v>
      </c>
      <c r="B74" s="9" t="s">
        <v>27</v>
      </c>
      <c r="C74" s="9" t="s">
        <v>10</v>
      </c>
      <c r="D74" s="168">
        <f>SUMIF('Phan tich KL VL,NC,M'!C$8:C$403,B74,'Phan tich KL VL,NC,M'!G$8:G$403)</f>
        <v>0.8034919999999999</v>
      </c>
      <c r="E74" s="168">
        <f>'Gia NC,CM'!P29</f>
        <v>270954</v>
      </c>
      <c r="F74" s="169">
        <f t="shared" si="2"/>
        <v>217709.37136799996</v>
      </c>
    </row>
    <row r="75" spans="1:6" ht="15">
      <c r="A75" s="8" t="s">
        <v>258</v>
      </c>
      <c r="B75" s="9" t="s">
        <v>34</v>
      </c>
      <c r="C75" s="9" t="s">
        <v>10</v>
      </c>
      <c r="D75" s="168">
        <f>SUMIF('Phan tich KL VL,NC,M'!C$8:C$403,B75,'Phan tich KL VL,NC,M'!G$8:G$403)</f>
        <v>4.91005248</v>
      </c>
      <c r="E75" s="168">
        <f>'Gia NC,CM'!P30</f>
        <v>274861.2</v>
      </c>
      <c r="F75" s="169">
        <f t="shared" si="2"/>
        <v>1349582.916715776</v>
      </c>
    </row>
    <row r="76" spans="1:6" ht="15">
      <c r="A76" s="8" t="s">
        <v>263</v>
      </c>
      <c r="B76" s="9" t="s">
        <v>15</v>
      </c>
      <c r="C76" s="9" t="s">
        <v>10</v>
      </c>
      <c r="D76" s="168">
        <f>SUMIF('Phan tich KL VL,NC,M'!C$8:C$403,B76,'Phan tich KL VL,NC,M'!G$8:G$403)</f>
        <v>2.1622296400000005</v>
      </c>
      <c r="E76" s="168">
        <f>'Gia NC,CM'!P31</f>
        <v>382472.7</v>
      </c>
      <c r="F76" s="169">
        <f t="shared" si="2"/>
        <v>826993.8084308283</v>
      </c>
    </row>
    <row r="77" spans="1:6" ht="15">
      <c r="A77" s="8" t="s">
        <v>0</v>
      </c>
      <c r="B77" s="9" t="s">
        <v>0</v>
      </c>
      <c r="C77" s="9" t="s">
        <v>0</v>
      </c>
      <c r="D77" s="168">
        <f>SUMIF('Phan tich KL VL,NC,M'!C$8:C$403,B77,'Phan tich KL VL,NC,M'!G$8:G$403)</f>
        <v>0</v>
      </c>
      <c r="E77" s="168">
        <v>0</v>
      </c>
      <c r="F77" s="169"/>
    </row>
    <row r="78" spans="1:6" ht="15.75">
      <c r="A78" s="30" t="s">
        <v>0</v>
      </c>
      <c r="B78" s="31" t="s">
        <v>257</v>
      </c>
      <c r="C78" s="31" t="s">
        <v>0</v>
      </c>
      <c r="D78" s="166">
        <f>SUMIF('Phan tich KL VL,NC,M'!C$403:C$476,B78,'Phan tich KL VL,NC,M'!G$403:G$476)</f>
        <v>0</v>
      </c>
      <c r="E78" s="166">
        <v>0</v>
      </c>
      <c r="F78" s="167"/>
    </row>
    <row r="79" spans="1:6" ht="15">
      <c r="A79" s="8" t="s">
        <v>0</v>
      </c>
      <c r="B79" s="9" t="s">
        <v>0</v>
      </c>
      <c r="C79" s="9" t="s">
        <v>0</v>
      </c>
      <c r="D79" s="168">
        <f>SUMIF('Phan tich KL VL,NC,M'!C$403:C$476,B79,'Phan tich KL VL,NC,M'!G$403:G$476)</f>
        <v>0</v>
      </c>
      <c r="E79" s="168">
        <v>0</v>
      </c>
      <c r="F79" s="169"/>
    </row>
    <row r="80" spans="1:6" ht="15.75">
      <c r="A80" s="30" t="s">
        <v>0</v>
      </c>
      <c r="B80" s="31" t="s">
        <v>731</v>
      </c>
      <c r="C80" s="31" t="s">
        <v>0</v>
      </c>
      <c r="D80" s="166">
        <f>SUMIF('Phan tich KL VL,NC,M'!C$403:C$476,B80,'Phan tich KL VL,NC,M'!G$403:G$476)</f>
        <v>0</v>
      </c>
      <c r="E80" s="166">
        <v>0</v>
      </c>
      <c r="F80" s="167">
        <f>SUM(F81:F96)</f>
        <v>9874177.853713406</v>
      </c>
    </row>
    <row r="81" spans="1:6" ht="15">
      <c r="A81" s="8" t="s">
        <v>0</v>
      </c>
      <c r="B81" s="9" t="s">
        <v>0</v>
      </c>
      <c r="C81" s="9" t="s">
        <v>0</v>
      </c>
      <c r="D81" s="168">
        <f>SUMIF('Phan tich KL VL,NC,M'!C$403:C$476,B81,'Phan tich KL VL,NC,M'!G$403:G$476)</f>
        <v>0</v>
      </c>
      <c r="E81" s="168">
        <v>0</v>
      </c>
      <c r="F81" s="169"/>
    </row>
    <row r="82" spans="1:6" ht="15">
      <c r="A82" s="8" t="s">
        <v>605</v>
      </c>
      <c r="B82" s="9" t="s">
        <v>609</v>
      </c>
      <c r="C82" s="9" t="s">
        <v>605</v>
      </c>
      <c r="D82" s="168">
        <f>100</f>
        <v>100</v>
      </c>
      <c r="E82" s="168">
        <v>755.01827</v>
      </c>
      <c r="F82" s="169">
        <f aca="true" t="shared" si="3" ref="F82:F95">D82*E82</f>
        <v>75501.827</v>
      </c>
    </row>
    <row r="83" spans="1:6" ht="15">
      <c r="A83" s="8" t="s">
        <v>2</v>
      </c>
      <c r="B83" s="9" t="s">
        <v>61</v>
      </c>
      <c r="C83" s="9" t="s">
        <v>22</v>
      </c>
      <c r="D83" s="168">
        <f>SUMIF('Phan tich KL VL,NC,M'!C$403:C$476,B83,'Phan tich KL VL,NC,M'!G$403:G$476)</f>
        <v>1.6053930688</v>
      </c>
      <c r="E83" s="168">
        <f>'Gia VL'!Q15</f>
        <v>359127.7</v>
      </c>
      <c r="F83" s="169">
        <f t="shared" si="3"/>
        <v>576541.1203940858</v>
      </c>
    </row>
    <row r="84" spans="1:6" ht="15">
      <c r="A84" s="8" t="s">
        <v>11</v>
      </c>
      <c r="B84" s="9" t="s">
        <v>21</v>
      </c>
      <c r="C84" s="9" t="s">
        <v>22</v>
      </c>
      <c r="D84" s="168">
        <f>SUMIF('Phan tich KL VL,NC,M'!C$403:C$476,B84,'Phan tich KL VL,NC,M'!G$403:G$476)</f>
        <v>2.3780246000000003</v>
      </c>
      <c r="E84" s="168">
        <f>'Gia VL'!Q18</f>
        <v>379127.7</v>
      </c>
      <c r="F84" s="169">
        <f t="shared" si="3"/>
        <v>901574.9971414201</v>
      </c>
    </row>
    <row r="85" spans="1:6" ht="15">
      <c r="A85" s="8" t="s">
        <v>16</v>
      </c>
      <c r="B85" s="9" t="s">
        <v>96</v>
      </c>
      <c r="C85" s="9" t="s">
        <v>97</v>
      </c>
      <c r="D85" s="168">
        <f>SUMIF('Phan tich KL VL,NC,M'!C$403:C$476,B85,'Phan tich KL VL,NC,M'!G$403:G$476)</f>
        <v>6.59328</v>
      </c>
      <c r="E85" s="168">
        <f>'Gia VL'!Q26</f>
        <v>100000</v>
      </c>
      <c r="F85" s="169">
        <f t="shared" si="3"/>
        <v>659328</v>
      </c>
    </row>
    <row r="86" spans="1:6" ht="15">
      <c r="A86" s="8" t="s">
        <v>28</v>
      </c>
      <c r="B86" s="9" t="s">
        <v>185</v>
      </c>
      <c r="C86" s="9" t="s">
        <v>60</v>
      </c>
      <c r="D86" s="168">
        <f>SUMIF('Phan tich KL VL,NC,M'!C$403:C$476,B86,'Phan tich KL VL,NC,M'!G$403:G$476)</f>
        <v>429.54240000000004</v>
      </c>
      <c r="E86" s="168">
        <f>'Gia VL'!Q28</f>
        <v>1489.5</v>
      </c>
      <c r="F86" s="169">
        <f t="shared" si="3"/>
        <v>639803.4048</v>
      </c>
    </row>
    <row r="87" spans="1:6" ht="15">
      <c r="A87" s="8" t="s">
        <v>35</v>
      </c>
      <c r="B87" s="9" t="s">
        <v>262</v>
      </c>
      <c r="C87" s="9" t="s">
        <v>97</v>
      </c>
      <c r="D87" s="168">
        <f>SUMIF('Phan tich KL VL,NC,M'!C$403:C$476,B87,'Phan tich KL VL,NC,M'!G$403:G$476)</f>
        <v>37.087199999999996</v>
      </c>
      <c r="E87" s="168">
        <f>'Gia VL'!Q31</f>
        <v>95818.5</v>
      </c>
      <c r="F87" s="169">
        <f t="shared" si="3"/>
        <v>3553639.8732</v>
      </c>
    </row>
    <row r="88" spans="1:6" ht="15">
      <c r="A88" s="8" t="s">
        <v>45</v>
      </c>
      <c r="B88" s="9" t="s">
        <v>40</v>
      </c>
      <c r="C88" s="9" t="s">
        <v>22</v>
      </c>
      <c r="D88" s="168">
        <f>SUMIF('Phan tich KL VL,NC,M'!C$403:C$476,B88,'Phan tich KL VL,NC,M'!G$403:G$476)</f>
        <v>0.023819999999999997</v>
      </c>
      <c r="E88" s="168">
        <f>'Gia VL'!Q36</f>
        <v>4110579.4</v>
      </c>
      <c r="F88" s="169">
        <f t="shared" si="3"/>
        <v>97914.00130799999</v>
      </c>
    </row>
    <row r="89" spans="1:6" ht="15">
      <c r="A89" s="8" t="s">
        <v>48</v>
      </c>
      <c r="B89" s="9" t="s">
        <v>271</v>
      </c>
      <c r="C89" s="9" t="s">
        <v>22</v>
      </c>
      <c r="D89" s="168">
        <f>SUMIF('Phan tich KL VL,NC,M'!C$403:C$476,B89,'Phan tich KL VL,NC,M'!G$403:G$476)</f>
        <v>0.0162</v>
      </c>
      <c r="E89" s="168">
        <f>'Gia VL'!Q40</f>
        <v>4519670.3</v>
      </c>
      <c r="F89" s="169">
        <f t="shared" si="3"/>
        <v>73218.65886</v>
      </c>
    </row>
    <row r="90" spans="1:6" ht="15">
      <c r="A90" s="8" t="s">
        <v>52</v>
      </c>
      <c r="B90" s="9" t="s">
        <v>24</v>
      </c>
      <c r="C90" s="9" t="s">
        <v>22</v>
      </c>
      <c r="D90" s="168">
        <f>SUMIF('Phan tich KL VL,NC,M'!C$403:C$476,B90,'Phan tich KL VL,NC,M'!G$403:G$476)</f>
        <v>1.1108985376</v>
      </c>
      <c r="E90" s="168">
        <f>'Gia VL'!Q47</f>
        <v>9545.45</v>
      </c>
      <c r="F90" s="169">
        <f t="shared" si="3"/>
        <v>10604.026445733922</v>
      </c>
    </row>
    <row r="91" spans="1:6" ht="15">
      <c r="A91" s="8" t="s">
        <v>55</v>
      </c>
      <c r="B91" s="9" t="s">
        <v>19</v>
      </c>
      <c r="C91" s="9" t="s">
        <v>20</v>
      </c>
      <c r="D91" s="168">
        <f>SUMIF('Phan tich KL VL,NC,M'!C$403:C$476,B91,'Phan tich KL VL,NC,M'!G$403:G$476)</f>
        <v>110.5544</v>
      </c>
      <c r="E91" s="168">
        <f>ROUND('Gia VL'!Q67/1000,5)</f>
        <v>1637.6775</v>
      </c>
      <c r="F91" s="169">
        <f t="shared" si="3"/>
        <v>181052.45340600002</v>
      </c>
    </row>
    <row r="92" spans="1:6" ht="15">
      <c r="A92" s="8" t="s">
        <v>63</v>
      </c>
      <c r="B92" s="9" t="s">
        <v>32</v>
      </c>
      <c r="C92" s="9" t="s">
        <v>20</v>
      </c>
      <c r="D92" s="168">
        <f>SUMIF('Phan tich KL VL,NC,M'!C$403:C$476,B92,'Phan tich KL VL,NC,M'!G$403:G$476)</f>
        <v>1150.7422127999998</v>
      </c>
      <c r="E92" s="168">
        <f>ROUND('Gia VL'!Q69/1000,5)</f>
        <v>1701.3145</v>
      </c>
      <c r="F92" s="169">
        <f t="shared" si="3"/>
        <v>1957774.4123987253</v>
      </c>
    </row>
    <row r="93" spans="1:6" ht="15">
      <c r="A93" s="8" t="s">
        <v>67</v>
      </c>
      <c r="B93" s="9" t="s">
        <v>98</v>
      </c>
      <c r="C93" s="9" t="s">
        <v>20</v>
      </c>
      <c r="D93" s="168">
        <f>SUMIF('Phan tich KL VL,NC,M'!C$403:C$476,B93,'Phan tich KL VL,NC,M'!G$403:G$476)</f>
        <v>1.10976</v>
      </c>
      <c r="E93" s="168">
        <f>ROUND('Gia VL'!Q71/1000,5)</f>
        <v>4545</v>
      </c>
      <c r="F93" s="169">
        <f t="shared" si="3"/>
        <v>5043.859200000001</v>
      </c>
    </row>
    <row r="94" spans="1:6" ht="15">
      <c r="A94" s="8" t="s">
        <v>70</v>
      </c>
      <c r="B94" s="9" t="s">
        <v>267</v>
      </c>
      <c r="C94" s="9" t="s">
        <v>22</v>
      </c>
      <c r="D94" s="168">
        <f>SUMIF('Phan tich KL VL,NC,M'!C$403:C$476,B94,'Phan tich KL VL,NC,M'!G$403:G$476)</f>
        <v>3.3497820000000003</v>
      </c>
      <c r="E94" s="168">
        <f>'Gia VL'!Q78</f>
        <v>303436.2</v>
      </c>
      <c r="F94" s="169">
        <f t="shared" si="3"/>
        <v>1016445.1209084002</v>
      </c>
    </row>
    <row r="95" spans="1:6" ht="15">
      <c r="A95" s="8" t="s">
        <v>78</v>
      </c>
      <c r="B95" s="9" t="s">
        <v>23</v>
      </c>
      <c r="C95" s="9" t="s">
        <v>22</v>
      </c>
      <c r="D95" s="168">
        <f>SUMIF('Phan tich KL VL,NC,M'!C$403:C$476,B95,'Phan tich KL VL,NC,M'!G$403:G$476)</f>
        <v>0.5051856</v>
      </c>
      <c r="E95" s="168">
        <f>'Gia VL'!Q81</f>
        <v>248890.90000000002</v>
      </c>
      <c r="F95" s="169">
        <f t="shared" si="3"/>
        <v>125736.09865104001</v>
      </c>
    </row>
    <row r="96" spans="1:6" ht="15">
      <c r="A96" s="8" t="s">
        <v>0</v>
      </c>
      <c r="B96" s="9" t="s">
        <v>0</v>
      </c>
      <c r="C96" s="9" t="s">
        <v>0</v>
      </c>
      <c r="D96" s="168">
        <f>SUMIF('Phan tich KL VL,NC,M'!C$403:C$476,B96,'Phan tich KL VL,NC,M'!G$403:G$476)</f>
        <v>0</v>
      </c>
      <c r="E96" s="168">
        <v>0</v>
      </c>
      <c r="F96" s="169"/>
    </row>
    <row r="97" spans="1:6" ht="15.75">
      <c r="A97" s="30" t="s">
        <v>0</v>
      </c>
      <c r="B97" s="31" t="s">
        <v>730</v>
      </c>
      <c r="C97" s="31" t="s">
        <v>0</v>
      </c>
      <c r="D97" s="166">
        <f>SUMIF('Phan tich KL VL,NC,M'!C$403:C$476,B97,'Phan tich KL VL,NC,M'!G$403:G$476)</f>
        <v>0</v>
      </c>
      <c r="E97" s="166">
        <v>0</v>
      </c>
      <c r="F97" s="167">
        <f>SUM(F98:F103)</f>
        <v>4730794.485206578</v>
      </c>
    </row>
    <row r="98" spans="1:6" ht="15">
      <c r="A98" s="8" t="s">
        <v>0</v>
      </c>
      <c r="B98" s="9" t="s">
        <v>0</v>
      </c>
      <c r="C98" s="9" t="s">
        <v>0</v>
      </c>
      <c r="D98" s="168">
        <f>SUMIF('Phan tich KL VL,NC,M'!C$403:C$476,B98,'Phan tich KL VL,NC,M'!G$403:G$476)</f>
        <v>0</v>
      </c>
      <c r="E98" s="168">
        <v>0</v>
      </c>
      <c r="F98" s="169"/>
    </row>
    <row r="99" spans="1:6" ht="15">
      <c r="A99" s="8" t="s">
        <v>84</v>
      </c>
      <c r="B99" s="9" t="s">
        <v>7</v>
      </c>
      <c r="C99" s="9" t="s">
        <v>8</v>
      </c>
      <c r="D99" s="168">
        <f>SUMIF('Phan tich KL VL,NC,M'!C$403:C$476,B99,'Phan tich KL VL,NC,M'!G$403:G$476)</f>
        <v>0.166818177</v>
      </c>
      <c r="E99" s="168">
        <f>'Gia NC,CM'!P8</f>
        <v>218559.2</v>
      </c>
      <c r="F99" s="169">
        <f>D99*E99</f>
        <v>36459.6473105784</v>
      </c>
    </row>
    <row r="100" spans="1:6" ht="15">
      <c r="A100" s="8" t="s">
        <v>86</v>
      </c>
      <c r="B100" s="9" t="s">
        <v>25</v>
      </c>
      <c r="C100" s="9" t="s">
        <v>8</v>
      </c>
      <c r="D100" s="168">
        <f>SUMIF('Phan tich KL VL,NC,M'!C$403:C$476,B100,'Phan tich KL VL,NC,M'!G$403:G$476)</f>
        <v>4.95176</v>
      </c>
      <c r="E100" s="168">
        <f>'Gia NC,CM'!P9</f>
        <v>230630.3</v>
      </c>
      <c r="F100" s="169">
        <f>D100*E100</f>
        <v>1142025.894328</v>
      </c>
    </row>
    <row r="101" spans="1:6" ht="15">
      <c r="A101" s="8" t="s">
        <v>90</v>
      </c>
      <c r="B101" s="9" t="s">
        <v>44</v>
      </c>
      <c r="C101" s="9" t="s">
        <v>8</v>
      </c>
      <c r="D101" s="168">
        <f>SUMIF('Phan tich KL VL,NC,M'!C$403:C$476,B101,'Phan tich KL VL,NC,M'!G$403:G$476)</f>
        <v>4.704776000000001</v>
      </c>
      <c r="E101" s="168">
        <f>'Gia NC,CM'!P11</f>
        <v>252200</v>
      </c>
      <c r="F101" s="169">
        <f>D101*E101</f>
        <v>1186544.5072</v>
      </c>
    </row>
    <row r="102" spans="1:6" ht="15">
      <c r="A102" s="8" t="s">
        <v>93</v>
      </c>
      <c r="B102" s="9" t="s">
        <v>99</v>
      </c>
      <c r="C102" s="9" t="s">
        <v>8</v>
      </c>
      <c r="D102" s="168">
        <f>SUMIF('Phan tich KL VL,NC,M'!C$403:C$476,B102,'Phan tich KL VL,NC,M'!G$403:G$476)</f>
        <v>8.64144</v>
      </c>
      <c r="E102" s="168">
        <f>'Gia NC,CM'!P14</f>
        <v>273769.7</v>
      </c>
      <c r="F102" s="169">
        <f>D102*E102</f>
        <v>2365764.4363679998</v>
      </c>
    </row>
    <row r="103" spans="1:6" ht="15">
      <c r="A103" s="8" t="s">
        <v>0</v>
      </c>
      <c r="B103" s="9" t="s">
        <v>0</v>
      </c>
      <c r="C103" s="9" t="s">
        <v>0</v>
      </c>
      <c r="D103" s="168">
        <f>SUMIF('Phan tich KL VL,NC,M'!C$403:C$476,B103,'Phan tich KL VL,NC,M'!G$403:G$476)</f>
        <v>0</v>
      </c>
      <c r="E103" s="168">
        <v>0</v>
      </c>
      <c r="F103" s="169"/>
    </row>
    <row r="104" spans="1:6" ht="15.75">
      <c r="A104" s="30" t="s">
        <v>0</v>
      </c>
      <c r="B104" s="31" t="s">
        <v>729</v>
      </c>
      <c r="C104" s="31" t="s">
        <v>0</v>
      </c>
      <c r="D104" s="166">
        <f>SUMIF('Phan tich KL VL,NC,M'!C$403:C$476,B104,'Phan tich KL VL,NC,M'!G$403:G$476)</f>
        <v>0</v>
      </c>
      <c r="E104" s="166">
        <v>0</v>
      </c>
      <c r="F104" s="167">
        <f>SUM(F105:F116)</f>
        <v>335046.80830304907</v>
      </c>
    </row>
    <row r="105" spans="1:6" ht="15">
      <c r="A105" s="8" t="s">
        <v>0</v>
      </c>
      <c r="B105" s="9" t="s">
        <v>0</v>
      </c>
      <c r="C105" s="9" t="s">
        <v>0</v>
      </c>
      <c r="D105" s="168">
        <f>SUMIF('Phan tich KL VL,NC,M'!C$403:C$476,B105,'Phan tich KL VL,NC,M'!G$403:G$476)</f>
        <v>0</v>
      </c>
      <c r="E105" s="168">
        <v>0</v>
      </c>
      <c r="F105" s="169"/>
    </row>
    <row r="106" spans="1:6" ht="15">
      <c r="A106" s="8" t="s">
        <v>605</v>
      </c>
      <c r="B106" s="9" t="s">
        <v>606</v>
      </c>
      <c r="C106" s="9" t="s">
        <v>605</v>
      </c>
      <c r="D106" s="168">
        <f>100</f>
        <v>100</v>
      </c>
      <c r="E106" s="168">
        <v>0.33466</v>
      </c>
      <c r="F106" s="169">
        <f aca="true" t="shared" si="4" ref="F106:F113">D106*E106</f>
        <v>33.466</v>
      </c>
    </row>
    <row r="107" spans="1:6" ht="15">
      <c r="A107" s="8" t="s">
        <v>101</v>
      </c>
      <c r="B107" s="9" t="s">
        <v>100</v>
      </c>
      <c r="C107" s="9" t="s">
        <v>10</v>
      </c>
      <c r="D107" s="168">
        <f>SUMIF('Phan tich KL VL,NC,M'!C$403:C$476,B107,'Phan tich KL VL,NC,M'!G$403:G$476)</f>
        <v>1.3056</v>
      </c>
      <c r="E107" s="168">
        <f>'Gia NC,CM'!P20</f>
        <v>27817.3</v>
      </c>
      <c r="F107" s="169">
        <f t="shared" si="4"/>
        <v>36318.26688</v>
      </c>
    </row>
    <row r="108" spans="1:6" ht="15">
      <c r="A108" s="8" t="s">
        <v>107</v>
      </c>
      <c r="B108" s="9" t="s">
        <v>117</v>
      </c>
      <c r="C108" s="9" t="s">
        <v>10</v>
      </c>
      <c r="D108" s="168">
        <f>SUMIF('Phan tich KL VL,NC,M'!C$403:C$476,B108,'Phan tich KL VL,NC,M'!G$403:G$476)</f>
        <v>0.020672</v>
      </c>
      <c r="E108" s="168">
        <f>'Gia NC,CM'!P24</f>
        <v>292948.6</v>
      </c>
      <c r="F108" s="169">
        <f t="shared" si="4"/>
        <v>6055.833459199999</v>
      </c>
    </row>
    <row r="109" spans="1:6" ht="15">
      <c r="A109" s="8" t="s">
        <v>110</v>
      </c>
      <c r="B109" s="9" t="s">
        <v>26</v>
      </c>
      <c r="C109" s="9" t="s">
        <v>10</v>
      </c>
      <c r="D109" s="168">
        <f>SUMIF('Phan tich KL VL,NC,M'!C$403:C$476,B109,'Phan tich KL VL,NC,M'!G$403:G$476)</f>
        <v>0.40052000000000004</v>
      </c>
      <c r="E109" s="168">
        <f>'Gia NC,CM'!P25</f>
        <v>318885.3</v>
      </c>
      <c r="F109" s="169">
        <f t="shared" si="4"/>
        <v>127719.940356</v>
      </c>
    </row>
    <row r="110" spans="1:6" ht="15">
      <c r="A110" s="8" t="s">
        <v>113</v>
      </c>
      <c r="B110" s="9" t="s">
        <v>62</v>
      </c>
      <c r="C110" s="9" t="s">
        <v>10</v>
      </c>
      <c r="D110" s="168">
        <f>SUMIF('Phan tich KL VL,NC,M'!C$403:C$476,B110,'Phan tich KL VL,NC,M'!G$403:G$476)</f>
        <v>0.022848000000000004</v>
      </c>
      <c r="E110" s="168">
        <f>'Gia NC,CM'!P26</f>
        <v>292948.6</v>
      </c>
      <c r="F110" s="169">
        <f t="shared" si="4"/>
        <v>6693.2896128</v>
      </c>
    </row>
    <row r="111" spans="1:6" ht="15">
      <c r="A111" s="8" t="s">
        <v>118</v>
      </c>
      <c r="B111" s="9" t="s">
        <v>9</v>
      </c>
      <c r="C111" s="9" t="s">
        <v>10</v>
      </c>
      <c r="D111" s="168">
        <f>SUMIF('Phan tich KL VL,NC,M'!C$403:C$476,B111,'Phan tich KL VL,NC,M'!G$403:G$476)</f>
        <v>0.023422464000000004</v>
      </c>
      <c r="E111" s="168">
        <f>'Gia NC,CM'!P28</f>
        <v>1943332.9</v>
      </c>
      <c r="F111" s="169">
        <f t="shared" si="4"/>
        <v>45517.644890265605</v>
      </c>
    </row>
    <row r="112" spans="1:6" ht="15">
      <c r="A112" s="8" t="s">
        <v>122</v>
      </c>
      <c r="B112" s="9" t="s">
        <v>27</v>
      </c>
      <c r="C112" s="9" t="s">
        <v>10</v>
      </c>
      <c r="D112" s="168">
        <f>SUMIF('Phan tich KL VL,NC,M'!C$403:C$476,B112,'Phan tich KL VL,NC,M'!G$403:G$476)</f>
        <v>0.375224</v>
      </c>
      <c r="E112" s="168">
        <f>'Gia NC,CM'!P29</f>
        <v>270954</v>
      </c>
      <c r="F112" s="169">
        <f t="shared" si="4"/>
        <v>101668.443696</v>
      </c>
    </row>
    <row r="113" spans="1:6" ht="15">
      <c r="A113" s="8" t="s">
        <v>125</v>
      </c>
      <c r="B113" s="9" t="s">
        <v>15</v>
      </c>
      <c r="C113" s="9" t="s">
        <v>10</v>
      </c>
      <c r="D113" s="168">
        <f>SUMIF('Phan tich KL VL,NC,M'!C$403:C$476,B113,'Phan tich KL VL,NC,M'!G$403:G$476)</f>
        <v>0.028864605</v>
      </c>
      <c r="E113" s="168">
        <f>'Gia NC,CM'!P31</f>
        <v>382472.7</v>
      </c>
      <c r="F113" s="169">
        <f t="shared" si="4"/>
        <v>11039.923408783501</v>
      </c>
    </row>
    <row r="114" spans="1:6" ht="15">
      <c r="A114" s="8" t="s">
        <v>0</v>
      </c>
      <c r="B114" s="9" t="s">
        <v>0</v>
      </c>
      <c r="C114" s="9" t="s">
        <v>0</v>
      </c>
      <c r="D114" s="168">
        <f>SUMIF('Phan tich KL VL,NC,M'!C$403:C$476,B114,'Phan tich KL VL,NC,M'!G$403:G$476)</f>
        <v>0</v>
      </c>
      <c r="E114" s="168">
        <v>0</v>
      </c>
      <c r="F114" s="169"/>
    </row>
    <row r="115" spans="1:6" ht="15.75">
      <c r="A115" s="30" t="s">
        <v>0</v>
      </c>
      <c r="B115" s="31" t="s">
        <v>284</v>
      </c>
      <c r="C115" s="31" t="s">
        <v>0</v>
      </c>
      <c r="D115" s="166">
        <f>SUMIF('Phan tich KL VL,NC,M'!C$476:C$514,B115,'Phan tich KL VL,NC,M'!G$476:G$514)</f>
        <v>0</v>
      </c>
      <c r="E115" s="166">
        <v>0</v>
      </c>
      <c r="F115" s="167"/>
    </row>
    <row r="116" spans="1:6" ht="15">
      <c r="A116" s="8" t="s">
        <v>0</v>
      </c>
      <c r="B116" s="9" t="s">
        <v>0</v>
      </c>
      <c r="C116" s="9" t="s">
        <v>0</v>
      </c>
      <c r="D116" s="168">
        <f>SUMIF('Phan tich KL VL,NC,M'!C$476:C$514,B116,'Phan tich KL VL,NC,M'!G$476:G$514)</f>
        <v>0</v>
      </c>
      <c r="E116" s="168">
        <v>0</v>
      </c>
      <c r="F116" s="169"/>
    </row>
    <row r="117" spans="1:6" ht="15.75">
      <c r="A117" s="30" t="s">
        <v>0</v>
      </c>
      <c r="B117" s="31" t="s">
        <v>731</v>
      </c>
      <c r="C117" s="31" t="s">
        <v>0</v>
      </c>
      <c r="D117" s="166">
        <f>SUMIF('Phan tich KL VL,NC,M'!C$476:C$514,B117,'Phan tich KL VL,NC,M'!G$476:G$514)</f>
        <v>0</v>
      </c>
      <c r="E117" s="166">
        <v>0</v>
      </c>
      <c r="F117" s="167">
        <f>SUM(F118:F130)</f>
        <v>6057289.127276001</v>
      </c>
    </row>
    <row r="118" spans="1:6" ht="15">
      <c r="A118" s="8" t="s">
        <v>0</v>
      </c>
      <c r="B118" s="9" t="s">
        <v>0</v>
      </c>
      <c r="C118" s="9" t="s">
        <v>0</v>
      </c>
      <c r="D118" s="168">
        <f>SUMIF('Phan tich KL VL,NC,M'!C$476:C$514,B118,'Phan tich KL VL,NC,M'!G$476:G$514)</f>
        <v>0</v>
      </c>
      <c r="E118" s="168">
        <v>0</v>
      </c>
      <c r="F118" s="169"/>
    </row>
    <row r="119" spans="1:6" ht="15">
      <c r="A119" s="8" t="s">
        <v>605</v>
      </c>
      <c r="B119" s="9" t="s">
        <v>609</v>
      </c>
      <c r="C119" s="9" t="s">
        <v>605</v>
      </c>
      <c r="D119" s="168">
        <f>100</f>
        <v>100</v>
      </c>
      <c r="E119" s="168">
        <v>2761.46678</v>
      </c>
      <c r="F119" s="169">
        <f aca="true" t="shared" si="5" ref="F119:F129">D119*E119</f>
        <v>276146.678</v>
      </c>
    </row>
    <row r="120" spans="1:6" ht="15">
      <c r="A120" s="8" t="s">
        <v>2</v>
      </c>
      <c r="B120" s="9" t="s">
        <v>312</v>
      </c>
      <c r="C120" s="9" t="s">
        <v>204</v>
      </c>
      <c r="D120" s="168">
        <f>SUMIF('Phan tich KL VL,NC,M'!C$476:C$514,B120,'Phan tich KL VL,NC,M'!G$476:G$514)</f>
        <v>0.2</v>
      </c>
      <c r="E120" s="168">
        <f>'Gia VL'!Q8</f>
        <v>5454.55</v>
      </c>
      <c r="F120" s="169">
        <f t="shared" si="5"/>
        <v>1090.91</v>
      </c>
    </row>
    <row r="121" spans="1:6" ht="15">
      <c r="A121" s="8" t="s">
        <v>11</v>
      </c>
      <c r="B121" s="9" t="s">
        <v>322</v>
      </c>
      <c r="C121" s="9" t="s">
        <v>323</v>
      </c>
      <c r="D121" s="168">
        <f>SUMIF('Phan tich KL VL,NC,M'!C$476:C$514,B121,'Phan tich KL VL,NC,M'!G$476:G$514)</f>
        <v>66.2</v>
      </c>
      <c r="E121" s="168">
        <f>'Gia VL'!Q14</f>
        <v>81818.18</v>
      </c>
      <c r="F121" s="169">
        <f t="shared" si="5"/>
        <v>5416363.516</v>
      </c>
    </row>
    <row r="122" spans="1:6" ht="15">
      <c r="A122" s="8" t="s">
        <v>16</v>
      </c>
      <c r="B122" s="9" t="s">
        <v>311</v>
      </c>
      <c r="C122" s="9" t="s">
        <v>304</v>
      </c>
      <c r="D122" s="168">
        <f>SUMIF('Phan tich KL VL,NC,M'!C$476:C$514,B122,'Phan tich KL VL,NC,M'!G$476:G$514)</f>
        <v>8</v>
      </c>
      <c r="E122" s="168">
        <f>'Gia VL'!Q21</f>
        <v>18181.82</v>
      </c>
      <c r="F122" s="169">
        <f t="shared" si="5"/>
        <v>145454.56</v>
      </c>
    </row>
    <row r="123" spans="1:6" ht="15">
      <c r="A123" s="8" t="s">
        <v>28</v>
      </c>
      <c r="B123" s="9" t="s">
        <v>24</v>
      </c>
      <c r="C123" s="9" t="s">
        <v>22</v>
      </c>
      <c r="D123" s="168">
        <f>SUMIF('Phan tich KL VL,NC,M'!C$476:C$514,B123,'Phan tich KL VL,NC,M'!G$476:G$514)</f>
        <v>1.04</v>
      </c>
      <c r="E123" s="168">
        <f>'Gia VL'!Q47</f>
        <v>9545.45</v>
      </c>
      <c r="F123" s="169">
        <f t="shared" si="5"/>
        <v>9927.268000000002</v>
      </c>
    </row>
    <row r="124" spans="1:6" ht="15">
      <c r="A124" s="8" t="s">
        <v>35</v>
      </c>
      <c r="B124" s="9" t="s">
        <v>310</v>
      </c>
      <c r="C124" s="9" t="s">
        <v>304</v>
      </c>
      <c r="D124" s="168">
        <f>SUMIF('Phan tich KL VL,NC,M'!C$476:C$514,B124,'Phan tich KL VL,NC,M'!G$476:G$514)</f>
        <v>8</v>
      </c>
      <c r="E124" s="168">
        <f>'Gia VL'!Q48</f>
        <v>5454.55</v>
      </c>
      <c r="F124" s="169">
        <f t="shared" si="5"/>
        <v>43636.4</v>
      </c>
    </row>
    <row r="125" spans="1:6" ht="15">
      <c r="A125" s="8" t="s">
        <v>45</v>
      </c>
      <c r="B125" s="9" t="s">
        <v>313</v>
      </c>
      <c r="C125" s="9" t="s">
        <v>20</v>
      </c>
      <c r="D125" s="168">
        <f>SUMIF('Phan tich KL VL,NC,M'!C$476:C$514,B125,'Phan tich KL VL,NC,M'!G$476:G$514)</f>
        <v>14.48</v>
      </c>
      <c r="E125" s="168">
        <f>ROUND('Gia VL'!Q49/1000,5)</f>
        <v>5454.54545</v>
      </c>
      <c r="F125" s="169">
        <f t="shared" si="5"/>
        <v>78981.818116</v>
      </c>
    </row>
    <row r="126" spans="1:6" ht="15">
      <c r="A126" s="8" t="s">
        <v>48</v>
      </c>
      <c r="B126" s="9" t="s">
        <v>296</v>
      </c>
      <c r="C126" s="9" t="s">
        <v>20</v>
      </c>
      <c r="D126" s="168">
        <f>SUMIF('Phan tich KL VL,NC,M'!C$476:C$514,B126,'Phan tich KL VL,NC,M'!G$476:G$514)</f>
        <v>0.5</v>
      </c>
      <c r="E126" s="168">
        <f>ROUND('Gia VL'!Q51/1000,5)</f>
        <v>95000</v>
      </c>
      <c r="F126" s="169">
        <f t="shared" si="5"/>
        <v>47500</v>
      </c>
    </row>
    <row r="127" spans="1:6" ht="15">
      <c r="A127" s="8" t="s">
        <v>52</v>
      </c>
      <c r="B127" s="9" t="s">
        <v>297</v>
      </c>
      <c r="C127" s="9" t="s">
        <v>20</v>
      </c>
      <c r="D127" s="168">
        <f>SUMIF('Phan tich KL VL,NC,M'!C$476:C$514,B127,'Phan tich KL VL,NC,M'!G$476:G$514)</f>
        <v>0.36</v>
      </c>
      <c r="E127" s="168">
        <f>ROUND('Gia VL'!Q72/1000,5)</f>
        <v>20.886</v>
      </c>
      <c r="F127" s="169">
        <f t="shared" si="5"/>
        <v>7.51896</v>
      </c>
    </row>
    <row r="128" spans="1:6" ht="15">
      <c r="A128" s="8" t="s">
        <v>55</v>
      </c>
      <c r="B128" s="9" t="s">
        <v>43</v>
      </c>
      <c r="C128" s="9" t="s">
        <v>20</v>
      </c>
      <c r="D128" s="168">
        <f>SUMIF('Phan tich KL VL,NC,M'!C$476:C$514,B128,'Phan tich KL VL,NC,M'!G$476:G$514)</f>
        <v>0.1</v>
      </c>
      <c r="E128" s="168">
        <f>ROUND('Gia VL'!Q73/1000,5)</f>
        <v>16350</v>
      </c>
      <c r="F128" s="169">
        <f t="shared" si="5"/>
        <v>1635</v>
      </c>
    </row>
    <row r="129" spans="1:6" ht="15">
      <c r="A129" s="8" t="s">
        <v>63</v>
      </c>
      <c r="B129" s="9" t="s">
        <v>314</v>
      </c>
      <c r="C129" s="9" t="s">
        <v>22</v>
      </c>
      <c r="D129" s="168">
        <f>SUMIF('Phan tich KL VL,NC,M'!C$476:C$514,B129,'Phan tich KL VL,NC,M'!G$476:G$514)</f>
        <v>0.134</v>
      </c>
      <c r="E129" s="168">
        <f>'Gia VL'!Q87</f>
        <v>272727.3</v>
      </c>
      <c r="F129" s="169">
        <f t="shared" si="5"/>
        <v>36545.4582</v>
      </c>
    </row>
    <row r="130" spans="1:6" ht="15">
      <c r="A130" s="8" t="s">
        <v>0</v>
      </c>
      <c r="B130" s="9" t="s">
        <v>0</v>
      </c>
      <c r="C130" s="9" t="s">
        <v>0</v>
      </c>
      <c r="D130" s="168">
        <f>SUMIF('Phan tich KL VL,NC,M'!C$476:C$514,B130,'Phan tich KL VL,NC,M'!G$476:G$514)</f>
        <v>0</v>
      </c>
      <c r="E130" s="168">
        <v>0</v>
      </c>
      <c r="F130" s="169"/>
    </row>
    <row r="131" spans="1:6" ht="15.75">
      <c r="A131" s="30" t="s">
        <v>0</v>
      </c>
      <c r="B131" s="31" t="s">
        <v>730</v>
      </c>
      <c r="C131" s="31" t="s">
        <v>0</v>
      </c>
      <c r="D131" s="166">
        <f>SUMIF('Phan tich KL VL,NC,M'!C$476:C$514,B131,'Phan tich KL VL,NC,M'!G$476:G$514)</f>
        <v>0</v>
      </c>
      <c r="E131" s="166">
        <v>0</v>
      </c>
      <c r="F131" s="167">
        <f>SUM(F132:F137)</f>
        <v>39937471.57391999</v>
      </c>
    </row>
    <row r="132" spans="1:6" ht="15">
      <c r="A132" s="8" t="s">
        <v>0</v>
      </c>
      <c r="B132" s="9" t="s">
        <v>0</v>
      </c>
      <c r="C132" s="9" t="s">
        <v>0</v>
      </c>
      <c r="D132" s="168">
        <f>SUMIF('Phan tich KL VL,NC,M'!C$476:C$514,B132,'Phan tich KL VL,NC,M'!G$476:G$514)</f>
        <v>0</v>
      </c>
      <c r="E132" s="168">
        <v>0</v>
      </c>
      <c r="F132" s="169"/>
    </row>
    <row r="133" spans="1:6" ht="15">
      <c r="A133" s="8" t="s">
        <v>67</v>
      </c>
      <c r="B133" s="9" t="s">
        <v>305</v>
      </c>
      <c r="C133" s="9" t="s">
        <v>8</v>
      </c>
      <c r="D133" s="168">
        <f>SUMIF('Phan tich KL VL,NC,M'!C$476:C$514,B133,'Phan tich KL VL,NC,M'!G$476:G$514)</f>
        <v>10.25</v>
      </c>
      <c r="E133" s="168">
        <f>'Gia NC,CM'!P10</f>
        <v>175978</v>
      </c>
      <c r="F133" s="169">
        <f>D133*E133</f>
        <v>1803774.5</v>
      </c>
    </row>
    <row r="134" spans="1:6" ht="15">
      <c r="A134" s="8" t="s">
        <v>70</v>
      </c>
      <c r="B134" s="9" t="s">
        <v>44</v>
      </c>
      <c r="C134" s="9" t="s">
        <v>8</v>
      </c>
      <c r="D134" s="168">
        <f>SUMIF('Phan tich KL VL,NC,M'!C$476:C$514,B134,'Phan tich KL VL,NC,M'!G$476:G$514)</f>
        <v>135.70999999999998</v>
      </c>
      <c r="E134" s="168">
        <f>'Gia NC,CM'!P11</f>
        <v>252200</v>
      </c>
      <c r="F134" s="169">
        <f>D134*E134</f>
        <v>34226061.99999999</v>
      </c>
    </row>
    <row r="135" spans="1:6" ht="15">
      <c r="A135" s="8" t="s">
        <v>78</v>
      </c>
      <c r="B135" s="9" t="s">
        <v>298</v>
      </c>
      <c r="C135" s="9" t="s">
        <v>8</v>
      </c>
      <c r="D135" s="168">
        <f>SUMIF('Phan tich KL VL,NC,M'!C$476:C$514,B135,'Phan tich KL VL,NC,M'!G$476:G$514)</f>
        <v>16.2</v>
      </c>
      <c r="E135" s="168">
        <f>'Gia NC,CM'!P12</f>
        <v>188805</v>
      </c>
      <c r="F135" s="169">
        <f>D135*E135</f>
        <v>3058641</v>
      </c>
    </row>
    <row r="136" spans="1:6" ht="15">
      <c r="A136" s="8" t="s">
        <v>84</v>
      </c>
      <c r="B136" s="9" t="s">
        <v>289</v>
      </c>
      <c r="C136" s="9" t="s">
        <v>8</v>
      </c>
      <c r="D136" s="168">
        <f>SUMIF('Phan tich KL VL,NC,M'!C$476:C$514,B136,'Phan tich KL VL,NC,M'!G$476:G$514)</f>
        <v>3.2724</v>
      </c>
      <c r="E136" s="168">
        <f>'Gia NC,CM'!P13</f>
        <v>259440.8</v>
      </c>
      <c r="F136" s="169">
        <f>D136*E136</f>
        <v>848994.07392</v>
      </c>
    </row>
    <row r="137" spans="1:6" ht="15">
      <c r="A137" s="8" t="s">
        <v>0</v>
      </c>
      <c r="B137" s="9" t="s">
        <v>0</v>
      </c>
      <c r="C137" s="9" t="s">
        <v>0</v>
      </c>
      <c r="D137" s="168">
        <f>SUMIF('Phan tich KL VL,NC,M'!C$476:C$514,B137,'Phan tich KL VL,NC,M'!G$476:G$514)</f>
        <v>0</v>
      </c>
      <c r="E137" s="168">
        <v>0</v>
      </c>
      <c r="F137" s="169"/>
    </row>
    <row r="138" spans="1:6" ht="15.75">
      <c r="A138" s="30" t="s">
        <v>0</v>
      </c>
      <c r="B138" s="31" t="s">
        <v>729</v>
      </c>
      <c r="C138" s="31" t="s">
        <v>0</v>
      </c>
      <c r="D138" s="166">
        <f>SUMIF('Phan tich KL VL,NC,M'!C$476:C$514,B138,'Phan tich KL VL,NC,M'!G$476:G$514)</f>
        <v>0</v>
      </c>
      <c r="E138" s="166">
        <v>0</v>
      </c>
      <c r="F138" s="167">
        <f>SUM(F139:F145)</f>
        <v>762131.68515</v>
      </c>
    </row>
    <row r="139" spans="1:6" ht="15">
      <c r="A139" s="8" t="s">
        <v>0</v>
      </c>
      <c r="B139" s="9" t="s">
        <v>0</v>
      </c>
      <c r="C139" s="9" t="s">
        <v>0</v>
      </c>
      <c r="D139" s="168">
        <f>SUMIF('Phan tich KL VL,NC,M'!C$476:C$514,B139,'Phan tich KL VL,NC,M'!G$476:G$514)</f>
        <v>0</v>
      </c>
      <c r="E139" s="168">
        <v>0</v>
      </c>
      <c r="F139" s="169"/>
    </row>
    <row r="140" spans="1:6" ht="15">
      <c r="A140" s="8" t="s">
        <v>86</v>
      </c>
      <c r="B140" s="9" t="s">
        <v>290</v>
      </c>
      <c r="C140" s="9" t="s">
        <v>10</v>
      </c>
      <c r="D140" s="168">
        <f>SUMIF('Phan tich KL VL,NC,M'!C$476:C$514,B140,'Phan tich KL VL,NC,M'!G$476:G$514)</f>
        <v>1.3635</v>
      </c>
      <c r="E140" s="168">
        <f>'Gia NC,CM'!P19</f>
        <v>12388.9</v>
      </c>
      <c r="F140" s="169">
        <f>D140*E140</f>
        <v>16892.26515</v>
      </c>
    </row>
    <row r="141" spans="1:6" ht="15">
      <c r="A141" s="8" t="s">
        <v>90</v>
      </c>
      <c r="B141" s="9" t="s">
        <v>299</v>
      </c>
      <c r="C141" s="9" t="s">
        <v>10</v>
      </c>
      <c r="D141" s="168">
        <f>SUMIF('Phan tich KL VL,NC,M'!C$476:C$514,B141,'Phan tich KL VL,NC,M'!G$476:G$514)</f>
        <v>0.54</v>
      </c>
      <c r="E141" s="168">
        <f>'Gia NC,CM'!P32</f>
        <v>1380073</v>
      </c>
      <c r="F141" s="169">
        <f>D141*E141</f>
        <v>745239.42</v>
      </c>
    </row>
    <row r="142" spans="1:6" ht="15">
      <c r="A142" s="8" t="s">
        <v>93</v>
      </c>
      <c r="B142" s="9" t="s">
        <v>300</v>
      </c>
      <c r="C142" s="9" t="s">
        <v>10</v>
      </c>
      <c r="D142" s="168">
        <f>SUMIF('Phan tich KL VL,NC,M'!C$476:C$514,B142,'Phan tich KL VL,NC,M'!G$476:G$514)</f>
        <v>0.4</v>
      </c>
      <c r="E142" s="168">
        <f>'Gia NC,CM'!P36</f>
        <v>0</v>
      </c>
      <c r="F142" s="169">
        <f>D142*E142</f>
        <v>0</v>
      </c>
    </row>
    <row r="143" spans="1:6" ht="15">
      <c r="A143" s="8" t="s">
        <v>0</v>
      </c>
      <c r="B143" s="9" t="s">
        <v>0</v>
      </c>
      <c r="C143" s="9" t="s">
        <v>0</v>
      </c>
      <c r="D143" s="168">
        <f>SUMIF('Phan tich KL VL,NC,M'!C$476:C$514,B143,'Phan tich KL VL,NC,M'!G$476:G$514)</f>
        <v>0</v>
      </c>
      <c r="E143" s="168">
        <v>0</v>
      </c>
      <c r="F143" s="169"/>
    </row>
    <row r="144" spans="1:6" ht="15.75">
      <c r="A144" s="30" t="s">
        <v>0</v>
      </c>
      <c r="B144" s="31" t="s">
        <v>324</v>
      </c>
      <c r="C144" s="31" t="s">
        <v>0</v>
      </c>
      <c r="D144" s="166">
        <f>SUMIF('Phan tich KL VL,NC,M'!C$514:C$562,B144,'Phan tich KL VL,NC,M'!G$514:G$562)</f>
        <v>0</v>
      </c>
      <c r="E144" s="166">
        <v>0</v>
      </c>
      <c r="F144" s="167"/>
    </row>
    <row r="145" spans="1:6" ht="15">
      <c r="A145" s="8" t="s">
        <v>0</v>
      </c>
      <c r="B145" s="9" t="s">
        <v>0</v>
      </c>
      <c r="C145" s="9" t="s">
        <v>0</v>
      </c>
      <c r="D145" s="168">
        <f>SUMIF('Phan tich KL VL,NC,M'!C$514:C$562,B145,'Phan tich KL VL,NC,M'!G$514:G$562)</f>
        <v>0</v>
      </c>
      <c r="E145" s="168">
        <v>0</v>
      </c>
      <c r="F145" s="169"/>
    </row>
    <row r="146" spans="1:6" ht="15.75">
      <c r="A146" s="30" t="s">
        <v>0</v>
      </c>
      <c r="B146" s="31" t="s">
        <v>731</v>
      </c>
      <c r="C146" s="31" t="s">
        <v>0</v>
      </c>
      <c r="D146" s="166">
        <f>SUMIF('Phan tich KL VL,NC,M'!C$514:C$562,B146,'Phan tich KL VL,NC,M'!G$514:G$562)</f>
        <v>0</v>
      </c>
      <c r="E146" s="166">
        <v>0</v>
      </c>
      <c r="F146" s="167">
        <f>SUM(F147:F157)</f>
        <v>11301803.066271149</v>
      </c>
    </row>
    <row r="147" spans="1:6" ht="15">
      <c r="A147" s="8" t="s">
        <v>0</v>
      </c>
      <c r="B147" s="9" t="s">
        <v>0</v>
      </c>
      <c r="C147" s="9" t="s">
        <v>0</v>
      </c>
      <c r="D147" s="168">
        <f>SUMIF('Phan tich KL VL,NC,M'!C$514:C$562,B147,'Phan tich KL VL,NC,M'!G$514:G$562)</f>
        <v>0</v>
      </c>
      <c r="E147" s="168">
        <v>0</v>
      </c>
      <c r="F147" s="169"/>
    </row>
    <row r="148" spans="1:6" ht="15">
      <c r="A148" s="8" t="s">
        <v>605</v>
      </c>
      <c r="B148" s="9" t="s">
        <v>609</v>
      </c>
      <c r="C148" s="9" t="s">
        <v>605</v>
      </c>
      <c r="D148" s="168">
        <f>100</f>
        <v>100</v>
      </c>
      <c r="E148" s="168">
        <v>33.1636</v>
      </c>
      <c r="F148" s="169">
        <f aca="true" t="shared" si="6" ref="F148:F156">D148*E148</f>
        <v>3316.36</v>
      </c>
    </row>
    <row r="149" spans="1:6" ht="15">
      <c r="A149" s="8" t="s">
        <v>2</v>
      </c>
      <c r="B149" s="9" t="s">
        <v>350</v>
      </c>
      <c r="C149" s="9" t="s">
        <v>329</v>
      </c>
      <c r="D149" s="168">
        <f>SUMIF('Phan tich KL VL,NC,M'!C$514:C$562,B149,'Phan tich KL VL,NC,M'!G$514:G$562)</f>
        <v>20</v>
      </c>
      <c r="E149" s="168">
        <f>'Gia VL'!Q12</f>
        <v>550000</v>
      </c>
      <c r="F149" s="169">
        <f t="shared" si="6"/>
        <v>11000000</v>
      </c>
    </row>
    <row r="150" spans="1:6" ht="15">
      <c r="A150" s="8" t="s">
        <v>11</v>
      </c>
      <c r="B150" s="9" t="s">
        <v>61</v>
      </c>
      <c r="C150" s="9" t="s">
        <v>22</v>
      </c>
      <c r="D150" s="168">
        <f>SUMIF('Phan tich KL VL,NC,M'!C$514:C$562,B150,'Phan tich KL VL,NC,M'!G$514:G$562)</f>
        <v>0.11900000000000001</v>
      </c>
      <c r="E150" s="168">
        <f>'Gia VL'!Q15</f>
        <v>359127.7</v>
      </c>
      <c r="F150" s="169">
        <f t="shared" si="6"/>
        <v>42736.1963</v>
      </c>
    </row>
    <row r="151" spans="1:6" ht="15">
      <c r="A151" s="8" t="s">
        <v>16</v>
      </c>
      <c r="B151" s="9" t="s">
        <v>21</v>
      </c>
      <c r="C151" s="9" t="s">
        <v>22</v>
      </c>
      <c r="D151" s="168">
        <f>SUMIF('Phan tich KL VL,NC,M'!C$514:C$562,B151,'Phan tich KL VL,NC,M'!G$514:G$562)</f>
        <v>0.0343785</v>
      </c>
      <c r="E151" s="168">
        <f>'Gia VL'!Q18</f>
        <v>379127.7</v>
      </c>
      <c r="F151" s="169">
        <f t="shared" si="6"/>
        <v>13033.84163445</v>
      </c>
    </row>
    <row r="152" spans="1:6" ht="15">
      <c r="A152" s="8" t="s">
        <v>28</v>
      </c>
      <c r="B152" s="9" t="s">
        <v>24</v>
      </c>
      <c r="C152" s="9" t="s">
        <v>22</v>
      </c>
      <c r="D152" s="168">
        <f>SUMIF('Phan tich KL VL,NC,M'!C$514:C$562,B152,'Phan tich KL VL,NC,M'!G$514:G$562)</f>
        <v>0.037462999999999996</v>
      </c>
      <c r="E152" s="168">
        <f>'Gia VL'!Q47</f>
        <v>9545.45</v>
      </c>
      <c r="F152" s="169">
        <f t="shared" si="6"/>
        <v>357.60119335</v>
      </c>
    </row>
    <row r="153" spans="1:6" ht="15">
      <c r="A153" s="8" t="s">
        <v>35</v>
      </c>
      <c r="B153" s="9" t="s">
        <v>19</v>
      </c>
      <c r="C153" s="9" t="s">
        <v>20</v>
      </c>
      <c r="D153" s="168">
        <f>SUMIF('Phan tich KL VL,NC,M'!C$514:C$562,B153,'Phan tich KL VL,NC,M'!G$514:G$562)</f>
        <v>38.2695</v>
      </c>
      <c r="E153" s="168">
        <f>ROUND('Gia VL'!Q67/1000,5)</f>
        <v>1637.6775</v>
      </c>
      <c r="F153" s="169">
        <f t="shared" si="6"/>
        <v>62673.099086250004</v>
      </c>
    </row>
    <row r="154" spans="1:6" ht="15">
      <c r="A154" s="8" t="s">
        <v>45</v>
      </c>
      <c r="B154" s="9" t="s">
        <v>328</v>
      </c>
      <c r="C154" s="9" t="s">
        <v>329</v>
      </c>
      <c r="D154" s="168">
        <f>SUMIF('Phan tich KL VL,NC,M'!C$514:C$562,B154,'Phan tich KL VL,NC,M'!G$514:G$562)</f>
        <v>2.96</v>
      </c>
      <c r="E154" s="168">
        <f>'Gia VL'!Q74</f>
        <v>36363.6</v>
      </c>
      <c r="F154" s="169">
        <f t="shared" si="6"/>
        <v>107636.256</v>
      </c>
    </row>
    <row r="155" spans="1:6" ht="15">
      <c r="A155" s="8" t="s">
        <v>48</v>
      </c>
      <c r="B155" s="9" t="s">
        <v>23</v>
      </c>
      <c r="C155" s="9" t="s">
        <v>22</v>
      </c>
      <c r="D155" s="168">
        <f>SUMIF('Phan tich KL VL,NC,M'!C$514:C$562,B155,'Phan tich KL VL,NC,M'!G$514:G$562)</f>
        <v>0.055719</v>
      </c>
      <c r="E155" s="168">
        <f>'Gia VL'!Q81</f>
        <v>248890.90000000002</v>
      </c>
      <c r="F155" s="169">
        <f t="shared" si="6"/>
        <v>13867.952057100001</v>
      </c>
    </row>
    <row r="156" spans="1:6" ht="15">
      <c r="A156" s="8" t="s">
        <v>52</v>
      </c>
      <c r="B156" s="9" t="s">
        <v>330</v>
      </c>
      <c r="C156" s="9" t="s">
        <v>329</v>
      </c>
      <c r="D156" s="168">
        <f>SUMIF('Phan tich KL VL,NC,M'!C$514:C$562,B156,'Phan tich KL VL,NC,M'!G$514:G$562)</f>
        <v>1.6</v>
      </c>
      <c r="E156" s="168">
        <f>'Gia VL'!Q84</f>
        <v>36363.6</v>
      </c>
      <c r="F156" s="169">
        <f t="shared" si="6"/>
        <v>58181.76</v>
      </c>
    </row>
    <row r="157" spans="1:6" ht="15">
      <c r="A157" s="8" t="s">
        <v>0</v>
      </c>
      <c r="B157" s="9" t="s">
        <v>0</v>
      </c>
      <c r="C157" s="9" t="s">
        <v>0</v>
      </c>
      <c r="D157" s="168">
        <f>SUMIF('Phan tich KL VL,NC,M'!C$514:C$562,B157,'Phan tich KL VL,NC,M'!G$514:G$562)</f>
        <v>0</v>
      </c>
      <c r="E157" s="168">
        <v>0</v>
      </c>
      <c r="F157" s="169"/>
    </row>
    <row r="158" spans="1:6" ht="15.75">
      <c r="A158" s="30" t="s">
        <v>0</v>
      </c>
      <c r="B158" s="31" t="s">
        <v>730</v>
      </c>
      <c r="C158" s="31" t="s">
        <v>0</v>
      </c>
      <c r="D158" s="166">
        <f>SUMIF('Phan tich KL VL,NC,M'!C$514:C$562,B158,'Phan tich KL VL,NC,M'!G$514:G$562)</f>
        <v>0</v>
      </c>
      <c r="E158" s="166">
        <v>0</v>
      </c>
      <c r="F158" s="167">
        <f>SUM(F159:F164)</f>
        <v>5325251.4311959995</v>
      </c>
    </row>
    <row r="159" spans="1:6" ht="15">
      <c r="A159" s="8" t="s">
        <v>0</v>
      </c>
      <c r="B159" s="9" t="s">
        <v>0</v>
      </c>
      <c r="C159" s="9" t="s">
        <v>0</v>
      </c>
      <c r="D159" s="168">
        <f>SUMIF('Phan tich KL VL,NC,M'!C$514:C$562,B159,'Phan tich KL VL,NC,M'!G$514:G$562)</f>
        <v>0</v>
      </c>
      <c r="E159" s="168">
        <v>0</v>
      </c>
      <c r="F159" s="169"/>
    </row>
    <row r="160" spans="1:6" ht="15">
      <c r="A160" s="8" t="s">
        <v>55</v>
      </c>
      <c r="B160" s="9" t="s">
        <v>7</v>
      </c>
      <c r="C160" s="9" t="s">
        <v>8</v>
      </c>
      <c r="D160" s="168">
        <f>SUMIF('Phan tich KL VL,NC,M'!C$514:C$562,B160,'Phan tich KL VL,NC,M'!G$514:G$562)</f>
        <v>0.09858000000000001</v>
      </c>
      <c r="E160" s="168">
        <f>'Gia NC,CM'!P8</f>
        <v>218559.2</v>
      </c>
      <c r="F160" s="169">
        <f>D160*E160</f>
        <v>21545.565936000003</v>
      </c>
    </row>
    <row r="161" spans="1:6" ht="15">
      <c r="A161" s="8" t="s">
        <v>63</v>
      </c>
      <c r="B161" s="9" t="s">
        <v>25</v>
      </c>
      <c r="C161" s="9" t="s">
        <v>8</v>
      </c>
      <c r="D161" s="168">
        <f>SUMIF('Phan tich KL VL,NC,M'!C$514:C$562,B161,'Phan tich KL VL,NC,M'!G$514:G$562)</f>
        <v>0.06420000000000001</v>
      </c>
      <c r="E161" s="168">
        <f>'Gia NC,CM'!P9</f>
        <v>230630.3</v>
      </c>
      <c r="F161" s="169">
        <f>D161*E161</f>
        <v>14806.46526</v>
      </c>
    </row>
    <row r="162" spans="1:6" ht="15">
      <c r="A162" s="8" t="s">
        <v>67</v>
      </c>
      <c r="B162" s="9" t="s">
        <v>44</v>
      </c>
      <c r="C162" s="9" t="s">
        <v>8</v>
      </c>
      <c r="D162" s="168">
        <f>SUMIF('Phan tich KL VL,NC,M'!C$514:C$562,B162,'Phan tich KL VL,NC,M'!G$514:G$562)</f>
        <v>18.799999999999997</v>
      </c>
      <c r="E162" s="168">
        <f>'Gia NC,CM'!P11</f>
        <v>252200</v>
      </c>
      <c r="F162" s="169">
        <f>D162*E162</f>
        <v>4741359.999999999</v>
      </c>
    </row>
    <row r="163" spans="1:6" ht="15">
      <c r="A163" s="8" t="s">
        <v>70</v>
      </c>
      <c r="B163" s="9" t="s">
        <v>99</v>
      </c>
      <c r="C163" s="9" t="s">
        <v>8</v>
      </c>
      <c r="D163" s="168">
        <f>SUMIF('Phan tich KL VL,NC,M'!C$514:C$562,B163,'Phan tich KL VL,NC,M'!G$514:G$562)</f>
        <v>2</v>
      </c>
      <c r="E163" s="168">
        <f>'Gia NC,CM'!P14</f>
        <v>273769.7</v>
      </c>
      <c r="F163" s="169">
        <f>D163*E163</f>
        <v>547539.4</v>
      </c>
    </row>
    <row r="164" spans="1:6" ht="15">
      <c r="A164" s="8" t="s">
        <v>0</v>
      </c>
      <c r="B164" s="9" t="s">
        <v>0</v>
      </c>
      <c r="C164" s="9" t="s">
        <v>0</v>
      </c>
      <c r="D164" s="168">
        <f>SUMIF('Phan tich KL VL,NC,M'!C$514:C$562,B164,'Phan tich KL VL,NC,M'!G$514:G$562)</f>
        <v>0</v>
      </c>
      <c r="E164" s="168">
        <v>0</v>
      </c>
      <c r="F164" s="169"/>
    </row>
    <row r="165" spans="1:6" ht="15.75">
      <c r="A165" s="30" t="s">
        <v>0</v>
      </c>
      <c r="B165" s="31" t="s">
        <v>729</v>
      </c>
      <c r="C165" s="31" t="s">
        <v>0</v>
      </c>
      <c r="D165" s="166">
        <f>SUMIF('Phan tich KL VL,NC,M'!C$514:C$562,B165,'Phan tich KL VL,NC,M'!G$514:G$562)</f>
        <v>0</v>
      </c>
      <c r="E165" s="166">
        <v>0</v>
      </c>
      <c r="F165" s="167">
        <f>SUM(F166:F177)</f>
        <v>337245.4651228</v>
      </c>
    </row>
    <row r="166" spans="1:6" ht="15">
      <c r="A166" s="8" t="s">
        <v>0</v>
      </c>
      <c r="B166" s="9" t="s">
        <v>0</v>
      </c>
      <c r="C166" s="9" t="s">
        <v>0</v>
      </c>
      <c r="D166" s="168">
        <f>SUMIF('Phan tich KL VL,NC,M'!C$514:C$562,B166,'Phan tich KL VL,NC,M'!G$514:G$562)</f>
        <v>0</v>
      </c>
      <c r="E166" s="168">
        <v>0</v>
      </c>
      <c r="F166" s="169"/>
    </row>
    <row r="167" spans="1:6" ht="15">
      <c r="A167" s="8" t="s">
        <v>605</v>
      </c>
      <c r="B167" s="9" t="s">
        <v>606</v>
      </c>
      <c r="C167" s="9" t="s">
        <v>605</v>
      </c>
      <c r="D167" s="168">
        <f>100</f>
        <v>100</v>
      </c>
      <c r="E167" s="168">
        <v>60.39358</v>
      </c>
      <c r="F167" s="169">
        <f aca="true" t="shared" si="7" ref="F167:F174">D167*E167</f>
        <v>6039.358</v>
      </c>
    </row>
    <row r="168" spans="1:6" ht="15">
      <c r="A168" s="8" t="s">
        <v>78</v>
      </c>
      <c r="B168" s="9" t="s">
        <v>331</v>
      </c>
      <c r="C168" s="9" t="s">
        <v>10</v>
      </c>
      <c r="D168" s="168">
        <f>SUMIF('Phan tich KL VL,NC,M'!C$514:C$562,B168,'Phan tich KL VL,NC,M'!G$514:G$562)</f>
        <v>4</v>
      </c>
      <c r="E168" s="168">
        <f>'Gia NC,CM'!P18</f>
        <v>26796</v>
      </c>
      <c r="F168" s="169">
        <f t="shared" si="7"/>
        <v>107184</v>
      </c>
    </row>
    <row r="169" spans="1:6" ht="15">
      <c r="A169" s="8" t="s">
        <v>84</v>
      </c>
      <c r="B169" s="9" t="s">
        <v>332</v>
      </c>
      <c r="C169" s="9" t="s">
        <v>10</v>
      </c>
      <c r="D169" s="168">
        <f>SUMIF('Phan tich KL VL,NC,M'!C$514:C$562,B169,'Phan tich KL VL,NC,M'!G$514:G$562)</f>
        <v>1.7999999999999998</v>
      </c>
      <c r="E169" s="168">
        <f>'Gia NC,CM'!P23</f>
        <v>7558.4</v>
      </c>
      <c r="F169" s="169">
        <f t="shared" si="7"/>
        <v>13605.119999999997</v>
      </c>
    </row>
    <row r="170" spans="1:6" ht="15">
      <c r="A170" s="8" t="s">
        <v>86</v>
      </c>
      <c r="B170" s="9" t="s">
        <v>26</v>
      </c>
      <c r="C170" s="9" t="s">
        <v>10</v>
      </c>
      <c r="D170" s="168">
        <f>SUMIF('Phan tich KL VL,NC,M'!C$514:C$562,B170,'Phan tich KL VL,NC,M'!G$514:G$562)</f>
        <v>0.0057</v>
      </c>
      <c r="E170" s="168">
        <f>'Gia NC,CM'!P25</f>
        <v>318885.3</v>
      </c>
      <c r="F170" s="169">
        <f t="shared" si="7"/>
        <v>1817.64621</v>
      </c>
    </row>
    <row r="171" spans="1:6" ht="15">
      <c r="A171" s="8" t="s">
        <v>90</v>
      </c>
      <c r="B171" s="9" t="s">
        <v>337</v>
      </c>
      <c r="C171" s="9" t="s">
        <v>10</v>
      </c>
      <c r="D171" s="168">
        <f>SUMIF('Phan tich KL VL,NC,M'!C$514:C$562,B171,'Phan tich KL VL,NC,M'!G$514:G$562)</f>
        <v>0.026399999999999996</v>
      </c>
      <c r="E171" s="168">
        <f>'Gia NC,CM'!P27</f>
        <v>4027374.5</v>
      </c>
      <c r="F171" s="169">
        <f t="shared" si="7"/>
        <v>106322.68679999998</v>
      </c>
    </row>
    <row r="172" spans="1:6" ht="15">
      <c r="A172" s="8" t="s">
        <v>93</v>
      </c>
      <c r="B172" s="9" t="s">
        <v>9</v>
      </c>
      <c r="C172" s="9" t="s">
        <v>10</v>
      </c>
      <c r="D172" s="168">
        <f>SUMIF('Phan tich KL VL,NC,M'!C$514:C$562,B172,'Phan tich KL VL,NC,M'!G$514:G$562)</f>
        <v>0.016146</v>
      </c>
      <c r="E172" s="168">
        <f>'Gia NC,CM'!P28</f>
        <v>1943332.9</v>
      </c>
      <c r="F172" s="169">
        <f t="shared" si="7"/>
        <v>31377.0530034</v>
      </c>
    </row>
    <row r="173" spans="1:6" ht="15">
      <c r="A173" s="8" t="s">
        <v>101</v>
      </c>
      <c r="B173" s="9" t="s">
        <v>27</v>
      </c>
      <c r="C173" s="9" t="s">
        <v>10</v>
      </c>
      <c r="D173" s="168">
        <f>SUMIF('Phan tich KL VL,NC,M'!C$514:C$562,B173,'Phan tich KL VL,NC,M'!G$514:G$562)</f>
        <v>0.005339999999999999</v>
      </c>
      <c r="E173" s="168">
        <f>'Gia NC,CM'!P29</f>
        <v>270954</v>
      </c>
      <c r="F173" s="169">
        <f t="shared" si="7"/>
        <v>1446.8943599999998</v>
      </c>
    </row>
    <row r="174" spans="1:6" ht="15">
      <c r="A174" s="8" t="s">
        <v>107</v>
      </c>
      <c r="B174" s="9" t="s">
        <v>355</v>
      </c>
      <c r="C174" s="9" t="s">
        <v>10</v>
      </c>
      <c r="D174" s="168">
        <f>SUMIF('Phan tich KL VL,NC,M'!C$514:C$562,B174,'Phan tich KL VL,NC,M'!G$514:G$562)</f>
        <v>0.043182</v>
      </c>
      <c r="E174" s="168">
        <f>'Gia NC,CM'!P33</f>
        <v>1608371.7</v>
      </c>
      <c r="F174" s="169">
        <f t="shared" si="7"/>
        <v>69452.7067494</v>
      </c>
    </row>
    <row r="175" spans="1:6" ht="15">
      <c r="A175" s="8" t="s">
        <v>0</v>
      </c>
      <c r="B175" s="9" t="s">
        <v>0</v>
      </c>
      <c r="C175" s="9" t="s">
        <v>0</v>
      </c>
      <c r="D175" s="168">
        <f>SUMIF('Phan tich KL VL,NC,M'!C$514:C$562,B175,'Phan tich KL VL,NC,M'!G$514:G$562)</f>
        <v>0</v>
      </c>
      <c r="E175" s="168">
        <v>0</v>
      </c>
      <c r="F175" s="169"/>
    </row>
    <row r="176" spans="1:6" ht="15.75">
      <c r="A176" s="30" t="s">
        <v>0</v>
      </c>
      <c r="B176" s="31" t="s">
        <v>360</v>
      </c>
      <c r="C176" s="31" t="s">
        <v>0</v>
      </c>
      <c r="D176" s="166">
        <f>SUMIF('Phan tich KL VL,NC,M'!C$562:C$577,B176,'Phan tich KL VL,NC,M'!G$562:G$577)</f>
        <v>0</v>
      </c>
      <c r="E176" s="166">
        <v>0</v>
      </c>
      <c r="F176" s="167"/>
    </row>
    <row r="177" spans="1:6" ht="15">
      <c r="A177" s="8" t="s">
        <v>0</v>
      </c>
      <c r="B177" s="9" t="s">
        <v>0</v>
      </c>
      <c r="C177" s="9" t="s">
        <v>0</v>
      </c>
      <c r="D177" s="168">
        <f>SUMIF('Phan tich KL VL,NC,M'!C$562:C$577,B177,'Phan tich KL VL,NC,M'!G$562:G$577)</f>
        <v>0</v>
      </c>
      <c r="E177" s="168">
        <v>0</v>
      </c>
      <c r="F177" s="169"/>
    </row>
    <row r="178" spans="1:6" ht="15.75">
      <c r="A178" s="30" t="s">
        <v>0</v>
      </c>
      <c r="B178" s="31" t="s">
        <v>731</v>
      </c>
      <c r="C178" s="31" t="s">
        <v>0</v>
      </c>
      <c r="D178" s="166">
        <f>SUMIF('Phan tich KL VL,NC,M'!C$562:C$577,B178,'Phan tich KL VL,NC,M'!G$562:G$577)</f>
        <v>0</v>
      </c>
      <c r="E178" s="166">
        <v>0</v>
      </c>
      <c r="F178" s="167">
        <f>SUM(F179:F186)</f>
        <v>3358724.9499133406</v>
      </c>
    </row>
    <row r="179" spans="1:6" ht="15">
      <c r="A179" s="8" t="s">
        <v>0</v>
      </c>
      <c r="B179" s="9" t="s">
        <v>0</v>
      </c>
      <c r="C179" s="9" t="s">
        <v>0</v>
      </c>
      <c r="D179" s="168">
        <f>SUMIF('Phan tich KL VL,NC,M'!C$562:C$577,B179,'Phan tich KL VL,NC,M'!G$562:G$577)</f>
        <v>0</v>
      </c>
      <c r="E179" s="168">
        <v>0</v>
      </c>
      <c r="F179" s="169"/>
    </row>
    <row r="180" spans="1:6" ht="15">
      <c r="A180" s="8" t="s">
        <v>605</v>
      </c>
      <c r="B180" s="9" t="s">
        <v>609</v>
      </c>
      <c r="C180" s="9" t="s">
        <v>605</v>
      </c>
      <c r="D180" s="168">
        <f>100</f>
        <v>100</v>
      </c>
      <c r="E180" s="168">
        <v>2329.48965</v>
      </c>
      <c r="F180" s="169">
        <f aca="true" t="shared" si="8" ref="F180:F185">D180*E180</f>
        <v>232948.965</v>
      </c>
    </row>
    <row r="181" spans="1:6" ht="15">
      <c r="A181" s="8" t="s">
        <v>2</v>
      </c>
      <c r="B181" s="9" t="s">
        <v>322</v>
      </c>
      <c r="C181" s="9" t="s">
        <v>323</v>
      </c>
      <c r="D181" s="168">
        <f>SUMIF('Phan tich KL VL,NC,M'!C$562:C$577,B181,'Phan tich KL VL,NC,M'!G$562:G$577)</f>
        <v>19.464778000000003</v>
      </c>
      <c r="E181" s="168">
        <f>'Gia VL'!Q14</f>
        <v>81818.18</v>
      </c>
      <c r="F181" s="169">
        <f t="shared" si="8"/>
        <v>1592572.71006404</v>
      </c>
    </row>
    <row r="182" spans="1:6" ht="15">
      <c r="A182" s="8" t="s">
        <v>11</v>
      </c>
      <c r="B182" s="9" t="s">
        <v>227</v>
      </c>
      <c r="C182" s="9" t="s">
        <v>20</v>
      </c>
      <c r="D182" s="168">
        <f>SUMIF('Phan tich KL VL,NC,M'!C$562:C$577,B182,'Phan tich KL VL,NC,M'!G$562:G$577)</f>
        <v>34.371</v>
      </c>
      <c r="E182" s="168">
        <f>ROUND('Gia VL'!Q25/1000,5)</f>
        <v>20454.5455</v>
      </c>
      <c r="F182" s="169">
        <f t="shared" si="8"/>
        <v>703043.1833805001</v>
      </c>
    </row>
    <row r="183" spans="1:6" ht="15">
      <c r="A183" s="8" t="s">
        <v>16</v>
      </c>
      <c r="B183" s="9" t="s">
        <v>40</v>
      </c>
      <c r="C183" s="9" t="s">
        <v>22</v>
      </c>
      <c r="D183" s="168">
        <f>SUMIF('Phan tich KL VL,NC,M'!C$562:C$577,B183,'Phan tich KL VL,NC,M'!G$562:G$577)</f>
        <v>0.12663</v>
      </c>
      <c r="E183" s="168">
        <f>'Gia VL'!Q36</f>
        <v>4110579.4</v>
      </c>
      <c r="F183" s="169">
        <f t="shared" si="8"/>
        <v>520522.66942199995</v>
      </c>
    </row>
    <row r="184" spans="1:6" ht="15">
      <c r="A184" s="8" t="s">
        <v>28</v>
      </c>
      <c r="B184" s="9" t="s">
        <v>228</v>
      </c>
      <c r="C184" s="9" t="s">
        <v>20</v>
      </c>
      <c r="D184" s="168">
        <f>SUMIF('Phan tich KL VL,NC,M'!C$562:C$577,B184,'Phan tich KL VL,NC,M'!G$562:G$577)</f>
        <v>10.854</v>
      </c>
      <c r="E184" s="168">
        <f>ROUND('Gia VL'!Q58/1000,5)</f>
        <v>20454.5455</v>
      </c>
      <c r="F184" s="169">
        <f t="shared" si="8"/>
        <v>222013.63685699998</v>
      </c>
    </row>
    <row r="185" spans="1:6" ht="15">
      <c r="A185" s="8" t="s">
        <v>35</v>
      </c>
      <c r="B185" s="9" t="s">
        <v>81</v>
      </c>
      <c r="C185" s="9" t="s">
        <v>20</v>
      </c>
      <c r="D185" s="168">
        <f>SUMIF('Phan tich KL VL,NC,M'!C$562:C$577,B185,'Phan tich KL VL,NC,M'!G$562:G$577)</f>
        <v>5.427</v>
      </c>
      <c r="E185" s="168">
        <f>ROUND('Gia VL'!Q61/1000,5)</f>
        <v>16145.8974</v>
      </c>
      <c r="F185" s="169">
        <f t="shared" si="8"/>
        <v>87623.7851898</v>
      </c>
    </row>
    <row r="186" spans="1:6" ht="15">
      <c r="A186" s="8" t="s">
        <v>0</v>
      </c>
      <c r="B186" s="9" t="s">
        <v>0</v>
      </c>
      <c r="C186" s="9" t="s">
        <v>0</v>
      </c>
      <c r="D186" s="168">
        <f>SUMIF('Phan tich KL VL,NC,M'!C$562:C$577,B186,'Phan tich KL VL,NC,M'!G$562:G$577)</f>
        <v>0</v>
      </c>
      <c r="E186" s="168">
        <v>0</v>
      </c>
      <c r="F186" s="169"/>
    </row>
    <row r="187" spans="1:6" ht="15.75">
      <c r="A187" s="30" t="s">
        <v>0</v>
      </c>
      <c r="B187" s="31" t="s">
        <v>730</v>
      </c>
      <c r="C187" s="31" t="s">
        <v>0</v>
      </c>
      <c r="D187" s="166">
        <f>SUMIF('Phan tich KL VL,NC,M'!C$562:C$577,B187,'Phan tich KL VL,NC,M'!G$562:G$577)</f>
        <v>0</v>
      </c>
      <c r="E187" s="166">
        <v>0</v>
      </c>
      <c r="F187" s="167">
        <f>SUM(F188:F192)</f>
        <v>15082012.673780002</v>
      </c>
    </row>
    <row r="188" spans="1:6" ht="15">
      <c r="A188" s="8" t="s">
        <v>0</v>
      </c>
      <c r="B188" s="9" t="s">
        <v>0</v>
      </c>
      <c r="C188" s="9" t="s">
        <v>0</v>
      </c>
      <c r="D188" s="168">
        <f>SUMIF('Phan tich KL VL,NC,M'!C$562:C$577,B188,'Phan tich KL VL,NC,M'!G$562:G$577)</f>
        <v>0</v>
      </c>
      <c r="E188" s="168">
        <v>0</v>
      </c>
      <c r="F188" s="169"/>
    </row>
    <row r="189" spans="1:6" ht="15">
      <c r="A189" s="8" t="s">
        <v>45</v>
      </c>
      <c r="B189" s="9" t="s">
        <v>44</v>
      </c>
      <c r="C189" s="9" t="s">
        <v>8</v>
      </c>
      <c r="D189" s="168">
        <f>SUMIF('Phan tich KL VL,NC,M'!C$562:C$577,B189,'Phan tich KL VL,NC,M'!G$562:G$577)</f>
        <v>59.801794900000004</v>
      </c>
      <c r="E189" s="168">
        <f>'Gia NC,CM'!P11</f>
        <v>252200</v>
      </c>
      <c r="F189" s="169">
        <f>D189*E189</f>
        <v>15082012.673780002</v>
      </c>
    </row>
    <row r="190" spans="1:6" ht="15">
      <c r="A190" s="8" t="s">
        <v>0</v>
      </c>
      <c r="B190" s="9" t="s">
        <v>0</v>
      </c>
      <c r="C190" s="9" t="s">
        <v>0</v>
      </c>
      <c r="D190" s="168">
        <f>SUMIF('Phan tich KL VL,NC,M'!C$562:C$577,B190,'Phan tich KL VL,NC,M'!G$562:G$577)</f>
        <v>0</v>
      </c>
      <c r="E190" s="168">
        <v>0</v>
      </c>
      <c r="F190" s="169"/>
    </row>
    <row r="191" spans="1:6" ht="15.75">
      <c r="A191" s="30" t="s">
        <v>0</v>
      </c>
      <c r="B191" s="31" t="s">
        <v>364</v>
      </c>
      <c r="C191" s="31" t="s">
        <v>0</v>
      </c>
      <c r="D191" s="166">
        <f>SUMIF('Phan tich KL VL,NC,M'!C$577:C$687,B191,'Phan tich KL VL,NC,M'!G$577:G$687)</f>
        <v>0</v>
      </c>
      <c r="E191" s="166">
        <v>0</v>
      </c>
      <c r="F191" s="167"/>
    </row>
    <row r="192" spans="1:6" ht="15">
      <c r="A192" s="8" t="s">
        <v>0</v>
      </c>
      <c r="B192" s="9" t="s">
        <v>0</v>
      </c>
      <c r="C192" s="9" t="s">
        <v>0</v>
      </c>
      <c r="D192" s="168">
        <f>SUMIF('Phan tich KL VL,NC,M'!C$577:C$687,B192,'Phan tich KL VL,NC,M'!G$577:G$687)</f>
        <v>0</v>
      </c>
      <c r="E192" s="168">
        <v>0</v>
      </c>
      <c r="F192" s="169"/>
    </row>
    <row r="193" spans="1:6" ht="15.75">
      <c r="A193" s="30" t="s">
        <v>0</v>
      </c>
      <c r="B193" s="31" t="s">
        <v>731</v>
      </c>
      <c r="C193" s="31" t="s">
        <v>0</v>
      </c>
      <c r="D193" s="166">
        <f>SUMIF('Phan tich KL VL,NC,M'!C$577:C$687,B193,'Phan tich KL VL,NC,M'!G$577:G$687)</f>
        <v>0</v>
      </c>
      <c r="E193" s="166">
        <v>0</v>
      </c>
      <c r="F193" s="167">
        <f>SUM(F194:F195)</f>
        <v>0</v>
      </c>
    </row>
    <row r="194" spans="1:6" ht="15">
      <c r="A194" s="8" t="s">
        <v>0</v>
      </c>
      <c r="B194" s="9" t="s">
        <v>0</v>
      </c>
      <c r="C194" s="9" t="s">
        <v>0</v>
      </c>
      <c r="D194" s="168">
        <f>SUMIF('Phan tich KL VL,NC,M'!C$577:C$687,B194,'Phan tich KL VL,NC,M'!G$577:G$687)</f>
        <v>0</v>
      </c>
      <c r="E194" s="168">
        <v>0</v>
      </c>
      <c r="F194" s="169"/>
    </row>
    <row r="195" spans="1:6" ht="15">
      <c r="A195" s="8" t="s">
        <v>0</v>
      </c>
      <c r="B195" s="9" t="s">
        <v>0</v>
      </c>
      <c r="C195" s="9" t="s">
        <v>0</v>
      </c>
      <c r="D195" s="168">
        <f>SUMIF('Phan tich KL VL,NC,M'!C$577:C$687,B195,'Phan tich KL VL,NC,M'!G$577:G$687)</f>
        <v>0</v>
      </c>
      <c r="E195" s="168">
        <v>0</v>
      </c>
      <c r="F195" s="169"/>
    </row>
    <row r="196" spans="1:6" ht="15.75">
      <c r="A196" s="30" t="s">
        <v>0</v>
      </c>
      <c r="B196" s="31" t="s">
        <v>730</v>
      </c>
      <c r="C196" s="31" t="s">
        <v>0</v>
      </c>
      <c r="D196" s="166">
        <f>SUMIF('Phan tich KL VL,NC,M'!C$577:C$687,B196,'Phan tich KL VL,NC,M'!G$577:G$687)</f>
        <v>0</v>
      </c>
      <c r="E196" s="166">
        <v>0</v>
      </c>
      <c r="F196" s="167">
        <f>SUM(F197:F199)</f>
        <v>198888.872</v>
      </c>
    </row>
    <row r="197" spans="1:6" ht="15">
      <c r="A197" s="8" t="s">
        <v>0</v>
      </c>
      <c r="B197" s="9" t="s">
        <v>0</v>
      </c>
      <c r="C197" s="9" t="s">
        <v>0</v>
      </c>
      <c r="D197" s="168">
        <f>SUMIF('Phan tich KL VL,NC,M'!C$577:C$687,B197,'Phan tich KL VL,NC,M'!G$577:G$687)</f>
        <v>0</v>
      </c>
      <c r="E197" s="168">
        <v>0</v>
      </c>
      <c r="F197" s="169"/>
    </row>
    <row r="198" spans="1:6" ht="15">
      <c r="A198" s="8" t="s">
        <v>2</v>
      </c>
      <c r="B198" s="9" t="s">
        <v>7</v>
      </c>
      <c r="C198" s="9" t="s">
        <v>8</v>
      </c>
      <c r="D198" s="168">
        <f>SUMIF('Phan tich KL VL,NC,M'!C$577:C$687,B198,'Phan tich KL VL,NC,M'!G$577:G$687)</f>
        <v>0.9099999999999999</v>
      </c>
      <c r="E198" s="168">
        <f>'Gia NC,CM'!P8</f>
        <v>218559.2</v>
      </c>
      <c r="F198" s="169">
        <f>D198*E198</f>
        <v>198888.872</v>
      </c>
    </row>
    <row r="199" spans="1:6" ht="15">
      <c r="A199" s="8" t="s">
        <v>0</v>
      </c>
      <c r="B199" s="9" t="s">
        <v>0</v>
      </c>
      <c r="C199" s="9" t="s">
        <v>0</v>
      </c>
      <c r="D199" s="168">
        <f>SUMIF('Phan tich KL VL,NC,M'!C$577:C$687,B199,'Phan tich KL VL,NC,M'!G$577:G$687)</f>
        <v>0</v>
      </c>
      <c r="E199" s="168">
        <v>0</v>
      </c>
      <c r="F199" s="169"/>
    </row>
    <row r="200" spans="1:6" ht="15.75">
      <c r="A200" s="30" t="s">
        <v>0</v>
      </c>
      <c r="B200" s="31" t="s">
        <v>729</v>
      </c>
      <c r="C200" s="31" t="s">
        <v>0</v>
      </c>
      <c r="D200" s="166">
        <f>SUMIF('Phan tich KL VL,NC,M'!C$577:C$687,B200,'Phan tich KL VL,NC,M'!G$577:G$687)</f>
        <v>0</v>
      </c>
      <c r="E200" s="166">
        <v>0</v>
      </c>
      <c r="F200" s="167">
        <f>SUM(F201:F203)</f>
        <v>966037.7814000002</v>
      </c>
    </row>
    <row r="201" spans="1:6" ht="15">
      <c r="A201" s="8" t="s">
        <v>0</v>
      </c>
      <c r="B201" s="9" t="s">
        <v>0</v>
      </c>
      <c r="C201" s="9" t="s">
        <v>0</v>
      </c>
      <c r="D201" s="168">
        <f>SUMIF('Phan tich KL VL,NC,M'!C$577:C$687,B201,'Phan tich KL VL,NC,M'!G$577:G$687)</f>
        <v>0</v>
      </c>
      <c r="E201" s="168">
        <v>0</v>
      </c>
      <c r="F201" s="169"/>
    </row>
    <row r="202" spans="1:6" ht="15">
      <c r="A202" s="8" t="s">
        <v>11</v>
      </c>
      <c r="B202" s="9" t="s">
        <v>387</v>
      </c>
      <c r="C202" s="9" t="s">
        <v>10</v>
      </c>
      <c r="D202" s="168">
        <f>SUMIF('Phan tich KL VL,NC,M'!C$577:C$687,B202,'Phan tich KL VL,NC,M'!G$577:G$687)</f>
        <v>0.13699999999999998</v>
      </c>
      <c r="E202" s="168">
        <f>'Gia NC,CM'!P34</f>
        <v>1906363</v>
      </c>
      <c r="F202" s="169">
        <f>D202*E202</f>
        <v>261171.73099999997</v>
      </c>
    </row>
    <row r="203" spans="1:6" ht="15.75" thickBot="1">
      <c r="A203" s="12" t="s">
        <v>16</v>
      </c>
      <c r="B203" s="13" t="s">
        <v>405</v>
      </c>
      <c r="C203" s="13" t="s">
        <v>10</v>
      </c>
      <c r="D203" s="170">
        <f>SUMIF('Phan tich KL VL,NC,M'!C$577:C$687,B203,'Phan tich KL VL,NC,M'!G$577:G$687)</f>
        <v>0.5090000000000001</v>
      </c>
      <c r="E203" s="170">
        <f>'Gia NC,CM'!P35</f>
        <v>1384805.6</v>
      </c>
      <c r="F203" s="171">
        <f>D203*E203</f>
        <v>704866.0504000002</v>
      </c>
    </row>
  </sheetData>
  <sheetProtection/>
  <mergeCells count="4">
    <mergeCell ref="A1:F1"/>
    <mergeCell ref="A3:F3"/>
    <mergeCell ref="A4:F4"/>
    <mergeCell ref="A5:F5"/>
  </mergeCells>
  <printOptions horizontalCentered="1"/>
  <pageMargins left="0.75" right="0.5" top="0.75" bottom="0.75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88"/>
  <sheetViews>
    <sheetView showZeros="0" zoomScalePageLayoutView="0" workbookViewId="0" topLeftCell="A1">
      <selection activeCell="A1" sqref="A1:G1"/>
    </sheetView>
  </sheetViews>
  <sheetFormatPr defaultColWidth="8.796875" defaultRowHeight="15"/>
  <cols>
    <col min="1" max="1" width="3.69921875" style="6" customWidth="1"/>
    <col min="2" max="2" width="9.69921875" style="6" customWidth="1"/>
    <col min="3" max="3" width="29.69921875" style="6" customWidth="1"/>
    <col min="4" max="4" width="5.09765625" style="6" customWidth="1"/>
    <col min="5" max="6" width="10.69921875" style="176" customWidth="1"/>
    <col min="7" max="7" width="13.5" style="176" customWidth="1"/>
    <col min="8" max="16384" width="9" style="6" customWidth="1"/>
  </cols>
  <sheetData>
    <row r="1" spans="1:7" ht="21">
      <c r="A1" s="195" t="s">
        <v>804</v>
      </c>
      <c r="B1" s="195"/>
      <c r="C1" s="195"/>
      <c r="D1" s="195"/>
      <c r="E1" s="195"/>
      <c r="F1" s="195"/>
      <c r="G1" s="195"/>
    </row>
    <row r="2" spans="1:7" ht="15.75">
      <c r="A2" s="2"/>
      <c r="B2" s="2"/>
      <c r="C2" s="2"/>
      <c r="D2" s="2"/>
      <c r="E2" s="3"/>
      <c r="F2" s="3"/>
      <c r="G2" s="3"/>
    </row>
    <row r="3" spans="1:7" s="29" customFormat="1" ht="16.5">
      <c r="A3" s="192" t="s">
        <v>735</v>
      </c>
      <c r="B3" s="192"/>
      <c r="C3" s="192"/>
      <c r="D3" s="192"/>
      <c r="E3" s="192"/>
      <c r="F3" s="192"/>
      <c r="G3" s="192"/>
    </row>
    <row r="4" spans="1:7" s="29" customFormat="1" ht="16.5">
      <c r="A4" s="192" t="s">
        <v>736</v>
      </c>
      <c r="B4" s="192"/>
      <c r="C4" s="192"/>
      <c r="D4" s="192"/>
      <c r="E4" s="192"/>
      <c r="F4" s="192"/>
      <c r="G4" s="192"/>
    </row>
    <row r="5" spans="1:7" s="29" customFormat="1" ht="16.5">
      <c r="A5" s="192" t="s">
        <v>737</v>
      </c>
      <c r="B5" s="192"/>
      <c r="C5" s="192"/>
      <c r="D5" s="192"/>
      <c r="E5" s="192"/>
      <c r="F5" s="192"/>
      <c r="G5" s="192"/>
    </row>
    <row r="6" spans="1:7" ht="16.5" thickBot="1">
      <c r="A6" s="2"/>
      <c r="B6" s="2"/>
      <c r="C6" s="2"/>
      <c r="D6" s="2"/>
      <c r="E6" s="3"/>
      <c r="F6" s="3"/>
      <c r="G6" s="3"/>
    </row>
    <row r="7" spans="1:7" ht="45" customHeight="1">
      <c r="A7" s="24" t="s">
        <v>463</v>
      </c>
      <c r="B7" s="26" t="s">
        <v>748</v>
      </c>
      <c r="C7" s="25" t="s">
        <v>749</v>
      </c>
      <c r="D7" s="26" t="s">
        <v>758</v>
      </c>
      <c r="E7" s="185" t="s">
        <v>803</v>
      </c>
      <c r="F7" s="185" t="s">
        <v>759</v>
      </c>
      <c r="G7" s="186" t="s">
        <v>800</v>
      </c>
    </row>
    <row r="8" spans="1:7" ht="15.75">
      <c r="A8" s="33" t="s">
        <v>0</v>
      </c>
      <c r="B8" s="34" t="s">
        <v>0</v>
      </c>
      <c r="C8" s="34" t="s">
        <v>1</v>
      </c>
      <c r="D8" s="34" t="s">
        <v>0</v>
      </c>
      <c r="E8" s="183"/>
      <c r="F8" s="183"/>
      <c r="G8" s="184"/>
    </row>
    <row r="9" spans="1:7" ht="15">
      <c r="A9" s="8" t="s">
        <v>0</v>
      </c>
      <c r="B9" s="9" t="s">
        <v>0</v>
      </c>
      <c r="C9" s="9" t="s">
        <v>0</v>
      </c>
      <c r="D9" s="9" t="s">
        <v>0</v>
      </c>
      <c r="E9" s="179"/>
      <c r="F9" s="179"/>
      <c r="G9" s="180"/>
    </row>
    <row r="10" spans="1:7" ht="15">
      <c r="A10" s="8" t="s">
        <v>2</v>
      </c>
      <c r="B10" s="9" t="s">
        <v>3</v>
      </c>
      <c r="C10" s="9" t="s">
        <v>4</v>
      </c>
      <c r="D10" s="9" t="s">
        <v>5</v>
      </c>
      <c r="E10" s="179">
        <f>'Du toan chi tiet'!E10</f>
        <v>71.9556</v>
      </c>
      <c r="F10" s="179"/>
      <c r="G10" s="180"/>
    </row>
    <row r="11" spans="1:7" ht="15">
      <c r="A11" s="8" t="s">
        <v>0</v>
      </c>
      <c r="B11" s="9" t="s">
        <v>0</v>
      </c>
      <c r="C11" s="9" t="s">
        <v>6</v>
      </c>
      <c r="D11" s="9" t="s">
        <v>0</v>
      </c>
      <c r="E11" s="179"/>
      <c r="F11" s="179"/>
      <c r="G11" s="180"/>
    </row>
    <row r="12" spans="1:7" ht="15">
      <c r="A12" s="8" t="s">
        <v>0</v>
      </c>
      <c r="B12" s="9" t="s">
        <v>0</v>
      </c>
      <c r="C12" s="9" t="s">
        <v>7</v>
      </c>
      <c r="D12" s="9" t="s">
        <v>8</v>
      </c>
      <c r="E12" s="179"/>
      <c r="F12" s="179">
        <f>0.0461</f>
        <v>0.0461</v>
      </c>
      <c r="G12" s="180">
        <f>E10*F12</f>
        <v>3.31715316</v>
      </c>
    </row>
    <row r="13" spans="1:7" ht="15">
      <c r="A13" s="8" t="s">
        <v>0</v>
      </c>
      <c r="B13" s="9" t="s">
        <v>0</v>
      </c>
      <c r="C13" s="9" t="s">
        <v>9</v>
      </c>
      <c r="D13" s="9" t="s">
        <v>10</v>
      </c>
      <c r="E13" s="179"/>
      <c r="F13" s="179">
        <f>0.00897</f>
        <v>0.00897</v>
      </c>
      <c r="G13" s="180">
        <f>E10*F13</f>
        <v>0.6454417320000001</v>
      </c>
    </row>
    <row r="14" spans="1:7" ht="15">
      <c r="A14" s="8" t="s">
        <v>0</v>
      </c>
      <c r="B14" s="9" t="s">
        <v>0</v>
      </c>
      <c r="C14" s="9" t="s">
        <v>0</v>
      </c>
      <c r="D14" s="9" t="s">
        <v>0</v>
      </c>
      <c r="E14" s="179"/>
      <c r="F14" s="179"/>
      <c r="G14" s="180"/>
    </row>
    <row r="15" spans="1:7" ht="15">
      <c r="A15" s="8" t="s">
        <v>11</v>
      </c>
      <c r="B15" s="9" t="s">
        <v>12</v>
      </c>
      <c r="C15" s="9" t="s">
        <v>13</v>
      </c>
      <c r="D15" s="9" t="s">
        <v>5</v>
      </c>
      <c r="E15" s="179">
        <f>'Du toan chi tiet'!E12</f>
        <v>52.502</v>
      </c>
      <c r="F15" s="179"/>
      <c r="G15" s="180"/>
    </row>
    <row r="16" spans="1:7" ht="15">
      <c r="A16" s="8" t="s">
        <v>0</v>
      </c>
      <c r="B16" s="9" t="s">
        <v>0</v>
      </c>
      <c r="C16" s="9" t="s">
        <v>14</v>
      </c>
      <c r="D16" s="9" t="s">
        <v>0</v>
      </c>
      <c r="E16" s="179"/>
      <c r="F16" s="179"/>
      <c r="G16" s="180"/>
    </row>
    <row r="17" spans="1:7" ht="15">
      <c r="A17" s="8" t="s">
        <v>0</v>
      </c>
      <c r="B17" s="9" t="s">
        <v>0</v>
      </c>
      <c r="C17" s="9" t="s">
        <v>7</v>
      </c>
      <c r="D17" s="9" t="s">
        <v>8</v>
      </c>
      <c r="E17" s="179"/>
      <c r="F17" s="179">
        <f>0.0539</f>
        <v>0.0539</v>
      </c>
      <c r="G17" s="180">
        <f>E15*F17</f>
        <v>2.8298578000000005</v>
      </c>
    </row>
    <row r="18" spans="1:7" ht="15">
      <c r="A18" s="8" t="s">
        <v>0</v>
      </c>
      <c r="B18" s="9" t="s">
        <v>0</v>
      </c>
      <c r="C18" s="9" t="s">
        <v>15</v>
      </c>
      <c r="D18" s="9" t="s">
        <v>10</v>
      </c>
      <c r="E18" s="179"/>
      <c r="F18" s="179">
        <f>0.0335</f>
        <v>0.0335</v>
      </c>
      <c r="G18" s="180">
        <f>E15*F18</f>
        <v>1.7588170000000003</v>
      </c>
    </row>
    <row r="19" spans="1:7" ht="15">
      <c r="A19" s="8" t="s">
        <v>0</v>
      </c>
      <c r="B19" s="9" t="s">
        <v>0</v>
      </c>
      <c r="C19" s="9" t="s">
        <v>0</v>
      </c>
      <c r="D19" s="9" t="s">
        <v>0</v>
      </c>
      <c r="E19" s="179"/>
      <c r="F19" s="179"/>
      <c r="G19" s="180"/>
    </row>
    <row r="20" spans="1:7" ht="15">
      <c r="A20" s="8" t="s">
        <v>16</v>
      </c>
      <c r="B20" s="9" t="s">
        <v>17</v>
      </c>
      <c r="C20" s="9" t="s">
        <v>18</v>
      </c>
      <c r="D20" s="9" t="s">
        <v>5</v>
      </c>
      <c r="E20" s="179">
        <f>'Du toan chi tiet'!E14</f>
        <v>5.356</v>
      </c>
      <c r="F20" s="179"/>
      <c r="G20" s="180"/>
    </row>
    <row r="21" spans="1:7" ht="15">
      <c r="A21" s="8" t="s">
        <v>0</v>
      </c>
      <c r="B21" s="9" t="s">
        <v>0</v>
      </c>
      <c r="C21" s="9" t="s">
        <v>19</v>
      </c>
      <c r="D21" s="9" t="s">
        <v>20</v>
      </c>
      <c r="E21" s="179"/>
      <c r="F21" s="179">
        <f>197.825</f>
        <v>197.825</v>
      </c>
      <c r="G21" s="180">
        <f>E20*F21</f>
        <v>1059.5507</v>
      </c>
    </row>
    <row r="22" spans="1:7" ht="15">
      <c r="A22" s="8" t="s">
        <v>0</v>
      </c>
      <c r="B22" s="9" t="s">
        <v>0</v>
      </c>
      <c r="C22" s="9" t="s">
        <v>21</v>
      </c>
      <c r="D22" s="9" t="s">
        <v>22</v>
      </c>
      <c r="E22" s="179"/>
      <c r="F22" s="179">
        <f>0.572975</f>
        <v>0.572975</v>
      </c>
      <c r="G22" s="180">
        <f>E20*F22</f>
        <v>3.0688541</v>
      </c>
    </row>
    <row r="23" spans="1:7" ht="15">
      <c r="A23" s="8" t="s">
        <v>0</v>
      </c>
      <c r="B23" s="9" t="s">
        <v>0</v>
      </c>
      <c r="C23" s="9" t="s">
        <v>23</v>
      </c>
      <c r="D23" s="9" t="s">
        <v>22</v>
      </c>
      <c r="E23" s="179"/>
      <c r="F23" s="179">
        <f>0.92865</f>
        <v>0.92865</v>
      </c>
      <c r="G23" s="180">
        <f>E20*F23</f>
        <v>4.9738494</v>
      </c>
    </row>
    <row r="24" spans="1:7" ht="15">
      <c r="A24" s="8" t="s">
        <v>0</v>
      </c>
      <c r="B24" s="9" t="s">
        <v>0</v>
      </c>
      <c r="C24" s="9" t="s">
        <v>24</v>
      </c>
      <c r="D24" s="9" t="s">
        <v>22</v>
      </c>
      <c r="E24" s="179"/>
      <c r="F24" s="179">
        <f>0.16605</f>
        <v>0.16605</v>
      </c>
      <c r="G24" s="180">
        <f>E20*F24</f>
        <v>0.8893638</v>
      </c>
    </row>
    <row r="25" spans="1:7" ht="15">
      <c r="A25" s="8" t="s">
        <v>0</v>
      </c>
      <c r="B25" s="9" t="s">
        <v>0</v>
      </c>
      <c r="C25" s="9" t="s">
        <v>25</v>
      </c>
      <c r="D25" s="9" t="s">
        <v>8</v>
      </c>
      <c r="E25" s="179"/>
      <c r="F25" s="179">
        <f>1.07</f>
        <v>1.07</v>
      </c>
      <c r="G25" s="180">
        <f>E20*F25</f>
        <v>5.73092</v>
      </c>
    </row>
    <row r="26" spans="1:7" ht="15">
      <c r="A26" s="8" t="s">
        <v>0</v>
      </c>
      <c r="B26" s="9" t="s">
        <v>0</v>
      </c>
      <c r="C26" s="9" t="s">
        <v>26</v>
      </c>
      <c r="D26" s="9" t="s">
        <v>10</v>
      </c>
      <c r="E26" s="179"/>
      <c r="F26" s="179">
        <f>0.095</f>
        <v>0.095</v>
      </c>
      <c r="G26" s="180">
        <f>E20*F26</f>
        <v>0.5088199999999999</v>
      </c>
    </row>
    <row r="27" spans="1:7" ht="15">
      <c r="A27" s="8" t="s">
        <v>0</v>
      </c>
      <c r="B27" s="9" t="s">
        <v>0</v>
      </c>
      <c r="C27" s="9" t="s">
        <v>27</v>
      </c>
      <c r="D27" s="9" t="s">
        <v>10</v>
      </c>
      <c r="E27" s="179"/>
      <c r="F27" s="179">
        <f>0.089</f>
        <v>0.089</v>
      </c>
      <c r="G27" s="180">
        <f>E20*F27</f>
        <v>0.47668399999999994</v>
      </c>
    </row>
    <row r="28" spans="1:7" ht="15">
      <c r="A28" s="8" t="s">
        <v>0</v>
      </c>
      <c r="B28" s="9" t="s">
        <v>0</v>
      </c>
      <c r="C28" s="9" t="s">
        <v>0</v>
      </c>
      <c r="D28" s="9" t="s">
        <v>0</v>
      </c>
      <c r="E28" s="179"/>
      <c r="F28" s="179"/>
      <c r="G28" s="180"/>
    </row>
    <row r="29" spans="1:7" ht="15">
      <c r="A29" s="8" t="s">
        <v>28</v>
      </c>
      <c r="B29" s="9" t="s">
        <v>29</v>
      </c>
      <c r="C29" s="9" t="s">
        <v>30</v>
      </c>
      <c r="D29" s="9" t="s">
        <v>5</v>
      </c>
      <c r="E29" s="179">
        <f>'Du toan chi tiet'!E15</f>
        <v>7.3845</v>
      </c>
      <c r="F29" s="179"/>
      <c r="G29" s="180"/>
    </row>
    <row r="30" spans="1:7" ht="15">
      <c r="A30" s="8" t="s">
        <v>0</v>
      </c>
      <c r="B30" s="9" t="s">
        <v>0</v>
      </c>
      <c r="C30" s="9" t="s">
        <v>31</v>
      </c>
      <c r="D30" s="9" t="s">
        <v>0</v>
      </c>
      <c r="E30" s="179"/>
      <c r="F30" s="179"/>
      <c r="G30" s="180"/>
    </row>
    <row r="31" spans="1:7" ht="15">
      <c r="A31" s="8" t="s">
        <v>0</v>
      </c>
      <c r="B31" s="9" t="s">
        <v>0</v>
      </c>
      <c r="C31" s="9" t="s">
        <v>32</v>
      </c>
      <c r="D31" s="9" t="s">
        <v>20</v>
      </c>
      <c r="E31" s="179"/>
      <c r="F31" s="179">
        <f>320.825</f>
        <v>320.825</v>
      </c>
      <c r="G31" s="180">
        <f>E29*F31</f>
        <v>2369.1322125</v>
      </c>
    </row>
    <row r="32" spans="1:7" ht="15">
      <c r="A32" s="8" t="s">
        <v>0</v>
      </c>
      <c r="B32" s="9" t="s">
        <v>0</v>
      </c>
      <c r="C32" s="9" t="s">
        <v>21</v>
      </c>
      <c r="D32" s="9" t="s">
        <v>22</v>
      </c>
      <c r="E32" s="179"/>
      <c r="F32" s="179">
        <f>0.523775</f>
        <v>0.523775</v>
      </c>
      <c r="G32" s="180">
        <f>E29*F32</f>
        <v>3.8678164875</v>
      </c>
    </row>
    <row r="33" spans="1:7" ht="15">
      <c r="A33" s="8" t="s">
        <v>0</v>
      </c>
      <c r="B33" s="9" t="s">
        <v>0</v>
      </c>
      <c r="C33" s="9" t="s">
        <v>33</v>
      </c>
      <c r="D33" s="9" t="s">
        <v>22</v>
      </c>
      <c r="E33" s="179"/>
      <c r="F33" s="179">
        <f>0.86305</f>
        <v>0.86305</v>
      </c>
      <c r="G33" s="180">
        <f>E29*F33</f>
        <v>6.373192725</v>
      </c>
    </row>
    <row r="34" spans="1:7" ht="15">
      <c r="A34" s="8" t="s">
        <v>0</v>
      </c>
      <c r="B34" s="9" t="s">
        <v>0</v>
      </c>
      <c r="C34" s="9" t="s">
        <v>24</v>
      </c>
      <c r="D34" s="9" t="s">
        <v>22</v>
      </c>
      <c r="E34" s="179"/>
      <c r="F34" s="179">
        <f>0.19475</f>
        <v>0.19475</v>
      </c>
      <c r="G34" s="180">
        <f>E29*F34</f>
        <v>1.438131375</v>
      </c>
    </row>
    <row r="35" spans="1:7" ht="15">
      <c r="A35" s="8" t="s">
        <v>0</v>
      </c>
      <c r="B35" s="9" t="s">
        <v>0</v>
      </c>
      <c r="C35" s="9" t="s">
        <v>25</v>
      </c>
      <c r="D35" s="9" t="s">
        <v>8</v>
      </c>
      <c r="E35" s="179"/>
      <c r="F35" s="179">
        <f>1.23</f>
        <v>1.23</v>
      </c>
      <c r="G35" s="180">
        <f>E29*F35</f>
        <v>9.082934999999999</v>
      </c>
    </row>
    <row r="36" spans="1:7" ht="15">
      <c r="A36" s="8" t="s">
        <v>0</v>
      </c>
      <c r="B36" s="9" t="s">
        <v>0</v>
      </c>
      <c r="C36" s="9" t="s">
        <v>26</v>
      </c>
      <c r="D36" s="9" t="s">
        <v>10</v>
      </c>
      <c r="E36" s="179"/>
      <c r="F36" s="179">
        <f>0.095</f>
        <v>0.095</v>
      </c>
      <c r="G36" s="180">
        <f>E29*F36</f>
        <v>0.7015275</v>
      </c>
    </row>
    <row r="37" spans="1:7" ht="15">
      <c r="A37" s="8" t="s">
        <v>0</v>
      </c>
      <c r="B37" s="9" t="s">
        <v>0</v>
      </c>
      <c r="C37" s="9" t="s">
        <v>34</v>
      </c>
      <c r="D37" s="9" t="s">
        <v>10</v>
      </c>
      <c r="E37" s="179"/>
      <c r="F37" s="179">
        <f>0.089</f>
        <v>0.089</v>
      </c>
      <c r="G37" s="180">
        <f>E29*F37</f>
        <v>0.6572205</v>
      </c>
    </row>
    <row r="38" spans="1:7" ht="15">
      <c r="A38" s="8" t="s">
        <v>0</v>
      </c>
      <c r="B38" s="9" t="s">
        <v>0</v>
      </c>
      <c r="C38" s="9" t="s">
        <v>0</v>
      </c>
      <c r="D38" s="9" t="s">
        <v>0</v>
      </c>
      <c r="E38" s="179"/>
      <c r="F38" s="179"/>
      <c r="G38" s="180"/>
    </row>
    <row r="39" spans="1:7" ht="15">
      <c r="A39" s="8" t="s">
        <v>35</v>
      </c>
      <c r="B39" s="9" t="s">
        <v>36</v>
      </c>
      <c r="C39" s="9" t="s">
        <v>37</v>
      </c>
      <c r="D39" s="9" t="s">
        <v>38</v>
      </c>
      <c r="E39" s="179">
        <f>'Du toan chi tiet'!E17</f>
        <v>20.64</v>
      </c>
      <c r="F39" s="179"/>
      <c r="G39" s="180"/>
    </row>
    <row r="40" spans="1:7" ht="15">
      <c r="A40" s="8" t="s">
        <v>0</v>
      </c>
      <c r="B40" s="9" t="s">
        <v>0</v>
      </c>
      <c r="C40" s="9" t="s">
        <v>39</v>
      </c>
      <c r="D40" s="9" t="s">
        <v>0</v>
      </c>
      <c r="E40" s="179"/>
      <c r="F40" s="179"/>
      <c r="G40" s="180"/>
    </row>
    <row r="41" spans="1:7" ht="15">
      <c r="A41" s="8" t="s">
        <v>0</v>
      </c>
      <c r="B41" s="9" t="s">
        <v>0</v>
      </c>
      <c r="C41" s="9" t="s">
        <v>40</v>
      </c>
      <c r="D41" s="9" t="s">
        <v>22</v>
      </c>
      <c r="E41" s="179"/>
      <c r="F41" s="179">
        <f>0.00794</f>
        <v>0.00794</v>
      </c>
      <c r="G41" s="180">
        <f>E39*F41</f>
        <v>0.1638816</v>
      </c>
    </row>
    <row r="42" spans="1:7" ht="15">
      <c r="A42" s="8" t="s">
        <v>0</v>
      </c>
      <c r="B42" s="9" t="s">
        <v>0</v>
      </c>
      <c r="C42" s="9" t="s">
        <v>41</v>
      </c>
      <c r="D42" s="9" t="s">
        <v>22</v>
      </c>
      <c r="E42" s="179"/>
      <c r="F42" s="179">
        <f>0.0021</f>
        <v>0.0021</v>
      </c>
      <c r="G42" s="180">
        <f>E39*F42</f>
        <v>0.043344</v>
      </c>
    </row>
    <row r="43" spans="1:7" ht="15">
      <c r="A43" s="8" t="s">
        <v>0</v>
      </c>
      <c r="B43" s="9" t="s">
        <v>0</v>
      </c>
      <c r="C43" s="9" t="s">
        <v>42</v>
      </c>
      <c r="D43" s="9" t="s">
        <v>22</v>
      </c>
      <c r="E43" s="179"/>
      <c r="F43" s="179">
        <f>0.00335</f>
        <v>0.00335</v>
      </c>
      <c r="G43" s="180">
        <f>E39*F43</f>
        <v>0.06914400000000001</v>
      </c>
    </row>
    <row r="44" spans="1:7" ht="15">
      <c r="A44" s="8" t="s">
        <v>0</v>
      </c>
      <c r="B44" s="9" t="s">
        <v>0</v>
      </c>
      <c r="C44" s="9" t="s">
        <v>43</v>
      </c>
      <c r="D44" s="9" t="s">
        <v>20</v>
      </c>
      <c r="E44" s="179"/>
      <c r="F44" s="179">
        <f>0.15</f>
        <v>0.15</v>
      </c>
      <c r="G44" s="180">
        <f>E39*F44</f>
        <v>3.096</v>
      </c>
    </row>
    <row r="45" spans="1:7" ht="15">
      <c r="A45" s="8" t="s">
        <v>0</v>
      </c>
      <c r="B45" s="9" t="s">
        <v>0</v>
      </c>
      <c r="C45" s="9" t="s">
        <v>44</v>
      </c>
      <c r="D45" s="9" t="s">
        <v>8</v>
      </c>
      <c r="E45" s="179"/>
      <c r="F45" s="179">
        <f>0.297</f>
        <v>0.297</v>
      </c>
      <c r="G45" s="180">
        <f>E39*F45</f>
        <v>6.1300799999999995</v>
      </c>
    </row>
    <row r="46" spans="1:7" ht="15">
      <c r="A46" s="8" t="s">
        <v>0</v>
      </c>
      <c r="B46" s="9" t="s">
        <v>0</v>
      </c>
      <c r="C46" s="9" t="s">
        <v>0</v>
      </c>
      <c r="D46" s="9" t="s">
        <v>0</v>
      </c>
      <c r="E46" s="179"/>
      <c r="F46" s="179"/>
      <c r="G46" s="180"/>
    </row>
    <row r="47" spans="1:7" ht="15">
      <c r="A47" s="8" t="s">
        <v>45</v>
      </c>
      <c r="B47" s="9" t="s">
        <v>46</v>
      </c>
      <c r="C47" s="9" t="s">
        <v>47</v>
      </c>
      <c r="D47" s="9" t="s">
        <v>38</v>
      </c>
      <c r="E47" s="179">
        <f>'Du toan chi tiet'!E19</f>
        <v>15.504</v>
      </c>
      <c r="F47" s="179"/>
      <c r="G47" s="180"/>
    </row>
    <row r="48" spans="1:7" ht="15">
      <c r="A48" s="8" t="s">
        <v>0</v>
      </c>
      <c r="B48" s="9" t="s">
        <v>0</v>
      </c>
      <c r="C48" s="9" t="s">
        <v>40</v>
      </c>
      <c r="D48" s="9" t="s">
        <v>22</v>
      </c>
      <c r="E48" s="179"/>
      <c r="F48" s="179">
        <f>0.00792</f>
        <v>0.00792</v>
      </c>
      <c r="G48" s="180">
        <f>E47*F48</f>
        <v>0.12279168</v>
      </c>
    </row>
    <row r="49" spans="1:7" ht="15">
      <c r="A49" s="8" t="s">
        <v>0</v>
      </c>
      <c r="B49" s="9" t="s">
        <v>0</v>
      </c>
      <c r="C49" s="9" t="s">
        <v>41</v>
      </c>
      <c r="D49" s="9" t="s">
        <v>22</v>
      </c>
      <c r="E49" s="179"/>
      <c r="F49" s="179">
        <f>0.00087</f>
        <v>0.00087</v>
      </c>
      <c r="G49" s="180">
        <f>E47*F49</f>
        <v>0.013488479999999999</v>
      </c>
    </row>
    <row r="50" spans="1:7" ht="15">
      <c r="A50" s="8" t="s">
        <v>0</v>
      </c>
      <c r="B50" s="9" t="s">
        <v>0</v>
      </c>
      <c r="C50" s="9" t="s">
        <v>42</v>
      </c>
      <c r="D50" s="9" t="s">
        <v>22</v>
      </c>
      <c r="E50" s="179"/>
      <c r="F50" s="179">
        <f>0.00459</f>
        <v>0.00459</v>
      </c>
      <c r="G50" s="180">
        <f>E47*F50</f>
        <v>0.07116336000000001</v>
      </c>
    </row>
    <row r="51" spans="1:7" ht="15">
      <c r="A51" s="8" t="s">
        <v>0</v>
      </c>
      <c r="B51" s="9" t="s">
        <v>0</v>
      </c>
      <c r="C51" s="9" t="s">
        <v>43</v>
      </c>
      <c r="D51" s="9" t="s">
        <v>20</v>
      </c>
      <c r="E51" s="179"/>
      <c r="F51" s="179">
        <f>0.12</f>
        <v>0.12</v>
      </c>
      <c r="G51" s="180">
        <f>E47*F51</f>
        <v>1.86048</v>
      </c>
    </row>
    <row r="52" spans="1:7" ht="15">
      <c r="A52" s="8" t="s">
        <v>0</v>
      </c>
      <c r="B52" s="9" t="s">
        <v>0</v>
      </c>
      <c r="C52" s="9" t="s">
        <v>44</v>
      </c>
      <c r="D52" s="9" t="s">
        <v>8</v>
      </c>
      <c r="E52" s="179"/>
      <c r="F52" s="179">
        <f>0.1361</f>
        <v>0.1361</v>
      </c>
      <c r="G52" s="180">
        <f>E47*F52</f>
        <v>2.1100944</v>
      </c>
    </row>
    <row r="53" spans="1:7" ht="15">
      <c r="A53" s="8" t="s">
        <v>0</v>
      </c>
      <c r="B53" s="9" t="s">
        <v>0</v>
      </c>
      <c r="C53" s="9" t="s">
        <v>0</v>
      </c>
      <c r="D53" s="9" t="s">
        <v>0</v>
      </c>
      <c r="E53" s="179"/>
      <c r="F53" s="179"/>
      <c r="G53" s="180"/>
    </row>
    <row r="54" spans="1:7" ht="15">
      <c r="A54" s="8" t="s">
        <v>48</v>
      </c>
      <c r="B54" s="9" t="s">
        <v>49</v>
      </c>
      <c r="C54" s="9" t="s">
        <v>50</v>
      </c>
      <c r="D54" s="9" t="s">
        <v>5</v>
      </c>
      <c r="E54" s="179">
        <f>'Du toan chi tiet'!E20</f>
        <v>2.43</v>
      </c>
      <c r="F54" s="179"/>
      <c r="G54" s="180"/>
    </row>
    <row r="55" spans="1:7" ht="15">
      <c r="A55" s="8" t="s">
        <v>0</v>
      </c>
      <c r="B55" s="9" t="s">
        <v>0</v>
      </c>
      <c r="C55" s="9" t="s">
        <v>51</v>
      </c>
      <c r="D55" s="9" t="s">
        <v>0</v>
      </c>
      <c r="E55" s="179"/>
      <c r="F55" s="179"/>
      <c r="G55" s="180"/>
    </row>
    <row r="56" spans="1:7" ht="15">
      <c r="A56" s="8" t="s">
        <v>0</v>
      </c>
      <c r="B56" s="9" t="s">
        <v>0</v>
      </c>
      <c r="C56" s="9" t="s">
        <v>32</v>
      </c>
      <c r="D56" s="9" t="s">
        <v>20</v>
      </c>
      <c r="E56" s="179"/>
      <c r="F56" s="179">
        <f>320.825</f>
        <v>320.825</v>
      </c>
      <c r="G56" s="180">
        <f>E54*F56</f>
        <v>779.60475</v>
      </c>
    </row>
    <row r="57" spans="1:7" ht="15">
      <c r="A57" s="8" t="s">
        <v>0</v>
      </c>
      <c r="B57" s="9" t="s">
        <v>0</v>
      </c>
      <c r="C57" s="9" t="s">
        <v>21</v>
      </c>
      <c r="D57" s="9" t="s">
        <v>22</v>
      </c>
      <c r="E57" s="179"/>
      <c r="F57" s="179">
        <f>0.523775</f>
        <v>0.523775</v>
      </c>
      <c r="G57" s="180">
        <f>E54*F57</f>
        <v>1.27277325</v>
      </c>
    </row>
    <row r="58" spans="1:7" ht="15">
      <c r="A58" s="8" t="s">
        <v>0</v>
      </c>
      <c r="B58" s="9" t="s">
        <v>0</v>
      </c>
      <c r="C58" s="9" t="s">
        <v>33</v>
      </c>
      <c r="D58" s="9" t="s">
        <v>22</v>
      </c>
      <c r="E58" s="179"/>
      <c r="F58" s="179">
        <f>0.86305</f>
        <v>0.86305</v>
      </c>
      <c r="G58" s="180">
        <f>E54*F58</f>
        <v>2.0972115000000002</v>
      </c>
    </row>
    <row r="59" spans="1:7" ht="15">
      <c r="A59" s="8" t="s">
        <v>0</v>
      </c>
      <c r="B59" s="9" t="s">
        <v>0</v>
      </c>
      <c r="C59" s="9" t="s">
        <v>24</v>
      </c>
      <c r="D59" s="9" t="s">
        <v>22</v>
      </c>
      <c r="E59" s="179"/>
      <c r="F59" s="179">
        <f>0.19475</f>
        <v>0.19475</v>
      </c>
      <c r="G59" s="180">
        <f>E54*F59</f>
        <v>0.47324250000000007</v>
      </c>
    </row>
    <row r="60" spans="1:7" ht="15">
      <c r="A60" s="8" t="s">
        <v>0</v>
      </c>
      <c r="B60" s="9" t="s">
        <v>0</v>
      </c>
      <c r="C60" s="9" t="s">
        <v>44</v>
      </c>
      <c r="D60" s="9" t="s">
        <v>8</v>
      </c>
      <c r="E60" s="179"/>
      <c r="F60" s="179">
        <f>3.15</f>
        <v>3.15</v>
      </c>
      <c r="G60" s="180">
        <f>E54*F60</f>
        <v>7.6545000000000005</v>
      </c>
    </row>
    <row r="61" spans="1:7" ht="15">
      <c r="A61" s="8" t="s">
        <v>0</v>
      </c>
      <c r="B61" s="9" t="s">
        <v>0</v>
      </c>
      <c r="C61" s="9" t="s">
        <v>26</v>
      </c>
      <c r="D61" s="9" t="s">
        <v>10</v>
      </c>
      <c r="E61" s="179"/>
      <c r="F61" s="179">
        <f>0.095</f>
        <v>0.095</v>
      </c>
      <c r="G61" s="180">
        <f>E54*F61</f>
        <v>0.23085000000000003</v>
      </c>
    </row>
    <row r="62" spans="1:7" ht="15">
      <c r="A62" s="8" t="s">
        <v>0</v>
      </c>
      <c r="B62" s="9" t="s">
        <v>0</v>
      </c>
      <c r="C62" s="9" t="s">
        <v>34</v>
      </c>
      <c r="D62" s="9" t="s">
        <v>10</v>
      </c>
      <c r="E62" s="179"/>
      <c r="F62" s="179">
        <f>0.18</f>
        <v>0.18</v>
      </c>
      <c r="G62" s="180">
        <f>E54*F62</f>
        <v>0.4374</v>
      </c>
    </row>
    <row r="63" spans="1:7" ht="15">
      <c r="A63" s="8" t="s">
        <v>0</v>
      </c>
      <c r="B63" s="9" t="s">
        <v>0</v>
      </c>
      <c r="C63" s="9" t="s">
        <v>0</v>
      </c>
      <c r="D63" s="9" t="s">
        <v>0</v>
      </c>
      <c r="E63" s="179"/>
      <c r="F63" s="179"/>
      <c r="G63" s="180"/>
    </row>
    <row r="64" spans="1:7" ht="15">
      <c r="A64" s="8" t="s">
        <v>52</v>
      </c>
      <c r="B64" s="9" t="s">
        <v>53</v>
      </c>
      <c r="C64" s="9" t="s">
        <v>54</v>
      </c>
      <c r="D64" s="9" t="s">
        <v>38</v>
      </c>
      <c r="E64" s="179">
        <f>'Du toan chi tiet'!E22</f>
        <v>32.4</v>
      </c>
      <c r="F64" s="179"/>
      <c r="G64" s="180"/>
    </row>
    <row r="65" spans="1:7" ht="15">
      <c r="A65" s="8" t="s">
        <v>0</v>
      </c>
      <c r="B65" s="9" t="s">
        <v>0</v>
      </c>
      <c r="C65" s="9" t="s">
        <v>40</v>
      </c>
      <c r="D65" s="9" t="s">
        <v>22</v>
      </c>
      <c r="E65" s="179"/>
      <c r="F65" s="179">
        <f>0.00794</f>
        <v>0.00794</v>
      </c>
      <c r="G65" s="180">
        <f>E64*F65</f>
        <v>0.257256</v>
      </c>
    </row>
    <row r="66" spans="1:7" ht="15">
      <c r="A66" s="8" t="s">
        <v>0</v>
      </c>
      <c r="B66" s="9" t="s">
        <v>0</v>
      </c>
      <c r="C66" s="9" t="s">
        <v>41</v>
      </c>
      <c r="D66" s="9" t="s">
        <v>22</v>
      </c>
      <c r="E66" s="179"/>
      <c r="F66" s="179">
        <f>0.00149</f>
        <v>0.00149</v>
      </c>
      <c r="G66" s="180">
        <f>E64*F66</f>
        <v>0.048276</v>
      </c>
    </row>
    <row r="67" spans="1:7" ht="15">
      <c r="A67" s="8" t="s">
        <v>0</v>
      </c>
      <c r="B67" s="9" t="s">
        <v>0</v>
      </c>
      <c r="C67" s="9" t="s">
        <v>42</v>
      </c>
      <c r="D67" s="9" t="s">
        <v>22</v>
      </c>
      <c r="E67" s="179"/>
      <c r="F67" s="179">
        <f>0.00496</f>
        <v>0.00496</v>
      </c>
      <c r="G67" s="180">
        <f>E64*F67</f>
        <v>0.16070399999999999</v>
      </c>
    </row>
    <row r="68" spans="1:7" ht="15">
      <c r="A68" s="8" t="s">
        <v>0</v>
      </c>
      <c r="B68" s="9" t="s">
        <v>0</v>
      </c>
      <c r="C68" s="9" t="s">
        <v>43</v>
      </c>
      <c r="D68" s="9" t="s">
        <v>20</v>
      </c>
      <c r="E68" s="179"/>
      <c r="F68" s="179">
        <f>0.15</f>
        <v>0.15</v>
      </c>
      <c r="G68" s="180">
        <f>E64*F68</f>
        <v>4.859999999999999</v>
      </c>
    </row>
    <row r="69" spans="1:7" ht="15">
      <c r="A69" s="8" t="s">
        <v>0</v>
      </c>
      <c r="B69" s="9" t="s">
        <v>0</v>
      </c>
      <c r="C69" s="9" t="s">
        <v>44</v>
      </c>
      <c r="D69" s="9" t="s">
        <v>8</v>
      </c>
      <c r="E69" s="179"/>
      <c r="F69" s="179">
        <f>0.319</f>
        <v>0.319</v>
      </c>
      <c r="G69" s="180">
        <f>E64*F69</f>
        <v>10.3356</v>
      </c>
    </row>
    <row r="70" spans="1:7" ht="15">
      <c r="A70" s="8" t="s">
        <v>0</v>
      </c>
      <c r="B70" s="9" t="s">
        <v>0</v>
      </c>
      <c r="C70" s="9" t="s">
        <v>0</v>
      </c>
      <c r="D70" s="9" t="s">
        <v>0</v>
      </c>
      <c r="E70" s="179"/>
      <c r="F70" s="179"/>
      <c r="G70" s="180"/>
    </row>
    <row r="71" spans="1:7" ht="15">
      <c r="A71" s="8" t="s">
        <v>55</v>
      </c>
      <c r="B71" s="9" t="s">
        <v>56</v>
      </c>
      <c r="C71" s="9" t="s">
        <v>57</v>
      </c>
      <c r="D71" s="9" t="s">
        <v>5</v>
      </c>
      <c r="E71" s="179">
        <f>'Du toan chi tiet'!E23</f>
        <v>5.7744</v>
      </c>
      <c r="F71" s="179"/>
      <c r="G71" s="180"/>
    </row>
    <row r="72" spans="1:7" ht="15">
      <c r="A72" s="8" t="s">
        <v>0</v>
      </c>
      <c r="B72" s="9" t="s">
        <v>0</v>
      </c>
      <c r="C72" s="9" t="s">
        <v>58</v>
      </c>
      <c r="D72" s="9" t="s">
        <v>0</v>
      </c>
      <c r="E72" s="179"/>
      <c r="F72" s="179"/>
      <c r="G72" s="180"/>
    </row>
    <row r="73" spans="1:7" ht="15">
      <c r="A73" s="8" t="s">
        <v>0</v>
      </c>
      <c r="B73" s="9" t="s">
        <v>0</v>
      </c>
      <c r="C73" s="9" t="s">
        <v>59</v>
      </c>
      <c r="D73" s="9" t="s">
        <v>60</v>
      </c>
      <c r="E73" s="179"/>
      <c r="F73" s="179">
        <f>160</f>
        <v>160</v>
      </c>
      <c r="G73" s="180">
        <f>E71*F73</f>
        <v>923.904</v>
      </c>
    </row>
    <row r="74" spans="1:7" ht="15">
      <c r="A74" s="8" t="s">
        <v>0</v>
      </c>
      <c r="B74" s="9" t="s">
        <v>0</v>
      </c>
      <c r="C74" s="9" t="s">
        <v>32</v>
      </c>
      <c r="D74" s="9" t="s">
        <v>20</v>
      </c>
      <c r="E74" s="179"/>
      <c r="F74" s="179">
        <f>36.612</f>
        <v>36.612</v>
      </c>
      <c r="G74" s="180">
        <f>E71*F74</f>
        <v>211.4123328</v>
      </c>
    </row>
    <row r="75" spans="1:7" ht="15">
      <c r="A75" s="8" t="s">
        <v>0</v>
      </c>
      <c r="B75" s="9" t="s">
        <v>0</v>
      </c>
      <c r="C75" s="9" t="s">
        <v>61</v>
      </c>
      <c r="D75" s="9" t="s">
        <v>22</v>
      </c>
      <c r="E75" s="179"/>
      <c r="F75" s="179">
        <f>0.124092</f>
        <v>0.124092</v>
      </c>
      <c r="G75" s="180">
        <f>E71*F75</f>
        <v>0.7165568447999999</v>
      </c>
    </row>
    <row r="76" spans="1:7" ht="15">
      <c r="A76" s="8" t="s">
        <v>0</v>
      </c>
      <c r="B76" s="9" t="s">
        <v>0</v>
      </c>
      <c r="C76" s="9" t="s">
        <v>24</v>
      </c>
      <c r="D76" s="9" t="s">
        <v>22</v>
      </c>
      <c r="E76" s="179"/>
      <c r="F76" s="179">
        <f>0.029484</f>
        <v>0.029484</v>
      </c>
      <c r="G76" s="180">
        <f>E71*F76</f>
        <v>0.1702524096</v>
      </c>
    </row>
    <row r="77" spans="1:7" ht="15">
      <c r="A77" s="8" t="s">
        <v>0</v>
      </c>
      <c r="B77" s="9" t="s">
        <v>0</v>
      </c>
      <c r="C77" s="9" t="s">
        <v>44</v>
      </c>
      <c r="D77" s="9" t="s">
        <v>8</v>
      </c>
      <c r="E77" s="179"/>
      <c r="F77" s="179">
        <f>1.72</f>
        <v>1.72</v>
      </c>
      <c r="G77" s="180">
        <f>E71*F77</f>
        <v>9.931968</v>
      </c>
    </row>
    <row r="78" spans="1:7" ht="15">
      <c r="A78" s="8" t="s">
        <v>0</v>
      </c>
      <c r="B78" s="9" t="s">
        <v>0</v>
      </c>
      <c r="C78" s="9" t="s">
        <v>62</v>
      </c>
      <c r="D78" s="9" t="s">
        <v>10</v>
      </c>
      <c r="E78" s="179"/>
      <c r="F78" s="179">
        <f>0.015</f>
        <v>0.015</v>
      </c>
      <c r="G78" s="180">
        <f>E71*F78</f>
        <v>0.086616</v>
      </c>
    </row>
    <row r="79" spans="1:7" ht="15">
      <c r="A79" s="8" t="s">
        <v>0</v>
      </c>
      <c r="B79" s="9" t="s">
        <v>0</v>
      </c>
      <c r="C79" s="9" t="s">
        <v>0</v>
      </c>
      <c r="D79" s="9" t="s">
        <v>0</v>
      </c>
      <c r="E79" s="179"/>
      <c r="F79" s="179"/>
      <c r="G79" s="180"/>
    </row>
    <row r="80" spans="1:7" ht="15">
      <c r="A80" s="8" t="s">
        <v>63</v>
      </c>
      <c r="B80" s="9" t="s">
        <v>64</v>
      </c>
      <c r="C80" s="9" t="s">
        <v>65</v>
      </c>
      <c r="D80" s="9" t="s">
        <v>5</v>
      </c>
      <c r="E80" s="179">
        <f>'Du toan chi tiet'!E25</f>
        <v>3.4296</v>
      </c>
      <c r="F80" s="179"/>
      <c r="G80" s="180"/>
    </row>
    <row r="81" spans="1:7" ht="15">
      <c r="A81" s="8" t="s">
        <v>0</v>
      </c>
      <c r="B81" s="9" t="s">
        <v>0</v>
      </c>
      <c r="C81" s="9" t="s">
        <v>66</v>
      </c>
      <c r="D81" s="9" t="s">
        <v>0</v>
      </c>
      <c r="E81" s="179"/>
      <c r="F81" s="179"/>
      <c r="G81" s="180"/>
    </row>
    <row r="82" spans="1:7" ht="15">
      <c r="A82" s="8" t="s">
        <v>0</v>
      </c>
      <c r="B82" s="9" t="s">
        <v>0</v>
      </c>
      <c r="C82" s="9" t="s">
        <v>32</v>
      </c>
      <c r="D82" s="9" t="s">
        <v>20</v>
      </c>
      <c r="E82" s="179"/>
      <c r="F82" s="179">
        <f>320.825</f>
        <v>320.825</v>
      </c>
      <c r="G82" s="180">
        <f>E80*F82</f>
        <v>1100.30142</v>
      </c>
    </row>
    <row r="83" spans="1:7" ht="15">
      <c r="A83" s="8" t="s">
        <v>0</v>
      </c>
      <c r="B83" s="9" t="s">
        <v>0</v>
      </c>
      <c r="C83" s="9" t="s">
        <v>21</v>
      </c>
      <c r="D83" s="9" t="s">
        <v>22</v>
      </c>
      <c r="E83" s="179"/>
      <c r="F83" s="179">
        <f>0.523775</f>
        <v>0.523775</v>
      </c>
      <c r="G83" s="180">
        <f>E80*F83</f>
        <v>1.7963387400000002</v>
      </c>
    </row>
    <row r="84" spans="1:7" ht="15">
      <c r="A84" s="8" t="s">
        <v>0</v>
      </c>
      <c r="B84" s="9" t="s">
        <v>0</v>
      </c>
      <c r="C84" s="9" t="s">
        <v>33</v>
      </c>
      <c r="D84" s="9" t="s">
        <v>22</v>
      </c>
      <c r="E84" s="179"/>
      <c r="F84" s="179">
        <f>0.86305</f>
        <v>0.86305</v>
      </c>
      <c r="G84" s="180">
        <f>E80*F84</f>
        <v>2.9599162800000003</v>
      </c>
    </row>
    <row r="85" spans="1:7" ht="15">
      <c r="A85" s="8" t="s">
        <v>0</v>
      </c>
      <c r="B85" s="9" t="s">
        <v>0</v>
      </c>
      <c r="C85" s="9" t="s">
        <v>24</v>
      </c>
      <c r="D85" s="9" t="s">
        <v>22</v>
      </c>
      <c r="E85" s="179"/>
      <c r="F85" s="179">
        <f>0.19475</f>
        <v>0.19475</v>
      </c>
      <c r="G85" s="180">
        <f>E80*F85</f>
        <v>0.6679146</v>
      </c>
    </row>
    <row r="86" spans="1:7" ht="15">
      <c r="A86" s="8" t="s">
        <v>0</v>
      </c>
      <c r="B86" s="9" t="s">
        <v>0</v>
      </c>
      <c r="C86" s="9" t="s">
        <v>44</v>
      </c>
      <c r="D86" s="9" t="s">
        <v>8</v>
      </c>
      <c r="E86" s="179"/>
      <c r="F86" s="179">
        <f>2.67</f>
        <v>2.67</v>
      </c>
      <c r="G86" s="180">
        <f>E80*F86</f>
        <v>9.157032000000001</v>
      </c>
    </row>
    <row r="87" spans="1:7" ht="15">
      <c r="A87" s="8" t="s">
        <v>0</v>
      </c>
      <c r="B87" s="9" t="s">
        <v>0</v>
      </c>
      <c r="C87" s="9" t="s">
        <v>26</v>
      </c>
      <c r="D87" s="9" t="s">
        <v>10</v>
      </c>
      <c r="E87" s="179"/>
      <c r="F87" s="179">
        <f>0.095</f>
        <v>0.095</v>
      </c>
      <c r="G87" s="180">
        <f>E80*F87</f>
        <v>0.32581200000000005</v>
      </c>
    </row>
    <row r="88" spans="1:7" ht="15">
      <c r="A88" s="8" t="s">
        <v>0</v>
      </c>
      <c r="B88" s="9" t="s">
        <v>0</v>
      </c>
      <c r="C88" s="9" t="s">
        <v>34</v>
      </c>
      <c r="D88" s="9" t="s">
        <v>10</v>
      </c>
      <c r="E88" s="179"/>
      <c r="F88" s="179">
        <f>0.18</f>
        <v>0.18</v>
      </c>
      <c r="G88" s="180">
        <f>E80*F88</f>
        <v>0.617328</v>
      </c>
    </row>
    <row r="89" spans="1:7" ht="15">
      <c r="A89" s="8" t="s">
        <v>0</v>
      </c>
      <c r="B89" s="9" t="s">
        <v>0</v>
      </c>
      <c r="C89" s="9" t="s">
        <v>0</v>
      </c>
      <c r="D89" s="9" t="s">
        <v>0</v>
      </c>
      <c r="E89" s="179"/>
      <c r="F89" s="179"/>
      <c r="G89" s="180"/>
    </row>
    <row r="90" spans="1:7" ht="15">
      <c r="A90" s="8" t="s">
        <v>67</v>
      </c>
      <c r="B90" s="9" t="s">
        <v>68</v>
      </c>
      <c r="C90" s="9" t="s">
        <v>69</v>
      </c>
      <c r="D90" s="9" t="s">
        <v>38</v>
      </c>
      <c r="E90" s="179">
        <f>'Du toan chi tiet'!E27</f>
        <v>34.296</v>
      </c>
      <c r="F90" s="179"/>
      <c r="G90" s="180"/>
    </row>
    <row r="91" spans="1:7" ht="15">
      <c r="A91" s="8" t="s">
        <v>0</v>
      </c>
      <c r="B91" s="9" t="s">
        <v>0</v>
      </c>
      <c r="C91" s="9" t="s">
        <v>40</v>
      </c>
      <c r="D91" s="9" t="s">
        <v>22</v>
      </c>
      <c r="E91" s="179"/>
      <c r="F91" s="179">
        <f>0.00794</f>
        <v>0.00794</v>
      </c>
      <c r="G91" s="180">
        <f>E90*F91</f>
        <v>0.27231024</v>
      </c>
    </row>
    <row r="92" spans="1:7" ht="15">
      <c r="A92" s="8" t="s">
        <v>0</v>
      </c>
      <c r="B92" s="9" t="s">
        <v>0</v>
      </c>
      <c r="C92" s="9" t="s">
        <v>41</v>
      </c>
      <c r="D92" s="9" t="s">
        <v>22</v>
      </c>
      <c r="E92" s="179"/>
      <c r="F92" s="179">
        <f>0.00189</f>
        <v>0.00189</v>
      </c>
      <c r="G92" s="180">
        <f>E90*F92</f>
        <v>0.06481943999999999</v>
      </c>
    </row>
    <row r="93" spans="1:7" ht="15">
      <c r="A93" s="8" t="s">
        <v>0</v>
      </c>
      <c r="B93" s="9" t="s">
        <v>0</v>
      </c>
      <c r="C93" s="9" t="s">
        <v>42</v>
      </c>
      <c r="D93" s="9" t="s">
        <v>22</v>
      </c>
      <c r="E93" s="179"/>
      <c r="F93" s="179">
        <f>0.00957</f>
        <v>0.00957</v>
      </c>
      <c r="G93" s="180">
        <f>E90*F93</f>
        <v>0.32821272</v>
      </c>
    </row>
    <row r="94" spans="1:7" ht="15">
      <c r="A94" s="8" t="s">
        <v>0</v>
      </c>
      <c r="B94" s="9" t="s">
        <v>0</v>
      </c>
      <c r="C94" s="9" t="s">
        <v>43</v>
      </c>
      <c r="D94" s="9" t="s">
        <v>20</v>
      </c>
      <c r="E94" s="179"/>
      <c r="F94" s="179">
        <f>0.1429</f>
        <v>0.1429</v>
      </c>
      <c r="G94" s="180">
        <f>E90*F94</f>
        <v>4.9008984</v>
      </c>
    </row>
    <row r="95" spans="1:7" ht="15">
      <c r="A95" s="8" t="s">
        <v>0</v>
      </c>
      <c r="B95" s="9" t="s">
        <v>0</v>
      </c>
      <c r="C95" s="9" t="s">
        <v>44</v>
      </c>
      <c r="D95" s="9" t="s">
        <v>8</v>
      </c>
      <c r="E95" s="179"/>
      <c r="F95" s="179">
        <f>0.275</f>
        <v>0.275</v>
      </c>
      <c r="G95" s="180">
        <f>E90*F95</f>
        <v>9.4314</v>
      </c>
    </row>
    <row r="96" spans="1:7" ht="15">
      <c r="A96" s="8" t="s">
        <v>0</v>
      </c>
      <c r="B96" s="9" t="s">
        <v>0</v>
      </c>
      <c r="C96" s="9" t="s">
        <v>0</v>
      </c>
      <c r="D96" s="9" t="s">
        <v>0</v>
      </c>
      <c r="E96" s="179"/>
      <c r="F96" s="179"/>
      <c r="G96" s="180"/>
    </row>
    <row r="97" spans="1:7" ht="15">
      <c r="A97" s="8" t="s">
        <v>70</v>
      </c>
      <c r="B97" s="9" t="s">
        <v>71</v>
      </c>
      <c r="C97" s="9" t="s">
        <v>72</v>
      </c>
      <c r="D97" s="9" t="s">
        <v>73</v>
      </c>
      <c r="E97" s="179">
        <f>'Du toan chi tiet'!E28</f>
        <v>0.31748</v>
      </c>
      <c r="F97" s="179"/>
      <c r="G97" s="180"/>
    </row>
    <row r="98" spans="1:7" ht="15">
      <c r="A98" s="8" t="s">
        <v>0</v>
      </c>
      <c r="B98" s="9" t="s">
        <v>0</v>
      </c>
      <c r="C98" s="9" t="s">
        <v>74</v>
      </c>
      <c r="D98" s="9" t="s">
        <v>0</v>
      </c>
      <c r="E98" s="179"/>
      <c r="F98" s="179"/>
      <c r="G98" s="180"/>
    </row>
    <row r="99" spans="1:7" ht="15">
      <c r="A99" s="8" t="s">
        <v>0</v>
      </c>
      <c r="B99" s="9" t="s">
        <v>0</v>
      </c>
      <c r="C99" s="9" t="s">
        <v>75</v>
      </c>
      <c r="D99" s="9" t="s">
        <v>20</v>
      </c>
      <c r="E99" s="179"/>
      <c r="F99" s="179">
        <f>1005</f>
        <v>1005</v>
      </c>
      <c r="G99" s="180">
        <f>E97*F99</f>
        <v>319.06739999999996</v>
      </c>
    </row>
    <row r="100" spans="1:7" ht="15">
      <c r="A100" s="8" t="s">
        <v>0</v>
      </c>
      <c r="B100" s="9" t="s">
        <v>0</v>
      </c>
      <c r="C100" s="9" t="s">
        <v>76</v>
      </c>
      <c r="D100" s="9" t="s">
        <v>20</v>
      </c>
      <c r="E100" s="179"/>
      <c r="F100" s="179">
        <f>16.07</f>
        <v>16.07</v>
      </c>
      <c r="G100" s="180">
        <f>E97*F100</f>
        <v>5.1019036</v>
      </c>
    </row>
    <row r="101" spans="1:7" ht="15">
      <c r="A101" s="8" t="s">
        <v>0</v>
      </c>
      <c r="B101" s="9" t="s">
        <v>0</v>
      </c>
      <c r="C101" s="9" t="s">
        <v>44</v>
      </c>
      <c r="D101" s="9" t="s">
        <v>8</v>
      </c>
      <c r="E101" s="179"/>
      <c r="F101" s="179">
        <f>10.75</f>
        <v>10.75</v>
      </c>
      <c r="G101" s="180">
        <f>E97*F101</f>
        <v>3.4129099999999997</v>
      </c>
    </row>
    <row r="102" spans="1:7" ht="15">
      <c r="A102" s="8" t="s">
        <v>0</v>
      </c>
      <c r="B102" s="9" t="s">
        <v>0</v>
      </c>
      <c r="C102" s="9" t="s">
        <v>77</v>
      </c>
      <c r="D102" s="9" t="s">
        <v>10</v>
      </c>
      <c r="E102" s="179"/>
      <c r="F102" s="179">
        <f>0.4</f>
        <v>0.4</v>
      </c>
      <c r="G102" s="180">
        <f>E97*F102</f>
        <v>0.126992</v>
      </c>
    </row>
    <row r="103" spans="1:7" ht="15">
      <c r="A103" s="8" t="s">
        <v>0</v>
      </c>
      <c r="B103" s="9" t="s">
        <v>0</v>
      </c>
      <c r="C103" s="9" t="s">
        <v>0</v>
      </c>
      <c r="D103" s="9" t="s">
        <v>0</v>
      </c>
      <c r="E103" s="179"/>
      <c r="F103" s="179"/>
      <c r="G103" s="180"/>
    </row>
    <row r="104" spans="1:7" ht="15">
      <c r="A104" s="8" t="s">
        <v>78</v>
      </c>
      <c r="B104" s="9" t="s">
        <v>79</v>
      </c>
      <c r="C104" s="9" t="s">
        <v>72</v>
      </c>
      <c r="D104" s="9" t="s">
        <v>73</v>
      </c>
      <c r="E104" s="179">
        <f>'Du toan chi tiet'!E30</f>
        <v>0.56478</v>
      </c>
      <c r="F104" s="179"/>
      <c r="G104" s="180"/>
    </row>
    <row r="105" spans="1:7" ht="15">
      <c r="A105" s="8" t="s">
        <v>0</v>
      </c>
      <c r="B105" s="9" t="s">
        <v>0</v>
      </c>
      <c r="C105" s="9" t="s">
        <v>80</v>
      </c>
      <c r="D105" s="9" t="s">
        <v>0</v>
      </c>
      <c r="E105" s="179"/>
      <c r="F105" s="179"/>
      <c r="G105" s="180"/>
    </row>
    <row r="106" spans="1:7" ht="15">
      <c r="A106" s="8" t="s">
        <v>0</v>
      </c>
      <c r="B106" s="9" t="s">
        <v>0</v>
      </c>
      <c r="C106" s="9" t="s">
        <v>81</v>
      </c>
      <c r="D106" s="9" t="s">
        <v>20</v>
      </c>
      <c r="E106" s="179"/>
      <c r="F106" s="179">
        <f>1020</f>
        <v>1020</v>
      </c>
      <c r="G106" s="180">
        <f>E104*F106</f>
        <v>576.0755999999999</v>
      </c>
    </row>
    <row r="107" spans="1:7" ht="15">
      <c r="A107" s="8" t="s">
        <v>0</v>
      </c>
      <c r="B107" s="9" t="s">
        <v>0</v>
      </c>
      <c r="C107" s="9" t="s">
        <v>76</v>
      </c>
      <c r="D107" s="9" t="s">
        <v>20</v>
      </c>
      <c r="E107" s="179"/>
      <c r="F107" s="179">
        <f>9.28</f>
        <v>9.28</v>
      </c>
      <c r="G107" s="180">
        <f>E104*F107</f>
        <v>5.241158399999999</v>
      </c>
    </row>
    <row r="108" spans="1:7" ht="15">
      <c r="A108" s="8" t="s">
        <v>0</v>
      </c>
      <c r="B108" s="9" t="s">
        <v>0</v>
      </c>
      <c r="C108" s="9" t="s">
        <v>82</v>
      </c>
      <c r="D108" s="9" t="s">
        <v>20</v>
      </c>
      <c r="E108" s="179"/>
      <c r="F108" s="179">
        <f>4.64</f>
        <v>4.64</v>
      </c>
      <c r="G108" s="180">
        <f>E104*F108</f>
        <v>2.6205791999999994</v>
      </c>
    </row>
    <row r="109" spans="1:7" ht="15">
      <c r="A109" s="8" t="s">
        <v>0</v>
      </c>
      <c r="B109" s="9" t="s">
        <v>0</v>
      </c>
      <c r="C109" s="9" t="s">
        <v>44</v>
      </c>
      <c r="D109" s="9" t="s">
        <v>8</v>
      </c>
      <c r="E109" s="179"/>
      <c r="F109" s="179">
        <f>7.67</f>
        <v>7.67</v>
      </c>
      <c r="G109" s="180">
        <f>E104*F109</f>
        <v>4.3318626</v>
      </c>
    </row>
    <row r="110" spans="1:7" ht="15">
      <c r="A110" s="8" t="s">
        <v>0</v>
      </c>
      <c r="B110" s="9" t="s">
        <v>0</v>
      </c>
      <c r="C110" s="9" t="s">
        <v>83</v>
      </c>
      <c r="D110" s="9" t="s">
        <v>10</v>
      </c>
      <c r="E110" s="179"/>
      <c r="F110" s="179">
        <f>1.12</f>
        <v>1.12</v>
      </c>
      <c r="G110" s="180">
        <f>E104*F110</f>
        <v>0.6325536</v>
      </c>
    </row>
    <row r="111" spans="1:7" ht="15">
      <c r="A111" s="8" t="s">
        <v>0</v>
      </c>
      <c r="B111" s="9" t="s">
        <v>0</v>
      </c>
      <c r="C111" s="9" t="s">
        <v>77</v>
      </c>
      <c r="D111" s="9" t="s">
        <v>10</v>
      </c>
      <c r="E111" s="179"/>
      <c r="F111" s="179">
        <f>0.32</f>
        <v>0.32</v>
      </c>
      <c r="G111" s="180">
        <f>E104*F111</f>
        <v>0.1807296</v>
      </c>
    </row>
    <row r="112" spans="1:7" ht="15">
      <c r="A112" s="8" t="s">
        <v>0</v>
      </c>
      <c r="B112" s="9" t="s">
        <v>0</v>
      </c>
      <c r="C112" s="9" t="s">
        <v>0</v>
      </c>
      <c r="D112" s="9" t="s">
        <v>0</v>
      </c>
      <c r="E112" s="179"/>
      <c r="F112" s="179"/>
      <c r="G112" s="180"/>
    </row>
    <row r="113" spans="1:7" ht="15">
      <c r="A113" s="8" t="s">
        <v>84</v>
      </c>
      <c r="B113" s="9" t="s">
        <v>12</v>
      </c>
      <c r="C113" s="9" t="s">
        <v>13</v>
      </c>
      <c r="D113" s="9" t="s">
        <v>5</v>
      </c>
      <c r="E113" s="179">
        <f>'Du toan chi tiet'!E32</f>
        <v>7.7812</v>
      </c>
      <c r="F113" s="179"/>
      <c r="G113" s="180"/>
    </row>
    <row r="114" spans="1:7" ht="15">
      <c r="A114" s="8" t="s">
        <v>0</v>
      </c>
      <c r="B114" s="9" t="s">
        <v>0</v>
      </c>
      <c r="C114" s="9" t="s">
        <v>85</v>
      </c>
      <c r="D114" s="9" t="s">
        <v>0</v>
      </c>
      <c r="E114" s="179"/>
      <c r="F114" s="179"/>
      <c r="G114" s="180"/>
    </row>
    <row r="115" spans="1:7" ht="15">
      <c r="A115" s="8" t="s">
        <v>0</v>
      </c>
      <c r="B115" s="9" t="s">
        <v>0</v>
      </c>
      <c r="C115" s="9" t="s">
        <v>7</v>
      </c>
      <c r="D115" s="9" t="s">
        <v>8</v>
      </c>
      <c r="E115" s="179"/>
      <c r="F115" s="179">
        <f>0.0539</f>
        <v>0.0539</v>
      </c>
      <c r="G115" s="180">
        <f>E113*F115</f>
        <v>0.41940668000000003</v>
      </c>
    </row>
    <row r="116" spans="1:7" ht="15">
      <c r="A116" s="8" t="s">
        <v>0</v>
      </c>
      <c r="B116" s="9" t="s">
        <v>0</v>
      </c>
      <c r="C116" s="9" t="s">
        <v>15</v>
      </c>
      <c r="D116" s="9" t="s">
        <v>10</v>
      </c>
      <c r="E116" s="179"/>
      <c r="F116" s="179">
        <f>0.0335</f>
        <v>0.0335</v>
      </c>
      <c r="G116" s="180">
        <f>E113*F116</f>
        <v>0.2606702</v>
      </c>
    </row>
    <row r="117" spans="1:7" ht="15">
      <c r="A117" s="8" t="s">
        <v>0</v>
      </c>
      <c r="B117" s="9" t="s">
        <v>0</v>
      </c>
      <c r="C117" s="9" t="s">
        <v>0</v>
      </c>
      <c r="D117" s="9" t="s">
        <v>0</v>
      </c>
      <c r="E117" s="179"/>
      <c r="F117" s="179"/>
      <c r="G117" s="180"/>
    </row>
    <row r="118" spans="1:7" ht="15">
      <c r="A118" s="8" t="s">
        <v>86</v>
      </c>
      <c r="B118" s="9" t="s">
        <v>87</v>
      </c>
      <c r="C118" s="9" t="s">
        <v>88</v>
      </c>
      <c r="D118" s="9" t="s">
        <v>5</v>
      </c>
      <c r="E118" s="179">
        <f>'Du toan chi tiet'!E34</f>
        <v>7.51276</v>
      </c>
      <c r="F118" s="179"/>
      <c r="G118" s="180"/>
    </row>
    <row r="119" spans="1:7" ht="15">
      <c r="A119" s="8" t="s">
        <v>0</v>
      </c>
      <c r="B119" s="9" t="s">
        <v>0</v>
      </c>
      <c r="C119" s="9" t="s">
        <v>14</v>
      </c>
      <c r="D119" s="9" t="s">
        <v>0</v>
      </c>
      <c r="E119" s="179"/>
      <c r="F119" s="179"/>
      <c r="G119" s="180"/>
    </row>
    <row r="120" spans="1:7" ht="15">
      <c r="A120" s="8" t="s">
        <v>0</v>
      </c>
      <c r="B120" s="9" t="s">
        <v>0</v>
      </c>
      <c r="C120" s="9" t="s">
        <v>89</v>
      </c>
      <c r="D120" s="9" t="s">
        <v>22</v>
      </c>
      <c r="E120" s="179"/>
      <c r="F120" s="179">
        <f>1.22</f>
        <v>1.22</v>
      </c>
      <c r="G120" s="180">
        <f>E118*F120</f>
        <v>9.1655672</v>
      </c>
    </row>
    <row r="121" spans="1:7" ht="15">
      <c r="A121" s="8" t="s">
        <v>0</v>
      </c>
      <c r="B121" s="9" t="s">
        <v>0</v>
      </c>
      <c r="C121" s="9" t="s">
        <v>7</v>
      </c>
      <c r="D121" s="9" t="s">
        <v>8</v>
      </c>
      <c r="E121" s="179"/>
      <c r="F121" s="179">
        <f>0.0389</f>
        <v>0.0389</v>
      </c>
      <c r="G121" s="180">
        <f>E118*F121</f>
        <v>0.292246364</v>
      </c>
    </row>
    <row r="122" spans="1:7" ht="15">
      <c r="A122" s="8" t="s">
        <v>0</v>
      </c>
      <c r="B122" s="9" t="s">
        <v>0</v>
      </c>
      <c r="C122" s="9" t="s">
        <v>15</v>
      </c>
      <c r="D122" s="9" t="s">
        <v>10</v>
      </c>
      <c r="E122" s="179"/>
      <c r="F122" s="179">
        <f>0.019</f>
        <v>0.019</v>
      </c>
      <c r="G122" s="180">
        <f>E118*F122</f>
        <v>0.14274244</v>
      </c>
    </row>
    <row r="123" spans="1:7" ht="15">
      <c r="A123" s="8" t="s">
        <v>0</v>
      </c>
      <c r="B123" s="9" t="s">
        <v>0</v>
      </c>
      <c r="C123" s="9" t="s">
        <v>0</v>
      </c>
      <c r="D123" s="9" t="s">
        <v>0</v>
      </c>
      <c r="E123" s="179"/>
      <c r="F123" s="179"/>
      <c r="G123" s="180"/>
    </row>
    <row r="124" spans="1:7" ht="15">
      <c r="A124" s="8" t="s">
        <v>90</v>
      </c>
      <c r="B124" s="9" t="s">
        <v>91</v>
      </c>
      <c r="C124" s="9" t="s">
        <v>92</v>
      </c>
      <c r="D124" s="9" t="s">
        <v>5</v>
      </c>
      <c r="E124" s="179">
        <f>'Du toan chi tiet'!E36</f>
        <v>3.672</v>
      </c>
      <c r="F124" s="179"/>
      <c r="G124" s="180"/>
    </row>
    <row r="125" spans="1:7" ht="15">
      <c r="A125" s="8" t="s">
        <v>0</v>
      </c>
      <c r="B125" s="9" t="s">
        <v>0</v>
      </c>
      <c r="C125" s="9" t="s">
        <v>19</v>
      </c>
      <c r="D125" s="9" t="s">
        <v>20</v>
      </c>
      <c r="E125" s="179"/>
      <c r="F125" s="179">
        <f>197.825</f>
        <v>197.825</v>
      </c>
      <c r="G125" s="180">
        <f>E124*F125</f>
        <v>726.4134</v>
      </c>
    </row>
    <row r="126" spans="1:7" ht="15">
      <c r="A126" s="8" t="s">
        <v>0</v>
      </c>
      <c r="B126" s="9" t="s">
        <v>0</v>
      </c>
      <c r="C126" s="9" t="s">
        <v>21</v>
      </c>
      <c r="D126" s="9" t="s">
        <v>22</v>
      </c>
      <c r="E126" s="179"/>
      <c r="F126" s="179">
        <f>0.572975</f>
        <v>0.572975</v>
      </c>
      <c r="G126" s="180">
        <f>E124*F126</f>
        <v>2.1039642</v>
      </c>
    </row>
    <row r="127" spans="1:7" ht="15">
      <c r="A127" s="8" t="s">
        <v>0</v>
      </c>
      <c r="B127" s="9" t="s">
        <v>0</v>
      </c>
      <c r="C127" s="9" t="s">
        <v>23</v>
      </c>
      <c r="D127" s="9" t="s">
        <v>22</v>
      </c>
      <c r="E127" s="179"/>
      <c r="F127" s="179">
        <f>0.92865</f>
        <v>0.92865</v>
      </c>
      <c r="G127" s="180">
        <f>E124*F127</f>
        <v>3.4100028</v>
      </c>
    </row>
    <row r="128" spans="1:7" ht="15">
      <c r="A128" s="8" t="s">
        <v>0</v>
      </c>
      <c r="B128" s="9" t="s">
        <v>0</v>
      </c>
      <c r="C128" s="9" t="s">
        <v>24</v>
      </c>
      <c r="D128" s="9" t="s">
        <v>22</v>
      </c>
      <c r="E128" s="179"/>
      <c r="F128" s="179">
        <f>0.16605</f>
        <v>0.16605</v>
      </c>
      <c r="G128" s="180">
        <f>E124*F128</f>
        <v>0.6097356</v>
      </c>
    </row>
    <row r="129" spans="1:7" ht="15">
      <c r="A129" s="8" t="s">
        <v>0</v>
      </c>
      <c r="B129" s="9" t="s">
        <v>0</v>
      </c>
      <c r="C129" s="9" t="s">
        <v>25</v>
      </c>
      <c r="D129" s="9" t="s">
        <v>8</v>
      </c>
      <c r="E129" s="179"/>
      <c r="F129" s="179">
        <f>1.19</f>
        <v>1.19</v>
      </c>
      <c r="G129" s="180">
        <f>E124*F129</f>
        <v>4.36968</v>
      </c>
    </row>
    <row r="130" spans="1:7" ht="15">
      <c r="A130" s="8" t="s">
        <v>0</v>
      </c>
      <c r="B130" s="9" t="s">
        <v>0</v>
      </c>
      <c r="C130" s="9" t="s">
        <v>26</v>
      </c>
      <c r="D130" s="9" t="s">
        <v>10</v>
      </c>
      <c r="E130" s="179"/>
      <c r="F130" s="179">
        <f>0.095</f>
        <v>0.095</v>
      </c>
      <c r="G130" s="180">
        <f>E124*F130</f>
        <v>0.34884000000000004</v>
      </c>
    </row>
    <row r="131" spans="1:7" ht="15">
      <c r="A131" s="8" t="s">
        <v>0</v>
      </c>
      <c r="B131" s="9" t="s">
        <v>0</v>
      </c>
      <c r="C131" s="9" t="s">
        <v>27</v>
      </c>
      <c r="D131" s="9" t="s">
        <v>10</v>
      </c>
      <c r="E131" s="179"/>
      <c r="F131" s="179">
        <f>0.089</f>
        <v>0.089</v>
      </c>
      <c r="G131" s="180">
        <f>E124*F131</f>
        <v>0.326808</v>
      </c>
    </row>
    <row r="132" spans="1:7" ht="15">
      <c r="A132" s="8" t="s">
        <v>0</v>
      </c>
      <c r="B132" s="9" t="s">
        <v>0</v>
      </c>
      <c r="C132" s="9" t="s">
        <v>0</v>
      </c>
      <c r="D132" s="9" t="s">
        <v>0</v>
      </c>
      <c r="E132" s="179"/>
      <c r="F132" s="179"/>
      <c r="G132" s="180"/>
    </row>
    <row r="133" spans="1:7" ht="15">
      <c r="A133" s="8" t="s">
        <v>93</v>
      </c>
      <c r="B133" s="9" t="s">
        <v>94</v>
      </c>
      <c r="C133" s="9" t="s">
        <v>95</v>
      </c>
      <c r="D133" s="9" t="s">
        <v>38</v>
      </c>
      <c r="E133" s="179">
        <f>'Du toan chi tiet'!E37</f>
        <v>18.23</v>
      </c>
      <c r="F133" s="179"/>
      <c r="G133" s="180"/>
    </row>
    <row r="134" spans="1:7" ht="15">
      <c r="A134" s="8" t="s">
        <v>0</v>
      </c>
      <c r="B134" s="9" t="s">
        <v>0</v>
      </c>
      <c r="C134" s="9" t="s">
        <v>96</v>
      </c>
      <c r="D134" s="9" t="s">
        <v>97</v>
      </c>
      <c r="E134" s="179"/>
      <c r="F134" s="179">
        <f>1.01</f>
        <v>1.01</v>
      </c>
      <c r="G134" s="180">
        <f>E133*F134</f>
        <v>18.412300000000002</v>
      </c>
    </row>
    <row r="135" spans="1:7" ht="15">
      <c r="A135" s="8" t="s">
        <v>0</v>
      </c>
      <c r="B135" s="9" t="s">
        <v>0</v>
      </c>
      <c r="C135" s="9" t="s">
        <v>32</v>
      </c>
      <c r="D135" s="9" t="s">
        <v>20</v>
      </c>
      <c r="E135" s="179"/>
      <c r="F135" s="179">
        <f>3.913</f>
        <v>3.913</v>
      </c>
      <c r="G135" s="180">
        <f>E133*F135</f>
        <v>71.33399</v>
      </c>
    </row>
    <row r="136" spans="1:7" ht="15">
      <c r="A136" s="8" t="s">
        <v>0</v>
      </c>
      <c r="B136" s="9" t="s">
        <v>0</v>
      </c>
      <c r="C136" s="9" t="s">
        <v>61</v>
      </c>
      <c r="D136" s="9" t="s">
        <v>22</v>
      </c>
      <c r="E136" s="179"/>
      <c r="F136" s="179">
        <f>0.015067</f>
        <v>0.015067</v>
      </c>
      <c r="G136" s="180">
        <f>E133*F136</f>
        <v>0.27467141</v>
      </c>
    </row>
    <row r="137" spans="1:7" ht="15">
      <c r="A137" s="8" t="s">
        <v>0</v>
      </c>
      <c r="B137" s="9" t="s">
        <v>0</v>
      </c>
      <c r="C137" s="9" t="s">
        <v>24</v>
      </c>
      <c r="D137" s="9" t="s">
        <v>22</v>
      </c>
      <c r="E137" s="179"/>
      <c r="F137" s="179">
        <f>0.003614</f>
        <v>0.003614</v>
      </c>
      <c r="G137" s="180">
        <f>E133*F137</f>
        <v>0.06588322</v>
      </c>
    </row>
    <row r="138" spans="1:7" ht="15">
      <c r="A138" s="8" t="s">
        <v>0</v>
      </c>
      <c r="B138" s="9" t="s">
        <v>0</v>
      </c>
      <c r="C138" s="9" t="s">
        <v>32</v>
      </c>
      <c r="D138" s="9" t="s">
        <v>20</v>
      </c>
      <c r="E138" s="179"/>
      <c r="F138" s="179">
        <f>0.65</f>
        <v>0.65</v>
      </c>
      <c r="G138" s="180">
        <f>E133*F138</f>
        <v>11.8495</v>
      </c>
    </row>
    <row r="139" spans="1:7" ht="15">
      <c r="A139" s="8" t="s">
        <v>0</v>
      </c>
      <c r="B139" s="9" t="s">
        <v>0</v>
      </c>
      <c r="C139" s="9" t="s">
        <v>98</v>
      </c>
      <c r="D139" s="9" t="s">
        <v>20</v>
      </c>
      <c r="E139" s="179"/>
      <c r="F139" s="179">
        <f>0.17</f>
        <v>0.17</v>
      </c>
      <c r="G139" s="180">
        <f>E133*F139</f>
        <v>3.0991000000000004</v>
      </c>
    </row>
    <row r="140" spans="1:7" ht="15">
      <c r="A140" s="8" t="s">
        <v>0</v>
      </c>
      <c r="B140" s="9" t="s">
        <v>0</v>
      </c>
      <c r="C140" s="9" t="s">
        <v>99</v>
      </c>
      <c r="D140" s="9" t="s">
        <v>8</v>
      </c>
      <c r="E140" s="179"/>
      <c r="F140" s="179">
        <f>0.48</f>
        <v>0.48</v>
      </c>
      <c r="G140" s="180">
        <f>E133*F140</f>
        <v>8.750399999999999</v>
      </c>
    </row>
    <row r="141" spans="1:7" ht="15">
      <c r="A141" s="8" t="s">
        <v>0</v>
      </c>
      <c r="B141" s="9" t="s">
        <v>0</v>
      </c>
      <c r="C141" s="9" t="s">
        <v>100</v>
      </c>
      <c r="D141" s="9" t="s">
        <v>10</v>
      </c>
      <c r="E141" s="179"/>
      <c r="F141" s="179">
        <f>0.2</f>
        <v>0.2</v>
      </c>
      <c r="G141" s="180">
        <f>E133*F141</f>
        <v>3.6460000000000004</v>
      </c>
    </row>
    <row r="142" spans="1:7" ht="15">
      <c r="A142" s="8" t="s">
        <v>0</v>
      </c>
      <c r="B142" s="9" t="s">
        <v>0</v>
      </c>
      <c r="C142" s="9" t="s">
        <v>0</v>
      </c>
      <c r="D142" s="9" t="s">
        <v>0</v>
      </c>
      <c r="E142" s="179"/>
      <c r="F142" s="179"/>
      <c r="G142" s="180"/>
    </row>
    <row r="143" spans="1:7" ht="15">
      <c r="A143" s="8" t="s">
        <v>101</v>
      </c>
      <c r="B143" s="9" t="s">
        <v>102</v>
      </c>
      <c r="C143" s="9" t="s">
        <v>103</v>
      </c>
      <c r="D143" s="9" t="s">
        <v>104</v>
      </c>
      <c r="E143" s="179">
        <f>'Du toan chi tiet'!E38</f>
        <v>45.72</v>
      </c>
      <c r="F143" s="179"/>
      <c r="G143" s="180"/>
    </row>
    <row r="144" spans="1:7" ht="15">
      <c r="A144" s="8" t="s">
        <v>0</v>
      </c>
      <c r="B144" s="9" t="s">
        <v>0</v>
      </c>
      <c r="C144" s="9" t="s">
        <v>105</v>
      </c>
      <c r="D144" s="9" t="s">
        <v>0</v>
      </c>
      <c r="E144" s="179"/>
      <c r="F144" s="179"/>
      <c r="G144" s="180"/>
    </row>
    <row r="145" spans="1:7" ht="15">
      <c r="A145" s="8" t="s">
        <v>0</v>
      </c>
      <c r="B145" s="9" t="s">
        <v>0</v>
      </c>
      <c r="C145" s="9" t="s">
        <v>106</v>
      </c>
      <c r="D145" s="9" t="s">
        <v>20</v>
      </c>
      <c r="E145" s="179"/>
      <c r="F145" s="179">
        <f>0.0025*264</f>
        <v>0.66</v>
      </c>
      <c r="G145" s="180">
        <f>E143*F145</f>
        <v>30.1752</v>
      </c>
    </row>
    <row r="146" spans="1:7" ht="15">
      <c r="A146" s="8" t="s">
        <v>0</v>
      </c>
      <c r="B146" s="9" t="s">
        <v>0</v>
      </c>
      <c r="C146" s="9" t="s">
        <v>61</v>
      </c>
      <c r="D146" s="9" t="s">
        <v>22</v>
      </c>
      <c r="E146" s="179"/>
      <c r="F146" s="179">
        <f>0.0025*1.19</f>
        <v>0.0029749999999999998</v>
      </c>
      <c r="G146" s="180">
        <f>E143*F146</f>
        <v>0.136017</v>
      </c>
    </row>
    <row r="147" spans="1:7" ht="15">
      <c r="A147" s="8" t="s">
        <v>0</v>
      </c>
      <c r="B147" s="9" t="s">
        <v>0</v>
      </c>
      <c r="C147" s="9" t="s">
        <v>24</v>
      </c>
      <c r="D147" s="9" t="s">
        <v>22</v>
      </c>
      <c r="E147" s="179"/>
      <c r="F147" s="179">
        <f>0.0025*0.275</f>
        <v>0.0006875000000000001</v>
      </c>
      <c r="G147" s="180">
        <f>E143*F147</f>
        <v>0.0314325</v>
      </c>
    </row>
    <row r="148" spans="1:7" ht="15">
      <c r="A148" s="8" t="s">
        <v>0</v>
      </c>
      <c r="B148" s="9" t="s">
        <v>0</v>
      </c>
      <c r="C148" s="9" t="s">
        <v>99</v>
      </c>
      <c r="D148" s="9" t="s">
        <v>8</v>
      </c>
      <c r="E148" s="179"/>
      <c r="F148" s="179">
        <f>0.12</f>
        <v>0.12</v>
      </c>
      <c r="G148" s="180">
        <f>E143*F148</f>
        <v>5.4864</v>
      </c>
    </row>
    <row r="149" spans="1:7" ht="15">
      <c r="A149" s="8" t="s">
        <v>0</v>
      </c>
      <c r="B149" s="9" t="s">
        <v>0</v>
      </c>
      <c r="C149" s="9" t="s">
        <v>0</v>
      </c>
      <c r="D149" s="9" t="s">
        <v>0</v>
      </c>
      <c r="E149" s="179"/>
      <c r="F149" s="179"/>
      <c r="G149" s="180"/>
    </row>
    <row r="150" spans="1:7" ht="15">
      <c r="A150" s="8" t="s">
        <v>107</v>
      </c>
      <c r="B150" s="9" t="s">
        <v>49</v>
      </c>
      <c r="C150" s="9" t="s">
        <v>108</v>
      </c>
      <c r="D150" s="9" t="s">
        <v>5</v>
      </c>
      <c r="E150" s="179">
        <f>'Du toan chi tiet'!E40</f>
        <v>3.1932</v>
      </c>
      <c r="F150" s="179"/>
      <c r="G150" s="180"/>
    </row>
    <row r="151" spans="1:7" ht="15">
      <c r="A151" s="8" t="s">
        <v>0</v>
      </c>
      <c r="B151" s="9" t="s">
        <v>0</v>
      </c>
      <c r="C151" s="9" t="s">
        <v>109</v>
      </c>
      <c r="D151" s="9" t="s">
        <v>0</v>
      </c>
      <c r="E151" s="179"/>
      <c r="F151" s="179"/>
      <c r="G151" s="180"/>
    </row>
    <row r="152" spans="1:7" ht="15">
      <c r="A152" s="8" t="s">
        <v>0</v>
      </c>
      <c r="B152" s="9" t="s">
        <v>0</v>
      </c>
      <c r="C152" s="9" t="s">
        <v>32</v>
      </c>
      <c r="D152" s="9" t="s">
        <v>20</v>
      </c>
      <c r="E152" s="179"/>
      <c r="F152" s="179">
        <f>320.825</f>
        <v>320.825</v>
      </c>
      <c r="G152" s="180">
        <f>E150*F152</f>
        <v>1024.45839</v>
      </c>
    </row>
    <row r="153" spans="1:7" ht="15">
      <c r="A153" s="8" t="s">
        <v>0</v>
      </c>
      <c r="B153" s="9" t="s">
        <v>0</v>
      </c>
      <c r="C153" s="9" t="s">
        <v>21</v>
      </c>
      <c r="D153" s="9" t="s">
        <v>22</v>
      </c>
      <c r="E153" s="179"/>
      <c r="F153" s="179">
        <f>0.523775</f>
        <v>0.523775</v>
      </c>
      <c r="G153" s="180">
        <f>E150*F153</f>
        <v>1.67251833</v>
      </c>
    </row>
    <row r="154" spans="1:7" ht="15">
      <c r="A154" s="8" t="s">
        <v>0</v>
      </c>
      <c r="B154" s="9" t="s">
        <v>0</v>
      </c>
      <c r="C154" s="9" t="s">
        <v>33</v>
      </c>
      <c r="D154" s="9" t="s">
        <v>22</v>
      </c>
      <c r="E154" s="179"/>
      <c r="F154" s="179">
        <f>0.86305</f>
        <v>0.86305</v>
      </c>
      <c r="G154" s="180">
        <f>E150*F154</f>
        <v>2.75589126</v>
      </c>
    </row>
    <row r="155" spans="1:7" ht="15">
      <c r="A155" s="8" t="s">
        <v>0</v>
      </c>
      <c r="B155" s="9" t="s">
        <v>0</v>
      </c>
      <c r="C155" s="9" t="s">
        <v>24</v>
      </c>
      <c r="D155" s="9" t="s">
        <v>22</v>
      </c>
      <c r="E155" s="179"/>
      <c r="F155" s="179">
        <f>0.19475</f>
        <v>0.19475</v>
      </c>
      <c r="G155" s="180">
        <f>E150*F155</f>
        <v>0.6218757</v>
      </c>
    </row>
    <row r="156" spans="1:7" ht="15">
      <c r="A156" s="8" t="s">
        <v>0</v>
      </c>
      <c r="B156" s="9" t="s">
        <v>0</v>
      </c>
      <c r="C156" s="9" t="s">
        <v>44</v>
      </c>
      <c r="D156" s="9" t="s">
        <v>8</v>
      </c>
      <c r="E156" s="179"/>
      <c r="F156" s="179">
        <f>3.15</f>
        <v>3.15</v>
      </c>
      <c r="G156" s="180">
        <f>E150*F156</f>
        <v>10.05858</v>
      </c>
    </row>
    <row r="157" spans="1:7" ht="15">
      <c r="A157" s="8" t="s">
        <v>0</v>
      </c>
      <c r="B157" s="9" t="s">
        <v>0</v>
      </c>
      <c r="C157" s="9" t="s">
        <v>26</v>
      </c>
      <c r="D157" s="9" t="s">
        <v>10</v>
      </c>
      <c r="E157" s="179"/>
      <c r="F157" s="179">
        <f>0.095</f>
        <v>0.095</v>
      </c>
      <c r="G157" s="180">
        <f>E150*F157</f>
        <v>0.303354</v>
      </c>
    </row>
    <row r="158" spans="1:7" ht="15">
      <c r="A158" s="8" t="s">
        <v>0</v>
      </c>
      <c r="B158" s="9" t="s">
        <v>0</v>
      </c>
      <c r="C158" s="9" t="s">
        <v>34</v>
      </c>
      <c r="D158" s="9" t="s">
        <v>10</v>
      </c>
      <c r="E158" s="179"/>
      <c r="F158" s="179">
        <f>0.18</f>
        <v>0.18</v>
      </c>
      <c r="G158" s="180">
        <f>E150*F158</f>
        <v>0.574776</v>
      </c>
    </row>
    <row r="159" spans="1:7" ht="15">
      <c r="A159" s="8" t="s">
        <v>0</v>
      </c>
      <c r="B159" s="9" t="s">
        <v>0</v>
      </c>
      <c r="C159" s="9" t="s">
        <v>0</v>
      </c>
      <c r="D159" s="9" t="s">
        <v>0</v>
      </c>
      <c r="E159" s="179"/>
      <c r="F159" s="179"/>
      <c r="G159" s="180"/>
    </row>
    <row r="160" spans="1:7" ht="15">
      <c r="A160" s="8" t="s">
        <v>110</v>
      </c>
      <c r="B160" s="9" t="s">
        <v>111</v>
      </c>
      <c r="C160" s="9" t="s">
        <v>112</v>
      </c>
      <c r="D160" s="9" t="s">
        <v>38</v>
      </c>
      <c r="E160" s="179">
        <f>'Du toan chi tiet'!E42</f>
        <v>61.9836</v>
      </c>
      <c r="F160" s="179"/>
      <c r="G160" s="180"/>
    </row>
    <row r="161" spans="1:7" ht="15">
      <c r="A161" s="8" t="s">
        <v>0</v>
      </c>
      <c r="B161" s="9" t="s">
        <v>0</v>
      </c>
      <c r="C161" s="9" t="s">
        <v>40</v>
      </c>
      <c r="D161" s="9" t="s">
        <v>22</v>
      </c>
      <c r="E161" s="179"/>
      <c r="F161" s="179">
        <f>0.00936</f>
        <v>0.00936</v>
      </c>
      <c r="G161" s="180">
        <f>E160*F161</f>
        <v>0.580166496</v>
      </c>
    </row>
    <row r="162" spans="1:7" ht="15">
      <c r="A162" s="8" t="s">
        <v>0</v>
      </c>
      <c r="B162" s="9" t="s">
        <v>0</v>
      </c>
      <c r="C162" s="9" t="s">
        <v>41</v>
      </c>
      <c r="D162" s="9" t="s">
        <v>22</v>
      </c>
      <c r="E162" s="179"/>
      <c r="F162" s="179">
        <f>0.00186</f>
        <v>0.00186</v>
      </c>
      <c r="G162" s="180">
        <f>E160*F162</f>
        <v>0.115289496</v>
      </c>
    </row>
    <row r="163" spans="1:7" ht="15">
      <c r="A163" s="8" t="s">
        <v>0</v>
      </c>
      <c r="B163" s="9" t="s">
        <v>0</v>
      </c>
      <c r="C163" s="9" t="s">
        <v>42</v>
      </c>
      <c r="D163" s="9" t="s">
        <v>22</v>
      </c>
      <c r="E163" s="179"/>
      <c r="F163" s="179">
        <f>0.00622</f>
        <v>0.00622</v>
      </c>
      <c r="G163" s="180">
        <f>E160*F163</f>
        <v>0.385537992</v>
      </c>
    </row>
    <row r="164" spans="1:7" ht="15">
      <c r="A164" s="8" t="s">
        <v>0</v>
      </c>
      <c r="B164" s="9" t="s">
        <v>0</v>
      </c>
      <c r="C164" s="9" t="s">
        <v>43</v>
      </c>
      <c r="D164" s="9" t="s">
        <v>20</v>
      </c>
      <c r="E164" s="179"/>
      <c r="F164" s="179">
        <f>0.22</f>
        <v>0.22</v>
      </c>
      <c r="G164" s="180">
        <f>E160*F164</f>
        <v>13.636392</v>
      </c>
    </row>
    <row r="165" spans="1:7" ht="15">
      <c r="A165" s="8" t="s">
        <v>0</v>
      </c>
      <c r="B165" s="9" t="s">
        <v>0</v>
      </c>
      <c r="C165" s="9" t="s">
        <v>44</v>
      </c>
      <c r="D165" s="9" t="s">
        <v>8</v>
      </c>
      <c r="E165" s="179"/>
      <c r="F165" s="179">
        <f>0.5515</f>
        <v>0.5515</v>
      </c>
      <c r="G165" s="180">
        <f>E160*F165</f>
        <v>34.1839554</v>
      </c>
    </row>
    <row r="166" spans="1:7" ht="15">
      <c r="A166" s="8" t="s">
        <v>0</v>
      </c>
      <c r="B166" s="9" t="s">
        <v>0</v>
      </c>
      <c r="C166" s="9" t="s">
        <v>0</v>
      </c>
      <c r="D166" s="9" t="s">
        <v>0</v>
      </c>
      <c r="E166" s="179"/>
      <c r="F166" s="179"/>
      <c r="G166" s="180"/>
    </row>
    <row r="167" spans="1:7" ht="15">
      <c r="A167" s="8" t="s">
        <v>113</v>
      </c>
      <c r="B167" s="9" t="s">
        <v>114</v>
      </c>
      <c r="C167" s="9" t="s">
        <v>115</v>
      </c>
      <c r="D167" s="9" t="s">
        <v>38</v>
      </c>
      <c r="E167" s="179">
        <f>'Du toan chi tiet'!E43</f>
        <v>61.983</v>
      </c>
      <c r="F167" s="179"/>
      <c r="G167" s="180"/>
    </row>
    <row r="168" spans="1:7" ht="15">
      <c r="A168" s="8" t="s">
        <v>0</v>
      </c>
      <c r="B168" s="9" t="s">
        <v>0</v>
      </c>
      <c r="C168" s="9" t="s">
        <v>116</v>
      </c>
      <c r="D168" s="9" t="s">
        <v>0</v>
      </c>
      <c r="E168" s="179"/>
      <c r="F168" s="179"/>
      <c r="G168" s="180"/>
    </row>
    <row r="169" spans="1:7" ht="15">
      <c r="A169" s="8" t="s">
        <v>0</v>
      </c>
      <c r="B169" s="9" t="s">
        <v>0</v>
      </c>
      <c r="C169" s="9" t="s">
        <v>106</v>
      </c>
      <c r="D169" s="9" t="s">
        <v>20</v>
      </c>
      <c r="E169" s="179"/>
      <c r="F169" s="179">
        <f>0.018*264</f>
        <v>4.752</v>
      </c>
      <c r="G169" s="180">
        <f>E167*F169</f>
        <v>294.543216</v>
      </c>
    </row>
    <row r="170" spans="1:7" ht="15">
      <c r="A170" s="8" t="s">
        <v>0</v>
      </c>
      <c r="B170" s="9" t="s">
        <v>0</v>
      </c>
      <c r="C170" s="9" t="s">
        <v>61</v>
      </c>
      <c r="D170" s="9" t="s">
        <v>22</v>
      </c>
      <c r="E170" s="179"/>
      <c r="F170" s="179">
        <f>0.018*1.19</f>
        <v>0.021419999999999998</v>
      </c>
      <c r="G170" s="180">
        <f>E167*F170</f>
        <v>1.3276758599999998</v>
      </c>
    </row>
    <row r="171" spans="1:7" ht="15">
      <c r="A171" s="8" t="s">
        <v>0</v>
      </c>
      <c r="B171" s="9" t="s">
        <v>0</v>
      </c>
      <c r="C171" s="9" t="s">
        <v>24</v>
      </c>
      <c r="D171" s="9" t="s">
        <v>22</v>
      </c>
      <c r="E171" s="179"/>
      <c r="F171" s="179">
        <f>0.018*0.275</f>
        <v>0.00495</v>
      </c>
      <c r="G171" s="180">
        <f>E167*F171</f>
        <v>0.30681585</v>
      </c>
    </row>
    <row r="172" spans="1:7" ht="15">
      <c r="A172" s="8" t="s">
        <v>0</v>
      </c>
      <c r="B172" s="9" t="s">
        <v>0</v>
      </c>
      <c r="C172" s="9" t="s">
        <v>99</v>
      </c>
      <c r="D172" s="9" t="s">
        <v>8</v>
      </c>
      <c r="E172" s="179"/>
      <c r="F172" s="179">
        <f>0.52</f>
        <v>0.52</v>
      </c>
      <c r="G172" s="180">
        <f>E167*F172</f>
        <v>32.23116</v>
      </c>
    </row>
    <row r="173" spans="1:7" ht="15">
      <c r="A173" s="8" t="s">
        <v>0</v>
      </c>
      <c r="B173" s="9" t="s">
        <v>0</v>
      </c>
      <c r="C173" s="9" t="s">
        <v>117</v>
      </c>
      <c r="D173" s="9" t="s">
        <v>10</v>
      </c>
      <c r="E173" s="179"/>
      <c r="F173" s="179">
        <f>0.003</f>
        <v>0.003</v>
      </c>
      <c r="G173" s="180">
        <f>E167*F173</f>
        <v>0.185949</v>
      </c>
    </row>
    <row r="174" spans="1:7" ht="15">
      <c r="A174" s="8" t="s">
        <v>0</v>
      </c>
      <c r="B174" s="9" t="s">
        <v>0</v>
      </c>
      <c r="C174" s="9" t="s">
        <v>0</v>
      </c>
      <c r="D174" s="9" t="s">
        <v>0</v>
      </c>
      <c r="E174" s="179"/>
      <c r="F174" s="179"/>
      <c r="G174" s="180"/>
    </row>
    <row r="175" spans="1:7" ht="15">
      <c r="A175" s="8" t="s">
        <v>118</v>
      </c>
      <c r="B175" s="9" t="s">
        <v>119</v>
      </c>
      <c r="C175" s="9" t="s">
        <v>120</v>
      </c>
      <c r="D175" s="9" t="s">
        <v>73</v>
      </c>
      <c r="E175" s="179">
        <f>'Du toan chi tiet'!E45</f>
        <v>0.04664</v>
      </c>
      <c r="F175" s="179"/>
      <c r="G175" s="180"/>
    </row>
    <row r="176" spans="1:7" ht="15">
      <c r="A176" s="8" t="s">
        <v>0</v>
      </c>
      <c r="B176" s="9" t="s">
        <v>0</v>
      </c>
      <c r="C176" s="9" t="s">
        <v>121</v>
      </c>
      <c r="D176" s="9" t="s">
        <v>0</v>
      </c>
      <c r="E176" s="179"/>
      <c r="F176" s="179"/>
      <c r="G176" s="180"/>
    </row>
    <row r="177" spans="1:7" ht="15">
      <c r="A177" s="8" t="s">
        <v>0</v>
      </c>
      <c r="B177" s="9" t="s">
        <v>0</v>
      </c>
      <c r="C177" s="9" t="s">
        <v>75</v>
      </c>
      <c r="D177" s="9" t="s">
        <v>20</v>
      </c>
      <c r="E177" s="179"/>
      <c r="F177" s="179">
        <f>1005</f>
        <v>1005</v>
      </c>
      <c r="G177" s="180">
        <f>E175*F177</f>
        <v>46.873200000000004</v>
      </c>
    </row>
    <row r="178" spans="1:7" ht="15">
      <c r="A178" s="8" t="s">
        <v>0</v>
      </c>
      <c r="B178" s="9" t="s">
        <v>0</v>
      </c>
      <c r="C178" s="9" t="s">
        <v>76</v>
      </c>
      <c r="D178" s="9" t="s">
        <v>20</v>
      </c>
      <c r="E178" s="179"/>
      <c r="F178" s="179">
        <f>16.07</f>
        <v>16.07</v>
      </c>
      <c r="G178" s="180">
        <f>E175*F178</f>
        <v>0.7495048000000001</v>
      </c>
    </row>
    <row r="179" spans="1:7" ht="15">
      <c r="A179" s="8" t="s">
        <v>0</v>
      </c>
      <c r="B179" s="9" t="s">
        <v>0</v>
      </c>
      <c r="C179" s="9" t="s">
        <v>44</v>
      </c>
      <c r="D179" s="9" t="s">
        <v>8</v>
      </c>
      <c r="E179" s="179"/>
      <c r="F179" s="179">
        <f>14.14</f>
        <v>14.14</v>
      </c>
      <c r="G179" s="180">
        <f>E175*F179</f>
        <v>0.6594896</v>
      </c>
    </row>
    <row r="180" spans="1:7" ht="15">
      <c r="A180" s="8" t="s">
        <v>0</v>
      </c>
      <c r="B180" s="9" t="s">
        <v>0</v>
      </c>
      <c r="C180" s="9" t="s">
        <v>77</v>
      </c>
      <c r="D180" s="9" t="s">
        <v>10</v>
      </c>
      <c r="E180" s="179"/>
      <c r="F180" s="179">
        <f>0.4</f>
        <v>0.4</v>
      </c>
      <c r="G180" s="180">
        <f>E175*F180</f>
        <v>0.018656000000000002</v>
      </c>
    </row>
    <row r="181" spans="1:7" ht="15">
      <c r="A181" s="8" t="s">
        <v>0</v>
      </c>
      <c r="B181" s="9" t="s">
        <v>0</v>
      </c>
      <c r="C181" s="9" t="s">
        <v>0</v>
      </c>
      <c r="D181" s="9" t="s">
        <v>0</v>
      </c>
      <c r="E181" s="179"/>
      <c r="F181" s="179"/>
      <c r="G181" s="180"/>
    </row>
    <row r="182" spans="1:7" ht="15">
      <c r="A182" s="8" t="s">
        <v>122</v>
      </c>
      <c r="B182" s="9" t="s">
        <v>123</v>
      </c>
      <c r="C182" s="9" t="s">
        <v>120</v>
      </c>
      <c r="D182" s="9" t="s">
        <v>73</v>
      </c>
      <c r="E182" s="179">
        <f>'Du toan chi tiet'!E47</f>
        <v>0.648</v>
      </c>
      <c r="F182" s="179"/>
      <c r="G182" s="180"/>
    </row>
    <row r="183" spans="1:7" ht="15">
      <c r="A183" s="8" t="s">
        <v>0</v>
      </c>
      <c r="B183" s="9" t="s">
        <v>0</v>
      </c>
      <c r="C183" s="9" t="s">
        <v>124</v>
      </c>
      <c r="D183" s="9" t="s">
        <v>0</v>
      </c>
      <c r="E183" s="179"/>
      <c r="F183" s="179"/>
      <c r="G183" s="180"/>
    </row>
    <row r="184" spans="1:7" ht="15">
      <c r="A184" s="8" t="s">
        <v>0</v>
      </c>
      <c r="B184" s="9" t="s">
        <v>0</v>
      </c>
      <c r="C184" s="9" t="s">
        <v>81</v>
      </c>
      <c r="D184" s="9" t="s">
        <v>20</v>
      </c>
      <c r="E184" s="179"/>
      <c r="F184" s="179">
        <f>1020</f>
        <v>1020</v>
      </c>
      <c r="G184" s="180">
        <f>E182*F184</f>
        <v>660.96</v>
      </c>
    </row>
    <row r="185" spans="1:7" ht="15">
      <c r="A185" s="8" t="s">
        <v>0</v>
      </c>
      <c r="B185" s="9" t="s">
        <v>0</v>
      </c>
      <c r="C185" s="9" t="s">
        <v>76</v>
      </c>
      <c r="D185" s="9" t="s">
        <v>20</v>
      </c>
      <c r="E185" s="179"/>
      <c r="F185" s="179">
        <f>9.28</f>
        <v>9.28</v>
      </c>
      <c r="G185" s="180">
        <f>E182*F185</f>
        <v>6.01344</v>
      </c>
    </row>
    <row r="186" spans="1:7" ht="15">
      <c r="A186" s="8" t="s">
        <v>0</v>
      </c>
      <c r="B186" s="9" t="s">
        <v>0</v>
      </c>
      <c r="C186" s="9" t="s">
        <v>82</v>
      </c>
      <c r="D186" s="9" t="s">
        <v>20</v>
      </c>
      <c r="E186" s="179"/>
      <c r="F186" s="179">
        <f>4.82</f>
        <v>4.82</v>
      </c>
      <c r="G186" s="180">
        <f>E182*F186</f>
        <v>3.1233600000000004</v>
      </c>
    </row>
    <row r="187" spans="1:7" ht="15">
      <c r="A187" s="8" t="s">
        <v>0</v>
      </c>
      <c r="B187" s="9" t="s">
        <v>0</v>
      </c>
      <c r="C187" s="9" t="s">
        <v>44</v>
      </c>
      <c r="D187" s="9" t="s">
        <v>8</v>
      </c>
      <c r="E187" s="179"/>
      <c r="F187" s="179">
        <f>9.22</f>
        <v>9.22</v>
      </c>
      <c r="G187" s="180">
        <f>E182*F187</f>
        <v>5.97456</v>
      </c>
    </row>
    <row r="188" spans="1:7" ht="15">
      <c r="A188" s="8" t="s">
        <v>0</v>
      </c>
      <c r="B188" s="9" t="s">
        <v>0</v>
      </c>
      <c r="C188" s="9" t="s">
        <v>83</v>
      </c>
      <c r="D188" s="9" t="s">
        <v>10</v>
      </c>
      <c r="E188" s="179"/>
      <c r="F188" s="179">
        <f>1.16</f>
        <v>1.16</v>
      </c>
      <c r="G188" s="180">
        <f>E182*F188</f>
        <v>0.75168</v>
      </c>
    </row>
    <row r="189" spans="1:7" ht="15">
      <c r="A189" s="8" t="s">
        <v>0</v>
      </c>
      <c r="B189" s="9" t="s">
        <v>0</v>
      </c>
      <c r="C189" s="9" t="s">
        <v>77</v>
      </c>
      <c r="D189" s="9" t="s">
        <v>10</v>
      </c>
      <c r="E189" s="179"/>
      <c r="F189" s="179">
        <f>0.32</f>
        <v>0.32</v>
      </c>
      <c r="G189" s="180">
        <f>E182*F189</f>
        <v>0.20736000000000002</v>
      </c>
    </row>
    <row r="190" spans="1:7" ht="15">
      <c r="A190" s="8" t="s">
        <v>0</v>
      </c>
      <c r="B190" s="9" t="s">
        <v>0</v>
      </c>
      <c r="C190" s="9" t="s">
        <v>0</v>
      </c>
      <c r="D190" s="9" t="s">
        <v>0</v>
      </c>
      <c r="E190" s="179"/>
      <c r="F190" s="179"/>
      <c r="G190" s="180"/>
    </row>
    <row r="191" spans="1:7" ht="15">
      <c r="A191" s="8" t="s">
        <v>125</v>
      </c>
      <c r="B191" s="9" t="s">
        <v>64</v>
      </c>
      <c r="C191" s="9" t="s">
        <v>126</v>
      </c>
      <c r="D191" s="9" t="s">
        <v>5</v>
      </c>
      <c r="E191" s="179">
        <f>'Du toan chi tiet'!E49</f>
        <v>7.7508</v>
      </c>
      <c r="F191" s="179"/>
      <c r="G191" s="180"/>
    </row>
    <row r="192" spans="1:7" ht="15">
      <c r="A192" s="8" t="s">
        <v>0</v>
      </c>
      <c r="B192" s="9" t="s">
        <v>0</v>
      </c>
      <c r="C192" s="9" t="s">
        <v>66</v>
      </c>
      <c r="D192" s="9" t="s">
        <v>0</v>
      </c>
      <c r="E192" s="179"/>
      <c r="F192" s="179"/>
      <c r="G192" s="180"/>
    </row>
    <row r="193" spans="1:7" ht="15">
      <c r="A193" s="8" t="s">
        <v>0</v>
      </c>
      <c r="B193" s="9" t="s">
        <v>0</v>
      </c>
      <c r="C193" s="9" t="s">
        <v>32</v>
      </c>
      <c r="D193" s="9" t="s">
        <v>20</v>
      </c>
      <c r="E193" s="179"/>
      <c r="F193" s="179">
        <f>320.825</f>
        <v>320.825</v>
      </c>
      <c r="G193" s="180">
        <f>E191*F193</f>
        <v>2486.6504099999997</v>
      </c>
    </row>
    <row r="194" spans="1:7" ht="15">
      <c r="A194" s="8" t="s">
        <v>0</v>
      </c>
      <c r="B194" s="9" t="s">
        <v>0</v>
      </c>
      <c r="C194" s="9" t="s">
        <v>21</v>
      </c>
      <c r="D194" s="9" t="s">
        <v>22</v>
      </c>
      <c r="E194" s="179"/>
      <c r="F194" s="179">
        <f>0.523775</f>
        <v>0.523775</v>
      </c>
      <c r="G194" s="180">
        <f>E191*F194</f>
        <v>4.05967527</v>
      </c>
    </row>
    <row r="195" spans="1:7" ht="15">
      <c r="A195" s="8" t="s">
        <v>0</v>
      </c>
      <c r="B195" s="9" t="s">
        <v>0</v>
      </c>
      <c r="C195" s="9" t="s">
        <v>33</v>
      </c>
      <c r="D195" s="9" t="s">
        <v>22</v>
      </c>
      <c r="E195" s="179"/>
      <c r="F195" s="179">
        <f>0.86305</f>
        <v>0.86305</v>
      </c>
      <c r="G195" s="180">
        <f>E191*F195</f>
        <v>6.68932794</v>
      </c>
    </row>
    <row r="196" spans="1:7" ht="15">
      <c r="A196" s="8" t="s">
        <v>0</v>
      </c>
      <c r="B196" s="9" t="s">
        <v>0</v>
      </c>
      <c r="C196" s="9" t="s">
        <v>24</v>
      </c>
      <c r="D196" s="9" t="s">
        <v>22</v>
      </c>
      <c r="E196" s="179"/>
      <c r="F196" s="179">
        <f>0.19475</f>
        <v>0.19475</v>
      </c>
      <c r="G196" s="180">
        <f>E191*F196</f>
        <v>1.5094683</v>
      </c>
    </row>
    <row r="197" spans="1:7" ht="15">
      <c r="A197" s="8" t="s">
        <v>0</v>
      </c>
      <c r="B197" s="9" t="s">
        <v>0</v>
      </c>
      <c r="C197" s="9" t="s">
        <v>44</v>
      </c>
      <c r="D197" s="9" t="s">
        <v>8</v>
      </c>
      <c r="E197" s="179"/>
      <c r="F197" s="179">
        <f>2.67</f>
        <v>2.67</v>
      </c>
      <c r="G197" s="180">
        <f>E191*F197</f>
        <v>20.694636</v>
      </c>
    </row>
    <row r="198" spans="1:7" ht="15">
      <c r="A198" s="8" t="s">
        <v>0</v>
      </c>
      <c r="B198" s="9" t="s">
        <v>0</v>
      </c>
      <c r="C198" s="9" t="s">
        <v>26</v>
      </c>
      <c r="D198" s="9" t="s">
        <v>10</v>
      </c>
      <c r="E198" s="179"/>
      <c r="F198" s="179">
        <f>0.095</f>
        <v>0.095</v>
      </c>
      <c r="G198" s="180">
        <f>E191*F198</f>
        <v>0.736326</v>
      </c>
    </row>
    <row r="199" spans="1:7" ht="15">
      <c r="A199" s="8" t="s">
        <v>0</v>
      </c>
      <c r="B199" s="9" t="s">
        <v>0</v>
      </c>
      <c r="C199" s="9" t="s">
        <v>34</v>
      </c>
      <c r="D199" s="9" t="s">
        <v>10</v>
      </c>
      <c r="E199" s="179"/>
      <c r="F199" s="179">
        <f>0.18</f>
        <v>0.18</v>
      </c>
      <c r="G199" s="180">
        <f>E191*F199</f>
        <v>1.395144</v>
      </c>
    </row>
    <row r="200" spans="1:7" ht="15">
      <c r="A200" s="8" t="s">
        <v>0</v>
      </c>
      <c r="B200" s="9" t="s">
        <v>0</v>
      </c>
      <c r="C200" s="9" t="s">
        <v>0</v>
      </c>
      <c r="D200" s="9" t="s">
        <v>0</v>
      </c>
      <c r="E200" s="179"/>
      <c r="F200" s="179"/>
      <c r="G200" s="180"/>
    </row>
    <row r="201" spans="1:7" ht="15">
      <c r="A201" s="8" t="s">
        <v>127</v>
      </c>
      <c r="B201" s="9" t="s">
        <v>68</v>
      </c>
      <c r="C201" s="9" t="s">
        <v>128</v>
      </c>
      <c r="D201" s="9" t="s">
        <v>38</v>
      </c>
      <c r="E201" s="179">
        <f>'Du toan chi tiet'!E51</f>
        <v>77.508</v>
      </c>
      <c r="F201" s="179"/>
      <c r="G201" s="180"/>
    </row>
    <row r="202" spans="1:7" ht="15">
      <c r="A202" s="8" t="s">
        <v>0</v>
      </c>
      <c r="B202" s="9" t="s">
        <v>0</v>
      </c>
      <c r="C202" s="9" t="s">
        <v>40</v>
      </c>
      <c r="D202" s="9" t="s">
        <v>22</v>
      </c>
      <c r="E202" s="179"/>
      <c r="F202" s="179">
        <f>0.00794</f>
        <v>0.00794</v>
      </c>
      <c r="G202" s="180">
        <f>E201*F202</f>
        <v>0.6154135199999999</v>
      </c>
    </row>
    <row r="203" spans="1:7" ht="15">
      <c r="A203" s="8" t="s">
        <v>0</v>
      </c>
      <c r="B203" s="9" t="s">
        <v>0</v>
      </c>
      <c r="C203" s="9" t="s">
        <v>41</v>
      </c>
      <c r="D203" s="9" t="s">
        <v>22</v>
      </c>
      <c r="E203" s="179"/>
      <c r="F203" s="179">
        <f>0.00189</f>
        <v>0.00189</v>
      </c>
      <c r="G203" s="180">
        <f>E201*F203</f>
        <v>0.14649012</v>
      </c>
    </row>
    <row r="204" spans="1:7" ht="15">
      <c r="A204" s="8" t="s">
        <v>0</v>
      </c>
      <c r="B204" s="9" t="s">
        <v>0</v>
      </c>
      <c r="C204" s="9" t="s">
        <v>42</v>
      </c>
      <c r="D204" s="9" t="s">
        <v>22</v>
      </c>
      <c r="E204" s="179"/>
      <c r="F204" s="179">
        <f>0.00957</f>
        <v>0.00957</v>
      </c>
      <c r="G204" s="180">
        <f>E201*F204</f>
        <v>0.74175156</v>
      </c>
    </row>
    <row r="205" spans="1:7" ht="15">
      <c r="A205" s="8" t="s">
        <v>0</v>
      </c>
      <c r="B205" s="9" t="s">
        <v>0</v>
      </c>
      <c r="C205" s="9" t="s">
        <v>43</v>
      </c>
      <c r="D205" s="9" t="s">
        <v>20</v>
      </c>
      <c r="E205" s="179"/>
      <c r="F205" s="179">
        <f>0.1429</f>
        <v>0.1429</v>
      </c>
      <c r="G205" s="180">
        <f>E201*F205</f>
        <v>11.0758932</v>
      </c>
    </row>
    <row r="206" spans="1:7" ht="15">
      <c r="A206" s="8" t="s">
        <v>0</v>
      </c>
      <c r="B206" s="9" t="s">
        <v>0</v>
      </c>
      <c r="C206" s="9" t="s">
        <v>44</v>
      </c>
      <c r="D206" s="9" t="s">
        <v>8</v>
      </c>
      <c r="E206" s="179"/>
      <c r="F206" s="179">
        <f>0.275</f>
        <v>0.275</v>
      </c>
      <c r="G206" s="180">
        <f>E201*F206</f>
        <v>21.314700000000002</v>
      </c>
    </row>
    <row r="207" spans="1:7" ht="15">
      <c r="A207" s="8" t="s">
        <v>0</v>
      </c>
      <c r="B207" s="9" t="s">
        <v>0</v>
      </c>
      <c r="C207" s="9" t="s">
        <v>0</v>
      </c>
      <c r="D207" s="9" t="s">
        <v>0</v>
      </c>
      <c r="E207" s="179"/>
      <c r="F207" s="179"/>
      <c r="G207" s="180"/>
    </row>
    <row r="208" spans="1:7" ht="15">
      <c r="A208" s="8" t="s">
        <v>129</v>
      </c>
      <c r="B208" s="9" t="s">
        <v>130</v>
      </c>
      <c r="C208" s="9" t="s">
        <v>131</v>
      </c>
      <c r="D208" s="9" t="s">
        <v>38</v>
      </c>
      <c r="E208" s="179">
        <f>'Du toan chi tiet'!E52</f>
        <v>77.508</v>
      </c>
      <c r="F208" s="179"/>
      <c r="G208" s="180"/>
    </row>
    <row r="209" spans="1:7" ht="15">
      <c r="A209" s="8" t="s">
        <v>0</v>
      </c>
      <c r="B209" s="9" t="s">
        <v>0</v>
      </c>
      <c r="C209" s="9" t="s">
        <v>105</v>
      </c>
      <c r="D209" s="9" t="s">
        <v>0</v>
      </c>
      <c r="E209" s="179"/>
      <c r="F209" s="179"/>
      <c r="G209" s="180"/>
    </row>
    <row r="210" spans="1:7" ht="15">
      <c r="A210" s="8" t="s">
        <v>0</v>
      </c>
      <c r="B210" s="9" t="s">
        <v>0</v>
      </c>
      <c r="C210" s="9" t="s">
        <v>106</v>
      </c>
      <c r="D210" s="9" t="s">
        <v>20</v>
      </c>
      <c r="E210" s="179"/>
      <c r="F210" s="179">
        <f>0.018*1.25*264</f>
        <v>5.9399999999999995</v>
      </c>
      <c r="G210" s="180">
        <f>E208*F210</f>
        <v>460.39751999999993</v>
      </c>
    </row>
    <row r="211" spans="1:7" ht="15">
      <c r="A211" s="8" t="s">
        <v>0</v>
      </c>
      <c r="B211" s="9" t="s">
        <v>0</v>
      </c>
      <c r="C211" s="9" t="s">
        <v>61</v>
      </c>
      <c r="D211" s="9" t="s">
        <v>22</v>
      </c>
      <c r="E211" s="179"/>
      <c r="F211" s="179">
        <f>0.018*1.25*1.19</f>
        <v>0.026774999999999997</v>
      </c>
      <c r="G211" s="180">
        <f>E208*F211</f>
        <v>2.0752766999999994</v>
      </c>
    </row>
    <row r="212" spans="1:7" ht="15">
      <c r="A212" s="8" t="s">
        <v>0</v>
      </c>
      <c r="B212" s="9" t="s">
        <v>0</v>
      </c>
      <c r="C212" s="9" t="s">
        <v>24</v>
      </c>
      <c r="D212" s="9" t="s">
        <v>22</v>
      </c>
      <c r="E212" s="179"/>
      <c r="F212" s="179">
        <f>0.018*1.25*0.275</f>
        <v>0.0061875</v>
      </c>
      <c r="G212" s="180">
        <f>E208*F212</f>
        <v>0.47958075</v>
      </c>
    </row>
    <row r="213" spans="1:7" ht="15">
      <c r="A213" s="8" t="s">
        <v>0</v>
      </c>
      <c r="B213" s="9" t="s">
        <v>0</v>
      </c>
      <c r="C213" s="9" t="s">
        <v>99</v>
      </c>
      <c r="D213" s="9" t="s">
        <v>8</v>
      </c>
      <c r="E213" s="179"/>
      <c r="F213" s="179">
        <f>0.35*1.1</f>
        <v>0.385</v>
      </c>
      <c r="G213" s="180">
        <f>E208*F213</f>
        <v>29.84058</v>
      </c>
    </row>
    <row r="214" spans="1:7" ht="15">
      <c r="A214" s="8" t="s">
        <v>0</v>
      </c>
      <c r="B214" s="9" t="s">
        <v>0</v>
      </c>
      <c r="C214" s="9" t="s">
        <v>117</v>
      </c>
      <c r="D214" s="9" t="s">
        <v>10</v>
      </c>
      <c r="E214" s="179"/>
      <c r="F214" s="179">
        <f>0.003</f>
        <v>0.003</v>
      </c>
      <c r="G214" s="180">
        <f>E208*F214</f>
        <v>0.23252399999999998</v>
      </c>
    </row>
    <row r="215" spans="1:7" ht="15">
      <c r="A215" s="8" t="s">
        <v>0</v>
      </c>
      <c r="B215" s="9" t="s">
        <v>0</v>
      </c>
      <c r="C215" s="9" t="s">
        <v>0</v>
      </c>
      <c r="D215" s="9" t="s">
        <v>0</v>
      </c>
      <c r="E215" s="179"/>
      <c r="F215" s="179"/>
      <c r="G215" s="180"/>
    </row>
    <row r="216" spans="1:7" ht="15">
      <c r="A216" s="8" t="s">
        <v>132</v>
      </c>
      <c r="B216" s="9" t="s">
        <v>133</v>
      </c>
      <c r="C216" s="9" t="s">
        <v>134</v>
      </c>
      <c r="D216" s="9" t="s">
        <v>73</v>
      </c>
      <c r="E216" s="179">
        <f>'Du toan chi tiet'!E54</f>
        <v>0.19809</v>
      </c>
      <c r="F216" s="179"/>
      <c r="G216" s="180"/>
    </row>
    <row r="217" spans="1:7" ht="15">
      <c r="A217" s="8" t="s">
        <v>0</v>
      </c>
      <c r="B217" s="9" t="s">
        <v>0</v>
      </c>
      <c r="C217" s="9" t="s">
        <v>135</v>
      </c>
      <c r="D217" s="9" t="s">
        <v>0</v>
      </c>
      <c r="E217" s="179"/>
      <c r="F217" s="179"/>
      <c r="G217" s="180"/>
    </row>
    <row r="218" spans="1:7" ht="15">
      <c r="A218" s="8" t="s">
        <v>0</v>
      </c>
      <c r="B218" s="9" t="s">
        <v>0</v>
      </c>
      <c r="C218" s="9" t="s">
        <v>75</v>
      </c>
      <c r="D218" s="9" t="s">
        <v>20</v>
      </c>
      <c r="E218" s="179"/>
      <c r="F218" s="179">
        <f>1005</f>
        <v>1005</v>
      </c>
      <c r="G218" s="180">
        <f>E216*F218</f>
        <v>199.08044999999998</v>
      </c>
    </row>
    <row r="219" spans="1:7" ht="15">
      <c r="A219" s="8" t="s">
        <v>0</v>
      </c>
      <c r="B219" s="9" t="s">
        <v>0</v>
      </c>
      <c r="C219" s="9" t="s">
        <v>76</v>
      </c>
      <c r="D219" s="9" t="s">
        <v>20</v>
      </c>
      <c r="E219" s="179"/>
      <c r="F219" s="179">
        <f>16.07</f>
        <v>16.07</v>
      </c>
      <c r="G219" s="180">
        <f>E216*F219</f>
        <v>3.1833063</v>
      </c>
    </row>
    <row r="220" spans="1:7" ht="15">
      <c r="A220" s="8" t="s">
        <v>0</v>
      </c>
      <c r="B220" s="9" t="s">
        <v>0</v>
      </c>
      <c r="C220" s="9" t="s">
        <v>44</v>
      </c>
      <c r="D220" s="9" t="s">
        <v>8</v>
      </c>
      <c r="E220" s="179"/>
      <c r="F220" s="179">
        <f>15.39</f>
        <v>15.39</v>
      </c>
      <c r="G220" s="180">
        <f>E216*F220</f>
        <v>3.0486051</v>
      </c>
    </row>
    <row r="221" spans="1:7" ht="15">
      <c r="A221" s="8" t="s">
        <v>0</v>
      </c>
      <c r="B221" s="9" t="s">
        <v>0</v>
      </c>
      <c r="C221" s="9" t="s">
        <v>77</v>
      </c>
      <c r="D221" s="9" t="s">
        <v>10</v>
      </c>
      <c r="E221" s="179"/>
      <c r="F221" s="179">
        <f>0.4</f>
        <v>0.4</v>
      </c>
      <c r="G221" s="180">
        <f>E216*F221</f>
        <v>0.079236</v>
      </c>
    </row>
    <row r="222" spans="1:7" ht="15">
      <c r="A222" s="8" t="s">
        <v>0</v>
      </c>
      <c r="B222" s="9" t="s">
        <v>0</v>
      </c>
      <c r="C222" s="9" t="s">
        <v>0</v>
      </c>
      <c r="D222" s="9" t="s">
        <v>0</v>
      </c>
      <c r="E222" s="179"/>
      <c r="F222" s="179"/>
      <c r="G222" s="180"/>
    </row>
    <row r="223" spans="1:7" ht="15">
      <c r="A223" s="8" t="s">
        <v>136</v>
      </c>
      <c r="B223" s="9" t="s">
        <v>137</v>
      </c>
      <c r="C223" s="9" t="s">
        <v>134</v>
      </c>
      <c r="D223" s="9" t="s">
        <v>73</v>
      </c>
      <c r="E223" s="179">
        <f>'Du toan chi tiet'!E56</f>
        <v>1.81773</v>
      </c>
      <c r="F223" s="179"/>
      <c r="G223" s="180"/>
    </row>
    <row r="224" spans="1:7" ht="15">
      <c r="A224" s="8" t="s">
        <v>0</v>
      </c>
      <c r="B224" s="9" t="s">
        <v>0</v>
      </c>
      <c r="C224" s="9" t="s">
        <v>138</v>
      </c>
      <c r="D224" s="9" t="s">
        <v>0</v>
      </c>
      <c r="E224" s="179"/>
      <c r="F224" s="179"/>
      <c r="G224" s="180"/>
    </row>
    <row r="225" spans="1:7" ht="15">
      <c r="A225" s="8" t="s">
        <v>0</v>
      </c>
      <c r="B225" s="9" t="s">
        <v>0</v>
      </c>
      <c r="C225" s="9" t="s">
        <v>81</v>
      </c>
      <c r="D225" s="9" t="s">
        <v>20</v>
      </c>
      <c r="E225" s="179"/>
      <c r="F225" s="179">
        <f>1020</f>
        <v>1020</v>
      </c>
      <c r="G225" s="180">
        <f>E223*F225</f>
        <v>1854.0846000000001</v>
      </c>
    </row>
    <row r="226" spans="1:7" ht="15">
      <c r="A226" s="8" t="s">
        <v>0</v>
      </c>
      <c r="B226" s="9" t="s">
        <v>0</v>
      </c>
      <c r="C226" s="9" t="s">
        <v>76</v>
      </c>
      <c r="D226" s="9" t="s">
        <v>20</v>
      </c>
      <c r="E226" s="179"/>
      <c r="F226" s="179">
        <f>9.28</f>
        <v>9.28</v>
      </c>
      <c r="G226" s="180">
        <f>E223*F226</f>
        <v>16.868534399999998</v>
      </c>
    </row>
    <row r="227" spans="1:7" ht="15">
      <c r="A227" s="8" t="s">
        <v>0</v>
      </c>
      <c r="B227" s="9" t="s">
        <v>0</v>
      </c>
      <c r="C227" s="9" t="s">
        <v>82</v>
      </c>
      <c r="D227" s="9" t="s">
        <v>20</v>
      </c>
      <c r="E227" s="179"/>
      <c r="F227" s="179">
        <f>4.7</f>
        <v>4.7</v>
      </c>
      <c r="G227" s="180">
        <f>E223*F227</f>
        <v>8.543331</v>
      </c>
    </row>
    <row r="228" spans="1:7" ht="15">
      <c r="A228" s="8" t="s">
        <v>0</v>
      </c>
      <c r="B228" s="9" t="s">
        <v>0</v>
      </c>
      <c r="C228" s="9" t="s">
        <v>44</v>
      </c>
      <c r="D228" s="9" t="s">
        <v>8</v>
      </c>
      <c r="E228" s="179"/>
      <c r="F228" s="179">
        <f>9.24</f>
        <v>9.24</v>
      </c>
      <c r="G228" s="180">
        <f>E223*F228</f>
        <v>16.7958252</v>
      </c>
    </row>
    <row r="229" spans="1:7" ht="15">
      <c r="A229" s="8" t="s">
        <v>0</v>
      </c>
      <c r="B229" s="9" t="s">
        <v>0</v>
      </c>
      <c r="C229" s="9" t="s">
        <v>83</v>
      </c>
      <c r="D229" s="9" t="s">
        <v>10</v>
      </c>
      <c r="E229" s="179"/>
      <c r="F229" s="179">
        <f>1.133</f>
        <v>1.133</v>
      </c>
      <c r="G229" s="180">
        <f>E223*F229</f>
        <v>2.05948809</v>
      </c>
    </row>
    <row r="230" spans="1:7" ht="15">
      <c r="A230" s="8" t="s">
        <v>0</v>
      </c>
      <c r="B230" s="9" t="s">
        <v>0</v>
      </c>
      <c r="C230" s="9" t="s">
        <v>77</v>
      </c>
      <c r="D230" s="9" t="s">
        <v>10</v>
      </c>
      <c r="E230" s="179"/>
      <c r="F230" s="179">
        <f>0.32</f>
        <v>0.32</v>
      </c>
      <c r="G230" s="180">
        <f>E223*F230</f>
        <v>0.5816736</v>
      </c>
    </row>
    <row r="231" spans="1:7" ht="15">
      <c r="A231" s="8" t="s">
        <v>0</v>
      </c>
      <c r="B231" s="9" t="s">
        <v>0</v>
      </c>
      <c r="C231" s="9" t="s">
        <v>0</v>
      </c>
      <c r="D231" s="9" t="s">
        <v>0</v>
      </c>
      <c r="E231" s="179"/>
      <c r="F231" s="179"/>
      <c r="G231" s="180"/>
    </row>
    <row r="232" spans="1:7" ht="15">
      <c r="A232" s="8" t="s">
        <v>139</v>
      </c>
      <c r="B232" s="9" t="s">
        <v>140</v>
      </c>
      <c r="C232" s="9" t="s">
        <v>141</v>
      </c>
      <c r="D232" s="9" t="s">
        <v>5</v>
      </c>
      <c r="E232" s="179">
        <f>'Du toan chi tiet'!E58</f>
        <v>11.97606</v>
      </c>
      <c r="F232" s="179"/>
      <c r="G232" s="180"/>
    </row>
    <row r="233" spans="1:7" ht="15">
      <c r="A233" s="8" t="s">
        <v>0</v>
      </c>
      <c r="B233" s="9" t="s">
        <v>0</v>
      </c>
      <c r="C233" s="9" t="s">
        <v>66</v>
      </c>
      <c r="D233" s="9" t="s">
        <v>0</v>
      </c>
      <c r="E233" s="179"/>
      <c r="F233" s="179"/>
      <c r="G233" s="180"/>
    </row>
    <row r="234" spans="1:7" ht="15">
      <c r="A234" s="8" t="s">
        <v>0</v>
      </c>
      <c r="B234" s="9" t="s">
        <v>0</v>
      </c>
      <c r="C234" s="9" t="s">
        <v>32</v>
      </c>
      <c r="D234" s="9" t="s">
        <v>20</v>
      </c>
      <c r="E234" s="179"/>
      <c r="F234" s="179">
        <f>320.825</f>
        <v>320.825</v>
      </c>
      <c r="G234" s="180">
        <f>E232*F234</f>
        <v>3842.2194495</v>
      </c>
    </row>
    <row r="235" spans="1:7" ht="15">
      <c r="A235" s="8" t="s">
        <v>0</v>
      </c>
      <c r="B235" s="9" t="s">
        <v>0</v>
      </c>
      <c r="C235" s="9" t="s">
        <v>21</v>
      </c>
      <c r="D235" s="9" t="s">
        <v>22</v>
      </c>
      <c r="E235" s="179"/>
      <c r="F235" s="179">
        <f>0.523775</f>
        <v>0.523775</v>
      </c>
      <c r="G235" s="180">
        <f>E232*F235</f>
        <v>6.2727608265</v>
      </c>
    </row>
    <row r="236" spans="1:7" ht="15">
      <c r="A236" s="8" t="s">
        <v>0</v>
      </c>
      <c r="B236" s="9" t="s">
        <v>0</v>
      </c>
      <c r="C236" s="9" t="s">
        <v>33</v>
      </c>
      <c r="D236" s="9" t="s">
        <v>22</v>
      </c>
      <c r="E236" s="179"/>
      <c r="F236" s="179">
        <f>0.86305</f>
        <v>0.86305</v>
      </c>
      <c r="G236" s="180">
        <f>E232*F236</f>
        <v>10.335938583</v>
      </c>
    </row>
    <row r="237" spans="1:7" ht="15">
      <c r="A237" s="8" t="s">
        <v>0</v>
      </c>
      <c r="B237" s="9" t="s">
        <v>0</v>
      </c>
      <c r="C237" s="9" t="s">
        <v>24</v>
      </c>
      <c r="D237" s="9" t="s">
        <v>22</v>
      </c>
      <c r="E237" s="179"/>
      <c r="F237" s="179">
        <f>0.19475</f>
        <v>0.19475</v>
      </c>
      <c r="G237" s="180">
        <f>E232*F237</f>
        <v>2.332337685</v>
      </c>
    </row>
    <row r="238" spans="1:7" ht="15">
      <c r="A238" s="8" t="s">
        <v>0</v>
      </c>
      <c r="B238" s="9" t="s">
        <v>0</v>
      </c>
      <c r="C238" s="9" t="s">
        <v>44</v>
      </c>
      <c r="D238" s="9" t="s">
        <v>8</v>
      </c>
      <c r="E238" s="179"/>
      <c r="F238" s="179">
        <f>1.86</f>
        <v>1.86</v>
      </c>
      <c r="G238" s="180">
        <f>E232*F238</f>
        <v>22.275471600000003</v>
      </c>
    </row>
    <row r="239" spans="1:7" ht="15">
      <c r="A239" s="8" t="s">
        <v>0</v>
      </c>
      <c r="B239" s="9" t="s">
        <v>0</v>
      </c>
      <c r="C239" s="9" t="s">
        <v>26</v>
      </c>
      <c r="D239" s="9" t="s">
        <v>10</v>
      </c>
      <c r="E239" s="179"/>
      <c r="F239" s="179">
        <f>0.095</f>
        <v>0.095</v>
      </c>
      <c r="G239" s="180">
        <f>E232*F239</f>
        <v>1.1377257</v>
      </c>
    </row>
    <row r="240" spans="1:7" ht="15">
      <c r="A240" s="8" t="s">
        <v>0</v>
      </c>
      <c r="B240" s="9" t="s">
        <v>0</v>
      </c>
      <c r="C240" s="9" t="s">
        <v>34</v>
      </c>
      <c r="D240" s="9" t="s">
        <v>10</v>
      </c>
      <c r="E240" s="179"/>
      <c r="F240" s="179">
        <f>0.089</f>
        <v>0.089</v>
      </c>
      <c r="G240" s="180">
        <f>E232*F240</f>
        <v>1.0658693399999999</v>
      </c>
    </row>
    <row r="241" spans="1:7" ht="15">
      <c r="A241" s="8" t="s">
        <v>0</v>
      </c>
      <c r="B241" s="9" t="s">
        <v>0</v>
      </c>
      <c r="C241" s="9" t="s">
        <v>0</v>
      </c>
      <c r="D241" s="9" t="s">
        <v>0</v>
      </c>
      <c r="E241" s="179"/>
      <c r="F241" s="179"/>
      <c r="G241" s="180"/>
    </row>
    <row r="242" spans="1:7" ht="15">
      <c r="A242" s="8" t="s">
        <v>142</v>
      </c>
      <c r="B242" s="9" t="s">
        <v>143</v>
      </c>
      <c r="C242" s="9" t="s">
        <v>144</v>
      </c>
      <c r="D242" s="9" t="s">
        <v>38</v>
      </c>
      <c r="E242" s="179">
        <f>'Du toan chi tiet'!E60</f>
        <v>139.242</v>
      </c>
      <c r="F242" s="179"/>
      <c r="G242" s="180"/>
    </row>
    <row r="243" spans="1:7" ht="15">
      <c r="A243" s="8" t="s">
        <v>0</v>
      </c>
      <c r="B243" s="9" t="s">
        <v>0</v>
      </c>
      <c r="C243" s="9" t="s">
        <v>40</v>
      </c>
      <c r="D243" s="9" t="s">
        <v>22</v>
      </c>
      <c r="E243" s="179"/>
      <c r="F243" s="179">
        <f>0.00794</f>
        <v>0.00794</v>
      </c>
      <c r="G243" s="180">
        <f>E242*F243</f>
        <v>1.10558148</v>
      </c>
    </row>
    <row r="244" spans="1:7" ht="15">
      <c r="A244" s="8" t="s">
        <v>0</v>
      </c>
      <c r="B244" s="9" t="s">
        <v>0</v>
      </c>
      <c r="C244" s="9" t="s">
        <v>41</v>
      </c>
      <c r="D244" s="9" t="s">
        <v>22</v>
      </c>
      <c r="E244" s="179"/>
      <c r="F244" s="179">
        <f>0.00112</f>
        <v>0.00112</v>
      </c>
      <c r="G244" s="180">
        <f>E242*F244</f>
        <v>0.15595103999999999</v>
      </c>
    </row>
    <row r="245" spans="1:7" ht="15">
      <c r="A245" s="8" t="s">
        <v>0</v>
      </c>
      <c r="B245" s="9" t="s">
        <v>0</v>
      </c>
      <c r="C245" s="9" t="s">
        <v>42</v>
      </c>
      <c r="D245" s="9" t="s">
        <v>22</v>
      </c>
      <c r="E245" s="179"/>
      <c r="F245" s="179">
        <f>0.00668</f>
        <v>0.00668</v>
      </c>
      <c r="G245" s="180">
        <f>E242*F245</f>
        <v>0.93013656</v>
      </c>
    </row>
    <row r="246" spans="1:7" ht="15">
      <c r="A246" s="8" t="s">
        <v>0</v>
      </c>
      <c r="B246" s="9" t="s">
        <v>0</v>
      </c>
      <c r="C246" s="9" t="s">
        <v>43</v>
      </c>
      <c r="D246" s="9" t="s">
        <v>20</v>
      </c>
      <c r="E246" s="179"/>
      <c r="F246" s="179">
        <f>0.0805</f>
        <v>0.0805</v>
      </c>
      <c r="G246" s="180">
        <f>E242*F246</f>
        <v>11.208981</v>
      </c>
    </row>
    <row r="247" spans="1:7" ht="15">
      <c r="A247" s="8" t="s">
        <v>0</v>
      </c>
      <c r="B247" s="9" t="s">
        <v>0</v>
      </c>
      <c r="C247" s="9" t="s">
        <v>44</v>
      </c>
      <c r="D247" s="9" t="s">
        <v>8</v>
      </c>
      <c r="E247" s="179"/>
      <c r="F247" s="179">
        <f>0.2695</f>
        <v>0.2695</v>
      </c>
      <c r="G247" s="180">
        <f>E242*F247</f>
        <v>37.525719</v>
      </c>
    </row>
    <row r="248" spans="1:7" ht="15">
      <c r="A248" s="8" t="s">
        <v>0</v>
      </c>
      <c r="B248" s="9" t="s">
        <v>0</v>
      </c>
      <c r="C248" s="9" t="s">
        <v>0</v>
      </c>
      <c r="D248" s="9" t="s">
        <v>0</v>
      </c>
      <c r="E248" s="179"/>
      <c r="F248" s="179"/>
      <c r="G248" s="180"/>
    </row>
    <row r="249" spans="1:7" ht="15">
      <c r="A249" s="8" t="s">
        <v>145</v>
      </c>
      <c r="B249" s="9" t="s">
        <v>146</v>
      </c>
      <c r="C249" s="9" t="s">
        <v>147</v>
      </c>
      <c r="D249" s="9" t="s">
        <v>38</v>
      </c>
      <c r="E249" s="179">
        <f>'Du toan chi tiet'!E61</f>
        <v>132.858</v>
      </c>
      <c r="F249" s="179"/>
      <c r="G249" s="180"/>
    </row>
    <row r="250" spans="1:7" ht="15">
      <c r="A250" s="8" t="s">
        <v>0</v>
      </c>
      <c r="B250" s="9" t="s">
        <v>0</v>
      </c>
      <c r="C250" s="9" t="s">
        <v>105</v>
      </c>
      <c r="D250" s="9" t="s">
        <v>0</v>
      </c>
      <c r="E250" s="179"/>
      <c r="F250" s="179"/>
      <c r="G250" s="180"/>
    </row>
    <row r="251" spans="1:7" ht="15">
      <c r="A251" s="8" t="s">
        <v>0</v>
      </c>
      <c r="B251" s="9" t="s">
        <v>0</v>
      </c>
      <c r="C251" s="9" t="s">
        <v>106</v>
      </c>
      <c r="D251" s="9" t="s">
        <v>20</v>
      </c>
      <c r="E251" s="179"/>
      <c r="F251" s="179">
        <f>0.018*1.25*264</f>
        <v>5.9399999999999995</v>
      </c>
      <c r="G251" s="180">
        <f>E249*F251</f>
        <v>789.17652</v>
      </c>
    </row>
    <row r="252" spans="1:7" ht="15">
      <c r="A252" s="8" t="s">
        <v>0</v>
      </c>
      <c r="B252" s="9" t="s">
        <v>0</v>
      </c>
      <c r="C252" s="9" t="s">
        <v>61</v>
      </c>
      <c r="D252" s="9" t="s">
        <v>22</v>
      </c>
      <c r="E252" s="179"/>
      <c r="F252" s="179">
        <f>0.018*1.25*1.19</f>
        <v>0.026774999999999997</v>
      </c>
      <c r="G252" s="180">
        <f>E249*F252</f>
        <v>3.5572729499999998</v>
      </c>
    </row>
    <row r="253" spans="1:7" ht="15">
      <c r="A253" s="8" t="s">
        <v>0</v>
      </c>
      <c r="B253" s="9" t="s">
        <v>0</v>
      </c>
      <c r="C253" s="9" t="s">
        <v>24</v>
      </c>
      <c r="D253" s="9" t="s">
        <v>22</v>
      </c>
      <c r="E253" s="179"/>
      <c r="F253" s="179">
        <f>0.018*1.25*0.275</f>
        <v>0.0061875</v>
      </c>
      <c r="G253" s="180">
        <f>E249*F253</f>
        <v>0.8220588750000001</v>
      </c>
    </row>
    <row r="254" spans="1:7" ht="15">
      <c r="A254" s="8" t="s">
        <v>0</v>
      </c>
      <c r="B254" s="9" t="s">
        <v>0</v>
      </c>
      <c r="C254" s="9" t="s">
        <v>99</v>
      </c>
      <c r="D254" s="9" t="s">
        <v>8</v>
      </c>
      <c r="E254" s="179"/>
      <c r="F254" s="179">
        <f>0.5*1.1</f>
        <v>0.55</v>
      </c>
      <c r="G254" s="180">
        <f>E249*F254</f>
        <v>73.07190000000001</v>
      </c>
    </row>
    <row r="255" spans="1:7" ht="15">
      <c r="A255" s="8" t="s">
        <v>0</v>
      </c>
      <c r="B255" s="9" t="s">
        <v>0</v>
      </c>
      <c r="C255" s="9" t="s">
        <v>117</v>
      </c>
      <c r="D255" s="9" t="s">
        <v>10</v>
      </c>
      <c r="E255" s="179"/>
      <c r="F255" s="179">
        <f>0.003</f>
        <v>0.003</v>
      </c>
      <c r="G255" s="180">
        <f>E249*F255</f>
        <v>0.39857400000000004</v>
      </c>
    </row>
    <row r="256" spans="1:7" ht="15">
      <c r="A256" s="8" t="s">
        <v>0</v>
      </c>
      <c r="B256" s="9" t="s">
        <v>0</v>
      </c>
      <c r="C256" s="9" t="s">
        <v>0</v>
      </c>
      <c r="D256" s="9" t="s">
        <v>0</v>
      </c>
      <c r="E256" s="179"/>
      <c r="F256" s="179"/>
      <c r="G256" s="180"/>
    </row>
    <row r="257" spans="1:7" ht="15">
      <c r="A257" s="8" t="s">
        <v>148</v>
      </c>
      <c r="B257" s="9" t="s">
        <v>149</v>
      </c>
      <c r="C257" s="9" t="s">
        <v>150</v>
      </c>
      <c r="D257" s="9" t="s">
        <v>73</v>
      </c>
      <c r="E257" s="179">
        <f>'Du toan chi tiet'!E63</f>
        <v>1.565</v>
      </c>
      <c r="F257" s="179"/>
      <c r="G257" s="180"/>
    </row>
    <row r="258" spans="1:7" ht="15">
      <c r="A258" s="8" t="s">
        <v>0</v>
      </c>
      <c r="B258" s="9" t="s">
        <v>0</v>
      </c>
      <c r="C258" s="9" t="s">
        <v>151</v>
      </c>
      <c r="D258" s="9" t="s">
        <v>0</v>
      </c>
      <c r="E258" s="179"/>
      <c r="F258" s="179"/>
      <c r="G258" s="180"/>
    </row>
    <row r="259" spans="1:7" ht="15">
      <c r="A259" s="8" t="s">
        <v>0</v>
      </c>
      <c r="B259" s="9" t="s">
        <v>0</v>
      </c>
      <c r="C259" s="9" t="s">
        <v>75</v>
      </c>
      <c r="D259" s="9" t="s">
        <v>20</v>
      </c>
      <c r="E259" s="179"/>
      <c r="F259" s="179">
        <f>1005</f>
        <v>1005</v>
      </c>
      <c r="G259" s="180">
        <f>E257*F259</f>
        <v>1572.825</v>
      </c>
    </row>
    <row r="260" spans="1:7" ht="15">
      <c r="A260" s="8" t="s">
        <v>0</v>
      </c>
      <c r="B260" s="9" t="s">
        <v>0</v>
      </c>
      <c r="C260" s="9" t="s">
        <v>76</v>
      </c>
      <c r="D260" s="9" t="s">
        <v>20</v>
      </c>
      <c r="E260" s="179"/>
      <c r="F260" s="179">
        <f>16.07</f>
        <v>16.07</v>
      </c>
      <c r="G260" s="180">
        <f>E257*F260</f>
        <v>25.149549999999998</v>
      </c>
    </row>
    <row r="261" spans="1:7" ht="15">
      <c r="A261" s="8" t="s">
        <v>0</v>
      </c>
      <c r="B261" s="9" t="s">
        <v>0</v>
      </c>
      <c r="C261" s="9" t="s">
        <v>44</v>
      </c>
      <c r="D261" s="9" t="s">
        <v>8</v>
      </c>
      <c r="E261" s="179"/>
      <c r="F261" s="179">
        <f>13.9</f>
        <v>13.9</v>
      </c>
      <c r="G261" s="180">
        <f>E257*F261</f>
        <v>21.7535</v>
      </c>
    </row>
    <row r="262" spans="1:7" ht="15">
      <c r="A262" s="8" t="s">
        <v>0</v>
      </c>
      <c r="B262" s="9" t="s">
        <v>0</v>
      </c>
      <c r="C262" s="9" t="s">
        <v>77</v>
      </c>
      <c r="D262" s="9" t="s">
        <v>10</v>
      </c>
      <c r="E262" s="179"/>
      <c r="F262" s="179">
        <f>0.4</f>
        <v>0.4</v>
      </c>
      <c r="G262" s="180">
        <f>E257*F262</f>
        <v>0.626</v>
      </c>
    </row>
    <row r="263" spans="1:7" ht="15">
      <c r="A263" s="8" t="s">
        <v>0</v>
      </c>
      <c r="B263" s="9" t="s">
        <v>0</v>
      </c>
      <c r="C263" s="9" t="s">
        <v>0</v>
      </c>
      <c r="D263" s="9" t="s">
        <v>0</v>
      </c>
      <c r="E263" s="179"/>
      <c r="F263" s="179"/>
      <c r="G263" s="180"/>
    </row>
    <row r="264" spans="1:7" ht="15">
      <c r="A264" s="8" t="s">
        <v>152</v>
      </c>
      <c r="B264" s="9" t="s">
        <v>153</v>
      </c>
      <c r="C264" s="9" t="s">
        <v>154</v>
      </c>
      <c r="D264" s="9" t="s">
        <v>5</v>
      </c>
      <c r="E264" s="179">
        <f>'Du toan chi tiet'!E65</f>
        <v>1.82376</v>
      </c>
      <c r="F264" s="179"/>
      <c r="G264" s="180"/>
    </row>
    <row r="265" spans="1:7" ht="15">
      <c r="A265" s="8" t="s">
        <v>0</v>
      </c>
      <c r="B265" s="9" t="s">
        <v>0</v>
      </c>
      <c r="C265" s="9" t="s">
        <v>155</v>
      </c>
      <c r="D265" s="9" t="s">
        <v>0</v>
      </c>
      <c r="E265" s="179"/>
      <c r="F265" s="179"/>
      <c r="G265" s="180"/>
    </row>
    <row r="266" spans="1:7" ht="15">
      <c r="A266" s="8" t="s">
        <v>0</v>
      </c>
      <c r="B266" s="9" t="s">
        <v>0</v>
      </c>
      <c r="C266" s="9" t="s">
        <v>32</v>
      </c>
      <c r="D266" s="9" t="s">
        <v>20</v>
      </c>
      <c r="E266" s="179"/>
      <c r="F266" s="179">
        <f>320.825</f>
        <v>320.825</v>
      </c>
      <c r="G266" s="180">
        <f>E264*F266</f>
        <v>585.107802</v>
      </c>
    </row>
    <row r="267" spans="1:7" ht="15">
      <c r="A267" s="8" t="s">
        <v>0</v>
      </c>
      <c r="B267" s="9" t="s">
        <v>0</v>
      </c>
      <c r="C267" s="9" t="s">
        <v>21</v>
      </c>
      <c r="D267" s="9" t="s">
        <v>22</v>
      </c>
      <c r="E267" s="179"/>
      <c r="F267" s="179">
        <f>0.523775</f>
        <v>0.523775</v>
      </c>
      <c r="G267" s="180">
        <f>E264*F267</f>
        <v>0.955239894</v>
      </c>
    </row>
    <row r="268" spans="1:7" ht="15">
      <c r="A268" s="8" t="s">
        <v>0</v>
      </c>
      <c r="B268" s="9" t="s">
        <v>0</v>
      </c>
      <c r="C268" s="9" t="s">
        <v>33</v>
      </c>
      <c r="D268" s="9" t="s">
        <v>22</v>
      </c>
      <c r="E268" s="179"/>
      <c r="F268" s="179">
        <f>0.86305</f>
        <v>0.86305</v>
      </c>
      <c r="G268" s="180">
        <f>E264*F268</f>
        <v>1.573996068</v>
      </c>
    </row>
    <row r="269" spans="1:7" ht="15">
      <c r="A269" s="8" t="s">
        <v>0</v>
      </c>
      <c r="B269" s="9" t="s">
        <v>0</v>
      </c>
      <c r="C269" s="9" t="s">
        <v>24</v>
      </c>
      <c r="D269" s="9" t="s">
        <v>22</v>
      </c>
      <c r="E269" s="179"/>
      <c r="F269" s="179">
        <f>0.19475</f>
        <v>0.19475</v>
      </c>
      <c r="G269" s="180">
        <f>E264*F269</f>
        <v>0.35517726</v>
      </c>
    </row>
    <row r="270" spans="1:7" ht="15">
      <c r="A270" s="8" t="s">
        <v>0</v>
      </c>
      <c r="B270" s="9" t="s">
        <v>0</v>
      </c>
      <c r="C270" s="9" t="s">
        <v>44</v>
      </c>
      <c r="D270" s="9" t="s">
        <v>8</v>
      </c>
      <c r="E270" s="179"/>
      <c r="F270" s="179">
        <f>2.66</f>
        <v>2.66</v>
      </c>
      <c r="G270" s="180">
        <f>E264*F270</f>
        <v>4.8512016000000004</v>
      </c>
    </row>
    <row r="271" spans="1:7" ht="15">
      <c r="A271" s="8" t="s">
        <v>0</v>
      </c>
      <c r="B271" s="9" t="s">
        <v>0</v>
      </c>
      <c r="C271" s="9" t="s">
        <v>26</v>
      </c>
      <c r="D271" s="9" t="s">
        <v>10</v>
      </c>
      <c r="E271" s="179"/>
      <c r="F271" s="179">
        <f>0.095</f>
        <v>0.095</v>
      </c>
      <c r="G271" s="180">
        <f>E264*F271</f>
        <v>0.1732572</v>
      </c>
    </row>
    <row r="272" spans="1:7" ht="15">
      <c r="A272" s="8" t="s">
        <v>0</v>
      </c>
      <c r="B272" s="9" t="s">
        <v>0</v>
      </c>
      <c r="C272" s="9" t="s">
        <v>34</v>
      </c>
      <c r="D272" s="9" t="s">
        <v>10</v>
      </c>
      <c r="E272" s="179"/>
      <c r="F272" s="179">
        <f>0.089</f>
        <v>0.089</v>
      </c>
      <c r="G272" s="180">
        <f>E264*F272</f>
        <v>0.16231464</v>
      </c>
    </row>
    <row r="273" spans="1:7" ht="15">
      <c r="A273" s="8" t="s">
        <v>0</v>
      </c>
      <c r="B273" s="9" t="s">
        <v>0</v>
      </c>
      <c r="C273" s="9" t="s">
        <v>0</v>
      </c>
      <c r="D273" s="9" t="s">
        <v>0</v>
      </c>
      <c r="E273" s="179"/>
      <c r="F273" s="179"/>
      <c r="G273" s="180"/>
    </row>
    <row r="274" spans="1:7" ht="15">
      <c r="A274" s="8" t="s">
        <v>156</v>
      </c>
      <c r="B274" s="9" t="s">
        <v>157</v>
      </c>
      <c r="C274" s="9" t="s">
        <v>158</v>
      </c>
      <c r="D274" s="9" t="s">
        <v>38</v>
      </c>
      <c r="E274" s="179">
        <f>'Du toan chi tiet'!E67</f>
        <v>48.456</v>
      </c>
      <c r="F274" s="179"/>
      <c r="G274" s="180"/>
    </row>
    <row r="275" spans="1:7" ht="15">
      <c r="A275" s="8" t="s">
        <v>0</v>
      </c>
      <c r="B275" s="9" t="s">
        <v>0</v>
      </c>
      <c r="C275" s="9" t="s">
        <v>159</v>
      </c>
      <c r="D275" s="9" t="s">
        <v>0</v>
      </c>
      <c r="E275" s="179"/>
      <c r="F275" s="179"/>
      <c r="G275" s="180"/>
    </row>
    <row r="276" spans="1:7" ht="15">
      <c r="A276" s="8" t="s">
        <v>0</v>
      </c>
      <c r="B276" s="9" t="s">
        <v>0</v>
      </c>
      <c r="C276" s="9" t="s">
        <v>40</v>
      </c>
      <c r="D276" s="9" t="s">
        <v>22</v>
      </c>
      <c r="E276" s="179"/>
      <c r="F276" s="179">
        <f>0.00794</f>
        <v>0.00794</v>
      </c>
      <c r="G276" s="180">
        <f>E274*F276</f>
        <v>0.38474063999999997</v>
      </c>
    </row>
    <row r="277" spans="1:7" ht="15">
      <c r="A277" s="8" t="s">
        <v>0</v>
      </c>
      <c r="B277" s="9" t="s">
        <v>0</v>
      </c>
      <c r="C277" s="9" t="s">
        <v>41</v>
      </c>
      <c r="D277" s="9" t="s">
        <v>22</v>
      </c>
      <c r="E277" s="179"/>
      <c r="F277" s="179">
        <f>0.00112</f>
        <v>0.00112</v>
      </c>
      <c r="G277" s="180">
        <f>E274*F277</f>
        <v>0.05427072</v>
      </c>
    </row>
    <row r="278" spans="1:7" ht="15">
      <c r="A278" s="8" t="s">
        <v>0</v>
      </c>
      <c r="B278" s="9" t="s">
        <v>0</v>
      </c>
      <c r="C278" s="9" t="s">
        <v>42</v>
      </c>
      <c r="D278" s="9" t="s">
        <v>22</v>
      </c>
      <c r="E278" s="179"/>
      <c r="F278" s="179">
        <f>0.00668</f>
        <v>0.00668</v>
      </c>
      <c r="G278" s="180">
        <f>E274*F278</f>
        <v>0.32368608000000004</v>
      </c>
    </row>
    <row r="279" spans="1:7" ht="15">
      <c r="A279" s="8" t="s">
        <v>0</v>
      </c>
      <c r="B279" s="9" t="s">
        <v>0</v>
      </c>
      <c r="C279" s="9" t="s">
        <v>43</v>
      </c>
      <c r="D279" s="9" t="s">
        <v>20</v>
      </c>
      <c r="E279" s="179"/>
      <c r="F279" s="179">
        <f>0.0805</f>
        <v>0.0805</v>
      </c>
      <c r="G279" s="180">
        <f>E274*F279</f>
        <v>3.9007080000000003</v>
      </c>
    </row>
    <row r="280" spans="1:7" ht="15">
      <c r="A280" s="8" t="s">
        <v>0</v>
      </c>
      <c r="B280" s="9" t="s">
        <v>0</v>
      </c>
      <c r="C280" s="9" t="s">
        <v>44</v>
      </c>
      <c r="D280" s="9" t="s">
        <v>8</v>
      </c>
      <c r="E280" s="179"/>
      <c r="F280" s="179">
        <f>0.2847</f>
        <v>0.2847</v>
      </c>
      <c r="G280" s="180">
        <f>E274*F280</f>
        <v>13.795423200000002</v>
      </c>
    </row>
    <row r="281" spans="1:7" ht="15">
      <c r="A281" s="8" t="s">
        <v>0</v>
      </c>
      <c r="B281" s="9" t="s">
        <v>0</v>
      </c>
      <c r="C281" s="9" t="s">
        <v>0</v>
      </c>
      <c r="D281" s="9" t="s">
        <v>0</v>
      </c>
      <c r="E281" s="179"/>
      <c r="F281" s="179"/>
      <c r="G281" s="180"/>
    </row>
    <row r="282" spans="1:7" ht="15">
      <c r="A282" s="8" t="s">
        <v>160</v>
      </c>
      <c r="B282" s="9" t="s">
        <v>161</v>
      </c>
      <c r="C282" s="9" t="s">
        <v>162</v>
      </c>
      <c r="D282" s="9" t="s">
        <v>73</v>
      </c>
      <c r="E282" s="179">
        <f>'Du toan chi tiet'!E69</f>
        <v>0.06671</v>
      </c>
      <c r="F282" s="179"/>
      <c r="G282" s="180"/>
    </row>
    <row r="283" spans="1:7" ht="15">
      <c r="A283" s="8" t="s">
        <v>0</v>
      </c>
      <c r="B283" s="9" t="s">
        <v>0</v>
      </c>
      <c r="C283" s="9" t="s">
        <v>135</v>
      </c>
      <c r="D283" s="9" t="s">
        <v>0</v>
      </c>
      <c r="E283" s="179"/>
      <c r="F283" s="179"/>
      <c r="G283" s="180"/>
    </row>
    <row r="284" spans="1:7" ht="15">
      <c r="A284" s="8" t="s">
        <v>0</v>
      </c>
      <c r="B284" s="9" t="s">
        <v>0</v>
      </c>
      <c r="C284" s="9" t="s">
        <v>75</v>
      </c>
      <c r="D284" s="9" t="s">
        <v>20</v>
      </c>
      <c r="E284" s="179"/>
      <c r="F284" s="179">
        <f>1005</f>
        <v>1005</v>
      </c>
      <c r="G284" s="180">
        <f>E282*F284</f>
        <v>67.04355000000001</v>
      </c>
    </row>
    <row r="285" spans="1:7" ht="15">
      <c r="A285" s="8" t="s">
        <v>0</v>
      </c>
      <c r="B285" s="9" t="s">
        <v>0</v>
      </c>
      <c r="C285" s="9" t="s">
        <v>76</v>
      </c>
      <c r="D285" s="9" t="s">
        <v>20</v>
      </c>
      <c r="E285" s="179"/>
      <c r="F285" s="179">
        <f>16.07</f>
        <v>16.07</v>
      </c>
      <c r="G285" s="180">
        <f>E282*F285</f>
        <v>1.0720297</v>
      </c>
    </row>
    <row r="286" spans="1:7" ht="15">
      <c r="A286" s="8" t="s">
        <v>0</v>
      </c>
      <c r="B286" s="9" t="s">
        <v>0</v>
      </c>
      <c r="C286" s="9" t="s">
        <v>44</v>
      </c>
      <c r="D286" s="9" t="s">
        <v>8</v>
      </c>
      <c r="E286" s="179"/>
      <c r="F286" s="179">
        <f>18.46</f>
        <v>18.46</v>
      </c>
      <c r="G286" s="180">
        <f>E282*F286</f>
        <v>1.2314666</v>
      </c>
    </row>
    <row r="287" spans="1:7" ht="15">
      <c r="A287" s="8" t="s">
        <v>0</v>
      </c>
      <c r="B287" s="9" t="s">
        <v>0</v>
      </c>
      <c r="C287" s="9" t="s">
        <v>77</v>
      </c>
      <c r="D287" s="9" t="s">
        <v>10</v>
      </c>
      <c r="E287" s="179"/>
      <c r="F287" s="179">
        <f>0.4</f>
        <v>0.4</v>
      </c>
      <c r="G287" s="180">
        <f>E282*F287</f>
        <v>0.026684000000000003</v>
      </c>
    </row>
    <row r="288" spans="1:7" ht="15">
      <c r="A288" s="8" t="s">
        <v>0</v>
      </c>
      <c r="B288" s="9" t="s">
        <v>0</v>
      </c>
      <c r="C288" s="9" t="s">
        <v>0</v>
      </c>
      <c r="D288" s="9" t="s">
        <v>0</v>
      </c>
      <c r="E288" s="179"/>
      <c r="F288" s="179"/>
      <c r="G288" s="180"/>
    </row>
    <row r="289" spans="1:7" ht="15">
      <c r="A289" s="8" t="s">
        <v>163</v>
      </c>
      <c r="B289" s="9" t="s">
        <v>164</v>
      </c>
      <c r="C289" s="9" t="s">
        <v>162</v>
      </c>
      <c r="D289" s="9" t="s">
        <v>73</v>
      </c>
      <c r="E289" s="179">
        <f>'Du toan chi tiet'!E71</f>
        <v>0.16197</v>
      </c>
      <c r="F289" s="179"/>
      <c r="G289" s="180"/>
    </row>
    <row r="290" spans="1:7" ht="15">
      <c r="A290" s="8" t="s">
        <v>0</v>
      </c>
      <c r="B290" s="9" t="s">
        <v>0</v>
      </c>
      <c r="C290" s="9" t="s">
        <v>165</v>
      </c>
      <c r="D290" s="9" t="s">
        <v>0</v>
      </c>
      <c r="E290" s="179"/>
      <c r="F290" s="179"/>
      <c r="G290" s="180"/>
    </row>
    <row r="291" spans="1:7" ht="15">
      <c r="A291" s="8" t="s">
        <v>0</v>
      </c>
      <c r="B291" s="9" t="s">
        <v>0</v>
      </c>
      <c r="C291" s="9" t="s">
        <v>166</v>
      </c>
      <c r="D291" s="9" t="s">
        <v>20</v>
      </c>
      <c r="E291" s="179"/>
      <c r="F291" s="179">
        <f>1020</f>
        <v>1020</v>
      </c>
      <c r="G291" s="180">
        <f>E289*F291</f>
        <v>165.20940000000002</v>
      </c>
    </row>
    <row r="292" spans="1:7" ht="15">
      <c r="A292" s="8" t="s">
        <v>0</v>
      </c>
      <c r="B292" s="9" t="s">
        <v>0</v>
      </c>
      <c r="C292" s="9" t="s">
        <v>76</v>
      </c>
      <c r="D292" s="9" t="s">
        <v>20</v>
      </c>
      <c r="E292" s="179"/>
      <c r="F292" s="179">
        <f>9.28</f>
        <v>9.28</v>
      </c>
      <c r="G292" s="180">
        <f>E289*F292</f>
        <v>1.5030816</v>
      </c>
    </row>
    <row r="293" spans="1:7" ht="15">
      <c r="A293" s="8" t="s">
        <v>0</v>
      </c>
      <c r="B293" s="9" t="s">
        <v>0</v>
      </c>
      <c r="C293" s="9" t="s">
        <v>82</v>
      </c>
      <c r="D293" s="9" t="s">
        <v>20</v>
      </c>
      <c r="E293" s="179"/>
      <c r="F293" s="179">
        <f>4.617</f>
        <v>4.617</v>
      </c>
      <c r="G293" s="180">
        <f>E289*F293</f>
        <v>0.74781549</v>
      </c>
    </row>
    <row r="294" spans="1:7" ht="15">
      <c r="A294" s="8" t="s">
        <v>0</v>
      </c>
      <c r="B294" s="9" t="s">
        <v>0</v>
      </c>
      <c r="C294" s="9" t="s">
        <v>44</v>
      </c>
      <c r="D294" s="9" t="s">
        <v>8</v>
      </c>
      <c r="E294" s="179"/>
      <c r="F294" s="179">
        <f>15.68</f>
        <v>15.68</v>
      </c>
      <c r="G294" s="180">
        <f>E289*F294</f>
        <v>2.5396896</v>
      </c>
    </row>
    <row r="295" spans="1:7" ht="15">
      <c r="A295" s="8" t="s">
        <v>0</v>
      </c>
      <c r="B295" s="9" t="s">
        <v>0</v>
      </c>
      <c r="C295" s="9" t="s">
        <v>83</v>
      </c>
      <c r="D295" s="9" t="s">
        <v>10</v>
      </c>
      <c r="E295" s="179"/>
      <c r="F295" s="179">
        <f>1.123</f>
        <v>1.123</v>
      </c>
      <c r="G295" s="180">
        <f>E289*F295</f>
        <v>0.18189231</v>
      </c>
    </row>
    <row r="296" spans="1:7" ht="15">
      <c r="A296" s="8" t="s">
        <v>0</v>
      </c>
      <c r="B296" s="9" t="s">
        <v>0</v>
      </c>
      <c r="C296" s="9" t="s">
        <v>77</v>
      </c>
      <c r="D296" s="9" t="s">
        <v>10</v>
      </c>
      <c r="E296" s="179"/>
      <c r="F296" s="179">
        <f>0.32</f>
        <v>0.32</v>
      </c>
      <c r="G296" s="180">
        <f>E289*F296</f>
        <v>0.0518304</v>
      </c>
    </row>
    <row r="297" spans="1:7" ht="15">
      <c r="A297" s="8" t="s">
        <v>0</v>
      </c>
      <c r="B297" s="9" t="s">
        <v>0</v>
      </c>
      <c r="C297" s="9" t="s">
        <v>0</v>
      </c>
      <c r="D297" s="9" t="s">
        <v>0</v>
      </c>
      <c r="E297" s="179"/>
      <c r="F297" s="179"/>
      <c r="G297" s="180"/>
    </row>
    <row r="298" spans="1:7" ht="15">
      <c r="A298" s="8" t="s">
        <v>167</v>
      </c>
      <c r="B298" s="9" t="s">
        <v>168</v>
      </c>
      <c r="C298" s="9" t="s">
        <v>169</v>
      </c>
      <c r="D298" s="9" t="s">
        <v>38</v>
      </c>
      <c r="E298" s="179">
        <f>'Du toan chi tiet'!E73</f>
        <v>71.904</v>
      </c>
      <c r="F298" s="179"/>
      <c r="G298" s="180"/>
    </row>
    <row r="299" spans="1:7" ht="15">
      <c r="A299" s="8" t="s">
        <v>0</v>
      </c>
      <c r="B299" s="9" t="s">
        <v>0</v>
      </c>
      <c r="C299" s="9" t="s">
        <v>105</v>
      </c>
      <c r="D299" s="9" t="s">
        <v>0</v>
      </c>
      <c r="E299" s="179"/>
      <c r="F299" s="179"/>
      <c r="G299" s="180"/>
    </row>
    <row r="300" spans="1:7" ht="15">
      <c r="A300" s="8" t="s">
        <v>0</v>
      </c>
      <c r="B300" s="9" t="s">
        <v>0</v>
      </c>
      <c r="C300" s="9" t="s">
        <v>106</v>
      </c>
      <c r="D300" s="9" t="s">
        <v>20</v>
      </c>
      <c r="E300" s="179"/>
      <c r="F300" s="179">
        <f>0.012*264</f>
        <v>3.168</v>
      </c>
      <c r="G300" s="180">
        <f>E298*F300</f>
        <v>227.791872</v>
      </c>
    </row>
    <row r="301" spans="1:7" ht="15">
      <c r="A301" s="8" t="s">
        <v>0</v>
      </c>
      <c r="B301" s="9" t="s">
        <v>0</v>
      </c>
      <c r="C301" s="9" t="s">
        <v>61</v>
      </c>
      <c r="D301" s="9" t="s">
        <v>22</v>
      </c>
      <c r="E301" s="179"/>
      <c r="F301" s="179">
        <f>0.012*1.19</f>
        <v>0.01428</v>
      </c>
      <c r="G301" s="180">
        <f>E298*F301</f>
        <v>1.0267891199999999</v>
      </c>
    </row>
    <row r="302" spans="1:7" ht="15">
      <c r="A302" s="8" t="s">
        <v>0</v>
      </c>
      <c r="B302" s="9" t="s">
        <v>0</v>
      </c>
      <c r="C302" s="9" t="s">
        <v>24</v>
      </c>
      <c r="D302" s="9" t="s">
        <v>22</v>
      </c>
      <c r="E302" s="179"/>
      <c r="F302" s="179">
        <f>0.012*0.275</f>
        <v>0.0033000000000000004</v>
      </c>
      <c r="G302" s="180">
        <f>E298*F302</f>
        <v>0.23728320000000003</v>
      </c>
    </row>
    <row r="303" spans="1:7" ht="15">
      <c r="A303" s="8" t="s">
        <v>0</v>
      </c>
      <c r="B303" s="9" t="s">
        <v>0</v>
      </c>
      <c r="C303" s="9" t="s">
        <v>99</v>
      </c>
      <c r="D303" s="9" t="s">
        <v>8</v>
      </c>
      <c r="E303" s="179"/>
      <c r="F303" s="179">
        <f>0.24</f>
        <v>0.24</v>
      </c>
      <c r="G303" s="180">
        <f>E298*F303</f>
        <v>17.25696</v>
      </c>
    </row>
    <row r="304" spans="1:7" ht="15">
      <c r="A304" s="8" t="s">
        <v>0</v>
      </c>
      <c r="B304" s="9" t="s">
        <v>0</v>
      </c>
      <c r="C304" s="9" t="s">
        <v>0</v>
      </c>
      <c r="D304" s="9" t="s">
        <v>0</v>
      </c>
      <c r="E304" s="179"/>
      <c r="F304" s="179"/>
      <c r="G304" s="180"/>
    </row>
    <row r="305" spans="1:7" ht="15">
      <c r="A305" s="8" t="s">
        <v>170</v>
      </c>
      <c r="B305" s="9" t="s">
        <v>171</v>
      </c>
      <c r="C305" s="9" t="s">
        <v>172</v>
      </c>
      <c r="D305" s="9" t="s">
        <v>104</v>
      </c>
      <c r="E305" s="179">
        <f>'Du toan chi tiet'!E75</f>
        <v>43.2</v>
      </c>
      <c r="F305" s="179"/>
      <c r="G305" s="180"/>
    </row>
    <row r="306" spans="1:7" ht="15">
      <c r="A306" s="8" t="s">
        <v>0</v>
      </c>
      <c r="B306" s="9" t="s">
        <v>0</v>
      </c>
      <c r="C306" s="9" t="s">
        <v>19</v>
      </c>
      <c r="D306" s="9" t="s">
        <v>20</v>
      </c>
      <c r="E306" s="179"/>
      <c r="F306" s="179">
        <f>0.012*385</f>
        <v>4.62</v>
      </c>
      <c r="G306" s="180">
        <f>E305*F306</f>
        <v>199.58400000000003</v>
      </c>
    </row>
    <row r="307" spans="1:7" ht="15">
      <c r="A307" s="8" t="s">
        <v>0</v>
      </c>
      <c r="B307" s="9" t="s">
        <v>0</v>
      </c>
      <c r="C307" s="9" t="s">
        <v>61</v>
      </c>
      <c r="D307" s="9" t="s">
        <v>22</v>
      </c>
      <c r="E307" s="179"/>
      <c r="F307" s="179">
        <f>0.012*1.118</f>
        <v>0.013416</v>
      </c>
      <c r="G307" s="180">
        <f>E305*F307</f>
        <v>0.5795712000000001</v>
      </c>
    </row>
    <row r="308" spans="1:7" ht="15">
      <c r="A308" s="8" t="s">
        <v>0</v>
      </c>
      <c r="B308" s="9" t="s">
        <v>0</v>
      </c>
      <c r="C308" s="9" t="s">
        <v>24</v>
      </c>
      <c r="D308" s="9" t="s">
        <v>22</v>
      </c>
      <c r="E308" s="179"/>
      <c r="F308" s="179">
        <f>0.012*0.275</f>
        <v>0.0033000000000000004</v>
      </c>
      <c r="G308" s="180">
        <f>E305*F308</f>
        <v>0.14256000000000002</v>
      </c>
    </row>
    <row r="309" spans="1:7" ht="15">
      <c r="A309" s="8" t="s">
        <v>0</v>
      </c>
      <c r="B309" s="9" t="s">
        <v>0</v>
      </c>
      <c r="C309" s="9" t="s">
        <v>173</v>
      </c>
      <c r="D309" s="9" t="s">
        <v>8</v>
      </c>
      <c r="E309" s="179"/>
      <c r="F309" s="179">
        <f>0.39</f>
        <v>0.39</v>
      </c>
      <c r="G309" s="180">
        <f>E305*F309</f>
        <v>16.848000000000003</v>
      </c>
    </row>
    <row r="310" spans="1:7" ht="15">
      <c r="A310" s="8" t="s">
        <v>0</v>
      </c>
      <c r="B310" s="9" t="s">
        <v>0</v>
      </c>
      <c r="C310" s="9" t="s">
        <v>0</v>
      </c>
      <c r="D310" s="9" t="s">
        <v>0</v>
      </c>
      <c r="E310" s="179"/>
      <c r="F310" s="179"/>
      <c r="G310" s="180"/>
    </row>
    <row r="311" spans="1:7" ht="15">
      <c r="A311" s="8" t="s">
        <v>174</v>
      </c>
      <c r="B311" s="9" t="s">
        <v>175</v>
      </c>
      <c r="C311" s="9" t="s">
        <v>176</v>
      </c>
      <c r="D311" s="9" t="s">
        <v>38</v>
      </c>
      <c r="E311" s="179">
        <f>'Du toan chi tiet'!E77</f>
        <v>75.44</v>
      </c>
      <c r="F311" s="179"/>
      <c r="G311" s="180"/>
    </row>
    <row r="312" spans="1:7" ht="15">
      <c r="A312" s="8" t="s">
        <v>0</v>
      </c>
      <c r="B312" s="9" t="s">
        <v>0</v>
      </c>
      <c r="C312" s="9" t="s">
        <v>177</v>
      </c>
      <c r="D312" s="9" t="s">
        <v>97</v>
      </c>
      <c r="E312" s="179"/>
      <c r="F312" s="179">
        <f>1.01</f>
        <v>1.01</v>
      </c>
      <c r="G312" s="180">
        <f>E311*F312</f>
        <v>76.1944</v>
      </c>
    </row>
    <row r="313" spans="1:7" ht="15">
      <c r="A313" s="8" t="s">
        <v>0</v>
      </c>
      <c r="B313" s="9" t="s">
        <v>0</v>
      </c>
      <c r="C313" s="9" t="s">
        <v>32</v>
      </c>
      <c r="D313" s="9" t="s">
        <v>20</v>
      </c>
      <c r="E313" s="179"/>
      <c r="F313" s="179">
        <f>6.6</f>
        <v>6.6</v>
      </c>
      <c r="G313" s="180">
        <f>E311*F313</f>
        <v>497.90399999999994</v>
      </c>
    </row>
    <row r="314" spans="1:7" ht="15">
      <c r="A314" s="8" t="s">
        <v>0</v>
      </c>
      <c r="B314" s="9" t="s">
        <v>0</v>
      </c>
      <c r="C314" s="9" t="s">
        <v>61</v>
      </c>
      <c r="D314" s="9" t="s">
        <v>22</v>
      </c>
      <c r="E314" s="179"/>
      <c r="F314" s="179">
        <f>0.02975</f>
        <v>0.02975</v>
      </c>
      <c r="G314" s="180">
        <f>E311*F314</f>
        <v>2.24434</v>
      </c>
    </row>
    <row r="315" spans="1:7" ht="15">
      <c r="A315" s="8" t="s">
        <v>0</v>
      </c>
      <c r="B315" s="9" t="s">
        <v>0</v>
      </c>
      <c r="C315" s="9" t="s">
        <v>24</v>
      </c>
      <c r="D315" s="9" t="s">
        <v>22</v>
      </c>
      <c r="E315" s="179"/>
      <c r="F315" s="179">
        <f>0.006875</f>
        <v>0.006875</v>
      </c>
      <c r="G315" s="180">
        <f>E311*F315</f>
        <v>0.5186499999999999</v>
      </c>
    </row>
    <row r="316" spans="1:7" ht="15">
      <c r="A316" s="8" t="s">
        <v>0</v>
      </c>
      <c r="B316" s="9" t="s">
        <v>0</v>
      </c>
      <c r="C316" s="9" t="s">
        <v>19</v>
      </c>
      <c r="D316" s="9" t="s">
        <v>20</v>
      </c>
      <c r="E316" s="179"/>
      <c r="F316" s="179">
        <f>0.8</f>
        <v>0.8</v>
      </c>
      <c r="G316" s="180">
        <f>E311*F316</f>
        <v>60.352000000000004</v>
      </c>
    </row>
    <row r="317" spans="1:7" ht="15">
      <c r="A317" s="8" t="s">
        <v>0</v>
      </c>
      <c r="B317" s="9" t="s">
        <v>0</v>
      </c>
      <c r="C317" s="9" t="s">
        <v>98</v>
      </c>
      <c r="D317" s="9" t="s">
        <v>20</v>
      </c>
      <c r="E317" s="179"/>
      <c r="F317" s="179">
        <f>0.16</f>
        <v>0.16</v>
      </c>
      <c r="G317" s="180">
        <f>E311*F317</f>
        <v>12.0704</v>
      </c>
    </row>
    <row r="318" spans="1:7" ht="15">
      <c r="A318" s="8" t="s">
        <v>0</v>
      </c>
      <c r="B318" s="9" t="s">
        <v>0</v>
      </c>
      <c r="C318" s="9" t="s">
        <v>99</v>
      </c>
      <c r="D318" s="9" t="s">
        <v>8</v>
      </c>
      <c r="E318" s="179"/>
      <c r="F318" s="179">
        <f>0.17</f>
        <v>0.17</v>
      </c>
      <c r="G318" s="180">
        <f>E311*F318</f>
        <v>12.8248</v>
      </c>
    </row>
    <row r="319" spans="1:7" ht="15">
      <c r="A319" s="8" t="s">
        <v>0</v>
      </c>
      <c r="B319" s="9" t="s">
        <v>0</v>
      </c>
      <c r="C319" s="9" t="s">
        <v>100</v>
      </c>
      <c r="D319" s="9" t="s">
        <v>10</v>
      </c>
      <c r="E319" s="179"/>
      <c r="F319" s="179">
        <f>0.03</f>
        <v>0.03</v>
      </c>
      <c r="G319" s="180">
        <f>E311*F319</f>
        <v>2.2632</v>
      </c>
    </row>
    <row r="320" spans="1:7" ht="15">
      <c r="A320" s="8" t="s">
        <v>0</v>
      </c>
      <c r="B320" s="9" t="s">
        <v>0</v>
      </c>
      <c r="C320" s="9" t="s">
        <v>0</v>
      </c>
      <c r="D320" s="9" t="s">
        <v>0</v>
      </c>
      <c r="E320" s="179"/>
      <c r="F320" s="179"/>
      <c r="G320" s="180"/>
    </row>
    <row r="321" spans="1:7" ht="15">
      <c r="A321" s="8" t="s">
        <v>178</v>
      </c>
      <c r="B321" s="9" t="s">
        <v>179</v>
      </c>
      <c r="C321" s="9" t="s">
        <v>180</v>
      </c>
      <c r="D321" s="9" t="s">
        <v>38</v>
      </c>
      <c r="E321" s="179">
        <f>'Du toan chi tiet'!E78</f>
        <v>136.1754</v>
      </c>
      <c r="F321" s="179"/>
      <c r="G321" s="180"/>
    </row>
    <row r="322" spans="1:7" ht="15">
      <c r="A322" s="8" t="s">
        <v>0</v>
      </c>
      <c r="B322" s="9" t="s">
        <v>0</v>
      </c>
      <c r="C322" s="9" t="s">
        <v>181</v>
      </c>
      <c r="D322" s="9" t="s">
        <v>60</v>
      </c>
      <c r="E322" s="179"/>
      <c r="F322" s="179">
        <f>89</f>
        <v>89</v>
      </c>
      <c r="G322" s="180">
        <f>E321*F322</f>
        <v>12119.6106</v>
      </c>
    </row>
    <row r="323" spans="1:7" ht="15">
      <c r="A323" s="8" t="s">
        <v>0</v>
      </c>
      <c r="B323" s="9" t="s">
        <v>0</v>
      </c>
      <c r="C323" s="9" t="s">
        <v>32</v>
      </c>
      <c r="D323" s="9" t="s">
        <v>20</v>
      </c>
      <c r="E323" s="179"/>
      <c r="F323" s="179">
        <f>8.475</f>
        <v>8.475</v>
      </c>
      <c r="G323" s="180">
        <f>E321*F323</f>
        <v>1154.086515</v>
      </c>
    </row>
    <row r="324" spans="1:7" ht="15">
      <c r="A324" s="8" t="s">
        <v>0</v>
      </c>
      <c r="B324" s="9" t="s">
        <v>0</v>
      </c>
      <c r="C324" s="9" t="s">
        <v>61</v>
      </c>
      <c r="D324" s="9" t="s">
        <v>22</v>
      </c>
      <c r="E324" s="179"/>
      <c r="F324" s="179">
        <f>0.028725</f>
        <v>0.028725</v>
      </c>
      <c r="G324" s="180">
        <f>E321*F324</f>
        <v>3.911638365</v>
      </c>
    </row>
    <row r="325" spans="1:7" ht="15">
      <c r="A325" s="8" t="s">
        <v>0</v>
      </c>
      <c r="B325" s="9" t="s">
        <v>0</v>
      </c>
      <c r="C325" s="9" t="s">
        <v>24</v>
      </c>
      <c r="D325" s="9" t="s">
        <v>22</v>
      </c>
      <c r="E325" s="179"/>
      <c r="F325" s="179">
        <f>0.006825</f>
        <v>0.006825</v>
      </c>
      <c r="G325" s="180">
        <f>E321*F325</f>
        <v>0.9293971050000001</v>
      </c>
    </row>
    <row r="326" spans="1:7" ht="15">
      <c r="A326" s="8" t="s">
        <v>0</v>
      </c>
      <c r="B326" s="9" t="s">
        <v>0</v>
      </c>
      <c r="C326" s="9" t="s">
        <v>44</v>
      </c>
      <c r="D326" s="9" t="s">
        <v>8</v>
      </c>
      <c r="E326" s="179"/>
      <c r="F326" s="179">
        <f>0.385</f>
        <v>0.385</v>
      </c>
      <c r="G326" s="180">
        <f>E321*F326</f>
        <v>52.427529</v>
      </c>
    </row>
    <row r="327" spans="1:7" ht="15">
      <c r="A327" s="8" t="s">
        <v>0</v>
      </c>
      <c r="B327" s="9" t="s">
        <v>0</v>
      </c>
      <c r="C327" s="9" t="s">
        <v>0</v>
      </c>
      <c r="D327" s="9" t="s">
        <v>0</v>
      </c>
      <c r="E327" s="179"/>
      <c r="F327" s="179"/>
      <c r="G327" s="180"/>
    </row>
    <row r="328" spans="1:7" ht="15">
      <c r="A328" s="8" t="s">
        <v>182</v>
      </c>
      <c r="B328" s="9" t="s">
        <v>183</v>
      </c>
      <c r="C328" s="9" t="s">
        <v>184</v>
      </c>
      <c r="D328" s="9" t="s">
        <v>104</v>
      </c>
      <c r="E328" s="179">
        <f>'Du toan chi tiet'!E80</f>
        <v>66.96</v>
      </c>
      <c r="F328" s="179"/>
      <c r="G328" s="180"/>
    </row>
    <row r="329" spans="1:7" ht="15">
      <c r="A329" s="8" t="s">
        <v>0</v>
      </c>
      <c r="B329" s="9" t="s">
        <v>0</v>
      </c>
      <c r="C329" s="9" t="s">
        <v>185</v>
      </c>
      <c r="D329" s="9" t="s">
        <v>60</v>
      </c>
      <c r="E329" s="179"/>
      <c r="F329" s="179">
        <f>39</f>
        <v>39</v>
      </c>
      <c r="G329" s="180">
        <f>E328*F329</f>
        <v>2611.4399999999996</v>
      </c>
    </row>
    <row r="330" spans="1:7" ht="15">
      <c r="A330" s="8" t="s">
        <v>0</v>
      </c>
      <c r="B330" s="9" t="s">
        <v>0</v>
      </c>
      <c r="C330" s="9" t="s">
        <v>32</v>
      </c>
      <c r="D330" s="9" t="s">
        <v>20</v>
      </c>
      <c r="E330" s="179"/>
      <c r="F330" s="179">
        <f>3.96</f>
        <v>3.96</v>
      </c>
      <c r="G330" s="180">
        <f>E328*F330</f>
        <v>265.16159999999996</v>
      </c>
    </row>
    <row r="331" spans="1:7" ht="15">
      <c r="A331" s="8" t="s">
        <v>0</v>
      </c>
      <c r="B331" s="9" t="s">
        <v>0</v>
      </c>
      <c r="C331" s="9" t="s">
        <v>61</v>
      </c>
      <c r="D331" s="9" t="s">
        <v>22</v>
      </c>
      <c r="E331" s="179"/>
      <c r="F331" s="179">
        <f>0.01785</f>
        <v>0.01785</v>
      </c>
      <c r="G331" s="180">
        <f>E328*F331</f>
        <v>1.195236</v>
      </c>
    </row>
    <row r="332" spans="1:7" ht="15">
      <c r="A332" s="8" t="s">
        <v>0</v>
      </c>
      <c r="B332" s="9" t="s">
        <v>0</v>
      </c>
      <c r="C332" s="9" t="s">
        <v>24</v>
      </c>
      <c r="D332" s="9" t="s">
        <v>22</v>
      </c>
      <c r="E332" s="179"/>
      <c r="F332" s="179">
        <f>0.004125</f>
        <v>0.004125</v>
      </c>
      <c r="G332" s="180">
        <f>E328*F332</f>
        <v>0.27621</v>
      </c>
    </row>
    <row r="333" spans="1:7" ht="15">
      <c r="A333" s="8" t="s">
        <v>0</v>
      </c>
      <c r="B333" s="9" t="s">
        <v>0</v>
      </c>
      <c r="C333" s="9" t="s">
        <v>99</v>
      </c>
      <c r="D333" s="9" t="s">
        <v>8</v>
      </c>
      <c r="E333" s="179"/>
      <c r="F333" s="179">
        <f>0.48</f>
        <v>0.48</v>
      </c>
      <c r="G333" s="180">
        <f>E328*F333</f>
        <v>32.1408</v>
      </c>
    </row>
    <row r="334" spans="1:7" ht="15">
      <c r="A334" s="8" t="s">
        <v>0</v>
      </c>
      <c r="B334" s="9" t="s">
        <v>0</v>
      </c>
      <c r="C334" s="9" t="s">
        <v>0</v>
      </c>
      <c r="D334" s="9" t="s">
        <v>0</v>
      </c>
      <c r="E334" s="179"/>
      <c r="F334" s="179"/>
      <c r="G334" s="180"/>
    </row>
    <row r="335" spans="1:7" ht="15">
      <c r="A335" s="8" t="s">
        <v>186</v>
      </c>
      <c r="B335" s="9" t="s">
        <v>187</v>
      </c>
      <c r="C335" s="9" t="s">
        <v>131</v>
      </c>
      <c r="D335" s="9" t="s">
        <v>38</v>
      </c>
      <c r="E335" s="179">
        <f>'Du toan chi tiet'!E81</f>
        <v>33.48</v>
      </c>
      <c r="F335" s="179"/>
      <c r="G335" s="180"/>
    </row>
    <row r="336" spans="1:7" ht="15">
      <c r="A336" s="8" t="s">
        <v>0</v>
      </c>
      <c r="B336" s="9" t="s">
        <v>0</v>
      </c>
      <c r="C336" s="9" t="s">
        <v>105</v>
      </c>
      <c r="D336" s="9" t="s">
        <v>0</v>
      </c>
      <c r="E336" s="179"/>
      <c r="F336" s="179"/>
      <c r="G336" s="180"/>
    </row>
    <row r="337" spans="1:7" ht="15">
      <c r="A337" s="8" t="s">
        <v>0</v>
      </c>
      <c r="B337" s="9" t="s">
        <v>0</v>
      </c>
      <c r="C337" s="9" t="s">
        <v>32</v>
      </c>
      <c r="D337" s="9" t="s">
        <v>20</v>
      </c>
      <c r="E337" s="179"/>
      <c r="F337" s="179">
        <f>6.7725</f>
        <v>6.7725</v>
      </c>
      <c r="G337" s="180">
        <f>E335*F337</f>
        <v>226.74329999999998</v>
      </c>
    </row>
    <row r="338" spans="1:7" ht="15">
      <c r="A338" s="8" t="s">
        <v>0</v>
      </c>
      <c r="B338" s="9" t="s">
        <v>0</v>
      </c>
      <c r="C338" s="9" t="s">
        <v>61</v>
      </c>
      <c r="D338" s="9" t="s">
        <v>22</v>
      </c>
      <c r="E338" s="179"/>
      <c r="F338" s="179">
        <f>0.026078</f>
        <v>0.026078</v>
      </c>
      <c r="G338" s="180">
        <f>E335*F338</f>
        <v>0.8730914399999999</v>
      </c>
    </row>
    <row r="339" spans="1:7" ht="15">
      <c r="A339" s="8" t="s">
        <v>0</v>
      </c>
      <c r="B339" s="9" t="s">
        <v>0</v>
      </c>
      <c r="C339" s="9" t="s">
        <v>24</v>
      </c>
      <c r="D339" s="9" t="s">
        <v>22</v>
      </c>
      <c r="E339" s="179"/>
      <c r="F339" s="179">
        <f>0.006255</f>
        <v>0.006255</v>
      </c>
      <c r="G339" s="180">
        <f>E335*F339</f>
        <v>0.20941739999999998</v>
      </c>
    </row>
    <row r="340" spans="1:7" ht="15">
      <c r="A340" s="8" t="s">
        <v>0</v>
      </c>
      <c r="B340" s="9" t="s">
        <v>0</v>
      </c>
      <c r="C340" s="9" t="s">
        <v>99</v>
      </c>
      <c r="D340" s="9" t="s">
        <v>8</v>
      </c>
      <c r="E340" s="179"/>
      <c r="F340" s="179">
        <f>0.385</f>
        <v>0.385</v>
      </c>
      <c r="G340" s="180">
        <f>E335*F340</f>
        <v>12.8898</v>
      </c>
    </row>
    <row r="341" spans="1:7" ht="15">
      <c r="A341" s="8" t="s">
        <v>0</v>
      </c>
      <c r="B341" s="9" t="s">
        <v>0</v>
      </c>
      <c r="C341" s="9" t="s">
        <v>117</v>
      </c>
      <c r="D341" s="9" t="s">
        <v>10</v>
      </c>
      <c r="E341" s="179"/>
      <c r="F341" s="179">
        <f>0.003</f>
        <v>0.003</v>
      </c>
      <c r="G341" s="180">
        <f>E335*F341</f>
        <v>0.10043999999999999</v>
      </c>
    </row>
    <row r="342" spans="1:7" ht="15">
      <c r="A342" s="8" t="s">
        <v>0</v>
      </c>
      <c r="B342" s="9" t="s">
        <v>0</v>
      </c>
      <c r="C342" s="9" t="s">
        <v>0</v>
      </c>
      <c r="D342" s="9" t="s">
        <v>0</v>
      </c>
      <c r="E342" s="179"/>
      <c r="F342" s="179"/>
      <c r="G342" s="180"/>
    </row>
    <row r="343" spans="1:7" ht="15">
      <c r="A343" s="8" t="s">
        <v>188</v>
      </c>
      <c r="B343" s="9" t="s">
        <v>189</v>
      </c>
      <c r="C343" s="9" t="s">
        <v>190</v>
      </c>
      <c r="D343" s="9" t="s">
        <v>191</v>
      </c>
      <c r="E343" s="179">
        <f>'Du toan chi tiet'!E83</f>
        <v>50</v>
      </c>
      <c r="F343" s="179"/>
      <c r="G343" s="180"/>
    </row>
    <row r="344" spans="1:7" ht="15">
      <c r="A344" s="8" t="s">
        <v>0</v>
      </c>
      <c r="B344" s="9" t="s">
        <v>0</v>
      </c>
      <c r="C344" s="9" t="s">
        <v>192</v>
      </c>
      <c r="D344" s="9" t="s">
        <v>193</v>
      </c>
      <c r="E344" s="179"/>
      <c r="F344" s="179">
        <f>0.8</f>
        <v>0.8</v>
      </c>
      <c r="G344" s="180">
        <f>E343*F344</f>
        <v>40</v>
      </c>
    </row>
    <row r="345" spans="1:7" ht="15">
      <c r="A345" s="8" t="s">
        <v>0</v>
      </c>
      <c r="B345" s="9" t="s">
        <v>0</v>
      </c>
      <c r="C345" s="9" t="s">
        <v>194</v>
      </c>
      <c r="D345" s="9" t="s">
        <v>193</v>
      </c>
      <c r="E345" s="179"/>
      <c r="F345" s="179">
        <f>0.03</f>
        <v>0.03</v>
      </c>
      <c r="G345" s="180">
        <f>E343*F345</f>
        <v>1.5</v>
      </c>
    </row>
    <row r="346" spans="1:7" ht="15">
      <c r="A346" s="8" t="s">
        <v>0</v>
      </c>
      <c r="B346" s="9" t="s">
        <v>0</v>
      </c>
      <c r="C346" s="9" t="s">
        <v>32</v>
      </c>
      <c r="D346" s="9" t="s">
        <v>20</v>
      </c>
      <c r="E346" s="179"/>
      <c r="F346" s="179">
        <f>0.017*301</f>
        <v>5.117</v>
      </c>
      <c r="G346" s="180">
        <f>E343*F346</f>
        <v>255.85</v>
      </c>
    </row>
    <row r="347" spans="1:7" ht="15">
      <c r="A347" s="8" t="s">
        <v>0</v>
      </c>
      <c r="B347" s="9" t="s">
        <v>0</v>
      </c>
      <c r="C347" s="9" t="s">
        <v>61</v>
      </c>
      <c r="D347" s="9" t="s">
        <v>22</v>
      </c>
      <c r="E347" s="179"/>
      <c r="F347" s="179">
        <f>0.017*1.159</f>
        <v>0.019703000000000002</v>
      </c>
      <c r="G347" s="180">
        <f>E343*F347</f>
        <v>0.9851500000000001</v>
      </c>
    </row>
    <row r="348" spans="1:7" ht="15">
      <c r="A348" s="8" t="s">
        <v>0</v>
      </c>
      <c r="B348" s="9" t="s">
        <v>0</v>
      </c>
      <c r="C348" s="9" t="s">
        <v>24</v>
      </c>
      <c r="D348" s="9" t="s">
        <v>22</v>
      </c>
      <c r="E348" s="179"/>
      <c r="F348" s="179">
        <f>0.017*0.278</f>
        <v>0.004726000000000001</v>
      </c>
      <c r="G348" s="180">
        <f>E343*F348</f>
        <v>0.23630000000000007</v>
      </c>
    </row>
    <row r="349" spans="1:7" ht="15">
      <c r="A349" s="8" t="s">
        <v>0</v>
      </c>
      <c r="B349" s="9" t="s">
        <v>0</v>
      </c>
      <c r="C349" s="9" t="s">
        <v>195</v>
      </c>
      <c r="D349" s="9" t="s">
        <v>8</v>
      </c>
      <c r="E349" s="179"/>
      <c r="F349" s="179">
        <f>1</f>
        <v>1</v>
      </c>
      <c r="G349" s="180">
        <f>E343*F349</f>
        <v>50</v>
      </c>
    </row>
    <row r="350" spans="1:7" ht="15">
      <c r="A350" s="8" t="s">
        <v>0</v>
      </c>
      <c r="B350" s="9" t="s">
        <v>0</v>
      </c>
      <c r="C350" s="9" t="s">
        <v>0</v>
      </c>
      <c r="D350" s="9" t="s">
        <v>0</v>
      </c>
      <c r="E350" s="179"/>
      <c r="F350" s="179"/>
      <c r="G350" s="180"/>
    </row>
    <row r="351" spans="1:7" ht="15">
      <c r="A351" s="8" t="s">
        <v>196</v>
      </c>
      <c r="B351" s="9" t="s">
        <v>197</v>
      </c>
      <c r="C351" s="9" t="s">
        <v>198</v>
      </c>
      <c r="D351" s="9" t="s">
        <v>199</v>
      </c>
      <c r="E351" s="179">
        <f>'Du toan chi tiet'!E85</f>
        <v>24</v>
      </c>
      <c r="F351" s="179"/>
      <c r="G351" s="180"/>
    </row>
    <row r="352" spans="1:7" ht="15">
      <c r="A352" s="8" t="s">
        <v>0</v>
      </c>
      <c r="B352" s="9" t="s">
        <v>0</v>
      </c>
      <c r="C352" s="9" t="s">
        <v>200</v>
      </c>
      <c r="D352" s="9" t="s">
        <v>199</v>
      </c>
      <c r="E352" s="179"/>
      <c r="F352" s="179">
        <f>1</f>
        <v>1</v>
      </c>
      <c r="G352" s="180">
        <f>E351*F352</f>
        <v>24</v>
      </c>
    </row>
    <row r="353" spans="1:7" ht="15">
      <c r="A353" s="8" t="s">
        <v>0</v>
      </c>
      <c r="B353" s="9" t="s">
        <v>0</v>
      </c>
      <c r="C353" s="9" t="s">
        <v>0</v>
      </c>
      <c r="D353" s="9" t="s">
        <v>0</v>
      </c>
      <c r="E353" s="179"/>
      <c r="F353" s="179"/>
      <c r="G353" s="180"/>
    </row>
    <row r="354" spans="1:7" ht="15">
      <c r="A354" s="8" t="s">
        <v>201</v>
      </c>
      <c r="B354" s="9" t="s">
        <v>202</v>
      </c>
      <c r="C354" s="9" t="s">
        <v>203</v>
      </c>
      <c r="D354" s="9" t="s">
        <v>204</v>
      </c>
      <c r="E354" s="179">
        <f>'Du toan chi tiet'!E86</f>
        <v>2</v>
      </c>
      <c r="F354" s="179"/>
      <c r="G354" s="180"/>
    </row>
    <row r="355" spans="1:7" ht="15">
      <c r="A355" s="8" t="s">
        <v>0</v>
      </c>
      <c r="B355" s="9" t="s">
        <v>0</v>
      </c>
      <c r="C355" s="9" t="s">
        <v>205</v>
      </c>
      <c r="D355" s="9" t="s">
        <v>204</v>
      </c>
      <c r="E355" s="179"/>
      <c r="F355" s="179">
        <f>1</f>
        <v>1</v>
      </c>
      <c r="G355" s="180">
        <f>E354*F355</f>
        <v>2</v>
      </c>
    </row>
    <row r="356" spans="1:7" ht="15">
      <c r="A356" s="8" t="s">
        <v>0</v>
      </c>
      <c r="B356" s="9" t="s">
        <v>0</v>
      </c>
      <c r="C356" s="9" t="s">
        <v>0</v>
      </c>
      <c r="D356" s="9" t="s">
        <v>0</v>
      </c>
      <c r="E356" s="179"/>
      <c r="F356" s="179"/>
      <c r="G356" s="180"/>
    </row>
    <row r="357" spans="1:7" ht="15">
      <c r="A357" s="8" t="s">
        <v>206</v>
      </c>
      <c r="B357" s="9" t="s">
        <v>207</v>
      </c>
      <c r="C357" s="9" t="s">
        <v>208</v>
      </c>
      <c r="D357" s="9" t="s">
        <v>204</v>
      </c>
      <c r="E357" s="179">
        <f>'Du toan chi tiet'!E87</f>
        <v>12</v>
      </c>
      <c r="F357" s="179"/>
      <c r="G357" s="180"/>
    </row>
    <row r="358" spans="1:7" ht="15">
      <c r="A358" s="8" t="s">
        <v>0</v>
      </c>
      <c r="B358" s="9" t="s">
        <v>0</v>
      </c>
      <c r="C358" s="9" t="s">
        <v>209</v>
      </c>
      <c r="D358" s="9" t="s">
        <v>204</v>
      </c>
      <c r="E358" s="179"/>
      <c r="F358" s="179">
        <f>1</f>
        <v>1</v>
      </c>
      <c r="G358" s="180">
        <f>E357*F358</f>
        <v>12</v>
      </c>
    </row>
    <row r="359" spans="1:7" ht="15">
      <c r="A359" s="8" t="s">
        <v>0</v>
      </c>
      <c r="B359" s="9" t="s">
        <v>0</v>
      </c>
      <c r="C359" s="9" t="s">
        <v>0</v>
      </c>
      <c r="D359" s="9" t="s">
        <v>0</v>
      </c>
      <c r="E359" s="179"/>
      <c r="F359" s="179"/>
      <c r="G359" s="180"/>
    </row>
    <row r="360" spans="1:7" ht="15">
      <c r="A360" s="8" t="s">
        <v>210</v>
      </c>
      <c r="B360" s="9" t="s">
        <v>211</v>
      </c>
      <c r="C360" s="9" t="s">
        <v>212</v>
      </c>
      <c r="D360" s="9" t="s">
        <v>213</v>
      </c>
      <c r="E360" s="179">
        <f>'Du toan chi tiet'!E88</f>
        <v>269.241</v>
      </c>
      <c r="F360" s="179"/>
      <c r="G360" s="180"/>
    </row>
    <row r="361" spans="1:7" ht="15">
      <c r="A361" s="8" t="s">
        <v>0</v>
      </c>
      <c r="B361" s="9" t="s">
        <v>0</v>
      </c>
      <c r="C361" s="9" t="s">
        <v>214</v>
      </c>
      <c r="D361" s="9" t="s">
        <v>0</v>
      </c>
      <c r="E361" s="179"/>
      <c r="F361" s="179"/>
      <c r="G361" s="180"/>
    </row>
    <row r="362" spans="1:7" ht="15">
      <c r="A362" s="8" t="s">
        <v>0</v>
      </c>
      <c r="B362" s="9" t="s">
        <v>0</v>
      </c>
      <c r="C362" s="9" t="s">
        <v>215</v>
      </c>
      <c r="D362" s="9" t="s">
        <v>216</v>
      </c>
      <c r="E362" s="179"/>
      <c r="F362" s="179">
        <f>0.155</f>
        <v>0.155</v>
      </c>
      <c r="G362" s="180">
        <f>E360*F362</f>
        <v>41.732355</v>
      </c>
    </row>
    <row r="363" spans="1:7" ht="15">
      <c r="A363" s="8" t="s">
        <v>0</v>
      </c>
      <c r="B363" s="9" t="s">
        <v>0</v>
      </c>
      <c r="C363" s="9" t="s">
        <v>217</v>
      </c>
      <c r="D363" s="9" t="s">
        <v>216</v>
      </c>
      <c r="E363" s="179"/>
      <c r="F363" s="179">
        <f>0.247</f>
        <v>0.247</v>
      </c>
      <c r="G363" s="180">
        <f>E360*F363</f>
        <v>66.502527</v>
      </c>
    </row>
    <row r="364" spans="1:7" ht="15">
      <c r="A364" s="8" t="s">
        <v>0</v>
      </c>
      <c r="B364" s="9" t="s">
        <v>0</v>
      </c>
      <c r="C364" s="9" t="s">
        <v>44</v>
      </c>
      <c r="D364" s="9" t="s">
        <v>8</v>
      </c>
      <c r="E364" s="179"/>
      <c r="F364" s="179">
        <f>0.066</f>
        <v>0.066</v>
      </c>
      <c r="G364" s="180">
        <f>E360*F364</f>
        <v>17.769906</v>
      </c>
    </row>
    <row r="365" spans="1:7" ht="15">
      <c r="A365" s="8" t="s">
        <v>0</v>
      </c>
      <c r="B365" s="9" t="s">
        <v>0</v>
      </c>
      <c r="C365" s="9" t="s">
        <v>0</v>
      </c>
      <c r="D365" s="9" t="s">
        <v>0</v>
      </c>
      <c r="E365" s="179"/>
      <c r="F365" s="179"/>
      <c r="G365" s="180"/>
    </row>
    <row r="366" spans="1:7" ht="15">
      <c r="A366" s="8" t="s">
        <v>218</v>
      </c>
      <c r="B366" s="9" t="s">
        <v>219</v>
      </c>
      <c r="C366" s="9" t="s">
        <v>220</v>
      </c>
      <c r="D366" s="9" t="s">
        <v>213</v>
      </c>
      <c r="E366" s="179">
        <f>'Du toan chi tiet'!E90</f>
        <v>78.682</v>
      </c>
      <c r="F366" s="179"/>
      <c r="G366" s="180"/>
    </row>
    <row r="367" spans="1:7" ht="15">
      <c r="A367" s="8" t="s">
        <v>0</v>
      </c>
      <c r="B367" s="9" t="s">
        <v>0</v>
      </c>
      <c r="C367" s="9" t="s">
        <v>214</v>
      </c>
      <c r="D367" s="9" t="s">
        <v>0</v>
      </c>
      <c r="E367" s="179"/>
      <c r="F367" s="179"/>
      <c r="G367" s="180"/>
    </row>
    <row r="368" spans="1:7" ht="15">
      <c r="A368" s="8" t="s">
        <v>0</v>
      </c>
      <c r="B368" s="9" t="s">
        <v>0</v>
      </c>
      <c r="C368" s="9" t="s">
        <v>221</v>
      </c>
      <c r="D368" s="9" t="s">
        <v>216</v>
      </c>
      <c r="E368" s="179"/>
      <c r="F368" s="179">
        <f>0.15</f>
        <v>0.15</v>
      </c>
      <c r="G368" s="180">
        <f>E366*F368</f>
        <v>11.8023</v>
      </c>
    </row>
    <row r="369" spans="1:7" ht="15">
      <c r="A369" s="8" t="s">
        <v>0</v>
      </c>
      <c r="B369" s="9" t="s">
        <v>0</v>
      </c>
      <c r="C369" s="9" t="s">
        <v>222</v>
      </c>
      <c r="D369" s="9" t="s">
        <v>216</v>
      </c>
      <c r="E369" s="179"/>
      <c r="F369" s="179">
        <f>0.237</f>
        <v>0.237</v>
      </c>
      <c r="G369" s="180">
        <f>E366*F369</f>
        <v>18.647634</v>
      </c>
    </row>
    <row r="370" spans="1:7" ht="15">
      <c r="A370" s="8" t="s">
        <v>0</v>
      </c>
      <c r="B370" s="9" t="s">
        <v>0</v>
      </c>
      <c r="C370" s="9" t="s">
        <v>44</v>
      </c>
      <c r="D370" s="9" t="s">
        <v>8</v>
      </c>
      <c r="E370" s="179"/>
      <c r="F370" s="179">
        <f>0.073</f>
        <v>0.073</v>
      </c>
      <c r="G370" s="180">
        <f>E366*F370</f>
        <v>5.743786</v>
      </c>
    </row>
    <row r="371" spans="1:7" ht="15">
      <c r="A371" s="8" t="s">
        <v>0</v>
      </c>
      <c r="B371" s="9" t="s">
        <v>0</v>
      </c>
      <c r="C371" s="9" t="s">
        <v>0</v>
      </c>
      <c r="D371" s="9" t="s">
        <v>0</v>
      </c>
      <c r="E371" s="179"/>
      <c r="F371" s="179"/>
      <c r="G371" s="180"/>
    </row>
    <row r="372" spans="1:7" ht="15">
      <c r="A372" s="8" t="s">
        <v>223</v>
      </c>
      <c r="B372" s="9" t="s">
        <v>224</v>
      </c>
      <c r="C372" s="9" t="s">
        <v>225</v>
      </c>
      <c r="D372" s="9" t="s">
        <v>38</v>
      </c>
      <c r="E372" s="179">
        <f>'Du toan chi tiet'!E92</f>
        <v>214.305</v>
      </c>
      <c r="F372" s="179"/>
      <c r="G372" s="180"/>
    </row>
    <row r="373" spans="1:7" ht="15">
      <c r="A373" s="8" t="s">
        <v>0</v>
      </c>
      <c r="B373" s="9" t="s">
        <v>0</v>
      </c>
      <c r="C373" s="9" t="s">
        <v>226</v>
      </c>
      <c r="D373" s="9" t="s">
        <v>0</v>
      </c>
      <c r="E373" s="179"/>
      <c r="F373" s="179"/>
      <c r="G373" s="180"/>
    </row>
    <row r="374" spans="1:7" ht="15">
      <c r="A374" s="8" t="s">
        <v>0</v>
      </c>
      <c r="B374" s="9" t="s">
        <v>0</v>
      </c>
      <c r="C374" s="9" t="s">
        <v>40</v>
      </c>
      <c r="D374" s="9" t="s">
        <v>22</v>
      </c>
      <c r="E374" s="179"/>
      <c r="F374" s="179">
        <f>0.00035</f>
        <v>0.00035</v>
      </c>
      <c r="G374" s="180">
        <f>E372*F374</f>
        <v>0.07500675</v>
      </c>
    </row>
    <row r="375" spans="1:7" ht="15">
      <c r="A375" s="8" t="s">
        <v>0</v>
      </c>
      <c r="B375" s="9" t="s">
        <v>0</v>
      </c>
      <c r="C375" s="9" t="s">
        <v>227</v>
      </c>
      <c r="D375" s="9" t="s">
        <v>20</v>
      </c>
      <c r="E375" s="179"/>
      <c r="F375" s="179">
        <f>0.095</f>
        <v>0.095</v>
      </c>
      <c r="G375" s="180">
        <f>E372*F375</f>
        <v>20.358975</v>
      </c>
    </row>
    <row r="376" spans="1:7" ht="15">
      <c r="A376" s="8" t="s">
        <v>0</v>
      </c>
      <c r="B376" s="9" t="s">
        <v>0</v>
      </c>
      <c r="C376" s="9" t="s">
        <v>81</v>
      </c>
      <c r="D376" s="9" t="s">
        <v>20</v>
      </c>
      <c r="E376" s="179"/>
      <c r="F376" s="179">
        <f>0.015</f>
        <v>0.015</v>
      </c>
      <c r="G376" s="180">
        <f>E372*F376</f>
        <v>3.214575</v>
      </c>
    </row>
    <row r="377" spans="1:7" ht="15">
      <c r="A377" s="8" t="s">
        <v>0</v>
      </c>
      <c r="B377" s="9" t="s">
        <v>0</v>
      </c>
      <c r="C377" s="9" t="s">
        <v>228</v>
      </c>
      <c r="D377" s="9" t="s">
        <v>20</v>
      </c>
      <c r="E377" s="179"/>
      <c r="F377" s="179">
        <f>0.03</f>
        <v>0.03</v>
      </c>
      <c r="G377" s="180">
        <f>E372*F377</f>
        <v>6.42915</v>
      </c>
    </row>
    <row r="378" spans="1:7" ht="15">
      <c r="A378" s="8" t="s">
        <v>0</v>
      </c>
      <c r="B378" s="9" t="s">
        <v>0</v>
      </c>
      <c r="C378" s="9" t="s">
        <v>44</v>
      </c>
      <c r="D378" s="9" t="s">
        <v>8</v>
      </c>
      <c r="E378" s="179"/>
      <c r="F378" s="179">
        <f>0.055</f>
        <v>0.055</v>
      </c>
      <c r="G378" s="180">
        <f>E372*F378</f>
        <v>11.786775</v>
      </c>
    </row>
    <row r="379" spans="1:7" ht="15">
      <c r="A379" s="8" t="s">
        <v>0</v>
      </c>
      <c r="B379" s="9" t="s">
        <v>0</v>
      </c>
      <c r="C379" s="9" t="s">
        <v>0</v>
      </c>
      <c r="D379" s="9" t="s">
        <v>0</v>
      </c>
      <c r="E379" s="179"/>
      <c r="F379" s="179"/>
      <c r="G379" s="180"/>
    </row>
    <row r="380" spans="1:7" ht="15">
      <c r="A380" s="8" t="s">
        <v>229</v>
      </c>
      <c r="B380" s="9" t="s">
        <v>230</v>
      </c>
      <c r="C380" s="9" t="s">
        <v>231</v>
      </c>
      <c r="D380" s="9" t="s">
        <v>5</v>
      </c>
      <c r="E380" s="179">
        <f>'Du toan chi tiet'!E94</f>
        <v>0.822</v>
      </c>
      <c r="F380" s="179"/>
      <c r="G380" s="180"/>
    </row>
    <row r="381" spans="1:7" ht="15">
      <c r="A381" s="8" t="s">
        <v>0</v>
      </c>
      <c r="B381" s="9" t="s">
        <v>0</v>
      </c>
      <c r="C381" s="9" t="s">
        <v>232</v>
      </c>
      <c r="D381" s="9" t="s">
        <v>22</v>
      </c>
      <c r="E381" s="179"/>
      <c r="F381" s="179">
        <f>1.12</f>
        <v>1.12</v>
      </c>
      <c r="G381" s="180">
        <f>E380*F381</f>
        <v>0.92064</v>
      </c>
    </row>
    <row r="382" spans="1:7" ht="15">
      <c r="A382" s="8" t="s">
        <v>0</v>
      </c>
      <c r="B382" s="9" t="s">
        <v>0</v>
      </c>
      <c r="C382" s="9" t="s">
        <v>44</v>
      </c>
      <c r="D382" s="9" t="s">
        <v>8</v>
      </c>
      <c r="E382" s="179"/>
      <c r="F382" s="179">
        <f>8.11</f>
        <v>8.11</v>
      </c>
      <c r="G382" s="180">
        <f>E380*F382</f>
        <v>6.66642</v>
      </c>
    </row>
    <row r="383" spans="1:7" ht="15">
      <c r="A383" s="8" t="s">
        <v>0</v>
      </c>
      <c r="B383" s="9" t="s">
        <v>0</v>
      </c>
      <c r="C383" s="9" t="s">
        <v>0</v>
      </c>
      <c r="D383" s="9" t="s">
        <v>0</v>
      </c>
      <c r="E383" s="179"/>
      <c r="F383" s="179"/>
      <c r="G383" s="180"/>
    </row>
    <row r="384" spans="1:7" ht="15">
      <c r="A384" s="8" t="s">
        <v>233</v>
      </c>
      <c r="B384" s="9" t="s">
        <v>234</v>
      </c>
      <c r="C384" s="9" t="s">
        <v>235</v>
      </c>
      <c r="D384" s="9" t="s">
        <v>38</v>
      </c>
      <c r="E384" s="179">
        <f>'Du toan chi tiet'!E95</f>
        <v>5.24929</v>
      </c>
      <c r="F384" s="179"/>
      <c r="G384" s="180"/>
    </row>
    <row r="385" spans="1:7" ht="15">
      <c r="A385" s="8" t="s">
        <v>0</v>
      </c>
      <c r="B385" s="9" t="s">
        <v>0</v>
      </c>
      <c r="C385" s="9" t="s">
        <v>236</v>
      </c>
      <c r="D385" s="9" t="s">
        <v>8</v>
      </c>
      <c r="E385" s="179"/>
      <c r="F385" s="179">
        <f>10.5</f>
        <v>10.5</v>
      </c>
      <c r="G385" s="180">
        <f>E384*F385</f>
        <v>55.117545</v>
      </c>
    </row>
    <row r="386" spans="1:7" ht="15">
      <c r="A386" s="8" t="s">
        <v>0</v>
      </c>
      <c r="B386" s="9" t="s">
        <v>0</v>
      </c>
      <c r="C386" s="9" t="s">
        <v>0</v>
      </c>
      <c r="D386" s="9" t="s">
        <v>0</v>
      </c>
      <c r="E386" s="179"/>
      <c r="F386" s="179"/>
      <c r="G386" s="180"/>
    </row>
    <row r="387" spans="1:7" ht="15">
      <c r="A387" s="8" t="s">
        <v>237</v>
      </c>
      <c r="B387" s="9" t="s">
        <v>238</v>
      </c>
      <c r="C387" s="9" t="s">
        <v>239</v>
      </c>
      <c r="D387" s="9" t="s">
        <v>97</v>
      </c>
      <c r="E387" s="179">
        <f>'Du toan chi tiet'!E96</f>
        <v>12.561</v>
      </c>
      <c r="F387" s="179"/>
      <c r="G387" s="180"/>
    </row>
    <row r="388" spans="1:7" ht="15">
      <c r="A388" s="8" t="s">
        <v>0</v>
      </c>
      <c r="B388" s="9" t="s">
        <v>0</v>
      </c>
      <c r="C388" s="9" t="s">
        <v>240</v>
      </c>
      <c r="D388" s="9" t="s">
        <v>97</v>
      </c>
      <c r="E388" s="179"/>
      <c r="F388" s="179">
        <f>1</f>
        <v>1</v>
      </c>
      <c r="G388" s="180">
        <f>E387*F388</f>
        <v>12.561</v>
      </c>
    </row>
    <row r="389" spans="1:7" ht="15">
      <c r="A389" s="8" t="s">
        <v>0</v>
      </c>
      <c r="B389" s="9" t="s">
        <v>0</v>
      </c>
      <c r="C389" s="9" t="s">
        <v>0</v>
      </c>
      <c r="D389" s="9" t="s">
        <v>0</v>
      </c>
      <c r="E389" s="179"/>
      <c r="F389" s="179"/>
      <c r="G389" s="180"/>
    </row>
    <row r="390" spans="1:7" ht="15">
      <c r="A390" s="8" t="s">
        <v>241</v>
      </c>
      <c r="B390" s="9" t="s">
        <v>242</v>
      </c>
      <c r="C390" s="9" t="s">
        <v>243</v>
      </c>
      <c r="D390" s="9" t="s">
        <v>244</v>
      </c>
      <c r="E390" s="179">
        <f>'Du toan chi tiet'!E100</f>
        <v>4</v>
      </c>
      <c r="F390" s="179"/>
      <c r="G390" s="180"/>
    </row>
    <row r="391" spans="1:7" ht="15">
      <c r="A391" s="8" t="s">
        <v>0</v>
      </c>
      <c r="B391" s="9" t="s">
        <v>0</v>
      </c>
      <c r="C391" s="9" t="s">
        <v>245</v>
      </c>
      <c r="D391" s="9" t="s">
        <v>246</v>
      </c>
      <c r="E391" s="179"/>
      <c r="F391" s="179">
        <f>1</f>
        <v>1</v>
      </c>
      <c r="G391" s="180">
        <f>E390*F391</f>
        <v>4</v>
      </c>
    </row>
    <row r="392" spans="1:7" ht="15">
      <c r="A392" s="8" t="s">
        <v>0</v>
      </c>
      <c r="B392" s="9" t="s">
        <v>0</v>
      </c>
      <c r="C392" s="9" t="s">
        <v>44</v>
      </c>
      <c r="D392" s="9" t="s">
        <v>8</v>
      </c>
      <c r="E392" s="179"/>
      <c r="F392" s="179">
        <f>0.15</f>
        <v>0.15</v>
      </c>
      <c r="G392" s="180">
        <f>E390*F392</f>
        <v>0.6</v>
      </c>
    </row>
    <row r="393" spans="1:7" ht="15">
      <c r="A393" s="8" t="s">
        <v>0</v>
      </c>
      <c r="B393" s="9" t="s">
        <v>0</v>
      </c>
      <c r="C393" s="9" t="s">
        <v>0</v>
      </c>
      <c r="D393" s="9" t="s">
        <v>0</v>
      </c>
      <c r="E393" s="179"/>
      <c r="F393" s="179"/>
      <c r="G393" s="180"/>
    </row>
    <row r="394" spans="1:7" ht="15">
      <c r="A394" s="8" t="s">
        <v>247</v>
      </c>
      <c r="B394" s="9" t="s">
        <v>248</v>
      </c>
      <c r="C394" s="9" t="s">
        <v>249</v>
      </c>
      <c r="D394" s="9" t="s">
        <v>250</v>
      </c>
      <c r="E394" s="179">
        <f>'Du toan chi tiet'!E101</f>
        <v>40</v>
      </c>
      <c r="F394" s="179"/>
      <c r="G394" s="180"/>
    </row>
    <row r="395" spans="1:7" ht="15">
      <c r="A395" s="8" t="s">
        <v>0</v>
      </c>
      <c r="B395" s="9" t="s">
        <v>0</v>
      </c>
      <c r="C395" s="9" t="s">
        <v>251</v>
      </c>
      <c r="D395" s="9" t="s">
        <v>252</v>
      </c>
      <c r="E395" s="179"/>
      <c r="F395" s="179">
        <f>1.01</f>
        <v>1.01</v>
      </c>
      <c r="G395" s="180">
        <f>E394*F395</f>
        <v>40.4</v>
      </c>
    </row>
    <row r="396" spans="1:7" ht="15">
      <c r="A396" s="8" t="s">
        <v>0</v>
      </c>
      <c r="B396" s="9" t="s">
        <v>0</v>
      </c>
      <c r="C396" s="9" t="s">
        <v>44</v>
      </c>
      <c r="D396" s="9" t="s">
        <v>8</v>
      </c>
      <c r="E396" s="179"/>
      <c r="F396" s="179">
        <f>0.028</f>
        <v>0.028</v>
      </c>
      <c r="G396" s="180">
        <f>E394*F396</f>
        <v>1.12</v>
      </c>
    </row>
    <row r="397" spans="1:7" ht="15">
      <c r="A397" s="8" t="s">
        <v>0</v>
      </c>
      <c r="B397" s="9" t="s">
        <v>0</v>
      </c>
      <c r="C397" s="9" t="s">
        <v>0</v>
      </c>
      <c r="D397" s="9" t="s">
        <v>0</v>
      </c>
      <c r="E397" s="179"/>
      <c r="F397" s="179"/>
      <c r="G397" s="180"/>
    </row>
    <row r="398" spans="1:7" ht="15">
      <c r="A398" s="8" t="s">
        <v>253</v>
      </c>
      <c r="B398" s="9" t="s">
        <v>254</v>
      </c>
      <c r="C398" s="9" t="s">
        <v>255</v>
      </c>
      <c r="D398" s="9" t="s">
        <v>250</v>
      </c>
      <c r="E398" s="179">
        <f>'Du toan chi tiet'!E102</f>
        <v>30</v>
      </c>
      <c r="F398" s="179"/>
      <c r="G398" s="180"/>
    </row>
    <row r="399" spans="1:7" ht="15">
      <c r="A399" s="8" t="s">
        <v>0</v>
      </c>
      <c r="B399" s="9" t="s">
        <v>0</v>
      </c>
      <c r="C399" s="9" t="s">
        <v>256</v>
      </c>
      <c r="D399" s="9" t="s">
        <v>252</v>
      </c>
      <c r="E399" s="179"/>
      <c r="F399" s="179">
        <f>1.01</f>
        <v>1.01</v>
      </c>
      <c r="G399" s="180">
        <f>E398*F399</f>
        <v>30.3</v>
      </c>
    </row>
    <row r="400" spans="1:7" ht="15">
      <c r="A400" s="8" t="s">
        <v>0</v>
      </c>
      <c r="B400" s="9" t="s">
        <v>0</v>
      </c>
      <c r="C400" s="9" t="s">
        <v>44</v>
      </c>
      <c r="D400" s="9" t="s">
        <v>8</v>
      </c>
      <c r="E400" s="179"/>
      <c r="F400" s="179">
        <f>0.028</f>
        <v>0.028</v>
      </c>
      <c r="G400" s="180">
        <f>E398*F400</f>
        <v>0.84</v>
      </c>
    </row>
    <row r="401" spans="1:7" ht="15">
      <c r="A401" s="8" t="s">
        <v>0</v>
      </c>
      <c r="B401" s="9" t="s">
        <v>0</v>
      </c>
      <c r="C401" s="9" t="s">
        <v>0</v>
      </c>
      <c r="D401" s="9" t="s">
        <v>0</v>
      </c>
      <c r="E401" s="179"/>
      <c r="F401" s="179"/>
      <c r="G401" s="180"/>
    </row>
    <row r="402" spans="1:7" ht="15">
      <c r="A402" s="8" t="s">
        <v>0</v>
      </c>
      <c r="B402" s="9" t="s">
        <v>0</v>
      </c>
      <c r="C402" s="9" t="s">
        <v>0</v>
      </c>
      <c r="D402" s="9" t="s">
        <v>0</v>
      </c>
      <c r="E402" s="179"/>
      <c r="F402" s="179"/>
      <c r="G402" s="180"/>
    </row>
    <row r="403" spans="1:7" ht="15.75">
      <c r="A403" s="30" t="s">
        <v>0</v>
      </c>
      <c r="B403" s="31" t="s">
        <v>0</v>
      </c>
      <c r="C403" s="31" t="s">
        <v>257</v>
      </c>
      <c r="D403" s="31" t="s">
        <v>0</v>
      </c>
      <c r="E403" s="177"/>
      <c r="F403" s="177"/>
      <c r="G403" s="178"/>
    </row>
    <row r="404" spans="1:7" ht="15">
      <c r="A404" s="8" t="s">
        <v>0</v>
      </c>
      <c r="B404" s="9" t="s">
        <v>0</v>
      </c>
      <c r="C404" s="9" t="s">
        <v>0</v>
      </c>
      <c r="D404" s="9" t="s">
        <v>0</v>
      </c>
      <c r="E404" s="179"/>
      <c r="F404" s="179"/>
      <c r="G404" s="180"/>
    </row>
    <row r="405" spans="1:7" ht="15">
      <c r="A405" s="8" t="s">
        <v>258</v>
      </c>
      <c r="B405" s="9" t="s">
        <v>259</v>
      </c>
      <c r="C405" s="9" t="s">
        <v>260</v>
      </c>
      <c r="D405" s="9" t="s">
        <v>38</v>
      </c>
      <c r="E405" s="179">
        <f>'Du toan chi tiet'!E106</f>
        <v>36.72</v>
      </c>
      <c r="F405" s="179"/>
      <c r="G405" s="180"/>
    </row>
    <row r="406" spans="1:7" ht="15">
      <c r="A406" s="8" t="s">
        <v>0</v>
      </c>
      <c r="B406" s="9" t="s">
        <v>0</v>
      </c>
      <c r="C406" s="9" t="s">
        <v>261</v>
      </c>
      <c r="D406" s="9" t="s">
        <v>0</v>
      </c>
      <c r="E406" s="179"/>
      <c r="F406" s="179"/>
      <c r="G406" s="180"/>
    </row>
    <row r="407" spans="1:7" ht="15">
      <c r="A407" s="8" t="s">
        <v>0</v>
      </c>
      <c r="B407" s="9" t="s">
        <v>0</v>
      </c>
      <c r="C407" s="9" t="s">
        <v>262</v>
      </c>
      <c r="D407" s="9" t="s">
        <v>97</v>
      </c>
      <c r="E407" s="179"/>
      <c r="F407" s="179">
        <f>1.01</f>
        <v>1.01</v>
      </c>
      <c r="G407" s="180">
        <f>E405*F407</f>
        <v>37.087199999999996</v>
      </c>
    </row>
    <row r="408" spans="1:7" ht="15">
      <c r="A408" s="8" t="s">
        <v>0</v>
      </c>
      <c r="B408" s="9" t="s">
        <v>0</v>
      </c>
      <c r="C408" s="9" t="s">
        <v>32</v>
      </c>
      <c r="D408" s="9" t="s">
        <v>20</v>
      </c>
      <c r="E408" s="179"/>
      <c r="F408" s="179">
        <f>6.6</f>
        <v>6.6</v>
      </c>
      <c r="G408" s="180">
        <f>E405*F408</f>
        <v>242.35199999999998</v>
      </c>
    </row>
    <row r="409" spans="1:7" ht="15">
      <c r="A409" s="8" t="s">
        <v>0</v>
      </c>
      <c r="B409" s="9" t="s">
        <v>0</v>
      </c>
      <c r="C409" s="9" t="s">
        <v>61</v>
      </c>
      <c r="D409" s="9" t="s">
        <v>22</v>
      </c>
      <c r="E409" s="179"/>
      <c r="F409" s="179">
        <f>0.02975</f>
        <v>0.02975</v>
      </c>
      <c r="G409" s="180">
        <f>E405*F409</f>
        <v>1.09242</v>
      </c>
    </row>
    <row r="410" spans="1:7" ht="15">
      <c r="A410" s="8" t="s">
        <v>0</v>
      </c>
      <c r="B410" s="9" t="s">
        <v>0</v>
      </c>
      <c r="C410" s="9" t="s">
        <v>24</v>
      </c>
      <c r="D410" s="9" t="s">
        <v>22</v>
      </c>
      <c r="E410" s="179"/>
      <c r="F410" s="179">
        <f>0.006875</f>
        <v>0.006875</v>
      </c>
      <c r="G410" s="180">
        <f>E405*F410</f>
        <v>0.25245</v>
      </c>
    </row>
    <row r="411" spans="1:7" ht="15">
      <c r="A411" s="8" t="s">
        <v>0</v>
      </c>
      <c r="B411" s="9" t="s">
        <v>0</v>
      </c>
      <c r="C411" s="9" t="s">
        <v>19</v>
      </c>
      <c r="D411" s="9" t="s">
        <v>20</v>
      </c>
      <c r="E411" s="179"/>
      <c r="F411" s="179">
        <f>0.08</f>
        <v>0.08</v>
      </c>
      <c r="G411" s="180">
        <f>E405*F411</f>
        <v>2.9375999999999998</v>
      </c>
    </row>
    <row r="412" spans="1:7" ht="15">
      <c r="A412" s="8" t="s">
        <v>0</v>
      </c>
      <c r="B412" s="9" t="s">
        <v>0</v>
      </c>
      <c r="C412" s="9" t="s">
        <v>99</v>
      </c>
      <c r="D412" s="9" t="s">
        <v>8</v>
      </c>
      <c r="E412" s="179"/>
      <c r="F412" s="179">
        <f>0.15</f>
        <v>0.15</v>
      </c>
      <c r="G412" s="180">
        <f>E405*F412</f>
        <v>5.508</v>
      </c>
    </row>
    <row r="413" spans="1:7" ht="15">
      <c r="A413" s="8" t="s">
        <v>0</v>
      </c>
      <c r="B413" s="9" t="s">
        <v>0</v>
      </c>
      <c r="C413" s="9" t="s">
        <v>0</v>
      </c>
      <c r="D413" s="9" t="s">
        <v>0</v>
      </c>
      <c r="E413" s="179"/>
      <c r="F413" s="179"/>
      <c r="G413" s="180"/>
    </row>
    <row r="414" spans="1:7" ht="15">
      <c r="A414" s="8" t="s">
        <v>263</v>
      </c>
      <c r="B414" s="9" t="s">
        <v>264</v>
      </c>
      <c r="C414" s="9" t="s">
        <v>265</v>
      </c>
      <c r="D414" s="9" t="s">
        <v>5</v>
      </c>
      <c r="E414" s="179">
        <f>'Du toan chi tiet'!E108</f>
        <v>3.672</v>
      </c>
      <c r="F414" s="179"/>
      <c r="G414" s="180"/>
    </row>
    <row r="415" spans="1:7" ht="15">
      <c r="A415" s="8" t="s">
        <v>0</v>
      </c>
      <c r="B415" s="9" t="s">
        <v>0</v>
      </c>
      <c r="C415" s="9" t="s">
        <v>266</v>
      </c>
      <c r="D415" s="9" t="s">
        <v>0</v>
      </c>
      <c r="E415" s="179"/>
      <c r="F415" s="179"/>
      <c r="G415" s="180"/>
    </row>
    <row r="416" spans="1:7" ht="15">
      <c r="A416" s="8" t="s">
        <v>0</v>
      </c>
      <c r="B416" s="9" t="s">
        <v>0</v>
      </c>
      <c r="C416" s="9" t="s">
        <v>32</v>
      </c>
      <c r="D416" s="9" t="s">
        <v>20</v>
      </c>
      <c r="E416" s="179"/>
      <c r="F416" s="179">
        <f>210.125</f>
        <v>210.125</v>
      </c>
      <c r="G416" s="180">
        <f>E414*F416</f>
        <v>771.5790000000001</v>
      </c>
    </row>
    <row r="417" spans="1:7" ht="15">
      <c r="A417" s="8" t="s">
        <v>0</v>
      </c>
      <c r="B417" s="9" t="s">
        <v>0</v>
      </c>
      <c r="C417" s="9" t="s">
        <v>21</v>
      </c>
      <c r="D417" s="9" t="s">
        <v>22</v>
      </c>
      <c r="E417" s="179"/>
      <c r="F417" s="179">
        <f>0.562725</f>
        <v>0.562725</v>
      </c>
      <c r="G417" s="180">
        <f>E414*F417</f>
        <v>2.0663262000000002</v>
      </c>
    </row>
    <row r="418" spans="1:7" ht="15">
      <c r="A418" s="8" t="s">
        <v>0</v>
      </c>
      <c r="B418" s="9" t="s">
        <v>0</v>
      </c>
      <c r="C418" s="9" t="s">
        <v>267</v>
      </c>
      <c r="D418" s="9" t="s">
        <v>22</v>
      </c>
      <c r="E418" s="179"/>
      <c r="F418" s="179">
        <f>0.91225</f>
        <v>0.91225</v>
      </c>
      <c r="G418" s="180">
        <f>E414*F418</f>
        <v>3.3497820000000003</v>
      </c>
    </row>
    <row r="419" spans="1:7" ht="15">
      <c r="A419" s="8" t="s">
        <v>0</v>
      </c>
      <c r="B419" s="9" t="s">
        <v>0</v>
      </c>
      <c r="C419" s="9" t="s">
        <v>24</v>
      </c>
      <c r="D419" s="9" t="s">
        <v>22</v>
      </c>
      <c r="E419" s="179"/>
      <c r="F419" s="179">
        <f>0.1763</f>
        <v>0.1763</v>
      </c>
      <c r="G419" s="180">
        <f>E414*F419</f>
        <v>0.6473736000000001</v>
      </c>
    </row>
    <row r="420" spans="1:7" ht="15">
      <c r="A420" s="8" t="s">
        <v>0</v>
      </c>
      <c r="B420" s="9" t="s">
        <v>0</v>
      </c>
      <c r="C420" s="9" t="s">
        <v>25</v>
      </c>
      <c r="D420" s="9" t="s">
        <v>8</v>
      </c>
      <c r="E420" s="179"/>
      <c r="F420" s="179">
        <f>1.19</f>
        <v>1.19</v>
      </c>
      <c r="G420" s="180">
        <f>E414*F420</f>
        <v>4.36968</v>
      </c>
    </row>
    <row r="421" spans="1:7" ht="15">
      <c r="A421" s="8" t="s">
        <v>0</v>
      </c>
      <c r="B421" s="9" t="s">
        <v>0</v>
      </c>
      <c r="C421" s="9" t="s">
        <v>26</v>
      </c>
      <c r="D421" s="9" t="s">
        <v>10</v>
      </c>
      <c r="E421" s="179"/>
      <c r="F421" s="179">
        <f>0.095</f>
        <v>0.095</v>
      </c>
      <c r="G421" s="180">
        <f>E414*F421</f>
        <v>0.34884000000000004</v>
      </c>
    </row>
    <row r="422" spans="1:7" ht="15">
      <c r="A422" s="8" t="s">
        <v>0</v>
      </c>
      <c r="B422" s="9" t="s">
        <v>0</v>
      </c>
      <c r="C422" s="9" t="s">
        <v>27</v>
      </c>
      <c r="D422" s="9" t="s">
        <v>10</v>
      </c>
      <c r="E422" s="179"/>
      <c r="F422" s="179">
        <f>0.089</f>
        <v>0.089</v>
      </c>
      <c r="G422" s="180">
        <f>E414*F422</f>
        <v>0.326808</v>
      </c>
    </row>
    <row r="423" spans="1:7" ht="15">
      <c r="A423" s="8" t="s">
        <v>0</v>
      </c>
      <c r="B423" s="9" t="s">
        <v>0</v>
      </c>
      <c r="C423" s="9" t="s">
        <v>0</v>
      </c>
      <c r="D423" s="9" t="s">
        <v>0</v>
      </c>
      <c r="E423" s="179"/>
      <c r="F423" s="179"/>
      <c r="G423" s="180"/>
    </row>
    <row r="424" spans="1:7" ht="15">
      <c r="A424" s="8" t="s">
        <v>268</v>
      </c>
      <c r="B424" s="9" t="s">
        <v>269</v>
      </c>
      <c r="C424" s="9" t="s">
        <v>270</v>
      </c>
      <c r="D424" s="9" t="s">
        <v>38</v>
      </c>
      <c r="E424" s="179">
        <f>'Du toan chi tiet'!E110</f>
        <v>3</v>
      </c>
      <c r="F424" s="179"/>
      <c r="G424" s="180"/>
    </row>
    <row r="425" spans="1:7" ht="15">
      <c r="A425" s="8" t="s">
        <v>0</v>
      </c>
      <c r="B425" s="9" t="s">
        <v>0</v>
      </c>
      <c r="C425" s="9" t="s">
        <v>40</v>
      </c>
      <c r="D425" s="9" t="s">
        <v>22</v>
      </c>
      <c r="E425" s="179"/>
      <c r="F425" s="179">
        <f>0.00794</f>
        <v>0.00794</v>
      </c>
      <c r="G425" s="180">
        <f>E424*F425</f>
        <v>0.023819999999999997</v>
      </c>
    </row>
    <row r="426" spans="1:7" ht="15">
      <c r="A426" s="8" t="s">
        <v>0</v>
      </c>
      <c r="B426" s="9" t="s">
        <v>0</v>
      </c>
      <c r="C426" s="9" t="s">
        <v>271</v>
      </c>
      <c r="D426" s="9" t="s">
        <v>22</v>
      </c>
      <c r="E426" s="179"/>
      <c r="F426" s="179">
        <f>0.0054</f>
        <v>0.0054</v>
      </c>
      <c r="G426" s="180">
        <f>E424*F426</f>
        <v>0.0162</v>
      </c>
    </row>
    <row r="427" spans="1:7" ht="15">
      <c r="A427" s="8" t="s">
        <v>0</v>
      </c>
      <c r="B427" s="9" t="s">
        <v>0</v>
      </c>
      <c r="C427" s="9" t="s">
        <v>44</v>
      </c>
      <c r="D427" s="9" t="s">
        <v>8</v>
      </c>
      <c r="E427" s="179"/>
      <c r="F427" s="179">
        <f>0.135</f>
        <v>0.135</v>
      </c>
      <c r="G427" s="180">
        <f>E424*F427</f>
        <v>0.405</v>
      </c>
    </row>
    <row r="428" spans="1:7" ht="15">
      <c r="A428" s="8" t="s">
        <v>0</v>
      </c>
      <c r="B428" s="9" t="s">
        <v>0</v>
      </c>
      <c r="C428" s="9" t="s">
        <v>0</v>
      </c>
      <c r="D428" s="9" t="s">
        <v>0</v>
      </c>
      <c r="E428" s="179"/>
      <c r="F428" s="179"/>
      <c r="G428" s="180"/>
    </row>
    <row r="429" spans="1:7" ht="15">
      <c r="A429" s="8" t="s">
        <v>272</v>
      </c>
      <c r="B429" s="9" t="s">
        <v>3</v>
      </c>
      <c r="C429" s="9" t="s">
        <v>4</v>
      </c>
      <c r="D429" s="9" t="s">
        <v>5</v>
      </c>
      <c r="E429" s="179">
        <f>'Du toan chi tiet'!E111</f>
        <v>2.6112</v>
      </c>
      <c r="F429" s="179"/>
      <c r="G429" s="180"/>
    </row>
    <row r="430" spans="1:7" ht="15">
      <c r="A430" s="8" t="s">
        <v>0</v>
      </c>
      <c r="B430" s="9" t="s">
        <v>0</v>
      </c>
      <c r="C430" s="9" t="s">
        <v>6</v>
      </c>
      <c r="D430" s="9" t="s">
        <v>0</v>
      </c>
      <c r="E430" s="179"/>
      <c r="F430" s="179"/>
      <c r="G430" s="180"/>
    </row>
    <row r="431" spans="1:7" ht="15">
      <c r="A431" s="8" t="s">
        <v>0</v>
      </c>
      <c r="B431" s="9" t="s">
        <v>0</v>
      </c>
      <c r="C431" s="9" t="s">
        <v>7</v>
      </c>
      <c r="D431" s="9" t="s">
        <v>8</v>
      </c>
      <c r="E431" s="179"/>
      <c r="F431" s="179">
        <f>0.0461</f>
        <v>0.0461</v>
      </c>
      <c r="G431" s="180">
        <f>E429*F431</f>
        <v>0.12037632000000001</v>
      </c>
    </row>
    <row r="432" spans="1:7" ht="15">
      <c r="A432" s="8" t="s">
        <v>0</v>
      </c>
      <c r="B432" s="9" t="s">
        <v>0</v>
      </c>
      <c r="C432" s="9" t="s">
        <v>9</v>
      </c>
      <c r="D432" s="9" t="s">
        <v>10</v>
      </c>
      <c r="E432" s="179"/>
      <c r="F432" s="179">
        <f>0.00897</f>
        <v>0.00897</v>
      </c>
      <c r="G432" s="180">
        <f>E429*F432</f>
        <v>0.023422464000000004</v>
      </c>
    </row>
    <row r="433" spans="1:7" ht="15">
      <c r="A433" s="8" t="s">
        <v>0</v>
      </c>
      <c r="B433" s="9" t="s">
        <v>0</v>
      </c>
      <c r="C433" s="9" t="s">
        <v>0</v>
      </c>
      <c r="D433" s="9" t="s">
        <v>0</v>
      </c>
      <c r="E433" s="179"/>
      <c r="F433" s="179"/>
      <c r="G433" s="180"/>
    </row>
    <row r="434" spans="1:7" ht="15">
      <c r="A434" s="8" t="s">
        <v>273</v>
      </c>
      <c r="B434" s="9" t="s">
        <v>12</v>
      </c>
      <c r="C434" s="9" t="s">
        <v>13</v>
      </c>
      <c r="D434" s="9" t="s">
        <v>5</v>
      </c>
      <c r="E434" s="179">
        <f>'Du toan chi tiet'!E113</f>
        <v>0.86163</v>
      </c>
      <c r="F434" s="179"/>
      <c r="G434" s="180"/>
    </row>
    <row r="435" spans="1:7" ht="15">
      <c r="A435" s="8" t="s">
        <v>0</v>
      </c>
      <c r="B435" s="9" t="s">
        <v>0</v>
      </c>
      <c r="C435" s="9" t="s">
        <v>14</v>
      </c>
      <c r="D435" s="9" t="s">
        <v>0</v>
      </c>
      <c r="E435" s="179"/>
      <c r="F435" s="179"/>
      <c r="G435" s="180"/>
    </row>
    <row r="436" spans="1:7" ht="15">
      <c r="A436" s="8" t="s">
        <v>0</v>
      </c>
      <c r="B436" s="9" t="s">
        <v>0</v>
      </c>
      <c r="C436" s="9" t="s">
        <v>7</v>
      </c>
      <c r="D436" s="9" t="s">
        <v>8</v>
      </c>
      <c r="E436" s="179"/>
      <c r="F436" s="179">
        <f>0.0539</f>
        <v>0.0539</v>
      </c>
      <c r="G436" s="180">
        <f>E434*F436</f>
        <v>0.046441857</v>
      </c>
    </row>
    <row r="437" spans="1:7" ht="15">
      <c r="A437" s="8" t="s">
        <v>0</v>
      </c>
      <c r="B437" s="9" t="s">
        <v>0</v>
      </c>
      <c r="C437" s="9" t="s">
        <v>15</v>
      </c>
      <c r="D437" s="9" t="s">
        <v>10</v>
      </c>
      <c r="E437" s="179"/>
      <c r="F437" s="179">
        <f>0.0335</f>
        <v>0.0335</v>
      </c>
      <c r="G437" s="180">
        <f>E434*F437</f>
        <v>0.028864605</v>
      </c>
    </row>
    <row r="438" spans="1:7" ht="15">
      <c r="A438" s="8" t="s">
        <v>0</v>
      </c>
      <c r="B438" s="9" t="s">
        <v>0</v>
      </c>
      <c r="C438" s="9" t="s">
        <v>0</v>
      </c>
      <c r="D438" s="9" t="s">
        <v>0</v>
      </c>
      <c r="E438" s="179"/>
      <c r="F438" s="179"/>
      <c r="G438" s="180"/>
    </row>
    <row r="439" spans="1:7" ht="15">
      <c r="A439" s="8" t="s">
        <v>274</v>
      </c>
      <c r="B439" s="9" t="s">
        <v>17</v>
      </c>
      <c r="C439" s="9" t="s">
        <v>275</v>
      </c>
      <c r="D439" s="9" t="s">
        <v>5</v>
      </c>
      <c r="E439" s="179">
        <f>'Du toan chi tiet'!E115</f>
        <v>0.544</v>
      </c>
      <c r="F439" s="179"/>
      <c r="G439" s="180"/>
    </row>
    <row r="440" spans="1:7" ht="15">
      <c r="A440" s="8" t="s">
        <v>0</v>
      </c>
      <c r="B440" s="9" t="s">
        <v>0</v>
      </c>
      <c r="C440" s="9" t="s">
        <v>19</v>
      </c>
      <c r="D440" s="9" t="s">
        <v>20</v>
      </c>
      <c r="E440" s="179"/>
      <c r="F440" s="179">
        <f>197.825</f>
        <v>197.825</v>
      </c>
      <c r="G440" s="180">
        <f>E439*F440</f>
        <v>107.6168</v>
      </c>
    </row>
    <row r="441" spans="1:7" ht="15">
      <c r="A441" s="8" t="s">
        <v>0</v>
      </c>
      <c r="B441" s="9" t="s">
        <v>0</v>
      </c>
      <c r="C441" s="9" t="s">
        <v>21</v>
      </c>
      <c r="D441" s="9" t="s">
        <v>22</v>
      </c>
      <c r="E441" s="179"/>
      <c r="F441" s="179">
        <f>0.572975</f>
        <v>0.572975</v>
      </c>
      <c r="G441" s="180">
        <f>E439*F441</f>
        <v>0.31169840000000004</v>
      </c>
    </row>
    <row r="442" spans="1:7" ht="15">
      <c r="A442" s="8" t="s">
        <v>0</v>
      </c>
      <c r="B442" s="9" t="s">
        <v>0</v>
      </c>
      <c r="C442" s="9" t="s">
        <v>23</v>
      </c>
      <c r="D442" s="9" t="s">
        <v>22</v>
      </c>
      <c r="E442" s="179"/>
      <c r="F442" s="179">
        <f>0.92865</f>
        <v>0.92865</v>
      </c>
      <c r="G442" s="180">
        <f>E439*F442</f>
        <v>0.5051856</v>
      </c>
    </row>
    <row r="443" spans="1:7" ht="15">
      <c r="A443" s="8" t="s">
        <v>0</v>
      </c>
      <c r="B443" s="9" t="s">
        <v>0</v>
      </c>
      <c r="C443" s="9" t="s">
        <v>24</v>
      </c>
      <c r="D443" s="9" t="s">
        <v>22</v>
      </c>
      <c r="E443" s="179"/>
      <c r="F443" s="179">
        <f>0.16605</f>
        <v>0.16605</v>
      </c>
      <c r="G443" s="180">
        <f>E439*F443</f>
        <v>0.09033120000000001</v>
      </c>
    </row>
    <row r="444" spans="1:7" ht="15">
      <c r="A444" s="8" t="s">
        <v>0</v>
      </c>
      <c r="B444" s="9" t="s">
        <v>0</v>
      </c>
      <c r="C444" s="9" t="s">
        <v>25</v>
      </c>
      <c r="D444" s="9" t="s">
        <v>8</v>
      </c>
      <c r="E444" s="179"/>
      <c r="F444" s="179">
        <f>1.07</f>
        <v>1.07</v>
      </c>
      <c r="G444" s="180">
        <f>E439*F444</f>
        <v>0.58208</v>
      </c>
    </row>
    <row r="445" spans="1:7" ht="15">
      <c r="A445" s="8" t="s">
        <v>0</v>
      </c>
      <c r="B445" s="9" t="s">
        <v>0</v>
      </c>
      <c r="C445" s="9" t="s">
        <v>26</v>
      </c>
      <c r="D445" s="9" t="s">
        <v>10</v>
      </c>
      <c r="E445" s="179"/>
      <c r="F445" s="179">
        <f>0.095</f>
        <v>0.095</v>
      </c>
      <c r="G445" s="180">
        <f>E439*F445</f>
        <v>0.051680000000000004</v>
      </c>
    </row>
    <row r="446" spans="1:7" ht="15">
      <c r="A446" s="8" t="s">
        <v>0</v>
      </c>
      <c r="B446" s="9" t="s">
        <v>0</v>
      </c>
      <c r="C446" s="9" t="s">
        <v>27</v>
      </c>
      <c r="D446" s="9" t="s">
        <v>10</v>
      </c>
      <c r="E446" s="179"/>
      <c r="F446" s="179">
        <f>0.089</f>
        <v>0.089</v>
      </c>
      <c r="G446" s="180">
        <f>E439*F446</f>
        <v>0.048416</v>
      </c>
    </row>
    <row r="447" spans="1:7" ht="15">
      <c r="A447" s="8" t="s">
        <v>0</v>
      </c>
      <c r="B447" s="9" t="s">
        <v>0</v>
      </c>
      <c r="C447" s="9" t="s">
        <v>0</v>
      </c>
      <c r="D447" s="9" t="s">
        <v>0</v>
      </c>
      <c r="E447" s="179"/>
      <c r="F447" s="179"/>
      <c r="G447" s="180"/>
    </row>
    <row r="448" spans="1:7" ht="15">
      <c r="A448" s="8" t="s">
        <v>276</v>
      </c>
      <c r="B448" s="9" t="s">
        <v>277</v>
      </c>
      <c r="C448" s="9" t="s">
        <v>278</v>
      </c>
      <c r="D448" s="9" t="s">
        <v>5</v>
      </c>
      <c r="E448" s="179">
        <f>'Du toan chi tiet'!E116</f>
        <v>0.6528</v>
      </c>
      <c r="F448" s="179"/>
      <c r="G448" s="180"/>
    </row>
    <row r="449" spans="1:7" ht="15">
      <c r="A449" s="8" t="s">
        <v>0</v>
      </c>
      <c r="B449" s="9" t="s">
        <v>0</v>
      </c>
      <c r="C449" s="9" t="s">
        <v>279</v>
      </c>
      <c r="D449" s="9" t="s">
        <v>0</v>
      </c>
      <c r="E449" s="179"/>
      <c r="F449" s="179"/>
      <c r="G449" s="180"/>
    </row>
    <row r="450" spans="1:7" ht="15">
      <c r="A450" s="8" t="s">
        <v>0</v>
      </c>
      <c r="B450" s="9" t="s">
        <v>0</v>
      </c>
      <c r="C450" s="9" t="s">
        <v>185</v>
      </c>
      <c r="D450" s="9" t="s">
        <v>60</v>
      </c>
      <c r="E450" s="179"/>
      <c r="F450" s="179">
        <f>658</f>
        <v>658</v>
      </c>
      <c r="G450" s="180">
        <f>E448*F450</f>
        <v>429.54240000000004</v>
      </c>
    </row>
    <row r="451" spans="1:7" ht="15">
      <c r="A451" s="8" t="s">
        <v>0</v>
      </c>
      <c r="B451" s="9" t="s">
        <v>0</v>
      </c>
      <c r="C451" s="9" t="s">
        <v>32</v>
      </c>
      <c r="D451" s="9" t="s">
        <v>20</v>
      </c>
      <c r="E451" s="179"/>
      <c r="F451" s="179">
        <f>92.886</f>
        <v>92.886</v>
      </c>
      <c r="G451" s="180">
        <f>E448*F451</f>
        <v>60.6359808</v>
      </c>
    </row>
    <row r="452" spans="1:7" ht="15">
      <c r="A452" s="8" t="s">
        <v>0</v>
      </c>
      <c r="B452" s="9" t="s">
        <v>0</v>
      </c>
      <c r="C452" s="9" t="s">
        <v>61</v>
      </c>
      <c r="D452" s="9" t="s">
        <v>22</v>
      </c>
      <c r="E452" s="179"/>
      <c r="F452" s="179">
        <f>0.314826</f>
        <v>0.314826</v>
      </c>
      <c r="G452" s="180">
        <f>E448*F452</f>
        <v>0.20551841280000002</v>
      </c>
    </row>
    <row r="453" spans="1:7" ht="15">
      <c r="A453" s="8" t="s">
        <v>0</v>
      </c>
      <c r="B453" s="9" t="s">
        <v>0</v>
      </c>
      <c r="C453" s="9" t="s">
        <v>24</v>
      </c>
      <c r="D453" s="9" t="s">
        <v>22</v>
      </c>
      <c r="E453" s="179"/>
      <c r="F453" s="179">
        <f>0.074802</f>
        <v>0.074802</v>
      </c>
      <c r="G453" s="180">
        <f>E448*F453</f>
        <v>0.048830745599999996</v>
      </c>
    </row>
    <row r="454" spans="1:7" ht="15">
      <c r="A454" s="8" t="s">
        <v>0</v>
      </c>
      <c r="B454" s="9" t="s">
        <v>0</v>
      </c>
      <c r="C454" s="9" t="s">
        <v>44</v>
      </c>
      <c r="D454" s="9" t="s">
        <v>8</v>
      </c>
      <c r="E454" s="179"/>
      <c r="F454" s="179">
        <f>2.47</f>
        <v>2.47</v>
      </c>
      <c r="G454" s="180">
        <f>E448*F454</f>
        <v>1.6124160000000003</v>
      </c>
    </row>
    <row r="455" spans="1:7" ht="15">
      <c r="A455" s="8" t="s">
        <v>0</v>
      </c>
      <c r="B455" s="9" t="s">
        <v>0</v>
      </c>
      <c r="C455" s="9" t="s">
        <v>62</v>
      </c>
      <c r="D455" s="9" t="s">
        <v>10</v>
      </c>
      <c r="E455" s="179"/>
      <c r="F455" s="179">
        <f>0.035</f>
        <v>0.035</v>
      </c>
      <c r="G455" s="180">
        <f>E448*F455</f>
        <v>0.022848000000000004</v>
      </c>
    </row>
    <row r="456" spans="1:7" ht="15">
      <c r="A456" s="8" t="s">
        <v>0</v>
      </c>
      <c r="B456" s="9" t="s">
        <v>0</v>
      </c>
      <c r="C456" s="9" t="s">
        <v>0</v>
      </c>
      <c r="D456" s="9" t="s">
        <v>0</v>
      </c>
      <c r="E456" s="179"/>
      <c r="F456" s="179"/>
      <c r="G456" s="180"/>
    </row>
    <row r="457" spans="1:7" ht="15">
      <c r="A457" s="8" t="s">
        <v>280</v>
      </c>
      <c r="B457" s="9" t="s">
        <v>281</v>
      </c>
      <c r="C457" s="9" t="s">
        <v>282</v>
      </c>
      <c r="D457" s="9" t="s">
        <v>38</v>
      </c>
      <c r="E457" s="179">
        <f>'Du toan chi tiet'!E118</f>
        <v>10.336</v>
      </c>
      <c r="F457" s="179"/>
      <c r="G457" s="180"/>
    </row>
    <row r="458" spans="1:7" ht="15">
      <c r="A458" s="8" t="s">
        <v>0</v>
      </c>
      <c r="B458" s="9" t="s">
        <v>0</v>
      </c>
      <c r="C458" s="9" t="s">
        <v>105</v>
      </c>
      <c r="D458" s="9" t="s">
        <v>0</v>
      </c>
      <c r="E458" s="179"/>
      <c r="F458" s="179"/>
      <c r="G458" s="180"/>
    </row>
    <row r="459" spans="1:7" ht="15">
      <c r="A459" s="8" t="s">
        <v>0</v>
      </c>
      <c r="B459" s="9" t="s">
        <v>0</v>
      </c>
      <c r="C459" s="9" t="s">
        <v>32</v>
      </c>
      <c r="D459" s="9" t="s">
        <v>20</v>
      </c>
      <c r="E459" s="179"/>
      <c r="F459" s="179">
        <f>4.488</f>
        <v>4.488</v>
      </c>
      <c r="G459" s="180">
        <f>E457*F459</f>
        <v>46.38796800000001</v>
      </c>
    </row>
    <row r="460" spans="1:7" ht="15">
      <c r="A460" s="8" t="s">
        <v>0</v>
      </c>
      <c r="B460" s="9" t="s">
        <v>0</v>
      </c>
      <c r="C460" s="9" t="s">
        <v>61</v>
      </c>
      <c r="D460" s="9" t="s">
        <v>22</v>
      </c>
      <c r="E460" s="179"/>
      <c r="F460" s="179">
        <f>0.02023</f>
        <v>0.02023</v>
      </c>
      <c r="G460" s="180">
        <f>E457*F460</f>
        <v>0.20909728000000002</v>
      </c>
    </row>
    <row r="461" spans="1:7" ht="15">
      <c r="A461" s="8" t="s">
        <v>0</v>
      </c>
      <c r="B461" s="9" t="s">
        <v>0</v>
      </c>
      <c r="C461" s="9" t="s">
        <v>24</v>
      </c>
      <c r="D461" s="9" t="s">
        <v>22</v>
      </c>
      <c r="E461" s="179"/>
      <c r="F461" s="179">
        <f>0.004675</f>
        <v>0.004675</v>
      </c>
      <c r="G461" s="180">
        <f>E457*F461</f>
        <v>0.048320800000000004</v>
      </c>
    </row>
    <row r="462" spans="1:7" ht="15">
      <c r="A462" s="8" t="s">
        <v>0</v>
      </c>
      <c r="B462" s="9" t="s">
        <v>0</v>
      </c>
      <c r="C462" s="9" t="s">
        <v>44</v>
      </c>
      <c r="D462" s="9" t="s">
        <v>8</v>
      </c>
      <c r="E462" s="179"/>
      <c r="F462" s="179">
        <f>0.26</f>
        <v>0.26</v>
      </c>
      <c r="G462" s="180">
        <f>E457*F462</f>
        <v>2.68736</v>
      </c>
    </row>
    <row r="463" spans="1:7" ht="15">
      <c r="A463" s="8" t="s">
        <v>0</v>
      </c>
      <c r="B463" s="9" t="s">
        <v>0</v>
      </c>
      <c r="C463" s="9" t="s">
        <v>117</v>
      </c>
      <c r="D463" s="9" t="s">
        <v>10</v>
      </c>
      <c r="E463" s="179"/>
      <c r="F463" s="179">
        <f>0.002</f>
        <v>0.002</v>
      </c>
      <c r="G463" s="180">
        <f>E457*F463</f>
        <v>0.020672</v>
      </c>
    </row>
    <row r="464" spans="1:7" ht="15">
      <c r="A464" s="8" t="s">
        <v>0</v>
      </c>
      <c r="B464" s="9" t="s">
        <v>0</v>
      </c>
      <c r="C464" s="9" t="s">
        <v>0</v>
      </c>
      <c r="D464" s="9" t="s">
        <v>0</v>
      </c>
      <c r="E464" s="179"/>
      <c r="F464" s="179"/>
      <c r="G464" s="180"/>
    </row>
    <row r="465" spans="1:7" ht="15">
      <c r="A465" s="8" t="s">
        <v>283</v>
      </c>
      <c r="B465" s="9" t="s">
        <v>94</v>
      </c>
      <c r="C465" s="9" t="s">
        <v>95</v>
      </c>
      <c r="D465" s="9" t="s">
        <v>38</v>
      </c>
      <c r="E465" s="179">
        <f>'Du toan chi tiet'!E120</f>
        <v>6.528</v>
      </c>
      <c r="F465" s="179"/>
      <c r="G465" s="180"/>
    </row>
    <row r="466" spans="1:7" ht="15">
      <c r="A466" s="8" t="s">
        <v>0</v>
      </c>
      <c r="B466" s="9" t="s">
        <v>0</v>
      </c>
      <c r="C466" s="9" t="s">
        <v>96</v>
      </c>
      <c r="D466" s="9" t="s">
        <v>97</v>
      </c>
      <c r="E466" s="179"/>
      <c r="F466" s="179">
        <f>1.01</f>
        <v>1.01</v>
      </c>
      <c r="G466" s="180">
        <f>E465*F466</f>
        <v>6.59328</v>
      </c>
    </row>
    <row r="467" spans="1:7" ht="15">
      <c r="A467" s="8" t="s">
        <v>0</v>
      </c>
      <c r="B467" s="9" t="s">
        <v>0</v>
      </c>
      <c r="C467" s="9" t="s">
        <v>32</v>
      </c>
      <c r="D467" s="9" t="s">
        <v>20</v>
      </c>
      <c r="E467" s="179"/>
      <c r="F467" s="179">
        <f>3.913</f>
        <v>3.913</v>
      </c>
      <c r="G467" s="180">
        <f>E465*F467</f>
        <v>25.544064</v>
      </c>
    </row>
    <row r="468" spans="1:7" ht="15">
      <c r="A468" s="8" t="s">
        <v>0</v>
      </c>
      <c r="B468" s="9" t="s">
        <v>0</v>
      </c>
      <c r="C468" s="9" t="s">
        <v>61</v>
      </c>
      <c r="D468" s="9" t="s">
        <v>22</v>
      </c>
      <c r="E468" s="179"/>
      <c r="F468" s="179">
        <f>0.015067</f>
        <v>0.015067</v>
      </c>
      <c r="G468" s="180">
        <f>E465*F468</f>
        <v>0.098357376</v>
      </c>
    </row>
    <row r="469" spans="1:7" ht="15">
      <c r="A469" s="8" t="s">
        <v>0</v>
      </c>
      <c r="B469" s="9" t="s">
        <v>0</v>
      </c>
      <c r="C469" s="9" t="s">
        <v>24</v>
      </c>
      <c r="D469" s="9" t="s">
        <v>22</v>
      </c>
      <c r="E469" s="179"/>
      <c r="F469" s="179">
        <f>0.003614</f>
        <v>0.003614</v>
      </c>
      <c r="G469" s="180">
        <f>E465*F469</f>
        <v>0.023592191999999998</v>
      </c>
    </row>
    <row r="470" spans="1:7" ht="15">
      <c r="A470" s="8" t="s">
        <v>0</v>
      </c>
      <c r="B470" s="9" t="s">
        <v>0</v>
      </c>
      <c r="C470" s="9" t="s">
        <v>32</v>
      </c>
      <c r="D470" s="9" t="s">
        <v>20</v>
      </c>
      <c r="E470" s="179"/>
      <c r="F470" s="179">
        <f>0.65</f>
        <v>0.65</v>
      </c>
      <c r="G470" s="180">
        <f>E465*F470</f>
        <v>4.2432</v>
      </c>
    </row>
    <row r="471" spans="1:7" ht="15">
      <c r="A471" s="8" t="s">
        <v>0</v>
      </c>
      <c r="B471" s="9" t="s">
        <v>0</v>
      </c>
      <c r="C471" s="9" t="s">
        <v>98</v>
      </c>
      <c r="D471" s="9" t="s">
        <v>20</v>
      </c>
      <c r="E471" s="179"/>
      <c r="F471" s="179">
        <f>0.17</f>
        <v>0.17</v>
      </c>
      <c r="G471" s="180">
        <f>E465*F471</f>
        <v>1.10976</v>
      </c>
    </row>
    <row r="472" spans="1:7" ht="15">
      <c r="A472" s="8" t="s">
        <v>0</v>
      </c>
      <c r="B472" s="9" t="s">
        <v>0</v>
      </c>
      <c r="C472" s="9" t="s">
        <v>99</v>
      </c>
      <c r="D472" s="9" t="s">
        <v>8</v>
      </c>
      <c r="E472" s="179"/>
      <c r="F472" s="179">
        <f>0.48</f>
        <v>0.48</v>
      </c>
      <c r="G472" s="180">
        <f>E465*F472</f>
        <v>3.13344</v>
      </c>
    </row>
    <row r="473" spans="1:7" ht="15">
      <c r="A473" s="8" t="s">
        <v>0</v>
      </c>
      <c r="B473" s="9" t="s">
        <v>0</v>
      </c>
      <c r="C473" s="9" t="s">
        <v>100</v>
      </c>
      <c r="D473" s="9" t="s">
        <v>10</v>
      </c>
      <c r="E473" s="179"/>
      <c r="F473" s="179">
        <f>0.2</f>
        <v>0.2</v>
      </c>
      <c r="G473" s="180">
        <f>E465*F473</f>
        <v>1.3056</v>
      </c>
    </row>
    <row r="474" spans="1:7" ht="15">
      <c r="A474" s="8" t="s">
        <v>0</v>
      </c>
      <c r="B474" s="9" t="s">
        <v>0</v>
      </c>
      <c r="C474" s="9" t="s">
        <v>0</v>
      </c>
      <c r="D474" s="9" t="s">
        <v>0</v>
      </c>
      <c r="E474" s="179"/>
      <c r="F474" s="179"/>
      <c r="G474" s="180"/>
    </row>
    <row r="475" spans="1:7" ht="15">
      <c r="A475" s="8" t="s">
        <v>0</v>
      </c>
      <c r="B475" s="9" t="s">
        <v>0</v>
      </c>
      <c r="C475" s="9" t="s">
        <v>0</v>
      </c>
      <c r="D475" s="9" t="s">
        <v>0</v>
      </c>
      <c r="E475" s="179"/>
      <c r="F475" s="179"/>
      <c r="G475" s="180"/>
    </row>
    <row r="476" spans="1:7" ht="15.75">
      <c r="A476" s="30" t="s">
        <v>0</v>
      </c>
      <c r="B476" s="31" t="s">
        <v>0</v>
      </c>
      <c r="C476" s="31" t="s">
        <v>284</v>
      </c>
      <c r="D476" s="31" t="s">
        <v>0</v>
      </c>
      <c r="E476" s="177"/>
      <c r="F476" s="177"/>
      <c r="G476" s="178"/>
    </row>
    <row r="477" spans="1:7" ht="15">
      <c r="A477" s="8" t="s">
        <v>0</v>
      </c>
      <c r="B477" s="9" t="s">
        <v>0</v>
      </c>
      <c r="C477" s="9" t="s">
        <v>0</v>
      </c>
      <c r="D477" s="9" t="s">
        <v>0</v>
      </c>
      <c r="E477" s="179"/>
      <c r="F477" s="179"/>
      <c r="G477" s="180"/>
    </row>
    <row r="478" spans="1:7" ht="15">
      <c r="A478" s="8" t="s">
        <v>285</v>
      </c>
      <c r="B478" s="9" t="s">
        <v>286</v>
      </c>
      <c r="C478" s="9" t="s">
        <v>287</v>
      </c>
      <c r="D478" s="9" t="s">
        <v>288</v>
      </c>
      <c r="E478" s="179">
        <f>'Du toan chi tiet'!E123</f>
        <v>3030</v>
      </c>
      <c r="F478" s="179"/>
      <c r="G478" s="180"/>
    </row>
    <row r="479" spans="1:7" ht="15">
      <c r="A479" s="8" t="s">
        <v>0</v>
      </c>
      <c r="B479" s="9" t="s">
        <v>0</v>
      </c>
      <c r="C479" s="9" t="s">
        <v>289</v>
      </c>
      <c r="D479" s="9" t="s">
        <v>8</v>
      </c>
      <c r="E479" s="179"/>
      <c r="F479" s="179">
        <f>0.00108</f>
        <v>0.00108</v>
      </c>
      <c r="G479" s="180">
        <f>E478*F479</f>
        <v>3.2724</v>
      </c>
    </row>
    <row r="480" spans="1:7" ht="15">
      <c r="A480" s="8" t="s">
        <v>0</v>
      </c>
      <c r="B480" s="9" t="s">
        <v>0</v>
      </c>
      <c r="C480" s="9" t="s">
        <v>290</v>
      </c>
      <c r="D480" s="9" t="s">
        <v>10</v>
      </c>
      <c r="E480" s="179"/>
      <c r="F480" s="179">
        <f>0.00045</f>
        <v>0.00045</v>
      </c>
      <c r="G480" s="180">
        <f>E478*F480</f>
        <v>1.3635</v>
      </c>
    </row>
    <row r="481" spans="1:7" ht="15">
      <c r="A481" s="8" t="s">
        <v>0</v>
      </c>
      <c r="B481" s="9" t="s">
        <v>0</v>
      </c>
      <c r="C481" s="9" t="s">
        <v>0</v>
      </c>
      <c r="D481" s="9" t="s">
        <v>0</v>
      </c>
      <c r="E481" s="179"/>
      <c r="F481" s="179"/>
      <c r="G481" s="180"/>
    </row>
    <row r="482" spans="1:7" ht="15">
      <c r="A482" s="8" t="s">
        <v>291</v>
      </c>
      <c r="B482" s="9" t="s">
        <v>292</v>
      </c>
      <c r="C482" s="9" t="s">
        <v>293</v>
      </c>
      <c r="D482" s="9" t="s">
        <v>294</v>
      </c>
      <c r="E482" s="179">
        <f>'Du toan chi tiet'!E124</f>
        <v>4</v>
      </c>
      <c r="F482" s="179"/>
      <c r="G482" s="180"/>
    </row>
    <row r="483" spans="1:7" ht="15">
      <c r="A483" s="8" t="s">
        <v>0</v>
      </c>
      <c r="B483" s="9" t="s">
        <v>0</v>
      </c>
      <c r="C483" s="9" t="s">
        <v>295</v>
      </c>
      <c r="D483" s="9" t="s">
        <v>0</v>
      </c>
      <c r="E483" s="179"/>
      <c r="F483" s="179"/>
      <c r="G483" s="180"/>
    </row>
    <row r="484" spans="1:7" ht="15">
      <c r="A484" s="8" t="s">
        <v>0</v>
      </c>
      <c r="B484" s="9" t="s">
        <v>0</v>
      </c>
      <c r="C484" s="9" t="s">
        <v>296</v>
      </c>
      <c r="D484" s="9" t="s">
        <v>20</v>
      </c>
      <c r="E484" s="179"/>
      <c r="F484" s="179">
        <f>0.125</f>
        <v>0.125</v>
      </c>
      <c r="G484" s="180">
        <f>E482*F484</f>
        <v>0.5</v>
      </c>
    </row>
    <row r="485" spans="1:7" ht="15">
      <c r="A485" s="8" t="s">
        <v>0</v>
      </c>
      <c r="B485" s="9" t="s">
        <v>0</v>
      </c>
      <c r="C485" s="9" t="s">
        <v>297</v>
      </c>
      <c r="D485" s="9" t="s">
        <v>20</v>
      </c>
      <c r="E485" s="179"/>
      <c r="F485" s="179">
        <f>0.09</f>
        <v>0.09</v>
      </c>
      <c r="G485" s="180">
        <f>E482*F485</f>
        <v>0.36</v>
      </c>
    </row>
    <row r="486" spans="1:7" ht="15">
      <c r="A486" s="8" t="s">
        <v>0</v>
      </c>
      <c r="B486" s="9" t="s">
        <v>0</v>
      </c>
      <c r="C486" s="9" t="s">
        <v>298</v>
      </c>
      <c r="D486" s="9" t="s">
        <v>8</v>
      </c>
      <c r="E486" s="179"/>
      <c r="F486" s="179">
        <f>4.05</f>
        <v>4.05</v>
      </c>
      <c r="G486" s="180">
        <f>E482*F486</f>
        <v>16.2</v>
      </c>
    </row>
    <row r="487" spans="1:7" ht="15">
      <c r="A487" s="8" t="s">
        <v>0</v>
      </c>
      <c r="B487" s="9" t="s">
        <v>0</v>
      </c>
      <c r="C487" s="9" t="s">
        <v>299</v>
      </c>
      <c r="D487" s="9" t="s">
        <v>10</v>
      </c>
      <c r="E487" s="179"/>
      <c r="F487" s="179">
        <f>0.135</f>
        <v>0.135</v>
      </c>
      <c r="G487" s="180">
        <f>E482*F487</f>
        <v>0.54</v>
      </c>
    </row>
    <row r="488" spans="1:7" ht="15">
      <c r="A488" s="8" t="s">
        <v>0</v>
      </c>
      <c r="B488" s="9" t="s">
        <v>0</v>
      </c>
      <c r="C488" s="9" t="s">
        <v>300</v>
      </c>
      <c r="D488" s="9" t="s">
        <v>10</v>
      </c>
      <c r="E488" s="179"/>
      <c r="F488" s="179">
        <f>0.1</f>
        <v>0.1</v>
      </c>
      <c r="G488" s="180">
        <f>E482*F488</f>
        <v>0.4</v>
      </c>
    </row>
    <row r="489" spans="1:7" ht="15">
      <c r="A489" s="8" t="s">
        <v>0</v>
      </c>
      <c r="B489" s="9" t="s">
        <v>0</v>
      </c>
      <c r="C489" s="9" t="s">
        <v>0</v>
      </c>
      <c r="D489" s="9" t="s">
        <v>0</v>
      </c>
      <c r="E489" s="179"/>
      <c r="F489" s="179"/>
      <c r="G489" s="180"/>
    </row>
    <row r="490" spans="1:7" ht="15">
      <c r="A490" s="8" t="s">
        <v>301</v>
      </c>
      <c r="B490" s="9" t="s">
        <v>302</v>
      </c>
      <c r="C490" s="9" t="s">
        <v>303</v>
      </c>
      <c r="D490" s="9" t="s">
        <v>304</v>
      </c>
      <c r="E490" s="179">
        <f>'Du toan chi tiet'!E126</f>
        <v>2</v>
      </c>
      <c r="F490" s="179"/>
      <c r="G490" s="180"/>
    </row>
    <row r="491" spans="1:7" ht="15">
      <c r="A491" s="8" t="s">
        <v>0</v>
      </c>
      <c r="B491" s="9" t="s">
        <v>0</v>
      </c>
      <c r="C491" s="9" t="s">
        <v>305</v>
      </c>
      <c r="D491" s="9" t="s">
        <v>8</v>
      </c>
      <c r="E491" s="179"/>
      <c r="F491" s="179">
        <f>4</f>
        <v>4</v>
      </c>
      <c r="G491" s="180">
        <f>E490*F491</f>
        <v>8</v>
      </c>
    </row>
    <row r="492" spans="1:7" ht="15">
      <c r="A492" s="8" t="s">
        <v>0</v>
      </c>
      <c r="B492" s="9" t="s">
        <v>0</v>
      </c>
      <c r="C492" s="9" t="s">
        <v>0</v>
      </c>
      <c r="D492" s="9" t="s">
        <v>0</v>
      </c>
      <c r="E492" s="179"/>
      <c r="F492" s="179"/>
      <c r="G492" s="180"/>
    </row>
    <row r="493" spans="1:7" ht="15">
      <c r="A493" s="8" t="s">
        <v>306</v>
      </c>
      <c r="B493" s="9" t="s">
        <v>307</v>
      </c>
      <c r="C493" s="9" t="s">
        <v>308</v>
      </c>
      <c r="D493" s="9" t="s">
        <v>304</v>
      </c>
      <c r="E493" s="179">
        <f>'Du toan chi tiet'!E128</f>
        <v>2</v>
      </c>
      <c r="F493" s="179"/>
      <c r="G493" s="180"/>
    </row>
    <row r="494" spans="1:7" ht="15">
      <c r="A494" s="8" t="s">
        <v>0</v>
      </c>
      <c r="B494" s="9" t="s">
        <v>0</v>
      </c>
      <c r="C494" s="9" t="s">
        <v>309</v>
      </c>
      <c r="D494" s="9" t="s">
        <v>0</v>
      </c>
      <c r="E494" s="179"/>
      <c r="F494" s="179"/>
      <c r="G494" s="180"/>
    </row>
    <row r="495" spans="1:7" ht="15">
      <c r="A495" s="8" t="s">
        <v>0</v>
      </c>
      <c r="B495" s="9" t="s">
        <v>0</v>
      </c>
      <c r="C495" s="9" t="s">
        <v>310</v>
      </c>
      <c r="D495" s="9" t="s">
        <v>304</v>
      </c>
      <c r="E495" s="179"/>
      <c r="F495" s="179">
        <f>4</f>
        <v>4</v>
      </c>
      <c r="G495" s="180">
        <f>E493*F495</f>
        <v>8</v>
      </c>
    </row>
    <row r="496" spans="1:7" ht="15">
      <c r="A496" s="8" t="s">
        <v>0</v>
      </c>
      <c r="B496" s="9" t="s">
        <v>0</v>
      </c>
      <c r="C496" s="9" t="s">
        <v>311</v>
      </c>
      <c r="D496" s="9" t="s">
        <v>304</v>
      </c>
      <c r="E496" s="179"/>
      <c r="F496" s="179">
        <f>4</f>
        <v>4</v>
      </c>
      <c r="G496" s="180">
        <f>E493*F496</f>
        <v>8</v>
      </c>
    </row>
    <row r="497" spans="1:7" ht="15">
      <c r="A497" s="8" t="s">
        <v>0</v>
      </c>
      <c r="B497" s="9" t="s">
        <v>0</v>
      </c>
      <c r="C497" s="9" t="s">
        <v>312</v>
      </c>
      <c r="D497" s="9" t="s">
        <v>204</v>
      </c>
      <c r="E497" s="179"/>
      <c r="F497" s="179">
        <f>0.1</f>
        <v>0.1</v>
      </c>
      <c r="G497" s="180">
        <f>E493*F497</f>
        <v>0.2</v>
      </c>
    </row>
    <row r="498" spans="1:7" ht="15">
      <c r="A498" s="8" t="s">
        <v>0</v>
      </c>
      <c r="B498" s="9" t="s">
        <v>0</v>
      </c>
      <c r="C498" s="9" t="s">
        <v>43</v>
      </c>
      <c r="D498" s="9" t="s">
        <v>20</v>
      </c>
      <c r="E498" s="179"/>
      <c r="F498" s="179">
        <f>0.05</f>
        <v>0.05</v>
      </c>
      <c r="G498" s="180">
        <f>E493*F498</f>
        <v>0.1</v>
      </c>
    </row>
    <row r="499" spans="1:7" ht="15">
      <c r="A499" s="8" t="s">
        <v>0</v>
      </c>
      <c r="B499" s="9" t="s">
        <v>0</v>
      </c>
      <c r="C499" s="9" t="s">
        <v>24</v>
      </c>
      <c r="D499" s="9" t="s">
        <v>22</v>
      </c>
      <c r="E499" s="179"/>
      <c r="F499" s="179">
        <f>0.02</f>
        <v>0.02</v>
      </c>
      <c r="G499" s="180">
        <f>E493*F499</f>
        <v>0.04</v>
      </c>
    </row>
    <row r="500" spans="1:7" ht="15">
      <c r="A500" s="8" t="s">
        <v>0</v>
      </c>
      <c r="B500" s="9" t="s">
        <v>0</v>
      </c>
      <c r="C500" s="9" t="s">
        <v>313</v>
      </c>
      <c r="D500" s="9" t="s">
        <v>20</v>
      </c>
      <c r="E500" s="179"/>
      <c r="F500" s="179">
        <f>7.24</f>
        <v>7.24</v>
      </c>
      <c r="G500" s="180">
        <f>E493*F500</f>
        <v>14.48</v>
      </c>
    </row>
    <row r="501" spans="1:7" ht="15">
      <c r="A501" s="8" t="s">
        <v>0</v>
      </c>
      <c r="B501" s="9" t="s">
        <v>0</v>
      </c>
      <c r="C501" s="9" t="s">
        <v>314</v>
      </c>
      <c r="D501" s="9" t="s">
        <v>22</v>
      </c>
      <c r="E501" s="179"/>
      <c r="F501" s="179">
        <f>0.067</f>
        <v>0.067</v>
      </c>
      <c r="G501" s="180">
        <f>E493*F501</f>
        <v>0.134</v>
      </c>
    </row>
    <row r="502" spans="1:7" ht="15">
      <c r="A502" s="8" t="s">
        <v>0</v>
      </c>
      <c r="B502" s="9" t="s">
        <v>0</v>
      </c>
      <c r="C502" s="9" t="s">
        <v>305</v>
      </c>
      <c r="D502" s="9" t="s">
        <v>8</v>
      </c>
      <c r="E502" s="179"/>
      <c r="F502" s="179">
        <f>1.026</f>
        <v>1.026</v>
      </c>
      <c r="G502" s="180">
        <f>E493*F502</f>
        <v>2.052</v>
      </c>
    </row>
    <row r="503" spans="1:7" ht="15">
      <c r="A503" s="8" t="s">
        <v>0</v>
      </c>
      <c r="B503" s="9" t="s">
        <v>0</v>
      </c>
      <c r="C503" s="9" t="s">
        <v>0</v>
      </c>
      <c r="D503" s="9" t="s">
        <v>0</v>
      </c>
      <c r="E503" s="179"/>
      <c r="F503" s="179"/>
      <c r="G503" s="180"/>
    </row>
    <row r="504" spans="1:7" ht="15">
      <c r="A504" s="8" t="s">
        <v>315</v>
      </c>
      <c r="B504" s="9" t="s">
        <v>316</v>
      </c>
      <c r="C504" s="9" t="s">
        <v>317</v>
      </c>
      <c r="D504" s="9" t="s">
        <v>304</v>
      </c>
      <c r="E504" s="179">
        <f>'Du toan chi tiet'!E130</f>
        <v>2</v>
      </c>
      <c r="F504" s="179"/>
      <c r="G504" s="180"/>
    </row>
    <row r="505" spans="1:7" ht="15">
      <c r="A505" s="8" t="s">
        <v>0</v>
      </c>
      <c r="B505" s="9" t="s">
        <v>0</v>
      </c>
      <c r="C505" s="9" t="s">
        <v>318</v>
      </c>
      <c r="D505" s="9" t="s">
        <v>0</v>
      </c>
      <c r="E505" s="179"/>
      <c r="F505" s="179"/>
      <c r="G505" s="180"/>
    </row>
    <row r="506" spans="1:7" ht="15">
      <c r="A506" s="8" t="s">
        <v>0</v>
      </c>
      <c r="B506" s="9" t="s">
        <v>0</v>
      </c>
      <c r="C506" s="9" t="s">
        <v>24</v>
      </c>
      <c r="D506" s="9" t="s">
        <v>22</v>
      </c>
      <c r="E506" s="179"/>
      <c r="F506" s="179">
        <f>0.5</f>
        <v>0.5</v>
      </c>
      <c r="G506" s="180">
        <f>E504*F506</f>
        <v>1</v>
      </c>
    </row>
    <row r="507" spans="1:7" ht="15">
      <c r="A507" s="8" t="s">
        <v>0</v>
      </c>
      <c r="B507" s="9" t="s">
        <v>0</v>
      </c>
      <c r="C507" s="9" t="s">
        <v>305</v>
      </c>
      <c r="D507" s="9" t="s">
        <v>8</v>
      </c>
      <c r="E507" s="179"/>
      <c r="F507" s="179">
        <f>0.099</f>
        <v>0.099</v>
      </c>
      <c r="G507" s="180">
        <f>E504*F507</f>
        <v>0.198</v>
      </c>
    </row>
    <row r="508" spans="1:7" ht="15">
      <c r="A508" s="8" t="s">
        <v>0</v>
      </c>
      <c r="B508" s="9" t="s">
        <v>0</v>
      </c>
      <c r="C508" s="9" t="s">
        <v>0</v>
      </c>
      <c r="D508" s="9" t="s">
        <v>0</v>
      </c>
      <c r="E508" s="179"/>
      <c r="F508" s="179"/>
      <c r="G508" s="180"/>
    </row>
    <row r="509" spans="1:7" ht="15">
      <c r="A509" s="8" t="s">
        <v>319</v>
      </c>
      <c r="B509" s="9" t="s">
        <v>320</v>
      </c>
      <c r="C509" s="9" t="s">
        <v>321</v>
      </c>
      <c r="D509" s="9" t="s">
        <v>38</v>
      </c>
      <c r="E509" s="179">
        <f>'Du toan chi tiet'!E132</f>
        <v>662</v>
      </c>
      <c r="F509" s="179"/>
      <c r="G509" s="180"/>
    </row>
    <row r="510" spans="1:7" ht="15">
      <c r="A510" s="8" t="s">
        <v>0</v>
      </c>
      <c r="B510" s="9" t="s">
        <v>0</v>
      </c>
      <c r="C510" s="9" t="s">
        <v>322</v>
      </c>
      <c r="D510" s="9" t="s">
        <v>323</v>
      </c>
      <c r="E510" s="179"/>
      <c r="F510" s="179">
        <f>0.1</f>
        <v>0.1</v>
      </c>
      <c r="G510" s="180">
        <f>E509*F510</f>
        <v>66.2</v>
      </c>
    </row>
    <row r="511" spans="1:7" ht="15">
      <c r="A511" s="8" t="s">
        <v>0</v>
      </c>
      <c r="B511" s="9" t="s">
        <v>0</v>
      </c>
      <c r="C511" s="9" t="s">
        <v>44</v>
      </c>
      <c r="D511" s="9" t="s">
        <v>8</v>
      </c>
      <c r="E511" s="179"/>
      <c r="F511" s="179">
        <f>0.205</f>
        <v>0.205</v>
      </c>
      <c r="G511" s="180">
        <f>E509*F511</f>
        <v>135.70999999999998</v>
      </c>
    </row>
    <row r="512" spans="1:7" ht="15">
      <c r="A512" s="8" t="s">
        <v>0</v>
      </c>
      <c r="B512" s="9" t="s">
        <v>0</v>
      </c>
      <c r="C512" s="9" t="s">
        <v>0</v>
      </c>
      <c r="D512" s="9" t="s">
        <v>0</v>
      </c>
      <c r="E512" s="179"/>
      <c r="F512" s="179"/>
      <c r="G512" s="180"/>
    </row>
    <row r="513" spans="1:7" ht="15">
      <c r="A513" s="8" t="s">
        <v>0</v>
      </c>
      <c r="B513" s="9" t="s">
        <v>0</v>
      </c>
      <c r="C513" s="9" t="s">
        <v>0</v>
      </c>
      <c r="D513" s="9" t="s">
        <v>0</v>
      </c>
      <c r="E513" s="179"/>
      <c r="F513" s="179"/>
      <c r="G513" s="180"/>
    </row>
    <row r="514" spans="1:7" ht="15.75">
      <c r="A514" s="30" t="s">
        <v>0</v>
      </c>
      <c r="B514" s="31" t="s">
        <v>0</v>
      </c>
      <c r="C514" s="31" t="s">
        <v>324</v>
      </c>
      <c r="D514" s="31" t="s">
        <v>0</v>
      </c>
      <c r="E514" s="177"/>
      <c r="F514" s="177"/>
      <c r="G514" s="178"/>
    </row>
    <row r="515" spans="1:7" ht="15">
      <c r="A515" s="8" t="s">
        <v>0</v>
      </c>
      <c r="B515" s="9" t="s">
        <v>0</v>
      </c>
      <c r="C515" s="9" t="s">
        <v>0</v>
      </c>
      <c r="D515" s="9" t="s">
        <v>0</v>
      </c>
      <c r="E515" s="179"/>
      <c r="F515" s="179"/>
      <c r="G515" s="180"/>
    </row>
    <row r="516" spans="1:7" ht="15">
      <c r="A516" s="8" t="s">
        <v>325</v>
      </c>
      <c r="B516" s="9" t="s">
        <v>326</v>
      </c>
      <c r="C516" s="9" t="s">
        <v>327</v>
      </c>
      <c r="D516" s="9" t="s">
        <v>104</v>
      </c>
      <c r="E516" s="179">
        <f>'Du toan chi tiet'!E135</f>
        <v>40</v>
      </c>
      <c r="F516" s="179"/>
      <c r="G516" s="180"/>
    </row>
    <row r="517" spans="1:7" ht="15">
      <c r="A517" s="8" t="s">
        <v>0</v>
      </c>
      <c r="B517" s="9" t="s">
        <v>0</v>
      </c>
      <c r="C517" s="9" t="s">
        <v>328</v>
      </c>
      <c r="D517" s="9" t="s">
        <v>329</v>
      </c>
      <c r="E517" s="179"/>
      <c r="F517" s="179">
        <f>0.074</f>
        <v>0.074</v>
      </c>
      <c r="G517" s="180">
        <f>E516*F517</f>
        <v>2.96</v>
      </c>
    </row>
    <row r="518" spans="1:7" ht="15">
      <c r="A518" s="8" t="s">
        <v>0</v>
      </c>
      <c r="B518" s="9" t="s">
        <v>0</v>
      </c>
      <c r="C518" s="9" t="s">
        <v>330</v>
      </c>
      <c r="D518" s="9" t="s">
        <v>329</v>
      </c>
      <c r="E518" s="179"/>
      <c r="F518" s="179">
        <f>0.04</f>
        <v>0.04</v>
      </c>
      <c r="G518" s="180">
        <f>E516*F518</f>
        <v>1.6</v>
      </c>
    </row>
    <row r="519" spans="1:7" ht="15">
      <c r="A519" s="8" t="s">
        <v>0</v>
      </c>
      <c r="B519" s="9" t="s">
        <v>0</v>
      </c>
      <c r="C519" s="9" t="s">
        <v>44</v>
      </c>
      <c r="D519" s="9" t="s">
        <v>8</v>
      </c>
      <c r="E519" s="179"/>
      <c r="F519" s="179">
        <f>0.47</f>
        <v>0.47</v>
      </c>
      <c r="G519" s="180">
        <f>E516*F519</f>
        <v>18.799999999999997</v>
      </c>
    </row>
    <row r="520" spans="1:7" ht="15">
      <c r="A520" s="8" t="s">
        <v>0</v>
      </c>
      <c r="B520" s="9" t="s">
        <v>0</v>
      </c>
      <c r="C520" s="9" t="s">
        <v>331</v>
      </c>
      <c r="D520" s="9" t="s">
        <v>10</v>
      </c>
      <c r="E520" s="179"/>
      <c r="F520" s="179">
        <f>0.1</f>
        <v>0.1</v>
      </c>
      <c r="G520" s="180">
        <f>E516*F520</f>
        <v>4</v>
      </c>
    </row>
    <row r="521" spans="1:7" ht="15">
      <c r="A521" s="8" t="s">
        <v>0</v>
      </c>
      <c r="B521" s="9" t="s">
        <v>0</v>
      </c>
      <c r="C521" s="9" t="s">
        <v>332</v>
      </c>
      <c r="D521" s="9" t="s">
        <v>10</v>
      </c>
      <c r="E521" s="179"/>
      <c r="F521" s="179">
        <f>0.045</f>
        <v>0.045</v>
      </c>
      <c r="G521" s="180">
        <f>E516*F521</f>
        <v>1.7999999999999998</v>
      </c>
    </row>
    <row r="522" spans="1:7" ht="15">
      <c r="A522" s="8" t="s">
        <v>0</v>
      </c>
      <c r="B522" s="9" t="s">
        <v>0</v>
      </c>
      <c r="C522" s="9" t="s">
        <v>0</v>
      </c>
      <c r="D522" s="9" t="s">
        <v>0</v>
      </c>
      <c r="E522" s="179"/>
      <c r="F522" s="179"/>
      <c r="G522" s="180"/>
    </row>
    <row r="523" spans="1:7" ht="15">
      <c r="A523" s="8" t="s">
        <v>333</v>
      </c>
      <c r="B523" s="9" t="s">
        <v>334</v>
      </c>
      <c r="C523" s="9" t="s">
        <v>335</v>
      </c>
      <c r="D523" s="9" t="s">
        <v>5</v>
      </c>
      <c r="E523" s="179">
        <f>'Du toan chi tiet'!E136</f>
        <v>1.2</v>
      </c>
      <c r="F523" s="179"/>
      <c r="G523" s="180"/>
    </row>
    <row r="524" spans="1:7" ht="15">
      <c r="A524" s="8" t="s">
        <v>0</v>
      </c>
      <c r="B524" s="9" t="s">
        <v>0</v>
      </c>
      <c r="C524" s="9" t="s">
        <v>336</v>
      </c>
      <c r="D524" s="9" t="s">
        <v>0</v>
      </c>
      <c r="E524" s="179"/>
      <c r="F524" s="179"/>
      <c r="G524" s="180"/>
    </row>
    <row r="525" spans="1:7" ht="15">
      <c r="A525" s="8" t="s">
        <v>0</v>
      </c>
      <c r="B525" s="9" t="s">
        <v>0</v>
      </c>
      <c r="C525" s="9" t="s">
        <v>7</v>
      </c>
      <c r="D525" s="9" t="s">
        <v>8</v>
      </c>
      <c r="E525" s="179"/>
      <c r="F525" s="179">
        <f>0.013</f>
        <v>0.013</v>
      </c>
      <c r="G525" s="180">
        <f>E523*F525</f>
        <v>0.0156</v>
      </c>
    </row>
    <row r="526" spans="1:7" ht="15">
      <c r="A526" s="8" t="s">
        <v>0</v>
      </c>
      <c r="B526" s="9" t="s">
        <v>0</v>
      </c>
      <c r="C526" s="9" t="s">
        <v>337</v>
      </c>
      <c r="D526" s="9" t="s">
        <v>10</v>
      </c>
      <c r="E526" s="179"/>
      <c r="F526" s="179">
        <f>0.022</f>
        <v>0.022</v>
      </c>
      <c r="G526" s="180">
        <f>E523*F526</f>
        <v>0.026399999999999996</v>
      </c>
    </row>
    <row r="527" spans="1:7" ht="15">
      <c r="A527" s="8" t="s">
        <v>0</v>
      </c>
      <c r="B527" s="9" t="s">
        <v>0</v>
      </c>
      <c r="C527" s="9" t="s">
        <v>0</v>
      </c>
      <c r="D527" s="9" t="s">
        <v>0</v>
      </c>
      <c r="E527" s="179"/>
      <c r="F527" s="179"/>
      <c r="G527" s="180"/>
    </row>
    <row r="528" spans="1:7" ht="15">
      <c r="A528" s="8" t="s">
        <v>338</v>
      </c>
      <c r="B528" s="9" t="s">
        <v>3</v>
      </c>
      <c r="C528" s="9" t="s">
        <v>4</v>
      </c>
      <c r="D528" s="9" t="s">
        <v>5</v>
      </c>
      <c r="E528" s="179">
        <f>'Du toan chi tiet'!E138</f>
        <v>1.8</v>
      </c>
      <c r="F528" s="179"/>
      <c r="G528" s="180"/>
    </row>
    <row r="529" spans="1:7" ht="15">
      <c r="A529" s="8" t="s">
        <v>0</v>
      </c>
      <c r="B529" s="9" t="s">
        <v>0</v>
      </c>
      <c r="C529" s="9" t="s">
        <v>6</v>
      </c>
      <c r="D529" s="9" t="s">
        <v>0</v>
      </c>
      <c r="E529" s="179"/>
      <c r="F529" s="179"/>
      <c r="G529" s="180"/>
    </row>
    <row r="530" spans="1:7" ht="15">
      <c r="A530" s="8" t="s">
        <v>0</v>
      </c>
      <c r="B530" s="9" t="s">
        <v>0</v>
      </c>
      <c r="C530" s="9" t="s">
        <v>7</v>
      </c>
      <c r="D530" s="9" t="s">
        <v>8</v>
      </c>
      <c r="E530" s="179"/>
      <c r="F530" s="179">
        <f>0.0461</f>
        <v>0.0461</v>
      </c>
      <c r="G530" s="180">
        <f>E528*F530</f>
        <v>0.08298000000000001</v>
      </c>
    </row>
    <row r="531" spans="1:7" ht="15">
      <c r="A531" s="8" t="s">
        <v>0</v>
      </c>
      <c r="B531" s="9" t="s">
        <v>0</v>
      </c>
      <c r="C531" s="9" t="s">
        <v>9</v>
      </c>
      <c r="D531" s="9" t="s">
        <v>10</v>
      </c>
      <c r="E531" s="179"/>
      <c r="F531" s="179">
        <f>0.00897</f>
        <v>0.00897</v>
      </c>
      <c r="G531" s="180">
        <f>E528*F531</f>
        <v>0.016146</v>
      </c>
    </row>
    <row r="532" spans="1:7" ht="15">
      <c r="A532" s="8" t="s">
        <v>0</v>
      </c>
      <c r="B532" s="9" t="s">
        <v>0</v>
      </c>
      <c r="C532" s="9" t="s">
        <v>0</v>
      </c>
      <c r="D532" s="9" t="s">
        <v>0</v>
      </c>
      <c r="E532" s="179"/>
      <c r="F532" s="179"/>
      <c r="G532" s="180"/>
    </row>
    <row r="533" spans="1:7" ht="15">
      <c r="A533" s="8" t="s">
        <v>339</v>
      </c>
      <c r="B533" s="9" t="s">
        <v>340</v>
      </c>
      <c r="C533" s="9" t="s">
        <v>341</v>
      </c>
      <c r="D533" s="9" t="s">
        <v>5</v>
      </c>
      <c r="E533" s="179">
        <f>'Du toan chi tiet'!E140</f>
        <v>0.06</v>
      </c>
      <c r="F533" s="179"/>
      <c r="G533" s="180"/>
    </row>
    <row r="534" spans="1:7" ht="15">
      <c r="A534" s="8" t="s">
        <v>0</v>
      </c>
      <c r="B534" s="9" t="s">
        <v>0</v>
      </c>
      <c r="C534" s="9" t="s">
        <v>342</v>
      </c>
      <c r="D534" s="9" t="s">
        <v>0</v>
      </c>
      <c r="E534" s="179"/>
      <c r="F534" s="179"/>
      <c r="G534" s="180"/>
    </row>
    <row r="535" spans="1:7" ht="15">
      <c r="A535" s="8" t="s">
        <v>0</v>
      </c>
      <c r="B535" s="9" t="s">
        <v>0</v>
      </c>
      <c r="C535" s="9" t="s">
        <v>19</v>
      </c>
      <c r="D535" s="9" t="s">
        <v>20</v>
      </c>
      <c r="E535" s="179"/>
      <c r="F535" s="179">
        <f>197.825</f>
        <v>197.825</v>
      </c>
      <c r="G535" s="180">
        <f>E533*F535</f>
        <v>11.869499999999999</v>
      </c>
    </row>
    <row r="536" spans="1:7" ht="15">
      <c r="A536" s="8" t="s">
        <v>0</v>
      </c>
      <c r="B536" s="9" t="s">
        <v>0</v>
      </c>
      <c r="C536" s="9" t="s">
        <v>21</v>
      </c>
      <c r="D536" s="9" t="s">
        <v>22</v>
      </c>
      <c r="E536" s="179"/>
      <c r="F536" s="179">
        <f>0.572975</f>
        <v>0.572975</v>
      </c>
      <c r="G536" s="180">
        <f>E533*F536</f>
        <v>0.0343785</v>
      </c>
    </row>
    <row r="537" spans="1:7" ht="15">
      <c r="A537" s="8" t="s">
        <v>0</v>
      </c>
      <c r="B537" s="9" t="s">
        <v>0</v>
      </c>
      <c r="C537" s="9" t="s">
        <v>23</v>
      </c>
      <c r="D537" s="9" t="s">
        <v>22</v>
      </c>
      <c r="E537" s="179"/>
      <c r="F537" s="179">
        <f>0.92865</f>
        <v>0.92865</v>
      </c>
      <c r="G537" s="180">
        <f>E533*F537</f>
        <v>0.055719</v>
      </c>
    </row>
    <row r="538" spans="1:7" ht="15">
      <c r="A538" s="8" t="s">
        <v>0</v>
      </c>
      <c r="B538" s="9" t="s">
        <v>0</v>
      </c>
      <c r="C538" s="9" t="s">
        <v>24</v>
      </c>
      <c r="D538" s="9" t="s">
        <v>22</v>
      </c>
      <c r="E538" s="179"/>
      <c r="F538" s="179">
        <f>0.16605</f>
        <v>0.16605</v>
      </c>
      <c r="G538" s="180">
        <f>E533*F538</f>
        <v>0.009963</v>
      </c>
    </row>
    <row r="539" spans="1:7" ht="15">
      <c r="A539" s="8" t="s">
        <v>0</v>
      </c>
      <c r="B539" s="9" t="s">
        <v>0</v>
      </c>
      <c r="C539" s="9" t="s">
        <v>25</v>
      </c>
      <c r="D539" s="9" t="s">
        <v>8</v>
      </c>
      <c r="E539" s="179"/>
      <c r="F539" s="179">
        <f>1.07</f>
        <v>1.07</v>
      </c>
      <c r="G539" s="180">
        <f>E533*F539</f>
        <v>0.06420000000000001</v>
      </c>
    </row>
    <row r="540" spans="1:7" ht="15">
      <c r="A540" s="8" t="s">
        <v>0</v>
      </c>
      <c r="B540" s="9" t="s">
        <v>0</v>
      </c>
      <c r="C540" s="9" t="s">
        <v>26</v>
      </c>
      <c r="D540" s="9" t="s">
        <v>10</v>
      </c>
      <c r="E540" s="179"/>
      <c r="F540" s="179">
        <f>0.095</f>
        <v>0.095</v>
      </c>
      <c r="G540" s="180">
        <f>E533*F540</f>
        <v>0.0057</v>
      </c>
    </row>
    <row r="541" spans="1:7" ht="15">
      <c r="A541" s="8" t="s">
        <v>0</v>
      </c>
      <c r="B541" s="9" t="s">
        <v>0</v>
      </c>
      <c r="C541" s="9" t="s">
        <v>27</v>
      </c>
      <c r="D541" s="9" t="s">
        <v>10</v>
      </c>
      <c r="E541" s="179"/>
      <c r="F541" s="179">
        <f>0.089</f>
        <v>0.089</v>
      </c>
      <c r="G541" s="180">
        <f>E533*F541</f>
        <v>0.005339999999999999</v>
      </c>
    </row>
    <row r="542" spans="1:7" ht="15">
      <c r="A542" s="8" t="s">
        <v>0</v>
      </c>
      <c r="B542" s="9" t="s">
        <v>0</v>
      </c>
      <c r="C542" s="9" t="s">
        <v>0</v>
      </c>
      <c r="D542" s="9" t="s">
        <v>0</v>
      </c>
      <c r="E542" s="179"/>
      <c r="F542" s="179"/>
      <c r="G542" s="180"/>
    </row>
    <row r="543" spans="1:7" ht="15">
      <c r="A543" s="8" t="s">
        <v>343</v>
      </c>
      <c r="B543" s="9" t="s">
        <v>344</v>
      </c>
      <c r="C543" s="9" t="s">
        <v>345</v>
      </c>
      <c r="D543" s="9" t="s">
        <v>104</v>
      </c>
      <c r="E543" s="179">
        <f>'Du toan chi tiet'!E142</f>
        <v>20</v>
      </c>
      <c r="F543" s="179"/>
      <c r="G543" s="180"/>
    </row>
    <row r="544" spans="1:7" ht="15">
      <c r="A544" s="8" t="s">
        <v>0</v>
      </c>
      <c r="B544" s="9" t="s">
        <v>0</v>
      </c>
      <c r="C544" s="9" t="s">
        <v>346</v>
      </c>
      <c r="D544" s="9" t="s">
        <v>0</v>
      </c>
      <c r="E544" s="179"/>
      <c r="F544" s="179"/>
      <c r="G544" s="180"/>
    </row>
    <row r="545" spans="1:7" ht="15">
      <c r="A545" s="8" t="s">
        <v>0</v>
      </c>
      <c r="B545" s="9" t="s">
        <v>0</v>
      </c>
      <c r="C545" s="9" t="s">
        <v>19</v>
      </c>
      <c r="D545" s="9" t="s">
        <v>20</v>
      </c>
      <c r="E545" s="179"/>
      <c r="F545" s="179">
        <f>1.32</f>
        <v>1.32</v>
      </c>
      <c r="G545" s="180">
        <f>E543*F545</f>
        <v>26.400000000000002</v>
      </c>
    </row>
    <row r="546" spans="1:7" ht="15">
      <c r="A546" s="8" t="s">
        <v>0</v>
      </c>
      <c r="B546" s="9" t="s">
        <v>0</v>
      </c>
      <c r="C546" s="9" t="s">
        <v>61</v>
      </c>
      <c r="D546" s="9" t="s">
        <v>22</v>
      </c>
      <c r="E546" s="179"/>
      <c r="F546" s="179">
        <f>0.00595</f>
        <v>0.00595</v>
      </c>
      <c r="G546" s="180">
        <f>E543*F546</f>
        <v>0.11900000000000001</v>
      </c>
    </row>
    <row r="547" spans="1:7" ht="15">
      <c r="A547" s="8" t="s">
        <v>0</v>
      </c>
      <c r="B547" s="9" t="s">
        <v>0</v>
      </c>
      <c r="C547" s="9" t="s">
        <v>24</v>
      </c>
      <c r="D547" s="9" t="s">
        <v>22</v>
      </c>
      <c r="E547" s="179"/>
      <c r="F547" s="179">
        <f>0.001375</f>
        <v>0.001375</v>
      </c>
      <c r="G547" s="180">
        <f>E543*F547</f>
        <v>0.027499999999999997</v>
      </c>
    </row>
    <row r="548" spans="1:7" ht="15">
      <c r="A548" s="8" t="s">
        <v>0</v>
      </c>
      <c r="B548" s="9" t="s">
        <v>0</v>
      </c>
      <c r="C548" s="9" t="s">
        <v>99</v>
      </c>
      <c r="D548" s="9" t="s">
        <v>8</v>
      </c>
      <c r="E548" s="179"/>
      <c r="F548" s="179">
        <f>0.1</f>
        <v>0.1</v>
      </c>
      <c r="G548" s="180">
        <f>E543*F548</f>
        <v>2</v>
      </c>
    </row>
    <row r="549" spans="1:7" ht="15">
      <c r="A549" s="8" t="s">
        <v>0</v>
      </c>
      <c r="B549" s="9" t="s">
        <v>0</v>
      </c>
      <c r="C549" s="9" t="s">
        <v>0</v>
      </c>
      <c r="D549" s="9" t="s">
        <v>0</v>
      </c>
      <c r="E549" s="179"/>
      <c r="F549" s="179"/>
      <c r="G549" s="180"/>
    </row>
    <row r="550" spans="1:7" ht="15">
      <c r="A550" s="8" t="s">
        <v>347</v>
      </c>
      <c r="B550" s="9" t="s">
        <v>348</v>
      </c>
      <c r="C550" s="9" t="s">
        <v>349</v>
      </c>
      <c r="D550" s="9" t="s">
        <v>60</v>
      </c>
      <c r="E550" s="179">
        <f>'Du toan chi tiet'!E144</f>
        <v>20</v>
      </c>
      <c r="F550" s="179"/>
      <c r="G550" s="180"/>
    </row>
    <row r="551" spans="1:7" ht="15">
      <c r="A551" s="8" t="s">
        <v>0</v>
      </c>
      <c r="B551" s="9" t="s">
        <v>0</v>
      </c>
      <c r="C551" s="9" t="s">
        <v>350</v>
      </c>
      <c r="D551" s="9" t="s">
        <v>329</v>
      </c>
      <c r="E551" s="179"/>
      <c r="F551" s="179">
        <f>1</f>
        <v>1</v>
      </c>
      <c r="G551" s="180">
        <f>E550*F551</f>
        <v>20</v>
      </c>
    </row>
    <row r="552" spans="1:7" ht="15">
      <c r="A552" s="8" t="s">
        <v>0</v>
      </c>
      <c r="B552" s="9" t="s">
        <v>0</v>
      </c>
      <c r="C552" s="9" t="s">
        <v>0</v>
      </c>
      <c r="D552" s="9" t="s">
        <v>0</v>
      </c>
      <c r="E552" s="179"/>
      <c r="F552" s="179"/>
      <c r="G552" s="180"/>
    </row>
    <row r="553" spans="1:7" ht="15">
      <c r="A553" s="8" t="s">
        <v>351</v>
      </c>
      <c r="B553" s="9" t="s">
        <v>352</v>
      </c>
      <c r="C553" s="9" t="s">
        <v>353</v>
      </c>
      <c r="D553" s="9" t="s">
        <v>5</v>
      </c>
      <c r="E553" s="179">
        <f>'Du toan chi tiet'!E145</f>
        <v>1.8</v>
      </c>
      <c r="F553" s="179"/>
      <c r="G553" s="180"/>
    </row>
    <row r="554" spans="1:7" ht="15">
      <c r="A554" s="8" t="s">
        <v>0</v>
      </c>
      <c r="B554" s="9" t="s">
        <v>0</v>
      </c>
      <c r="C554" s="9" t="s">
        <v>354</v>
      </c>
      <c r="D554" s="9" t="s">
        <v>0</v>
      </c>
      <c r="E554" s="179"/>
      <c r="F554" s="179"/>
      <c r="G554" s="180"/>
    </row>
    <row r="555" spans="1:7" ht="15">
      <c r="A555" s="8" t="s">
        <v>0</v>
      </c>
      <c r="B555" s="9" t="s">
        <v>0</v>
      </c>
      <c r="C555" s="9" t="s">
        <v>355</v>
      </c>
      <c r="D555" s="9" t="s">
        <v>10</v>
      </c>
      <c r="E555" s="179"/>
      <c r="F555" s="179">
        <f>0.01711</f>
        <v>0.01711</v>
      </c>
      <c r="G555" s="180">
        <f>E553*F555</f>
        <v>0.030798000000000002</v>
      </c>
    </row>
    <row r="556" spans="1:7" ht="15">
      <c r="A556" s="8" t="s">
        <v>0</v>
      </c>
      <c r="B556" s="9" t="s">
        <v>0</v>
      </c>
      <c r="C556" s="9" t="s">
        <v>0</v>
      </c>
      <c r="D556" s="9" t="s">
        <v>0</v>
      </c>
      <c r="E556" s="179"/>
      <c r="F556" s="179"/>
      <c r="G556" s="180"/>
    </row>
    <row r="557" spans="1:7" ht="15">
      <c r="A557" s="8" t="s">
        <v>356</v>
      </c>
      <c r="B557" s="9" t="s">
        <v>357</v>
      </c>
      <c r="C557" s="9" t="s">
        <v>358</v>
      </c>
      <c r="D557" s="9" t="s">
        <v>5</v>
      </c>
      <c r="E557" s="179">
        <f>'Du toan chi tiet'!E147</f>
        <v>1.8</v>
      </c>
      <c r="F557" s="179"/>
      <c r="G557" s="180"/>
    </row>
    <row r="558" spans="1:7" ht="15">
      <c r="A558" s="8" t="s">
        <v>0</v>
      </c>
      <c r="B558" s="9" t="s">
        <v>0</v>
      </c>
      <c r="C558" s="9" t="s">
        <v>359</v>
      </c>
      <c r="D558" s="9" t="s">
        <v>0</v>
      </c>
      <c r="E558" s="179"/>
      <c r="F558" s="179"/>
      <c r="G558" s="180"/>
    </row>
    <row r="559" spans="1:7" ht="15">
      <c r="A559" s="8" t="s">
        <v>0</v>
      </c>
      <c r="B559" s="9" t="s">
        <v>0</v>
      </c>
      <c r="C559" s="9" t="s">
        <v>355</v>
      </c>
      <c r="D559" s="9" t="s">
        <v>10</v>
      </c>
      <c r="E559" s="179"/>
      <c r="F559" s="179">
        <f>0.00688</f>
        <v>0.00688</v>
      </c>
      <c r="G559" s="180">
        <f>E557*F559</f>
        <v>0.012384</v>
      </c>
    </row>
    <row r="560" spans="1:7" ht="15">
      <c r="A560" s="8" t="s">
        <v>0</v>
      </c>
      <c r="B560" s="9" t="s">
        <v>0</v>
      </c>
      <c r="C560" s="9" t="s">
        <v>0</v>
      </c>
      <c r="D560" s="9" t="s">
        <v>0</v>
      </c>
      <c r="E560" s="179"/>
      <c r="F560" s="179"/>
      <c r="G560" s="180"/>
    </row>
    <row r="561" spans="1:7" ht="15">
      <c r="A561" s="8" t="s">
        <v>0</v>
      </c>
      <c r="B561" s="9" t="s">
        <v>0</v>
      </c>
      <c r="C561" s="9" t="s">
        <v>0</v>
      </c>
      <c r="D561" s="9" t="s">
        <v>0</v>
      </c>
      <c r="E561" s="179"/>
      <c r="F561" s="179"/>
      <c r="G561" s="180"/>
    </row>
    <row r="562" spans="1:7" ht="15.75">
      <c r="A562" s="30" t="s">
        <v>0</v>
      </c>
      <c r="B562" s="31" t="s">
        <v>0</v>
      </c>
      <c r="C562" s="31" t="s">
        <v>360</v>
      </c>
      <c r="D562" s="31" t="s">
        <v>0</v>
      </c>
      <c r="E562" s="177"/>
      <c r="F562" s="177"/>
      <c r="G562" s="178"/>
    </row>
    <row r="563" spans="1:7" ht="15">
      <c r="A563" s="8" t="s">
        <v>0</v>
      </c>
      <c r="B563" s="9" t="s">
        <v>0</v>
      </c>
      <c r="C563" s="9" t="s">
        <v>0</v>
      </c>
      <c r="D563" s="9" t="s">
        <v>0</v>
      </c>
      <c r="E563" s="179"/>
      <c r="F563" s="179"/>
      <c r="G563" s="180"/>
    </row>
    <row r="564" spans="1:7" ht="15">
      <c r="A564" s="8" t="s">
        <v>361</v>
      </c>
      <c r="B564" s="9" t="s">
        <v>320</v>
      </c>
      <c r="C564" s="9" t="s">
        <v>362</v>
      </c>
      <c r="D564" s="9" t="s">
        <v>38</v>
      </c>
      <c r="E564" s="179">
        <f>'Du toan chi tiet'!E151</f>
        <v>194.64778</v>
      </c>
      <c r="F564" s="179"/>
      <c r="G564" s="180"/>
    </row>
    <row r="565" spans="1:7" ht="15">
      <c r="A565" s="8" t="s">
        <v>0</v>
      </c>
      <c r="B565" s="9" t="s">
        <v>0</v>
      </c>
      <c r="C565" s="9" t="s">
        <v>322</v>
      </c>
      <c r="D565" s="9" t="s">
        <v>323</v>
      </c>
      <c r="E565" s="179"/>
      <c r="F565" s="179">
        <f>0.1</f>
        <v>0.1</v>
      </c>
      <c r="G565" s="180">
        <f>E564*F565</f>
        <v>19.464778000000003</v>
      </c>
    </row>
    <row r="566" spans="1:7" ht="15">
      <c r="A566" s="8" t="s">
        <v>0</v>
      </c>
      <c r="B566" s="9" t="s">
        <v>0</v>
      </c>
      <c r="C566" s="9" t="s">
        <v>44</v>
      </c>
      <c r="D566" s="9" t="s">
        <v>8</v>
      </c>
      <c r="E566" s="179"/>
      <c r="F566" s="179">
        <f>0.205</f>
        <v>0.205</v>
      </c>
      <c r="G566" s="180">
        <f>E564*F566</f>
        <v>39.9027949</v>
      </c>
    </row>
    <row r="567" spans="1:7" ht="15">
      <c r="A567" s="8" t="s">
        <v>0</v>
      </c>
      <c r="B567" s="9" t="s">
        <v>0</v>
      </c>
      <c r="C567" s="9" t="s">
        <v>0</v>
      </c>
      <c r="D567" s="9" t="s">
        <v>0</v>
      </c>
      <c r="E567" s="179"/>
      <c r="F567" s="179"/>
      <c r="G567" s="180"/>
    </row>
    <row r="568" spans="1:7" ht="15">
      <c r="A568" s="8" t="s">
        <v>363</v>
      </c>
      <c r="B568" s="9" t="s">
        <v>224</v>
      </c>
      <c r="C568" s="9" t="s">
        <v>225</v>
      </c>
      <c r="D568" s="9" t="s">
        <v>38</v>
      </c>
      <c r="E568" s="179">
        <f>'Du toan chi tiet'!E152</f>
        <v>361.8</v>
      </c>
      <c r="F568" s="179"/>
      <c r="G568" s="180"/>
    </row>
    <row r="569" spans="1:7" ht="15">
      <c r="A569" s="8" t="s">
        <v>0</v>
      </c>
      <c r="B569" s="9" t="s">
        <v>0</v>
      </c>
      <c r="C569" s="9" t="s">
        <v>226</v>
      </c>
      <c r="D569" s="9" t="s">
        <v>0</v>
      </c>
      <c r="E569" s="179"/>
      <c r="F569" s="179"/>
      <c r="G569" s="180"/>
    </row>
    <row r="570" spans="1:7" ht="15">
      <c r="A570" s="8" t="s">
        <v>0</v>
      </c>
      <c r="B570" s="9" t="s">
        <v>0</v>
      </c>
      <c r="C570" s="9" t="s">
        <v>40</v>
      </c>
      <c r="D570" s="9" t="s">
        <v>22</v>
      </c>
      <c r="E570" s="179"/>
      <c r="F570" s="179">
        <f>0.00035</f>
        <v>0.00035</v>
      </c>
      <c r="G570" s="180">
        <f>E568*F570</f>
        <v>0.12663</v>
      </c>
    </row>
    <row r="571" spans="1:7" ht="15">
      <c r="A571" s="8" t="s">
        <v>0</v>
      </c>
      <c r="B571" s="9" t="s">
        <v>0</v>
      </c>
      <c r="C571" s="9" t="s">
        <v>227</v>
      </c>
      <c r="D571" s="9" t="s">
        <v>20</v>
      </c>
      <c r="E571" s="179"/>
      <c r="F571" s="179">
        <f>0.095</f>
        <v>0.095</v>
      </c>
      <c r="G571" s="180">
        <f>E568*F571</f>
        <v>34.371</v>
      </c>
    </row>
    <row r="572" spans="1:7" ht="15">
      <c r="A572" s="8" t="s">
        <v>0</v>
      </c>
      <c r="B572" s="9" t="s">
        <v>0</v>
      </c>
      <c r="C572" s="9" t="s">
        <v>81</v>
      </c>
      <c r="D572" s="9" t="s">
        <v>20</v>
      </c>
      <c r="E572" s="179"/>
      <c r="F572" s="179">
        <f>0.015</f>
        <v>0.015</v>
      </c>
      <c r="G572" s="180">
        <f>E568*F572</f>
        <v>5.427</v>
      </c>
    </row>
    <row r="573" spans="1:7" ht="15">
      <c r="A573" s="8" t="s">
        <v>0</v>
      </c>
      <c r="B573" s="9" t="s">
        <v>0</v>
      </c>
      <c r="C573" s="9" t="s">
        <v>228</v>
      </c>
      <c r="D573" s="9" t="s">
        <v>20</v>
      </c>
      <c r="E573" s="179"/>
      <c r="F573" s="179">
        <f>0.03</f>
        <v>0.03</v>
      </c>
      <c r="G573" s="180">
        <f>E568*F573</f>
        <v>10.854</v>
      </c>
    </row>
    <row r="574" spans="1:7" ht="15">
      <c r="A574" s="8" t="s">
        <v>0</v>
      </c>
      <c r="B574" s="9" t="s">
        <v>0</v>
      </c>
      <c r="C574" s="9" t="s">
        <v>44</v>
      </c>
      <c r="D574" s="9" t="s">
        <v>8</v>
      </c>
      <c r="E574" s="179"/>
      <c r="F574" s="179">
        <f>0.055</f>
        <v>0.055</v>
      </c>
      <c r="G574" s="180">
        <f>E568*F574</f>
        <v>19.899</v>
      </c>
    </row>
    <row r="575" spans="1:7" ht="15">
      <c r="A575" s="8" t="s">
        <v>0</v>
      </c>
      <c r="B575" s="9" t="s">
        <v>0</v>
      </c>
      <c r="C575" s="9" t="s">
        <v>0</v>
      </c>
      <c r="D575" s="9" t="s">
        <v>0</v>
      </c>
      <c r="E575" s="179"/>
      <c r="F575" s="179"/>
      <c r="G575" s="180"/>
    </row>
    <row r="576" spans="1:7" ht="15">
      <c r="A576" s="8" t="s">
        <v>0</v>
      </c>
      <c r="B576" s="9" t="s">
        <v>0</v>
      </c>
      <c r="C576" s="9" t="s">
        <v>0</v>
      </c>
      <c r="D576" s="9" t="s">
        <v>0</v>
      </c>
      <c r="E576" s="179"/>
      <c r="F576" s="179"/>
      <c r="G576" s="180"/>
    </row>
    <row r="577" spans="1:7" ht="15.75">
      <c r="A577" s="30" t="s">
        <v>0</v>
      </c>
      <c r="B577" s="31" t="s">
        <v>0</v>
      </c>
      <c r="C577" s="31" t="s">
        <v>364</v>
      </c>
      <c r="D577" s="31" t="s">
        <v>0</v>
      </c>
      <c r="E577" s="177"/>
      <c r="F577" s="177"/>
      <c r="G577" s="178"/>
    </row>
    <row r="578" spans="1:7" ht="15">
      <c r="A578" s="8" t="s">
        <v>0</v>
      </c>
      <c r="B578" s="9" t="s">
        <v>0</v>
      </c>
      <c r="C578" s="9" t="s">
        <v>0</v>
      </c>
      <c r="D578" s="9" t="s">
        <v>0</v>
      </c>
      <c r="E578" s="179"/>
      <c r="F578" s="179"/>
      <c r="G578" s="180"/>
    </row>
    <row r="579" spans="1:7" ht="15">
      <c r="A579" s="8" t="s">
        <v>365</v>
      </c>
      <c r="B579" s="9" t="s">
        <v>366</v>
      </c>
      <c r="C579" s="9" t="s">
        <v>367</v>
      </c>
      <c r="D579" s="9" t="s">
        <v>368</v>
      </c>
      <c r="E579" s="179">
        <f>'Du toan chi tiet'!E156</f>
        <v>1</v>
      </c>
      <c r="F579" s="179"/>
      <c r="G579" s="180"/>
    </row>
    <row r="580" spans="1:7" ht="15">
      <c r="A580" s="8" t="s">
        <v>0</v>
      </c>
      <c r="B580" s="9" t="s">
        <v>0</v>
      </c>
      <c r="C580" s="9" t="s">
        <v>369</v>
      </c>
      <c r="D580" s="9" t="s">
        <v>0</v>
      </c>
      <c r="E580" s="179"/>
      <c r="F580" s="179"/>
      <c r="G580" s="180"/>
    </row>
    <row r="581" spans="1:7" ht="15">
      <c r="A581" s="8" t="s">
        <v>0</v>
      </c>
      <c r="B581" s="9" t="s">
        <v>0</v>
      </c>
      <c r="C581" s="9" t="s">
        <v>7</v>
      </c>
      <c r="D581" s="9" t="s">
        <v>8</v>
      </c>
      <c r="E581" s="179"/>
      <c r="F581" s="179">
        <f>0.31</f>
        <v>0.31</v>
      </c>
      <c r="G581" s="180">
        <f>E579*F581</f>
        <v>0.31</v>
      </c>
    </row>
    <row r="582" spans="1:7" ht="15">
      <c r="A582" s="8" t="s">
        <v>0</v>
      </c>
      <c r="B582" s="9" t="s">
        <v>0</v>
      </c>
      <c r="C582" s="9" t="s">
        <v>0</v>
      </c>
      <c r="D582" s="9" t="s">
        <v>0</v>
      </c>
      <c r="E582" s="179"/>
      <c r="F582" s="179"/>
      <c r="G582" s="180"/>
    </row>
    <row r="583" spans="1:7" ht="15">
      <c r="A583" s="8" t="s">
        <v>370</v>
      </c>
      <c r="B583" s="9" t="s">
        <v>371</v>
      </c>
      <c r="C583" s="9" t="s">
        <v>367</v>
      </c>
      <c r="D583" s="9" t="s">
        <v>368</v>
      </c>
      <c r="E583" s="179">
        <f>'Du toan chi tiet'!E158</f>
        <v>1</v>
      </c>
      <c r="F583" s="179"/>
      <c r="G583" s="180"/>
    </row>
    <row r="584" spans="1:7" ht="15">
      <c r="A584" s="8" t="s">
        <v>0</v>
      </c>
      <c r="B584" s="9" t="s">
        <v>0</v>
      </c>
      <c r="C584" s="9" t="s">
        <v>372</v>
      </c>
      <c r="D584" s="9" t="s">
        <v>0</v>
      </c>
      <c r="E584" s="179"/>
      <c r="F584" s="179"/>
      <c r="G584" s="180"/>
    </row>
    <row r="585" spans="1:7" ht="15">
      <c r="A585" s="8" t="s">
        <v>0</v>
      </c>
      <c r="B585" s="9" t="s">
        <v>0</v>
      </c>
      <c r="C585" s="9" t="s">
        <v>7</v>
      </c>
      <c r="D585" s="9" t="s">
        <v>8</v>
      </c>
      <c r="E585" s="179"/>
      <c r="F585" s="179">
        <f>0.19</f>
        <v>0.19</v>
      </c>
      <c r="G585" s="180">
        <f>E583*F585</f>
        <v>0.19</v>
      </c>
    </row>
    <row r="586" spans="1:7" ht="15">
      <c r="A586" s="8" t="s">
        <v>0</v>
      </c>
      <c r="B586" s="9" t="s">
        <v>0</v>
      </c>
      <c r="C586" s="9" t="s">
        <v>0</v>
      </c>
      <c r="D586" s="9" t="s">
        <v>0</v>
      </c>
      <c r="E586" s="179"/>
      <c r="F586" s="179"/>
      <c r="G586" s="180"/>
    </row>
    <row r="587" spans="1:7" ht="15">
      <c r="A587" s="8" t="s">
        <v>373</v>
      </c>
      <c r="B587" s="9" t="s">
        <v>374</v>
      </c>
      <c r="C587" s="9" t="s">
        <v>367</v>
      </c>
      <c r="D587" s="9" t="s">
        <v>73</v>
      </c>
      <c r="E587" s="179">
        <f>'Du toan chi tiet'!E160</f>
        <v>1</v>
      </c>
      <c r="F587" s="179"/>
      <c r="G587" s="180"/>
    </row>
    <row r="588" spans="1:7" ht="15">
      <c r="A588" s="8" t="s">
        <v>0</v>
      </c>
      <c r="B588" s="9" t="s">
        <v>0</v>
      </c>
      <c r="C588" s="9" t="s">
        <v>375</v>
      </c>
      <c r="D588" s="9" t="s">
        <v>0</v>
      </c>
      <c r="E588" s="179"/>
      <c r="F588" s="179"/>
      <c r="G588" s="180"/>
    </row>
    <row r="589" spans="1:7" ht="15">
      <c r="A589" s="8" t="s">
        <v>0</v>
      </c>
      <c r="B589" s="9" t="s">
        <v>0</v>
      </c>
      <c r="C589" s="9" t="s">
        <v>7</v>
      </c>
      <c r="D589" s="9" t="s">
        <v>8</v>
      </c>
      <c r="E589" s="179"/>
      <c r="F589" s="179">
        <f>0.11</f>
        <v>0.11</v>
      </c>
      <c r="G589" s="180">
        <f>E587*F589</f>
        <v>0.11</v>
      </c>
    </row>
    <row r="590" spans="1:7" ht="15">
      <c r="A590" s="8" t="s">
        <v>0</v>
      </c>
      <c r="B590" s="9" t="s">
        <v>0</v>
      </c>
      <c r="C590" s="9" t="s">
        <v>0</v>
      </c>
      <c r="D590" s="9" t="s">
        <v>0</v>
      </c>
      <c r="E590" s="179"/>
      <c r="F590" s="179"/>
      <c r="G590" s="180"/>
    </row>
    <row r="591" spans="1:7" ht="15">
      <c r="A591" s="8" t="s">
        <v>376</v>
      </c>
      <c r="B591" s="9" t="s">
        <v>377</v>
      </c>
      <c r="C591" s="9" t="s">
        <v>367</v>
      </c>
      <c r="D591" s="9" t="s">
        <v>22</v>
      </c>
      <c r="E591" s="179">
        <f>'Du toan chi tiet'!E162</f>
        <v>1</v>
      </c>
      <c r="F591" s="179"/>
      <c r="G591" s="180"/>
    </row>
    <row r="592" spans="1:7" ht="15">
      <c r="A592" s="8" t="s">
        <v>0</v>
      </c>
      <c r="B592" s="9" t="s">
        <v>0</v>
      </c>
      <c r="C592" s="9" t="s">
        <v>378</v>
      </c>
      <c r="D592" s="9" t="s">
        <v>0</v>
      </c>
      <c r="E592" s="179"/>
      <c r="F592" s="179"/>
      <c r="G592" s="180"/>
    </row>
    <row r="593" spans="1:7" ht="15">
      <c r="A593" s="8" t="s">
        <v>0</v>
      </c>
      <c r="B593" s="9" t="s">
        <v>0</v>
      </c>
      <c r="C593" s="9" t="s">
        <v>7</v>
      </c>
      <c r="D593" s="9" t="s">
        <v>8</v>
      </c>
      <c r="E593" s="179"/>
      <c r="F593" s="179">
        <f>0.09</f>
        <v>0.09</v>
      </c>
      <c r="G593" s="180">
        <f>E591*F593</f>
        <v>0.09</v>
      </c>
    </row>
    <row r="594" spans="1:7" ht="15">
      <c r="A594" s="8" t="s">
        <v>0</v>
      </c>
      <c r="B594" s="9" t="s">
        <v>0</v>
      </c>
      <c r="C594" s="9" t="s">
        <v>0</v>
      </c>
      <c r="D594" s="9" t="s">
        <v>0</v>
      </c>
      <c r="E594" s="179"/>
      <c r="F594" s="179"/>
      <c r="G594" s="180"/>
    </row>
    <row r="595" spans="1:7" ht="15">
      <c r="A595" s="8" t="s">
        <v>379</v>
      </c>
      <c r="B595" s="9" t="s">
        <v>380</v>
      </c>
      <c r="C595" s="9" t="s">
        <v>367</v>
      </c>
      <c r="D595" s="9" t="s">
        <v>73</v>
      </c>
      <c r="E595" s="179">
        <f>'Du toan chi tiet'!E164</f>
        <v>1</v>
      </c>
      <c r="F595" s="179"/>
      <c r="G595" s="180"/>
    </row>
    <row r="596" spans="1:7" ht="15">
      <c r="A596" s="8" t="s">
        <v>0</v>
      </c>
      <c r="B596" s="9" t="s">
        <v>0</v>
      </c>
      <c r="C596" s="9" t="s">
        <v>381</v>
      </c>
      <c r="D596" s="9" t="s">
        <v>0</v>
      </c>
      <c r="E596" s="179"/>
      <c r="F596" s="179"/>
      <c r="G596" s="180"/>
    </row>
    <row r="597" spans="1:7" ht="15">
      <c r="A597" s="8" t="s">
        <v>0</v>
      </c>
      <c r="B597" s="9" t="s">
        <v>0</v>
      </c>
      <c r="C597" s="9" t="s">
        <v>7</v>
      </c>
      <c r="D597" s="9" t="s">
        <v>8</v>
      </c>
      <c r="E597" s="179"/>
      <c r="F597" s="179">
        <f>0.21</f>
        <v>0.21</v>
      </c>
      <c r="G597" s="180">
        <f>E595*F597</f>
        <v>0.21</v>
      </c>
    </row>
    <row r="598" spans="1:7" ht="15">
      <c r="A598" s="8" t="s">
        <v>0</v>
      </c>
      <c r="B598" s="9" t="s">
        <v>0</v>
      </c>
      <c r="C598" s="9" t="s">
        <v>0</v>
      </c>
      <c r="D598" s="9" t="s">
        <v>0</v>
      </c>
      <c r="E598" s="179"/>
      <c r="F598" s="179"/>
      <c r="G598" s="180"/>
    </row>
    <row r="599" spans="1:7" ht="15">
      <c r="A599" s="8" t="s">
        <v>382</v>
      </c>
      <c r="B599" s="9" t="s">
        <v>383</v>
      </c>
      <c r="C599" s="9" t="s">
        <v>384</v>
      </c>
      <c r="D599" s="9" t="s">
        <v>385</v>
      </c>
      <c r="E599" s="179">
        <f>'Du toan chi tiet'!E166</f>
        <v>1</v>
      </c>
      <c r="F599" s="179"/>
      <c r="G599" s="180"/>
    </row>
    <row r="600" spans="1:7" ht="15">
      <c r="A600" s="8" t="s">
        <v>0</v>
      </c>
      <c r="B600" s="9" t="s">
        <v>0</v>
      </c>
      <c r="C600" s="9" t="s">
        <v>386</v>
      </c>
      <c r="D600" s="9" t="s">
        <v>0</v>
      </c>
      <c r="E600" s="179"/>
      <c r="F600" s="179"/>
      <c r="G600" s="180"/>
    </row>
    <row r="601" spans="1:7" ht="15">
      <c r="A601" s="8" t="s">
        <v>0</v>
      </c>
      <c r="B601" s="9" t="s">
        <v>0</v>
      </c>
      <c r="C601" s="9" t="s">
        <v>387</v>
      </c>
      <c r="D601" s="9" t="s">
        <v>10</v>
      </c>
      <c r="E601" s="179"/>
      <c r="F601" s="179">
        <f>0.027</f>
        <v>0.027</v>
      </c>
      <c r="G601" s="180">
        <f>E599*F601</f>
        <v>0.027</v>
      </c>
    </row>
    <row r="602" spans="1:7" ht="15">
      <c r="A602" s="8" t="s">
        <v>0</v>
      </c>
      <c r="B602" s="9" t="s">
        <v>0</v>
      </c>
      <c r="C602" s="9" t="s">
        <v>0</v>
      </c>
      <c r="D602" s="9" t="s">
        <v>0</v>
      </c>
      <c r="E602" s="179"/>
      <c r="F602" s="179"/>
      <c r="G602" s="180"/>
    </row>
    <row r="603" spans="1:7" ht="15">
      <c r="A603" s="8" t="s">
        <v>388</v>
      </c>
      <c r="B603" s="9" t="s">
        <v>389</v>
      </c>
      <c r="C603" s="9" t="s">
        <v>384</v>
      </c>
      <c r="D603" s="9" t="s">
        <v>385</v>
      </c>
      <c r="E603" s="179">
        <f>'Du toan chi tiet'!E168</f>
        <v>1</v>
      </c>
      <c r="F603" s="179"/>
      <c r="G603" s="180"/>
    </row>
    <row r="604" spans="1:7" ht="15">
      <c r="A604" s="8" t="s">
        <v>0</v>
      </c>
      <c r="B604" s="9" t="s">
        <v>0</v>
      </c>
      <c r="C604" s="9" t="s">
        <v>390</v>
      </c>
      <c r="D604" s="9" t="s">
        <v>0</v>
      </c>
      <c r="E604" s="179"/>
      <c r="F604" s="179"/>
      <c r="G604" s="180"/>
    </row>
    <row r="605" spans="1:7" ht="15">
      <c r="A605" s="8" t="s">
        <v>0</v>
      </c>
      <c r="B605" s="9" t="s">
        <v>0</v>
      </c>
      <c r="C605" s="9" t="s">
        <v>387</v>
      </c>
      <c r="D605" s="9" t="s">
        <v>10</v>
      </c>
      <c r="E605" s="179"/>
      <c r="F605" s="179">
        <f>0.019</f>
        <v>0.019</v>
      </c>
      <c r="G605" s="180">
        <f>E603*F605</f>
        <v>0.019</v>
      </c>
    </row>
    <row r="606" spans="1:7" ht="15">
      <c r="A606" s="8" t="s">
        <v>0</v>
      </c>
      <c r="B606" s="9" t="s">
        <v>0</v>
      </c>
      <c r="C606" s="9" t="s">
        <v>0</v>
      </c>
      <c r="D606" s="9" t="s">
        <v>0</v>
      </c>
      <c r="E606" s="179"/>
      <c r="F606" s="179"/>
      <c r="G606" s="180"/>
    </row>
    <row r="607" spans="1:7" ht="15">
      <c r="A607" s="8" t="s">
        <v>391</v>
      </c>
      <c r="B607" s="9" t="s">
        <v>392</v>
      </c>
      <c r="C607" s="9" t="s">
        <v>384</v>
      </c>
      <c r="D607" s="9" t="s">
        <v>385</v>
      </c>
      <c r="E607" s="179">
        <f>'Du toan chi tiet'!E170</f>
        <v>1</v>
      </c>
      <c r="F607" s="179"/>
      <c r="G607" s="180"/>
    </row>
    <row r="608" spans="1:7" ht="15">
      <c r="A608" s="8" t="s">
        <v>0</v>
      </c>
      <c r="B608" s="9" t="s">
        <v>0</v>
      </c>
      <c r="C608" s="9" t="s">
        <v>393</v>
      </c>
      <c r="D608" s="9" t="s">
        <v>0</v>
      </c>
      <c r="E608" s="179"/>
      <c r="F608" s="179"/>
      <c r="G608" s="180"/>
    </row>
    <row r="609" spans="1:7" ht="15">
      <c r="A609" s="8" t="s">
        <v>0</v>
      </c>
      <c r="B609" s="9" t="s">
        <v>0</v>
      </c>
      <c r="C609" s="9" t="s">
        <v>387</v>
      </c>
      <c r="D609" s="9" t="s">
        <v>10</v>
      </c>
      <c r="E609" s="179"/>
      <c r="F609" s="179">
        <f>0.014</f>
        <v>0.014</v>
      </c>
      <c r="G609" s="180">
        <f>E607*F609</f>
        <v>0.014</v>
      </c>
    </row>
    <row r="610" spans="1:7" ht="15">
      <c r="A610" s="8" t="s">
        <v>0</v>
      </c>
      <c r="B610" s="9" t="s">
        <v>0</v>
      </c>
      <c r="C610" s="9" t="s">
        <v>0</v>
      </c>
      <c r="D610" s="9" t="s">
        <v>0</v>
      </c>
      <c r="E610" s="179"/>
      <c r="F610" s="179"/>
      <c r="G610" s="180"/>
    </row>
    <row r="611" spans="1:7" ht="15">
      <c r="A611" s="8" t="s">
        <v>394</v>
      </c>
      <c r="B611" s="9" t="s">
        <v>395</v>
      </c>
      <c r="C611" s="9" t="s">
        <v>396</v>
      </c>
      <c r="D611" s="9" t="s">
        <v>385</v>
      </c>
      <c r="E611" s="179">
        <f>'Du toan chi tiet'!E172</f>
        <v>1</v>
      </c>
      <c r="F611" s="179"/>
      <c r="G611" s="180"/>
    </row>
    <row r="612" spans="1:7" ht="15">
      <c r="A612" s="8" t="s">
        <v>0</v>
      </c>
      <c r="B612" s="9" t="s">
        <v>0</v>
      </c>
      <c r="C612" s="9" t="s">
        <v>386</v>
      </c>
      <c r="D612" s="9" t="s">
        <v>0</v>
      </c>
      <c r="E612" s="179"/>
      <c r="F612" s="179"/>
      <c r="G612" s="180"/>
    </row>
    <row r="613" spans="1:7" ht="15">
      <c r="A613" s="8" t="s">
        <v>0</v>
      </c>
      <c r="B613" s="9" t="s">
        <v>0</v>
      </c>
      <c r="C613" s="9" t="s">
        <v>387</v>
      </c>
      <c r="D613" s="9" t="s">
        <v>10</v>
      </c>
      <c r="E613" s="179"/>
      <c r="F613" s="179">
        <f>0.034</f>
        <v>0.034</v>
      </c>
      <c r="G613" s="180">
        <f>E611*F613</f>
        <v>0.034</v>
      </c>
    </row>
    <row r="614" spans="1:7" ht="15">
      <c r="A614" s="8" t="s">
        <v>0</v>
      </c>
      <c r="B614" s="9" t="s">
        <v>0</v>
      </c>
      <c r="C614" s="9" t="s">
        <v>0</v>
      </c>
      <c r="D614" s="9" t="s">
        <v>0</v>
      </c>
      <c r="E614" s="179"/>
      <c r="F614" s="179"/>
      <c r="G614" s="180"/>
    </row>
    <row r="615" spans="1:7" ht="15">
      <c r="A615" s="8" t="s">
        <v>397</v>
      </c>
      <c r="B615" s="9" t="s">
        <v>398</v>
      </c>
      <c r="C615" s="9" t="s">
        <v>396</v>
      </c>
      <c r="D615" s="9" t="s">
        <v>385</v>
      </c>
      <c r="E615" s="179">
        <f>'Du toan chi tiet'!E174</f>
        <v>1</v>
      </c>
      <c r="F615" s="179"/>
      <c r="G615" s="180"/>
    </row>
    <row r="616" spans="1:7" ht="15">
      <c r="A616" s="8" t="s">
        <v>0</v>
      </c>
      <c r="B616" s="9" t="s">
        <v>0</v>
      </c>
      <c r="C616" s="9" t="s">
        <v>390</v>
      </c>
      <c r="D616" s="9" t="s">
        <v>0</v>
      </c>
      <c r="E616" s="179"/>
      <c r="F616" s="179"/>
      <c r="G616" s="180"/>
    </row>
    <row r="617" spans="1:7" ht="15">
      <c r="A617" s="8" t="s">
        <v>0</v>
      </c>
      <c r="B617" s="9" t="s">
        <v>0</v>
      </c>
      <c r="C617" s="9" t="s">
        <v>387</v>
      </c>
      <c r="D617" s="9" t="s">
        <v>10</v>
      </c>
      <c r="E617" s="179"/>
      <c r="F617" s="179">
        <f>0.025</f>
        <v>0.025</v>
      </c>
      <c r="G617" s="180">
        <f>E615*F617</f>
        <v>0.025</v>
      </c>
    </row>
    <row r="618" spans="1:7" ht="15">
      <c r="A618" s="8" t="s">
        <v>0</v>
      </c>
      <c r="B618" s="9" t="s">
        <v>0</v>
      </c>
      <c r="C618" s="9" t="s">
        <v>0</v>
      </c>
      <c r="D618" s="9" t="s">
        <v>0</v>
      </c>
      <c r="E618" s="179"/>
      <c r="F618" s="179"/>
      <c r="G618" s="180"/>
    </row>
    <row r="619" spans="1:7" ht="15">
      <c r="A619" s="8" t="s">
        <v>399</v>
      </c>
      <c r="B619" s="9" t="s">
        <v>400</v>
      </c>
      <c r="C619" s="9" t="s">
        <v>396</v>
      </c>
      <c r="D619" s="9" t="s">
        <v>385</v>
      </c>
      <c r="E619" s="179">
        <f>'Du toan chi tiet'!E176</f>
        <v>1</v>
      </c>
      <c r="F619" s="179"/>
      <c r="G619" s="180"/>
    </row>
    <row r="620" spans="1:7" ht="15">
      <c r="A620" s="8" t="s">
        <v>0</v>
      </c>
      <c r="B620" s="9" t="s">
        <v>0</v>
      </c>
      <c r="C620" s="9" t="s">
        <v>393</v>
      </c>
      <c r="D620" s="9" t="s">
        <v>0</v>
      </c>
      <c r="E620" s="179"/>
      <c r="F620" s="179"/>
      <c r="G620" s="180"/>
    </row>
    <row r="621" spans="1:7" ht="15">
      <c r="A621" s="8" t="s">
        <v>0</v>
      </c>
      <c r="B621" s="9" t="s">
        <v>0</v>
      </c>
      <c r="C621" s="9" t="s">
        <v>387</v>
      </c>
      <c r="D621" s="9" t="s">
        <v>10</v>
      </c>
      <c r="E621" s="179"/>
      <c r="F621" s="179">
        <f>0.018</f>
        <v>0.018</v>
      </c>
      <c r="G621" s="180">
        <f>E619*F621</f>
        <v>0.018</v>
      </c>
    </row>
    <row r="622" spans="1:7" ht="15">
      <c r="A622" s="8" t="s">
        <v>0</v>
      </c>
      <c r="B622" s="9" t="s">
        <v>0</v>
      </c>
      <c r="C622" s="9" t="s">
        <v>0</v>
      </c>
      <c r="D622" s="9" t="s">
        <v>0</v>
      </c>
      <c r="E622" s="179"/>
      <c r="F622" s="179"/>
      <c r="G622" s="180"/>
    </row>
    <row r="623" spans="1:7" ht="15">
      <c r="A623" s="8" t="s">
        <v>401</v>
      </c>
      <c r="B623" s="9" t="s">
        <v>402</v>
      </c>
      <c r="C623" s="9" t="s">
        <v>403</v>
      </c>
      <c r="D623" s="9" t="s">
        <v>404</v>
      </c>
      <c r="E623" s="179">
        <f>'Du toan chi tiet'!E178</f>
        <v>1</v>
      </c>
      <c r="F623" s="179"/>
      <c r="G623" s="180"/>
    </row>
    <row r="624" spans="1:7" ht="15">
      <c r="A624" s="8" t="s">
        <v>0</v>
      </c>
      <c r="B624" s="9" t="s">
        <v>0</v>
      </c>
      <c r="C624" s="9" t="s">
        <v>386</v>
      </c>
      <c r="D624" s="9" t="s">
        <v>0</v>
      </c>
      <c r="E624" s="179"/>
      <c r="F624" s="179"/>
      <c r="G624" s="180"/>
    </row>
    <row r="625" spans="1:7" ht="15">
      <c r="A625" s="8" t="s">
        <v>0</v>
      </c>
      <c r="B625" s="9" t="s">
        <v>0</v>
      </c>
      <c r="C625" s="9" t="s">
        <v>405</v>
      </c>
      <c r="D625" s="9" t="s">
        <v>10</v>
      </c>
      <c r="E625" s="179"/>
      <c r="F625" s="179">
        <f>0.076</f>
        <v>0.076</v>
      </c>
      <c r="G625" s="180">
        <f>E623*F625</f>
        <v>0.076</v>
      </c>
    </row>
    <row r="626" spans="1:7" ht="15">
      <c r="A626" s="8" t="s">
        <v>0</v>
      </c>
      <c r="B626" s="9" t="s">
        <v>0</v>
      </c>
      <c r="C626" s="9" t="s">
        <v>0</v>
      </c>
      <c r="D626" s="9" t="s">
        <v>0</v>
      </c>
      <c r="E626" s="179"/>
      <c r="F626" s="179"/>
      <c r="G626" s="180"/>
    </row>
    <row r="627" spans="1:7" ht="15">
      <c r="A627" s="8" t="s">
        <v>406</v>
      </c>
      <c r="B627" s="9" t="s">
        <v>407</v>
      </c>
      <c r="C627" s="9" t="s">
        <v>403</v>
      </c>
      <c r="D627" s="9" t="s">
        <v>404</v>
      </c>
      <c r="E627" s="179">
        <f>'Du toan chi tiet'!E180</f>
        <v>1</v>
      </c>
      <c r="F627" s="179"/>
      <c r="G627" s="180"/>
    </row>
    <row r="628" spans="1:7" ht="15">
      <c r="A628" s="8" t="s">
        <v>0</v>
      </c>
      <c r="B628" s="9" t="s">
        <v>0</v>
      </c>
      <c r="C628" s="9" t="s">
        <v>390</v>
      </c>
      <c r="D628" s="9" t="s">
        <v>0</v>
      </c>
      <c r="E628" s="179"/>
      <c r="F628" s="179"/>
      <c r="G628" s="180"/>
    </row>
    <row r="629" spans="1:7" ht="15">
      <c r="A629" s="8" t="s">
        <v>0</v>
      </c>
      <c r="B629" s="9" t="s">
        <v>0</v>
      </c>
      <c r="C629" s="9" t="s">
        <v>405</v>
      </c>
      <c r="D629" s="9" t="s">
        <v>10</v>
      </c>
      <c r="E629" s="179"/>
      <c r="F629" s="179">
        <f>0.055</f>
        <v>0.055</v>
      </c>
      <c r="G629" s="180">
        <f>E627*F629</f>
        <v>0.055</v>
      </c>
    </row>
    <row r="630" spans="1:7" ht="15">
      <c r="A630" s="8" t="s">
        <v>0</v>
      </c>
      <c r="B630" s="9" t="s">
        <v>0</v>
      </c>
      <c r="C630" s="9" t="s">
        <v>0</v>
      </c>
      <c r="D630" s="9" t="s">
        <v>0</v>
      </c>
      <c r="E630" s="179"/>
      <c r="F630" s="179"/>
      <c r="G630" s="180"/>
    </row>
    <row r="631" spans="1:7" ht="15">
      <c r="A631" s="8" t="s">
        <v>408</v>
      </c>
      <c r="B631" s="9" t="s">
        <v>409</v>
      </c>
      <c r="C631" s="9" t="s">
        <v>403</v>
      </c>
      <c r="D631" s="9" t="s">
        <v>404</v>
      </c>
      <c r="E631" s="179">
        <f>'Du toan chi tiet'!E182</f>
        <v>1</v>
      </c>
      <c r="F631" s="179"/>
      <c r="G631" s="180"/>
    </row>
    <row r="632" spans="1:7" ht="15">
      <c r="A632" s="8" t="s">
        <v>0</v>
      </c>
      <c r="B632" s="9" t="s">
        <v>0</v>
      </c>
      <c r="C632" s="9" t="s">
        <v>393</v>
      </c>
      <c r="D632" s="9" t="s">
        <v>0</v>
      </c>
      <c r="E632" s="179"/>
      <c r="F632" s="179"/>
      <c r="G632" s="180"/>
    </row>
    <row r="633" spans="1:7" ht="15">
      <c r="A633" s="8" t="s">
        <v>0</v>
      </c>
      <c r="B633" s="9" t="s">
        <v>0</v>
      </c>
      <c r="C633" s="9" t="s">
        <v>405</v>
      </c>
      <c r="D633" s="9" t="s">
        <v>10</v>
      </c>
      <c r="E633" s="179"/>
      <c r="F633" s="179">
        <f>0.037</f>
        <v>0.037</v>
      </c>
      <c r="G633" s="180">
        <f>E631*F633</f>
        <v>0.037</v>
      </c>
    </row>
    <row r="634" spans="1:7" ht="15">
      <c r="A634" s="8" t="s">
        <v>0</v>
      </c>
      <c r="B634" s="9" t="s">
        <v>0</v>
      </c>
      <c r="C634" s="9" t="s">
        <v>0</v>
      </c>
      <c r="D634" s="9" t="s">
        <v>0</v>
      </c>
      <c r="E634" s="179"/>
      <c r="F634" s="179"/>
      <c r="G634" s="180"/>
    </row>
    <row r="635" spans="1:7" ht="15">
      <c r="A635" s="8" t="s">
        <v>410</v>
      </c>
      <c r="B635" s="9" t="s">
        <v>411</v>
      </c>
      <c r="C635" s="9" t="s">
        <v>412</v>
      </c>
      <c r="D635" s="9" t="s">
        <v>404</v>
      </c>
      <c r="E635" s="179">
        <f>'Du toan chi tiet'!E184</f>
        <v>1</v>
      </c>
      <c r="F635" s="179"/>
      <c r="G635" s="180"/>
    </row>
    <row r="636" spans="1:7" ht="15">
      <c r="A636" s="8" t="s">
        <v>0</v>
      </c>
      <c r="B636" s="9" t="s">
        <v>0</v>
      </c>
      <c r="C636" s="9" t="s">
        <v>386</v>
      </c>
      <c r="D636" s="9" t="s">
        <v>0</v>
      </c>
      <c r="E636" s="179"/>
      <c r="F636" s="179"/>
      <c r="G636" s="180"/>
    </row>
    <row r="637" spans="1:7" ht="15">
      <c r="A637" s="8" t="s">
        <v>0</v>
      </c>
      <c r="B637" s="9" t="s">
        <v>0</v>
      </c>
      <c r="C637" s="9" t="s">
        <v>405</v>
      </c>
      <c r="D637" s="9" t="s">
        <v>10</v>
      </c>
      <c r="E637" s="179"/>
      <c r="F637" s="179">
        <f>0.108</f>
        <v>0.108</v>
      </c>
      <c r="G637" s="180">
        <f>E635*F637</f>
        <v>0.108</v>
      </c>
    </row>
    <row r="638" spans="1:7" ht="15">
      <c r="A638" s="8" t="s">
        <v>0</v>
      </c>
      <c r="B638" s="9" t="s">
        <v>0</v>
      </c>
      <c r="C638" s="9" t="s">
        <v>0</v>
      </c>
      <c r="D638" s="9" t="s">
        <v>0</v>
      </c>
      <c r="E638" s="179"/>
      <c r="F638" s="179"/>
      <c r="G638" s="180"/>
    </row>
    <row r="639" spans="1:7" ht="15">
      <c r="A639" s="8" t="s">
        <v>413</v>
      </c>
      <c r="B639" s="9" t="s">
        <v>414</v>
      </c>
      <c r="C639" s="9" t="s">
        <v>412</v>
      </c>
      <c r="D639" s="9" t="s">
        <v>404</v>
      </c>
      <c r="E639" s="179">
        <f>'Du toan chi tiet'!E186</f>
        <v>1</v>
      </c>
      <c r="F639" s="179"/>
      <c r="G639" s="180"/>
    </row>
    <row r="640" spans="1:7" ht="15">
      <c r="A640" s="8" t="s">
        <v>0</v>
      </c>
      <c r="B640" s="9" t="s">
        <v>0</v>
      </c>
      <c r="C640" s="9" t="s">
        <v>390</v>
      </c>
      <c r="D640" s="9" t="s">
        <v>0</v>
      </c>
      <c r="E640" s="179"/>
      <c r="F640" s="179"/>
      <c r="G640" s="180"/>
    </row>
    <row r="641" spans="1:7" ht="15">
      <c r="A641" s="8" t="s">
        <v>0</v>
      </c>
      <c r="B641" s="9" t="s">
        <v>0</v>
      </c>
      <c r="C641" s="9" t="s">
        <v>405</v>
      </c>
      <c r="D641" s="9" t="s">
        <v>10</v>
      </c>
      <c r="E641" s="179"/>
      <c r="F641" s="179">
        <f>0.078</f>
        <v>0.078</v>
      </c>
      <c r="G641" s="180">
        <f>E639*F641</f>
        <v>0.078</v>
      </c>
    </row>
    <row r="642" spans="1:7" ht="15">
      <c r="A642" s="8" t="s">
        <v>0</v>
      </c>
      <c r="B642" s="9" t="s">
        <v>0</v>
      </c>
      <c r="C642" s="9" t="s">
        <v>0</v>
      </c>
      <c r="D642" s="9" t="s">
        <v>0</v>
      </c>
      <c r="E642" s="179"/>
      <c r="F642" s="179"/>
      <c r="G642" s="180"/>
    </row>
    <row r="643" spans="1:7" ht="15">
      <c r="A643" s="8" t="s">
        <v>415</v>
      </c>
      <c r="B643" s="9" t="s">
        <v>416</v>
      </c>
      <c r="C643" s="9" t="s">
        <v>412</v>
      </c>
      <c r="D643" s="9" t="s">
        <v>404</v>
      </c>
      <c r="E643" s="179">
        <f>'Du toan chi tiet'!E188</f>
        <v>1</v>
      </c>
      <c r="F643" s="179"/>
      <c r="G643" s="180"/>
    </row>
    <row r="644" spans="1:7" ht="15">
      <c r="A644" s="8" t="s">
        <v>0</v>
      </c>
      <c r="B644" s="9" t="s">
        <v>0</v>
      </c>
      <c r="C644" s="9" t="s">
        <v>393</v>
      </c>
      <c r="D644" s="9" t="s">
        <v>0</v>
      </c>
      <c r="E644" s="179"/>
      <c r="F644" s="179"/>
      <c r="G644" s="180"/>
    </row>
    <row r="645" spans="1:7" ht="15">
      <c r="A645" s="8" t="s">
        <v>0</v>
      </c>
      <c r="B645" s="9" t="s">
        <v>0</v>
      </c>
      <c r="C645" s="9" t="s">
        <v>405</v>
      </c>
      <c r="D645" s="9" t="s">
        <v>10</v>
      </c>
      <c r="E645" s="179"/>
      <c r="F645" s="179">
        <f>0.053</f>
        <v>0.053</v>
      </c>
      <c r="G645" s="180">
        <f>E643*F645</f>
        <v>0.053</v>
      </c>
    </row>
    <row r="646" spans="1:7" ht="15">
      <c r="A646" s="8" t="s">
        <v>0</v>
      </c>
      <c r="B646" s="9" t="s">
        <v>0</v>
      </c>
      <c r="C646" s="9" t="s">
        <v>0</v>
      </c>
      <c r="D646" s="9" t="s">
        <v>0</v>
      </c>
      <c r="E646" s="179"/>
      <c r="F646" s="179"/>
      <c r="G646" s="180"/>
    </row>
    <row r="647" spans="1:7" ht="15">
      <c r="A647" s="8" t="s">
        <v>417</v>
      </c>
      <c r="B647" s="9" t="s">
        <v>418</v>
      </c>
      <c r="C647" s="9" t="s">
        <v>419</v>
      </c>
      <c r="D647" s="9" t="s">
        <v>404</v>
      </c>
      <c r="E647" s="179">
        <f>'Du toan chi tiet'!E190</f>
        <v>1</v>
      </c>
      <c r="F647" s="179"/>
      <c r="G647" s="180"/>
    </row>
    <row r="648" spans="1:7" ht="15">
      <c r="A648" s="8" t="s">
        <v>0</v>
      </c>
      <c r="B648" s="9" t="s">
        <v>0</v>
      </c>
      <c r="C648" s="9" t="s">
        <v>386</v>
      </c>
      <c r="D648" s="9" t="s">
        <v>0</v>
      </c>
      <c r="E648" s="179"/>
      <c r="F648" s="179"/>
      <c r="G648" s="180"/>
    </row>
    <row r="649" spans="1:7" ht="15">
      <c r="A649" s="8" t="s">
        <v>0</v>
      </c>
      <c r="B649" s="9" t="s">
        <v>0</v>
      </c>
      <c r="C649" s="9" t="s">
        <v>405</v>
      </c>
      <c r="D649" s="9" t="s">
        <v>10</v>
      </c>
      <c r="E649" s="179"/>
      <c r="F649" s="179">
        <f>0.022</f>
        <v>0.022</v>
      </c>
      <c r="G649" s="180">
        <f>E647*F649</f>
        <v>0.022</v>
      </c>
    </row>
    <row r="650" spans="1:7" ht="15">
      <c r="A650" s="8" t="s">
        <v>0</v>
      </c>
      <c r="B650" s="9" t="s">
        <v>0</v>
      </c>
      <c r="C650" s="9" t="s">
        <v>0</v>
      </c>
      <c r="D650" s="9" t="s">
        <v>0</v>
      </c>
      <c r="E650" s="179"/>
      <c r="F650" s="179"/>
      <c r="G650" s="180"/>
    </row>
    <row r="651" spans="1:7" ht="15">
      <c r="A651" s="8" t="s">
        <v>420</v>
      </c>
      <c r="B651" s="9" t="s">
        <v>421</v>
      </c>
      <c r="C651" s="9" t="s">
        <v>419</v>
      </c>
      <c r="D651" s="9" t="s">
        <v>404</v>
      </c>
      <c r="E651" s="179">
        <f>'Du toan chi tiet'!E192</f>
        <v>1</v>
      </c>
      <c r="F651" s="179"/>
      <c r="G651" s="180"/>
    </row>
    <row r="652" spans="1:7" ht="15">
      <c r="A652" s="8" t="s">
        <v>0</v>
      </c>
      <c r="B652" s="9" t="s">
        <v>0</v>
      </c>
      <c r="C652" s="9" t="s">
        <v>390</v>
      </c>
      <c r="D652" s="9" t="s">
        <v>0</v>
      </c>
      <c r="E652" s="179"/>
      <c r="F652" s="179"/>
      <c r="G652" s="180"/>
    </row>
    <row r="653" spans="1:7" ht="15">
      <c r="A653" s="8" t="s">
        <v>0</v>
      </c>
      <c r="B653" s="9" t="s">
        <v>0</v>
      </c>
      <c r="C653" s="9" t="s">
        <v>405</v>
      </c>
      <c r="D653" s="9" t="s">
        <v>10</v>
      </c>
      <c r="E653" s="179"/>
      <c r="F653" s="179">
        <f>0.016</f>
        <v>0.016</v>
      </c>
      <c r="G653" s="180">
        <f>E651*F653</f>
        <v>0.016</v>
      </c>
    </row>
    <row r="654" spans="1:7" ht="15">
      <c r="A654" s="8" t="s">
        <v>0</v>
      </c>
      <c r="B654" s="9" t="s">
        <v>0</v>
      </c>
      <c r="C654" s="9" t="s">
        <v>0</v>
      </c>
      <c r="D654" s="9" t="s">
        <v>0</v>
      </c>
      <c r="E654" s="179"/>
      <c r="F654" s="179"/>
      <c r="G654" s="180"/>
    </row>
    <row r="655" spans="1:7" ht="15">
      <c r="A655" s="8" t="s">
        <v>422</v>
      </c>
      <c r="B655" s="9" t="s">
        <v>423</v>
      </c>
      <c r="C655" s="9" t="s">
        <v>419</v>
      </c>
      <c r="D655" s="9" t="s">
        <v>404</v>
      </c>
      <c r="E655" s="179">
        <f>'Du toan chi tiet'!E194</f>
        <v>1</v>
      </c>
      <c r="F655" s="179"/>
      <c r="G655" s="180"/>
    </row>
    <row r="656" spans="1:7" ht="15">
      <c r="A656" s="8" t="s">
        <v>0</v>
      </c>
      <c r="B656" s="9" t="s">
        <v>0</v>
      </c>
      <c r="C656" s="9" t="s">
        <v>393</v>
      </c>
      <c r="D656" s="9" t="s">
        <v>0</v>
      </c>
      <c r="E656" s="179"/>
      <c r="F656" s="179"/>
      <c r="G656" s="180"/>
    </row>
    <row r="657" spans="1:7" ht="15">
      <c r="A657" s="8" t="s">
        <v>0</v>
      </c>
      <c r="B657" s="9" t="s">
        <v>0</v>
      </c>
      <c r="C657" s="9" t="s">
        <v>405</v>
      </c>
      <c r="D657" s="9" t="s">
        <v>10</v>
      </c>
      <c r="E657" s="179"/>
      <c r="F657" s="179">
        <f>0.011</f>
        <v>0.011</v>
      </c>
      <c r="G657" s="180">
        <f>E655*F657</f>
        <v>0.011</v>
      </c>
    </row>
    <row r="658" spans="1:7" ht="15">
      <c r="A658" s="8" t="s">
        <v>0</v>
      </c>
      <c r="B658" s="9" t="s">
        <v>0</v>
      </c>
      <c r="C658" s="9" t="s">
        <v>0</v>
      </c>
      <c r="D658" s="9" t="s">
        <v>0</v>
      </c>
      <c r="E658" s="179"/>
      <c r="F658" s="179"/>
      <c r="G658" s="180"/>
    </row>
    <row r="659" spans="1:7" ht="15">
      <c r="A659" s="8" t="s">
        <v>424</v>
      </c>
      <c r="B659" s="9" t="s">
        <v>425</v>
      </c>
      <c r="C659" s="9" t="s">
        <v>426</v>
      </c>
      <c r="D659" s="9" t="s">
        <v>404</v>
      </c>
      <c r="E659" s="179">
        <f>'Du toan chi tiet'!E196</f>
        <v>1</v>
      </c>
      <c r="F659" s="179"/>
      <c r="G659" s="180"/>
    </row>
    <row r="660" spans="1:7" ht="15">
      <c r="A660" s="8" t="s">
        <v>0</v>
      </c>
      <c r="B660" s="9" t="s">
        <v>0</v>
      </c>
      <c r="C660" s="9" t="s">
        <v>386</v>
      </c>
      <c r="D660" s="9" t="s">
        <v>0</v>
      </c>
      <c r="E660" s="179"/>
      <c r="F660" s="179"/>
      <c r="G660" s="180"/>
    </row>
    <row r="661" spans="1:7" ht="15">
      <c r="A661" s="8" t="s">
        <v>0</v>
      </c>
      <c r="B661" s="9" t="s">
        <v>0</v>
      </c>
      <c r="C661" s="9" t="s">
        <v>405</v>
      </c>
      <c r="D661" s="9" t="s">
        <v>10</v>
      </c>
      <c r="E661" s="179"/>
      <c r="F661" s="179">
        <f>0.024</f>
        <v>0.024</v>
      </c>
      <c r="G661" s="180">
        <f>E659*F661</f>
        <v>0.024</v>
      </c>
    </row>
    <row r="662" spans="1:7" ht="15">
      <c r="A662" s="8" t="s">
        <v>0</v>
      </c>
      <c r="B662" s="9" t="s">
        <v>0</v>
      </c>
      <c r="C662" s="9" t="s">
        <v>0</v>
      </c>
      <c r="D662" s="9" t="s">
        <v>0</v>
      </c>
      <c r="E662" s="179"/>
      <c r="F662" s="179"/>
      <c r="G662" s="180"/>
    </row>
    <row r="663" spans="1:7" ht="15">
      <c r="A663" s="8" t="s">
        <v>427</v>
      </c>
      <c r="B663" s="9" t="s">
        <v>428</v>
      </c>
      <c r="C663" s="9" t="s">
        <v>426</v>
      </c>
      <c r="D663" s="9" t="s">
        <v>404</v>
      </c>
      <c r="E663" s="179">
        <f>'Du toan chi tiet'!E198</f>
        <v>1</v>
      </c>
      <c r="F663" s="179"/>
      <c r="G663" s="180"/>
    </row>
    <row r="664" spans="1:7" ht="15">
      <c r="A664" s="8" t="s">
        <v>0</v>
      </c>
      <c r="B664" s="9" t="s">
        <v>0</v>
      </c>
      <c r="C664" s="9" t="s">
        <v>390</v>
      </c>
      <c r="D664" s="9" t="s">
        <v>0</v>
      </c>
      <c r="E664" s="179"/>
      <c r="F664" s="179"/>
      <c r="G664" s="180"/>
    </row>
    <row r="665" spans="1:7" ht="15">
      <c r="A665" s="8" t="s">
        <v>0</v>
      </c>
      <c r="B665" s="9" t="s">
        <v>0</v>
      </c>
      <c r="C665" s="9" t="s">
        <v>405</v>
      </c>
      <c r="D665" s="9" t="s">
        <v>10</v>
      </c>
      <c r="E665" s="179"/>
      <c r="F665" s="179">
        <f>0.018</f>
        <v>0.018</v>
      </c>
      <c r="G665" s="180">
        <f>E663*F665</f>
        <v>0.018</v>
      </c>
    </row>
    <row r="666" spans="1:7" ht="15">
      <c r="A666" s="8" t="s">
        <v>0</v>
      </c>
      <c r="B666" s="9" t="s">
        <v>0</v>
      </c>
      <c r="C666" s="9" t="s">
        <v>0</v>
      </c>
      <c r="D666" s="9" t="s">
        <v>0</v>
      </c>
      <c r="E666" s="179"/>
      <c r="F666" s="179"/>
      <c r="G666" s="180"/>
    </row>
    <row r="667" spans="1:7" ht="15">
      <c r="A667" s="8" t="s">
        <v>429</v>
      </c>
      <c r="B667" s="9" t="s">
        <v>430</v>
      </c>
      <c r="C667" s="9" t="s">
        <v>426</v>
      </c>
      <c r="D667" s="9" t="s">
        <v>404</v>
      </c>
      <c r="E667" s="179">
        <f>'Du toan chi tiet'!E200</f>
        <v>1</v>
      </c>
      <c r="F667" s="179"/>
      <c r="G667" s="180"/>
    </row>
    <row r="668" spans="1:7" ht="15">
      <c r="A668" s="8" t="s">
        <v>0</v>
      </c>
      <c r="B668" s="9" t="s">
        <v>0</v>
      </c>
      <c r="C668" s="9" t="s">
        <v>405</v>
      </c>
      <c r="D668" s="9" t="s">
        <v>10</v>
      </c>
      <c r="E668" s="179"/>
      <c r="F668" s="179">
        <f>0.011</f>
        <v>0.011</v>
      </c>
      <c r="G668" s="180">
        <f>E667*F668</f>
        <v>0.011</v>
      </c>
    </row>
    <row r="669" spans="1:7" ht="15">
      <c r="A669" s="8" t="s">
        <v>0</v>
      </c>
      <c r="B669" s="9" t="s">
        <v>0</v>
      </c>
      <c r="C669" s="9" t="s">
        <v>0</v>
      </c>
      <c r="D669" s="9" t="s">
        <v>0</v>
      </c>
      <c r="E669" s="179"/>
      <c r="F669" s="179"/>
      <c r="G669" s="180"/>
    </row>
    <row r="670" spans="1:7" ht="15">
      <c r="A670" s="8" t="s">
        <v>0</v>
      </c>
      <c r="B670" s="9" t="s">
        <v>0</v>
      </c>
      <c r="C670" s="9" t="s">
        <v>0</v>
      </c>
      <c r="D670" s="9" t="s">
        <v>0</v>
      </c>
      <c r="E670" s="179"/>
      <c r="F670" s="179"/>
      <c r="G670" s="180"/>
    </row>
    <row r="671" spans="1:7" ht="15">
      <c r="A671" s="8" t="s">
        <v>0</v>
      </c>
      <c r="B671" s="9" t="s">
        <v>0</v>
      </c>
      <c r="C671" s="9" t="s">
        <v>0</v>
      </c>
      <c r="D671" s="9" t="s">
        <v>0</v>
      </c>
      <c r="E671" s="179"/>
      <c r="F671" s="179"/>
      <c r="G671" s="180"/>
    </row>
    <row r="672" spans="1:7" ht="15">
      <c r="A672" s="8" t="s">
        <v>0</v>
      </c>
      <c r="B672" s="9" t="s">
        <v>0</v>
      </c>
      <c r="C672" s="9" t="s">
        <v>0</v>
      </c>
      <c r="D672" s="9" t="s">
        <v>0</v>
      </c>
      <c r="E672" s="179"/>
      <c r="F672" s="179"/>
      <c r="G672" s="180"/>
    </row>
    <row r="673" spans="1:7" ht="15">
      <c r="A673" s="8" t="s">
        <v>0</v>
      </c>
      <c r="B673" s="9" t="s">
        <v>0</v>
      </c>
      <c r="C673" s="9" t="s">
        <v>0</v>
      </c>
      <c r="D673" s="9" t="s">
        <v>0</v>
      </c>
      <c r="E673" s="179"/>
      <c r="F673" s="179"/>
      <c r="G673" s="180"/>
    </row>
    <row r="674" spans="1:7" ht="15">
      <c r="A674" s="8" t="s">
        <v>0</v>
      </c>
      <c r="B674" s="9" t="s">
        <v>0</v>
      </c>
      <c r="C674" s="9" t="s">
        <v>0</v>
      </c>
      <c r="D674" s="9" t="s">
        <v>0</v>
      </c>
      <c r="E674" s="179"/>
      <c r="F674" s="179"/>
      <c r="G674" s="180"/>
    </row>
    <row r="675" spans="1:7" ht="15">
      <c r="A675" s="8" t="s">
        <v>0</v>
      </c>
      <c r="B675" s="9" t="s">
        <v>0</v>
      </c>
      <c r="C675" s="9" t="s">
        <v>0</v>
      </c>
      <c r="D675" s="9" t="s">
        <v>0</v>
      </c>
      <c r="E675" s="179"/>
      <c r="F675" s="179"/>
      <c r="G675" s="180"/>
    </row>
    <row r="676" spans="1:7" ht="15">
      <c r="A676" s="8" t="s">
        <v>0</v>
      </c>
      <c r="B676" s="9" t="s">
        <v>0</v>
      </c>
      <c r="C676" s="9" t="s">
        <v>0</v>
      </c>
      <c r="D676" s="9" t="s">
        <v>0</v>
      </c>
      <c r="E676" s="179"/>
      <c r="F676" s="179"/>
      <c r="G676" s="180"/>
    </row>
    <row r="677" spans="1:7" ht="15">
      <c r="A677" s="8" t="s">
        <v>0</v>
      </c>
      <c r="B677" s="9" t="s">
        <v>0</v>
      </c>
      <c r="C677" s="9" t="s">
        <v>0</v>
      </c>
      <c r="D677" s="9" t="s">
        <v>0</v>
      </c>
      <c r="E677" s="179"/>
      <c r="F677" s="179"/>
      <c r="G677" s="180"/>
    </row>
    <row r="678" spans="1:7" ht="15">
      <c r="A678" s="8" t="s">
        <v>0</v>
      </c>
      <c r="B678" s="9" t="s">
        <v>0</v>
      </c>
      <c r="C678" s="9" t="s">
        <v>0</v>
      </c>
      <c r="D678" s="9" t="s">
        <v>0</v>
      </c>
      <c r="E678" s="179"/>
      <c r="F678" s="179"/>
      <c r="G678" s="180"/>
    </row>
    <row r="679" spans="1:7" ht="15">
      <c r="A679" s="8" t="s">
        <v>0</v>
      </c>
      <c r="B679" s="9" t="s">
        <v>0</v>
      </c>
      <c r="C679" s="9" t="s">
        <v>0</v>
      </c>
      <c r="D679" s="9" t="s">
        <v>0</v>
      </c>
      <c r="E679" s="179"/>
      <c r="F679" s="179"/>
      <c r="G679" s="180"/>
    </row>
    <row r="680" spans="1:7" ht="15">
      <c r="A680" s="8" t="s">
        <v>0</v>
      </c>
      <c r="B680" s="9" t="s">
        <v>0</v>
      </c>
      <c r="C680" s="9" t="s">
        <v>0</v>
      </c>
      <c r="D680" s="9" t="s">
        <v>0</v>
      </c>
      <c r="E680" s="179"/>
      <c r="F680" s="179"/>
      <c r="G680" s="180"/>
    </row>
    <row r="681" spans="1:7" ht="15">
      <c r="A681" s="8" t="s">
        <v>0</v>
      </c>
      <c r="B681" s="9" t="s">
        <v>0</v>
      </c>
      <c r="C681" s="9" t="s">
        <v>0</v>
      </c>
      <c r="D681" s="9" t="s">
        <v>0</v>
      </c>
      <c r="E681" s="179"/>
      <c r="F681" s="179"/>
      <c r="G681" s="180"/>
    </row>
    <row r="682" spans="1:7" ht="15">
      <c r="A682" s="8" t="s">
        <v>0</v>
      </c>
      <c r="B682" s="9" t="s">
        <v>0</v>
      </c>
      <c r="C682" s="9" t="s">
        <v>0</v>
      </c>
      <c r="D682" s="9" t="s">
        <v>0</v>
      </c>
      <c r="E682" s="179"/>
      <c r="F682" s="179"/>
      <c r="G682" s="180"/>
    </row>
    <row r="683" spans="1:7" ht="15">
      <c r="A683" s="8" t="s">
        <v>0</v>
      </c>
      <c r="B683" s="9" t="s">
        <v>0</v>
      </c>
      <c r="C683" s="9" t="s">
        <v>0</v>
      </c>
      <c r="D683" s="9" t="s">
        <v>0</v>
      </c>
      <c r="E683" s="179"/>
      <c r="F683" s="179"/>
      <c r="G683" s="180"/>
    </row>
    <row r="684" spans="1:7" ht="15">
      <c r="A684" s="8" t="s">
        <v>0</v>
      </c>
      <c r="B684" s="9" t="s">
        <v>0</v>
      </c>
      <c r="C684" s="9" t="s">
        <v>0</v>
      </c>
      <c r="D684" s="9" t="s">
        <v>0</v>
      </c>
      <c r="E684" s="179"/>
      <c r="F684" s="179"/>
      <c r="G684" s="180"/>
    </row>
    <row r="685" spans="1:7" ht="15">
      <c r="A685" s="8" t="s">
        <v>0</v>
      </c>
      <c r="B685" s="9" t="s">
        <v>0</v>
      </c>
      <c r="C685" s="9" t="s">
        <v>0</v>
      </c>
      <c r="D685" s="9" t="s">
        <v>0</v>
      </c>
      <c r="E685" s="179"/>
      <c r="F685" s="179"/>
      <c r="G685" s="180"/>
    </row>
    <row r="686" spans="1:7" ht="15">
      <c r="A686" s="8" t="s">
        <v>0</v>
      </c>
      <c r="B686" s="9" t="s">
        <v>0</v>
      </c>
      <c r="C686" s="9" t="s">
        <v>0</v>
      </c>
      <c r="D686" s="9" t="s">
        <v>0</v>
      </c>
      <c r="E686" s="179"/>
      <c r="F686" s="179"/>
      <c r="G686" s="180"/>
    </row>
    <row r="687" spans="1:7" ht="15">
      <c r="A687" s="8" t="s">
        <v>0</v>
      </c>
      <c r="B687" s="9" t="s">
        <v>0</v>
      </c>
      <c r="C687" s="9" t="s">
        <v>0</v>
      </c>
      <c r="D687" s="9" t="s">
        <v>0</v>
      </c>
      <c r="E687" s="179"/>
      <c r="F687" s="179"/>
      <c r="G687" s="180"/>
    </row>
    <row r="688" spans="1:7" ht="15.75" thickBot="1">
      <c r="A688" s="12" t="s">
        <v>0</v>
      </c>
      <c r="B688" s="13" t="s">
        <v>0</v>
      </c>
      <c r="C688" s="13" t="s">
        <v>0</v>
      </c>
      <c r="D688" s="13" t="s">
        <v>0</v>
      </c>
      <c r="E688" s="181"/>
      <c r="F688" s="181"/>
      <c r="G688" s="182"/>
    </row>
  </sheetData>
  <sheetProtection/>
  <mergeCells count="4">
    <mergeCell ref="A1:G1"/>
    <mergeCell ref="A3:G3"/>
    <mergeCell ref="A4:G4"/>
    <mergeCell ref="A5:G5"/>
  </mergeCells>
  <printOptions horizontalCentered="1"/>
  <pageMargins left="0.75" right="0.5" top="0.75" bottom="0.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SAO VIET HUE</cp:lastModifiedBy>
  <cp:lastPrinted>2023-04-21T08:14:28Z</cp:lastPrinted>
  <dcterms:created xsi:type="dcterms:W3CDTF">2023-04-05T09:14:22Z</dcterms:created>
  <dcterms:modified xsi:type="dcterms:W3CDTF">2023-04-21T08:15:50Z</dcterms:modified>
  <cp:category/>
  <cp:version/>
  <cp:contentType/>
  <cp:contentStatus/>
</cp:coreProperties>
</file>