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185" windowHeight="7275" activeTab="0"/>
  </bookViews>
  <sheets>
    <sheet name="Tong du toan" sheetId="1" r:id="rId1"/>
    <sheet name="CP Xay lap" sheetId="2" r:id="rId2"/>
    <sheet name="Du toan chi tiet" sheetId="3" r:id="rId3"/>
    <sheet name="Phan tich don gia" sheetId="4" r:id="rId4"/>
    <sheet name="Gia NC,CM" sheetId="5" r:id="rId5"/>
    <sheet name="Gia VL" sheetId="6" r:id="rId6"/>
    <sheet name="KL,Tien luong" sheetId="7" r:id="rId7"/>
    <sheet name="Tong hop KL VL,NC,M" sheetId="8" r:id="rId8"/>
    <sheet name="Phan tich KL VL,NC,M" sheetId="9" r:id="rId9"/>
  </sheets>
  <definedNames>
    <definedName name="_xlnm.Print_Titles" localSheetId="1">'CP Xay lap'!$7:$7</definedName>
    <definedName name="_xlnm.Print_Titles" localSheetId="2">'Du toan chi tiet'!$6:$7</definedName>
    <definedName name="_xlnm.Print_Titles" localSheetId="4">'Gia NC,CM'!$7:$7</definedName>
    <definedName name="_xlnm.Print_Titles" localSheetId="5">'Gia VL'!$7:$7</definedName>
    <definedName name="_xlnm.Print_Titles" localSheetId="6">'KL,Tien luong'!$7:$7</definedName>
    <definedName name="_xlnm.Print_Titles" localSheetId="3">'Phan tich don gia'!$7:$7</definedName>
    <definedName name="_xlnm.Print_Titles" localSheetId="8">'Phan tich KL VL,NC,M'!$7:$7</definedName>
    <definedName name="_xlnm.Print_Titles" localSheetId="0">'Tong du toan'!$11:$11</definedName>
    <definedName name="_xlnm.Print_Titles" localSheetId="7">'Tong hop KL VL,NC,M'!$7:$7</definedName>
  </definedNames>
  <calcPr fullCalcOnLoad="1"/>
</workbook>
</file>

<file path=xl/sharedStrings.xml><?xml version="1.0" encoding="utf-8"?>
<sst xmlns="http://schemas.openxmlformats.org/spreadsheetml/2006/main" count="5540" uniqueCount="662">
  <si>
    <t/>
  </si>
  <si>
    <t>*\1- H¹ng môc: Nhµ bÕp</t>
  </si>
  <si>
    <t>1</t>
  </si>
  <si>
    <t>AB.11443</t>
  </si>
  <si>
    <t>§µo mãng cét, hè kiÓm tra réng &gt;1m</t>
  </si>
  <si>
    <t>1 m3</t>
  </si>
  <si>
    <t>ChiÒu s©u &gt;1m , §Êt cÊp III</t>
  </si>
  <si>
    <t xml:space="preserve">   - Nh©n c«ng bËc 3.0/7N1</t>
  </si>
  <si>
    <t>C«ng</t>
  </si>
  <si>
    <t>2</t>
  </si>
  <si>
    <t>AF.82521</t>
  </si>
  <si>
    <t>V¸n khu«n bª t«ng lãt mãng cét</t>
  </si>
  <si>
    <t>1 m2</t>
  </si>
  <si>
    <t>V¸n khu«n thÐp</t>
  </si>
  <si>
    <t xml:space="preserve">   - ThÐp tÊm</t>
  </si>
  <si>
    <t>Kg</t>
  </si>
  <si>
    <t xml:space="preserve">   - ThÐp h×nh</t>
  </si>
  <si>
    <t xml:space="preserve">   - Que hµn</t>
  </si>
  <si>
    <t xml:space="preserve">   - Nh©n c«ng bËc 4.0/7N2</t>
  </si>
  <si>
    <t xml:space="preserve">   - M¸y hµn 23KW</t>
  </si>
  <si>
    <t>Ca</t>
  </si>
  <si>
    <t>3</t>
  </si>
  <si>
    <t>AF.11111</t>
  </si>
  <si>
    <t>Bª t«ng ®¸ d¨m lãt mãng, R&lt;=250cm</t>
  </si>
  <si>
    <t>V÷a bª t«ng ®¸ 4x6 M100</t>
  </si>
  <si>
    <t xml:space="preserve">   - Xi m¨ng PCB30 (§ång L©m)</t>
  </si>
  <si>
    <t xml:space="preserve">   - C¸t vµng</t>
  </si>
  <si>
    <t>m3</t>
  </si>
  <si>
    <t xml:space="preserve">   - §¸ d¨m 4x6</t>
  </si>
  <si>
    <t xml:space="preserve">   - N­íc</t>
  </si>
  <si>
    <t xml:space="preserve">   - Nh©n c«ng bËc 3.0/7N2</t>
  </si>
  <si>
    <t xml:space="preserve">   - M¸y trén BT 250 l</t>
  </si>
  <si>
    <t xml:space="preserve">   - M¸y ®Çm bµn 1KW</t>
  </si>
  <si>
    <t>4</t>
  </si>
  <si>
    <t>AF.61110</t>
  </si>
  <si>
    <t>Gia c«ng cèt thÐp mãng</t>
  </si>
  <si>
    <t>TÊn</t>
  </si>
  <si>
    <t>§­êng kÝnh cèt thÐp d&lt;=10mm</t>
  </si>
  <si>
    <t xml:space="preserve">   - ThÐp trßn d&lt;=10mm (thÐp VAS)</t>
  </si>
  <si>
    <t xml:space="preserve">   - D©y thÐp</t>
  </si>
  <si>
    <t xml:space="preserve">   - Nh©n c«ng bËc 3.5/7N2</t>
  </si>
  <si>
    <t xml:space="preserve">   - M¸y c¾t uèn cèt thÐp 5KW</t>
  </si>
  <si>
    <t>5</t>
  </si>
  <si>
    <t>AF.61120</t>
  </si>
  <si>
    <t>§­êng kÝnh cèt thÐp d&lt;=18mm</t>
  </si>
  <si>
    <t xml:space="preserve">   - ThÐp trßn d&lt;=18mm (thÐp VAS)</t>
  </si>
  <si>
    <t>6</t>
  </si>
  <si>
    <t>V¸n khu«n mãng cét</t>
  </si>
  <si>
    <t>7</t>
  </si>
  <si>
    <t>AF.11213</t>
  </si>
  <si>
    <t>Bª t«ng mãng chiÒu réng R&lt;=250cm</t>
  </si>
  <si>
    <t>V÷a bª t«ng ®¸ 1x2 M250</t>
  </si>
  <si>
    <t xml:space="preserve">   - Xi m¨ng PCB40 (§ång L©m)</t>
  </si>
  <si>
    <t xml:space="preserve">   - §¸ d¨m 1x2</t>
  </si>
  <si>
    <t xml:space="preserve">   - M¸y ®Çm dïi 1.5KW</t>
  </si>
  <si>
    <t>8</t>
  </si>
  <si>
    <t>AE.822813</t>
  </si>
  <si>
    <t>X©y t­êng th¼ng b»ng g¹ch KN (9.5x6x20)cm</t>
  </si>
  <si>
    <t>Dµy 9.5cm, cao &lt;= 6m,v÷a XM M75</t>
  </si>
  <si>
    <t xml:space="preserve">   - G¹ch kh«ng nung 9.5x6x20cm (Long Thä)</t>
  </si>
  <si>
    <t>Viªn</t>
  </si>
  <si>
    <t xml:space="preserve">   - C¸t mÞn</t>
  </si>
  <si>
    <t xml:space="preserve">   - M¸y trén v÷a 150l</t>
  </si>
  <si>
    <t>9</t>
  </si>
  <si>
    <t>AF.12312</t>
  </si>
  <si>
    <t>Bª t«ng xµ, dÇm, gi»ng nhµ</t>
  </si>
  <si>
    <t>ChiÒu cao &lt;=6m.V÷a BT ®¸ 1x2 M200</t>
  </si>
  <si>
    <t>10</t>
  </si>
  <si>
    <t>AF.81141</t>
  </si>
  <si>
    <t>V¸n khu«n xµ dÇm, gi»ng</t>
  </si>
  <si>
    <t xml:space="preserve">   - Gç v¸n</t>
  </si>
  <si>
    <t xml:space="preserve">   - Gç ®µ nÑp</t>
  </si>
  <si>
    <t xml:space="preserve">   - Gç chèng</t>
  </si>
  <si>
    <t xml:space="preserve">   - §inh</t>
  </si>
  <si>
    <t>11</t>
  </si>
  <si>
    <t>AF.61511</t>
  </si>
  <si>
    <t>Gia c«ng cèt thÐp xµ, dÇm, gi»ng</t>
  </si>
  <si>
    <t>§/kÝnh cèt thÐp d&lt;=10 mm,cao&lt;=6m</t>
  </si>
  <si>
    <t>12</t>
  </si>
  <si>
    <t>AF.61521</t>
  </si>
  <si>
    <t>§/kÝnh cèt thÐp d&lt;=18 mm,cao&lt;=6m</t>
  </si>
  <si>
    <t>13</t>
  </si>
  <si>
    <t>AF.86361</t>
  </si>
  <si>
    <t>V¸n khu«n thÐp, khung x­¬ng thÐp ...</t>
  </si>
  <si>
    <t>V¸n khu«n cét vu«ng, ch÷ nhËt, cao&lt;=28m</t>
  </si>
  <si>
    <t xml:space="preserve">   - C©y chèng thÐp èng</t>
  </si>
  <si>
    <t>14</t>
  </si>
  <si>
    <t>AF.61411</t>
  </si>
  <si>
    <t>Gia c«ng cèt thÐp cét, trô</t>
  </si>
  <si>
    <t>15</t>
  </si>
  <si>
    <t>AF.61421</t>
  </si>
  <si>
    <t>16</t>
  </si>
  <si>
    <t>AF.12223</t>
  </si>
  <si>
    <t>Bª t«ng cét cã tiÕt diÖn &lt;= 0.1 m2</t>
  </si>
  <si>
    <t>Cao &lt;= 28m,v÷a bª t«ng ®¸ 1x2 M250</t>
  </si>
  <si>
    <t>17</t>
  </si>
  <si>
    <t>AB.65120</t>
  </si>
  <si>
    <t>§¾p ®Êt c«ng tr×nh = ®Çm ®Êt cÇm tay 70kg</t>
  </si>
  <si>
    <t>§é chÆt yªu cÇu K=0.90 (tËn dông)</t>
  </si>
  <si>
    <t xml:space="preserve">   - M¸y ®Çm ®Êt cÇm tay 70kg</t>
  </si>
  <si>
    <t>18</t>
  </si>
  <si>
    <t>AB.66142</t>
  </si>
  <si>
    <t>§¾p bét ®¸ c«ng tr×nh = m¸y ®Çm ®Êt 70kg</t>
  </si>
  <si>
    <t>§é chÆt yªu cÇu K=0.90</t>
  </si>
  <si>
    <t xml:space="preserve">   - Bét ®¸</t>
  </si>
  <si>
    <t>19</t>
  </si>
  <si>
    <t>AF.12512</t>
  </si>
  <si>
    <t>Bª t«ng lanh t«</t>
  </si>
  <si>
    <t>V÷a bª t«ng ®¸ 1x2 M200</t>
  </si>
  <si>
    <t>20</t>
  </si>
  <si>
    <t>AF.61611</t>
  </si>
  <si>
    <t>Gia c«ng cèt thÐp lanh t« liÒn m¸i h¾t...</t>
  </si>
  <si>
    <t>21</t>
  </si>
  <si>
    <t>AF.81152</t>
  </si>
  <si>
    <t>V¸n khu«n lanh t«</t>
  </si>
  <si>
    <t>22</t>
  </si>
  <si>
    <t>AF.11311</t>
  </si>
  <si>
    <t>Bª t«ng nÒn</t>
  </si>
  <si>
    <t>V÷a bª t«ng ®¸ 1x2 M150</t>
  </si>
  <si>
    <t>23</t>
  </si>
  <si>
    <t>AI.11121</t>
  </si>
  <si>
    <t>Gia c«ng v× kÌo thÐp h×nh khÈu ®é nhá</t>
  </si>
  <si>
    <t>KhÈu ®é &lt;=9m</t>
  </si>
  <si>
    <t xml:space="preserve">   - ¤ xy</t>
  </si>
  <si>
    <t>Chai</t>
  </si>
  <si>
    <t xml:space="preserve">   - KhÝ gas</t>
  </si>
  <si>
    <t xml:space="preserve">   - M¸y khoan 4.5KW</t>
  </si>
  <si>
    <t xml:space="preserve">   - CÇn cÈu b¸nh xÝch 10T</t>
  </si>
  <si>
    <t>24</t>
  </si>
  <si>
    <t>AK.83520</t>
  </si>
  <si>
    <t>S¬n s¾t thÐp b»ng s¬n c¸c lo¹i</t>
  </si>
  <si>
    <t>1m2</t>
  </si>
  <si>
    <t>1 n­íc lãt, 2 n­íc phñ</t>
  </si>
  <si>
    <t xml:space="preserve">   - S¬n lãt Tilac Red - S¬n Nippon</t>
  </si>
  <si>
    <t xml:space="preserve">   - S¬n phñ chèng rØ Super Primer - Jonton</t>
  </si>
  <si>
    <t>25</t>
  </si>
  <si>
    <t>AI.61131</t>
  </si>
  <si>
    <t>L¾p dùng xµ gå thÐp hép m¹ kÏm</t>
  </si>
  <si>
    <t xml:space="preserve">   - Bu l«ng</t>
  </si>
  <si>
    <t>C¸i</t>
  </si>
  <si>
    <t>26</t>
  </si>
  <si>
    <t>AK.12222</t>
  </si>
  <si>
    <t>Lîp m¸i t«n sãng vu«ng</t>
  </si>
  <si>
    <t>dµy 0.45mm, ke chèng b·o</t>
  </si>
  <si>
    <t xml:space="preserve">   - T«n sãng vu«ng dµy 0.45mm</t>
  </si>
  <si>
    <t>m2</t>
  </si>
  <si>
    <t xml:space="preserve">   - Kª chèng b·o</t>
  </si>
  <si>
    <t xml:space="preserve">   - §inh vÝt</t>
  </si>
  <si>
    <t>27</t>
  </si>
  <si>
    <t>AK.12221</t>
  </si>
  <si>
    <t>Lîp m¸i che</t>
  </si>
  <si>
    <t>T«n ph¼ng dµy 0.50mm</t>
  </si>
  <si>
    <t xml:space="preserve">   - T«n ph¼ng dµy 0.50mm</t>
  </si>
  <si>
    <t>28</t>
  </si>
  <si>
    <t>AK.51284</t>
  </si>
  <si>
    <t>L¸t nÒn, sµn</t>
  </si>
  <si>
    <t>G¹ch Granite 60x60cm, XM c¸t mÞn M75</t>
  </si>
  <si>
    <t xml:space="preserve">   - G¹ch Granite 60x60cm (§.T©m Pocelain mµi bãng)</t>
  </si>
  <si>
    <t xml:space="preserve">   - C¸t mÞn Ml=1.5-2.0</t>
  </si>
  <si>
    <t xml:space="preserve">   - Xi m¨ng tr¾ng</t>
  </si>
  <si>
    <t xml:space="preserve">   - M¸y c¾t g¹ch 1.7KW</t>
  </si>
  <si>
    <t>29</t>
  </si>
  <si>
    <t>AK.31130</t>
  </si>
  <si>
    <t>¤p t­êng, trô, cét</t>
  </si>
  <si>
    <t>G¹ch Granite 30x60cm, XM c¸t mÞn M75</t>
  </si>
  <si>
    <t xml:space="preserve">   - G¹ch èp t­êng 30x60 (§ång T©m-Pocelain men mê)</t>
  </si>
  <si>
    <t>30</t>
  </si>
  <si>
    <t>AL.61110</t>
  </si>
  <si>
    <t>L¾p dùng dµn gi¸o thÐp ngoµi</t>
  </si>
  <si>
    <t>100 m2</t>
  </si>
  <si>
    <t>ChiÒu cao &lt;=16m</t>
  </si>
  <si>
    <t xml:space="preserve">   - Gi¸o thÐp</t>
  </si>
  <si>
    <t xml:space="preserve">   - ThÐp trßn d&lt;=18 (thÐp VAS)</t>
  </si>
  <si>
    <t>31</t>
  </si>
  <si>
    <t>AK.84224</t>
  </si>
  <si>
    <t>S¬n t­êng ngoµi nhµ kh«ng b¶</t>
  </si>
  <si>
    <t>1 n­íc lãt,2 n­íc phñ</t>
  </si>
  <si>
    <t xml:space="preserve">   - S¬n lãt chèng kiÒm ngo¹i thÊt Pros</t>
  </si>
  <si>
    <t>LÝt</t>
  </si>
  <si>
    <t xml:space="preserve">   - S¬n phñ ngo¹i thÊt Jony H</t>
  </si>
  <si>
    <t>32</t>
  </si>
  <si>
    <t>SB.61123</t>
  </si>
  <si>
    <t>Tr¸t t­êng ngoµi dµy 1.5cm</t>
  </si>
  <si>
    <t>V÷a XM M75</t>
  </si>
  <si>
    <t>33</t>
  </si>
  <si>
    <t>SB.61223</t>
  </si>
  <si>
    <t>Tr¸t t­êng trong dµy 1.5cm</t>
  </si>
  <si>
    <t>34</t>
  </si>
  <si>
    <t>CD2C</t>
  </si>
  <si>
    <t>SXLD cöa  ®i 2 c¸nh më quay</t>
  </si>
  <si>
    <t>uPVC, kÝnh an toµn 6.38mm</t>
  </si>
  <si>
    <t xml:space="preserve">   - Cöa ®i uPVC 2 c¸nh më quay, kÝnh 6,38mm</t>
  </si>
  <si>
    <t>35</t>
  </si>
  <si>
    <t>PKCD2C</t>
  </si>
  <si>
    <t>SXLD phô kiÖn cöa ®i 2 c¸nh më quay</t>
  </si>
  <si>
    <t>Bé</t>
  </si>
  <si>
    <t xml:space="preserve">   - Phô kiÖn cöa ®i uPVC 2 c¸nh më quay</t>
  </si>
  <si>
    <t>36</t>
  </si>
  <si>
    <t>CD1C</t>
  </si>
  <si>
    <t>SXLD cöa  ®i 1 c¸nh më quay</t>
  </si>
  <si>
    <t xml:space="preserve">   - Cöa ®i uPVC 1 c¸nh më quay, kÝnh 6,38mm</t>
  </si>
  <si>
    <t>37</t>
  </si>
  <si>
    <t>PK.CD1C</t>
  </si>
  <si>
    <t>SXLD phô kiÖn cöa ®i 1 c¸nh më quay</t>
  </si>
  <si>
    <t xml:space="preserve">   - Phô kiÖn cöa ®i uPVC 1 c¸nh më quay</t>
  </si>
  <si>
    <t>38</t>
  </si>
  <si>
    <t>BA.13320</t>
  </si>
  <si>
    <t>L¾p ®Æt ®Ìn èng L=1.2m</t>
  </si>
  <si>
    <t>1 Bé</t>
  </si>
  <si>
    <t>Lo¹i hép ®Ìn 2 bãng 2x18W</t>
  </si>
  <si>
    <t xml:space="preserve">   - §Ìn èng dµi 1.2m bãng led 2x18W</t>
  </si>
  <si>
    <t>39</t>
  </si>
  <si>
    <t>BA.17102</t>
  </si>
  <si>
    <t>L¾p ®Æt c«ng t¾c</t>
  </si>
  <si>
    <t>Lo¹i c«ng t¾c 2 h¹t</t>
  </si>
  <si>
    <t xml:space="preserve">   - C«ng t¾c 1 chiÒu 10A (Sino -S30/1/2M)</t>
  </si>
  <si>
    <t xml:space="preserve">   - Hép ch«n</t>
  </si>
  <si>
    <t xml:space="preserve">   - MÆt che c«ng t¾c 2 chiÒu</t>
  </si>
  <si>
    <t>40</t>
  </si>
  <si>
    <t>BA.16103</t>
  </si>
  <si>
    <t>L¾p ®Æt d©y ®¬n</t>
  </si>
  <si>
    <t>1m</t>
  </si>
  <si>
    <t>Lo¹i d©y CV 1x1.5mm2</t>
  </si>
  <si>
    <t xml:space="preserve">   - D©y dÉn ®iÖn CV 1x1.5mm2</t>
  </si>
  <si>
    <t>m</t>
  </si>
  <si>
    <t>41</t>
  </si>
  <si>
    <t>BA.14302</t>
  </si>
  <si>
    <t>L§ èng nhùa ®Æt næi b¶o hé d©y dÉn</t>
  </si>
  <si>
    <t>1 m</t>
  </si>
  <si>
    <t>§­êng kÝnh èng D20mm</t>
  </si>
  <si>
    <t xml:space="preserve">   - èng nhùa b¶o hé D20mm</t>
  </si>
  <si>
    <t xml:space="preserve">   - M¸y khoan bª t«ng cÇm tay 0.62KW</t>
  </si>
  <si>
    <t>*\2- H¹ng môc: VËn chuyÓn</t>
  </si>
  <si>
    <t>42</t>
  </si>
  <si>
    <t>AM.11212</t>
  </si>
  <si>
    <t>Bèc xÕp vËt liÖu kh¸c b»ng thñ c«ng</t>
  </si>
  <si>
    <t>1000v</t>
  </si>
  <si>
    <t>Bèc xuèng - G¹ch x©y c¸c lo¹i</t>
  </si>
  <si>
    <t>43</t>
  </si>
  <si>
    <t>AM.11252</t>
  </si>
  <si>
    <t>Bèc xuèng - Gç c¸c lo¹i</t>
  </si>
  <si>
    <t>44</t>
  </si>
  <si>
    <t>AM.11282</t>
  </si>
  <si>
    <t>1TÊn</t>
  </si>
  <si>
    <t>Bèc xuèng - ThÐp c¸c lo¹i</t>
  </si>
  <si>
    <t>45</t>
  </si>
  <si>
    <t>AM.23111</t>
  </si>
  <si>
    <t>VËn chuyÓn c¸t x©y dùng = « t« tù ®æ 7T</t>
  </si>
  <si>
    <t>10m3/km</t>
  </si>
  <si>
    <t>Trong ph¹m vi &lt;=1km</t>
  </si>
  <si>
    <t xml:space="preserve">   - ¤ t« tù ®æ 7T</t>
  </si>
  <si>
    <t>46</t>
  </si>
  <si>
    <t>AM.23112</t>
  </si>
  <si>
    <t>Trong ph¹m vi &lt;=10km</t>
  </si>
  <si>
    <t>47</t>
  </si>
  <si>
    <t>AM.23113</t>
  </si>
  <si>
    <t>Trong ph¹m vi &lt;=60km</t>
  </si>
  <si>
    <t>48</t>
  </si>
  <si>
    <t>AM.24111</t>
  </si>
  <si>
    <t>V/chuyÓn g¹ch x©y c¸c lo¹i= « t« vËn t¶i thïng 7T</t>
  </si>
  <si>
    <t xml:space="preserve">   - ¤ t« vËn t¶i thïng 7T</t>
  </si>
  <si>
    <t>49</t>
  </si>
  <si>
    <t>AM.24112</t>
  </si>
  <si>
    <t>10tÊn/km</t>
  </si>
  <si>
    <t>50</t>
  </si>
  <si>
    <t>AM.24113</t>
  </si>
  <si>
    <t>51</t>
  </si>
  <si>
    <t>AM.23211</t>
  </si>
  <si>
    <t>VËn chuyÓn ®Êt x©y dùng = « t« tù ®æ 7T</t>
  </si>
  <si>
    <t>52</t>
  </si>
  <si>
    <t>AM.23212</t>
  </si>
  <si>
    <t>53</t>
  </si>
  <si>
    <t>AM.23213</t>
  </si>
  <si>
    <t>54</t>
  </si>
  <si>
    <t>AM.24211</t>
  </si>
  <si>
    <t>VC g¹ch èp l¸t c¸c lo¹i= « t« vËn t¶i thïng 7T</t>
  </si>
  <si>
    <t>55</t>
  </si>
  <si>
    <t>AM.24212</t>
  </si>
  <si>
    <t>56</t>
  </si>
  <si>
    <t>AM.24213</t>
  </si>
  <si>
    <t>57</t>
  </si>
  <si>
    <t>AM.23411</t>
  </si>
  <si>
    <t>VËn chuyÓn ®¸ d¨m c¸c lo¹i = « t« tù ®æ 7T</t>
  </si>
  <si>
    <t>58</t>
  </si>
  <si>
    <t>AM.23412</t>
  </si>
  <si>
    <t>59</t>
  </si>
  <si>
    <t>AM.23413</t>
  </si>
  <si>
    <t>60</t>
  </si>
  <si>
    <t>AM.24511</t>
  </si>
  <si>
    <t>V/chuyÓn thÐp c¸c lo¹i= « t« vËn t¶i thïng 7T</t>
  </si>
  <si>
    <t>61</t>
  </si>
  <si>
    <t>AM.24512</t>
  </si>
  <si>
    <t>62</t>
  </si>
  <si>
    <t>AM.24513</t>
  </si>
  <si>
    <t>63</t>
  </si>
  <si>
    <t>AM.24711</t>
  </si>
  <si>
    <t>V/chuyÓn gç c¸c lo¹i= « t« vËn t¶i thïng 7T</t>
  </si>
  <si>
    <t>64</t>
  </si>
  <si>
    <t>AM.24712</t>
  </si>
  <si>
    <t>65</t>
  </si>
  <si>
    <t>AM.24713</t>
  </si>
  <si>
    <t>G</t>
  </si>
  <si>
    <t>Tæng céng(1+2+3+4+5)</t>
  </si>
  <si>
    <t>6.</t>
  </si>
  <si>
    <t>G5</t>
  </si>
  <si>
    <t>Chi phÝ dù phßng:</t>
  </si>
  <si>
    <t>5.</t>
  </si>
  <si>
    <t>K4</t>
  </si>
  <si>
    <t xml:space="preserve">  - Chi phÝ thÈm ®Þnh gi¸ vËt liÖu</t>
  </si>
  <si>
    <t>K3</t>
  </si>
  <si>
    <t xml:space="preserve">  - Chi phÝ thÈm tra phª duyÖt quyÕt to¸n</t>
  </si>
  <si>
    <t xml:space="preserve"> G1*0.08%</t>
  </si>
  <si>
    <t>K2</t>
  </si>
  <si>
    <t xml:space="preserve">  - Chi phÝ b¶o hiÓm c«ng tr×nh</t>
  </si>
  <si>
    <t>K1</t>
  </si>
  <si>
    <t>G4</t>
  </si>
  <si>
    <t>Chi phÝ kh¸c:</t>
  </si>
  <si>
    <t>4.</t>
  </si>
  <si>
    <t xml:space="preserve"> G1*3.285%</t>
  </si>
  <si>
    <t>TV4</t>
  </si>
  <si>
    <t xml:space="preserve">  - Chi phÝ gi¸m s¸t thi c«ng x©y dùng</t>
  </si>
  <si>
    <t>TV3</t>
  </si>
  <si>
    <t xml:space="preserve">  - Chi phÝ thÈm tra dù to¸n c«ng tr×nh</t>
  </si>
  <si>
    <t>TV2</t>
  </si>
  <si>
    <t xml:space="preserve">  - Chi phÝ thÈm tra thiÕt kÕ kü thuËt, BVTC</t>
  </si>
  <si>
    <t xml:space="preserve"> G1*6.5%</t>
  </si>
  <si>
    <t>TV1</t>
  </si>
  <si>
    <t xml:space="preserve">  - Chi phÝ lËp b¸o c¸o kinh tÕ kü thuËt</t>
  </si>
  <si>
    <t xml:space="preserve"> TV1+...+TV4</t>
  </si>
  <si>
    <t>G3</t>
  </si>
  <si>
    <t>Chi phÝ t­ vÊn ®Çu t­ x©y dùng:</t>
  </si>
  <si>
    <t>3.</t>
  </si>
  <si>
    <t xml:space="preserve"> G1*3.446%/1.1</t>
  </si>
  <si>
    <t>C1</t>
  </si>
  <si>
    <t xml:space="preserve">  - Chi phÝ qu¶n lý dù ¸n §T XDCT</t>
  </si>
  <si>
    <t xml:space="preserve"> C1</t>
  </si>
  <si>
    <t>G2</t>
  </si>
  <si>
    <t>Chi phÝ qu¶n lý dù ¸n:</t>
  </si>
  <si>
    <t>2.</t>
  </si>
  <si>
    <t xml:space="preserve">   A1</t>
  </si>
  <si>
    <t>A1</t>
  </si>
  <si>
    <t xml:space="preserve">  -1- H¹ng môc: Nhµ bÕp</t>
  </si>
  <si>
    <t>G1</t>
  </si>
  <si>
    <t>Chi phÝ x©y dùng:</t>
  </si>
  <si>
    <t>1.</t>
  </si>
  <si>
    <t xml:space="preserve"> G+VAT</t>
  </si>
  <si>
    <t>Gxd</t>
  </si>
  <si>
    <t>+ Chi phÝ x©y dùng sau thuÕ</t>
  </si>
  <si>
    <t>.</t>
  </si>
  <si>
    <t xml:space="preserve"> G*10%</t>
  </si>
  <si>
    <t>VAT</t>
  </si>
  <si>
    <t>+ ThuÕ gi¸ trÞ gia t¨ng</t>
  </si>
  <si>
    <t xml:space="preserve"> T+GT+TL</t>
  </si>
  <si>
    <t xml:space="preserve"> - Chi phÝ x©y dùng tr­íc thuÕ</t>
  </si>
  <si>
    <t>*</t>
  </si>
  <si>
    <t xml:space="preserve"> (T+GT)*5.5%</t>
  </si>
  <si>
    <t>TL</t>
  </si>
  <si>
    <t>+ Thu nhËp chÞu thuÕ tÝnh tr­íc</t>
  </si>
  <si>
    <t xml:space="preserve"> T*2.5%</t>
  </si>
  <si>
    <t>TT</t>
  </si>
  <si>
    <t xml:space="preserve">   Chi phÝ c«ng viÖc kh«ng x¸c ®Þnh KLTK</t>
  </si>
  <si>
    <t xml:space="preserve"> T*1.1%</t>
  </si>
  <si>
    <t>LT</t>
  </si>
  <si>
    <t xml:space="preserve">   Chi phÝ nhµ t¹m, nhµ ®iÒu hµnh thi c«ng</t>
  </si>
  <si>
    <t xml:space="preserve"> T*7.3%</t>
  </si>
  <si>
    <t>C</t>
  </si>
  <si>
    <t xml:space="preserve">   Chi phÝ chung</t>
  </si>
  <si>
    <t xml:space="preserve"> C+LT+TT</t>
  </si>
  <si>
    <t>GT</t>
  </si>
  <si>
    <t>+ Chi phÝ gi¸n tiÕp</t>
  </si>
  <si>
    <t xml:space="preserve">   M</t>
  </si>
  <si>
    <t>M</t>
  </si>
  <si>
    <t xml:space="preserve">   Chi phÝ m¸y thi c«ng</t>
  </si>
  <si>
    <t xml:space="preserve">   NC</t>
  </si>
  <si>
    <t>NC</t>
  </si>
  <si>
    <t xml:space="preserve">   Chi phÝ nh©n c«ng</t>
  </si>
  <si>
    <t xml:space="preserve">   VL</t>
  </si>
  <si>
    <t>VL</t>
  </si>
  <si>
    <t xml:space="preserve">   Chi phÝ vËt liÖu</t>
  </si>
  <si>
    <t xml:space="preserve"> VL+NC+M</t>
  </si>
  <si>
    <t>T</t>
  </si>
  <si>
    <t>+ Chi phÝ trùc tiÕp</t>
  </si>
  <si>
    <t xml:space="preserve"> 2</t>
  </si>
  <si>
    <t xml:space="preserve"> 1</t>
  </si>
  <si>
    <t>Trong ph¹m vi &lt;=60km: 1.000=1.000</t>
  </si>
  <si>
    <t xml:space="preserve"> 64</t>
  </si>
  <si>
    <t>Trong ph¹m vi &lt;=10km: 1.000=1.000</t>
  </si>
  <si>
    <t xml:space="preserve"> 63</t>
  </si>
  <si>
    <t>Trong ph¹m vi &lt;=1km: 1.000=1.000</t>
  </si>
  <si>
    <t xml:space="preserve"> 62</t>
  </si>
  <si>
    <t xml:space="preserve"> 61</t>
  </si>
  <si>
    <t xml:space="preserve"> 60</t>
  </si>
  <si>
    <t xml:space="preserve"> 59</t>
  </si>
  <si>
    <t xml:space="preserve"> 58</t>
  </si>
  <si>
    <t xml:space="preserve"> 57</t>
  </si>
  <si>
    <t xml:space="preserve"> 56</t>
  </si>
  <si>
    <t xml:space="preserve"> 55</t>
  </si>
  <si>
    <t xml:space="preserve"> 54</t>
  </si>
  <si>
    <t xml:space="preserve"> 53</t>
  </si>
  <si>
    <t xml:space="preserve"> 52</t>
  </si>
  <si>
    <t xml:space="preserve"> 51</t>
  </si>
  <si>
    <t xml:space="preserve"> 50</t>
  </si>
  <si>
    <t xml:space="preserve"> 49</t>
  </si>
  <si>
    <t xml:space="preserve"> 48</t>
  </si>
  <si>
    <t xml:space="preserve"> 47</t>
  </si>
  <si>
    <t xml:space="preserve"> 46</t>
  </si>
  <si>
    <t xml:space="preserve"> 45</t>
  </si>
  <si>
    <t xml:space="preserve"> 44</t>
  </si>
  <si>
    <t>Bèc xuèng - ThÐp c¸c lo¹i: 1.000=1.000</t>
  </si>
  <si>
    <t xml:space="preserve"> 43</t>
  </si>
  <si>
    <t>Bèc xuèng - Gç c¸c lo¹i: 1.000=1.000</t>
  </si>
  <si>
    <t xml:space="preserve"> 42</t>
  </si>
  <si>
    <t>Bèc xuèng - G¹ch x©y c¸c lo¹i: 1.000=1.000</t>
  </si>
  <si>
    <t xml:space="preserve"> 41</t>
  </si>
  <si>
    <t xml:space="preserve"> 40</t>
  </si>
  <si>
    <t xml:space="preserve"> 39</t>
  </si>
  <si>
    <t xml:space="preserve"> 38</t>
  </si>
  <si>
    <t xml:space="preserve"> 37</t>
  </si>
  <si>
    <t>+) PhÇn §iÖn chiÕu s¸ng:</t>
  </si>
  <si>
    <t xml:space="preserve"> 36</t>
  </si>
  <si>
    <t xml:space="preserve"> 35</t>
  </si>
  <si>
    <t xml:space="preserve"> 34</t>
  </si>
  <si>
    <t xml:space="preserve"> 33</t>
  </si>
  <si>
    <t xml:space="preserve"> 32</t>
  </si>
  <si>
    <t xml:space="preserve"> 31</t>
  </si>
  <si>
    <t xml:space="preserve"> 30</t>
  </si>
  <si>
    <t xml:space="preserve"> 29</t>
  </si>
  <si>
    <t xml:space="preserve"> 28</t>
  </si>
  <si>
    <t xml:space="preserve"> 27</t>
  </si>
  <si>
    <t xml:space="preserve"> 26</t>
  </si>
  <si>
    <t xml:space="preserve"> 25</t>
  </si>
  <si>
    <t xml:space="preserve"> 24</t>
  </si>
  <si>
    <t xml:space="preserve"> 23</t>
  </si>
  <si>
    <t xml:space="preserve"> 22</t>
  </si>
  <si>
    <t xml:space="preserve"> 21</t>
  </si>
  <si>
    <t xml:space="preserve"> 20</t>
  </si>
  <si>
    <t xml:space="preserve"> 19</t>
  </si>
  <si>
    <t xml:space="preserve"> 18</t>
  </si>
  <si>
    <t xml:space="preserve"> 17</t>
  </si>
  <si>
    <t xml:space="preserve"> 16</t>
  </si>
  <si>
    <t xml:space="preserve"> 15</t>
  </si>
  <si>
    <t xml:space="preserve"> 14</t>
  </si>
  <si>
    <t xml:space="preserve"> 13</t>
  </si>
  <si>
    <t xml:space="preserve"> 12</t>
  </si>
  <si>
    <t xml:space="preserve"> 11</t>
  </si>
  <si>
    <t xml:space="preserve"> 10</t>
  </si>
  <si>
    <t xml:space="preserve">  9</t>
  </si>
  <si>
    <t xml:space="preserve">  8</t>
  </si>
  <si>
    <t xml:space="preserve">  7</t>
  </si>
  <si>
    <t xml:space="preserve">  6</t>
  </si>
  <si>
    <t xml:space="preserve">  2</t>
  </si>
  <si>
    <t xml:space="preserve">  5</t>
  </si>
  <si>
    <t xml:space="preserve">  4</t>
  </si>
  <si>
    <t xml:space="preserve">  3</t>
  </si>
  <si>
    <t xml:space="preserve">  1</t>
  </si>
  <si>
    <t>+) PhÇn x©y dùng</t>
  </si>
  <si>
    <t>C- M¸y thi c«ng :</t>
  </si>
  <si>
    <t>B- Nh©n c«ng :</t>
  </si>
  <si>
    <t xml:space="preserve"> C- M¸y thi c«ng :</t>
  </si>
  <si>
    <t xml:space="preserve"> B- Nh©n c«ng :</t>
  </si>
  <si>
    <t>%</t>
  </si>
  <si>
    <t xml:space="preserve">   - VËt liÖu kh¸c</t>
  </si>
  <si>
    <t xml:space="preserve"> A- VËt liÖu :</t>
  </si>
  <si>
    <t>A- VËt liÖu :</t>
  </si>
  <si>
    <t>B-Nh©n c«ng:</t>
  </si>
  <si>
    <t>A-VËt liÖu:</t>
  </si>
  <si>
    <t xml:space="preserve">   - M¸y kh¸c</t>
  </si>
  <si>
    <t>1x2/4N4</t>
  </si>
  <si>
    <t>31*Diezel</t>
  </si>
  <si>
    <t>M106.0105</t>
  </si>
  <si>
    <t>46*Diezel</t>
  </si>
  <si>
    <t>M106.0203</t>
  </si>
  <si>
    <t>1x3/7N4</t>
  </si>
  <si>
    <t>4*Xang</t>
  </si>
  <si>
    <t>M101.0803</t>
  </si>
  <si>
    <t>7*KWh</t>
  </si>
  <si>
    <t>M112.1301</t>
  </si>
  <si>
    <t>5*KWh</t>
  </si>
  <si>
    <t>M112.1101</t>
  </si>
  <si>
    <t>8*KWh</t>
  </si>
  <si>
    <t>M104.0202</t>
  </si>
  <si>
    <t>11*KWh</t>
  </si>
  <si>
    <t>M104.0102</t>
  </si>
  <si>
    <t>0.9*KWh</t>
  </si>
  <si>
    <t>M112.1701</t>
  </si>
  <si>
    <t>9*KWh</t>
  </si>
  <si>
    <t>M112.1502</t>
  </si>
  <si>
    <t>1x4/7N4</t>
  </si>
  <si>
    <t>48*KWh</t>
  </si>
  <si>
    <t>M112.4003</t>
  </si>
  <si>
    <t>M112.2601</t>
  </si>
  <si>
    <t>3*KWh</t>
  </si>
  <si>
    <t>M112.2102</t>
  </si>
  <si>
    <t>1x4/7N4+1x5/7N4</t>
  </si>
  <si>
    <t>36*Diezel</t>
  </si>
  <si>
    <t>M102.0302</t>
  </si>
  <si>
    <t>273769.7</t>
  </si>
  <si>
    <t>252200.0</t>
  </si>
  <si>
    <t>230630.3</t>
  </si>
  <si>
    <t>218559.2</t>
  </si>
  <si>
    <t xml:space="preserve">     0</t>
  </si>
  <si>
    <t>- èng nhùa b¶o hé D20mm</t>
  </si>
  <si>
    <t>- §Ìn èng dµi 1.2m bãng led 2x18W</t>
  </si>
  <si>
    <t>C«ng tr×nh</t>
  </si>
  <si>
    <t xml:space="preserve">  AM.23413: « t« tù ®æ 7T, cù ly &lt;60km</t>
  </si>
  <si>
    <t xml:space="preserve">  AM.23412: « t« tù ®æ 7T, cù ly &lt;10km</t>
  </si>
  <si>
    <t>H­¬ng Thä</t>
  </si>
  <si>
    <t xml:space="preserve">  AM.23411: « t« tù ®æ 7T, cù ly &lt;1km</t>
  </si>
  <si>
    <t xml:space="preserve">    13</t>
  </si>
  <si>
    <t>- §¸ d¨m 4x6</t>
  </si>
  <si>
    <t>- §¸ d¨m 1x2</t>
  </si>
  <si>
    <t>- §inh vÝt</t>
  </si>
  <si>
    <t>- §inh</t>
  </si>
  <si>
    <t>- ¤ xy</t>
  </si>
  <si>
    <t>- Xi m¨ng tr¾ng</t>
  </si>
  <si>
    <t>- Xi m¨ng PCB40 (§ång L©m)</t>
  </si>
  <si>
    <t>- Xi m¨ng PCB30 (§ång L©m)</t>
  </si>
  <si>
    <t>- T«n sãng vu«ng dµy 0.45mm</t>
  </si>
  <si>
    <t>- T«n ph¼ng dµy 0.50mm</t>
  </si>
  <si>
    <t xml:space="preserve">  AM.11282: thñ c«ng - bèc xuèng xe</t>
  </si>
  <si>
    <t>- ThÐp tÊm</t>
  </si>
  <si>
    <t>- ThÐp trßn d&lt;=18mm (thÐp VAS)</t>
  </si>
  <si>
    <t>- ThÐp trßn d&lt;=18 (thÐp VAS)</t>
  </si>
  <si>
    <t>- ThÐp trßn d&lt;=10mm (thÐp VAS)</t>
  </si>
  <si>
    <t>- ThÐp h×nh</t>
  </si>
  <si>
    <t>- S¬n phñ ngo¹i thÊt Jony H</t>
  </si>
  <si>
    <t>- S¬n phñ chèng rØ Super Primer - Jonton</t>
  </si>
  <si>
    <t>- S¬n lãt Tilac Red - S¬n Nippon</t>
  </si>
  <si>
    <t>- S¬n lãt chèng kiÒm ngo¹i thÊt Pros</t>
  </si>
  <si>
    <t>- Que hµn</t>
  </si>
  <si>
    <t>- N­íc</t>
  </si>
  <si>
    <t>- MÆt che c«ng t¾c 2 chiÒu</t>
  </si>
  <si>
    <t>- Kª chèng b·o</t>
  </si>
  <si>
    <t>- KhÝ gas</t>
  </si>
  <si>
    <t>- Hép ch«n</t>
  </si>
  <si>
    <t xml:space="preserve">  AM.24712: « t« t¶i thïng 7T, cù ly &lt;10km</t>
  </si>
  <si>
    <t>§Þa ph­¬ng</t>
  </si>
  <si>
    <t xml:space="preserve">  AM.24711: « t« t¶i thïng 7T, cù ly &lt;1km</t>
  </si>
  <si>
    <t xml:space="preserve">  AM.11252: thñ c«ng - bèc xuèng xe</t>
  </si>
  <si>
    <t xml:space="preserve">     3</t>
  </si>
  <si>
    <t>- Gç ®µ nÑp</t>
  </si>
  <si>
    <t>- Gç v¸n</t>
  </si>
  <si>
    <t>- Gç chèng</t>
  </si>
  <si>
    <t>- Gi¸o thÐp</t>
  </si>
  <si>
    <t>- D©y thÐp</t>
  </si>
  <si>
    <t>- D©y dÉn ®iÖn CV 1x1.5mm2</t>
  </si>
  <si>
    <t>- Cöa ®i uPVC 2 c¸nh më quay, kÝnh 6,38mm</t>
  </si>
  <si>
    <t>- Cöa ®i uPVC 1 c¸nh më quay, kÝnh 6,38mm</t>
  </si>
  <si>
    <t xml:space="preserve">  AM.23113: « t« tù ®æ 7T, cù ly &lt;60km</t>
  </si>
  <si>
    <t xml:space="preserve">  AM.23112: « t« tù ®æ 7T, cù ly &lt;10km</t>
  </si>
  <si>
    <t xml:space="preserve">  AM.23111: « t« tù ®æ 7T, cù ly &lt;1km</t>
  </si>
  <si>
    <t xml:space="preserve">    15</t>
  </si>
  <si>
    <t>- C¸t vµng</t>
  </si>
  <si>
    <t>- C¸t mÞn Ml=1.5-2.0</t>
  </si>
  <si>
    <t>- C¸t mÞn</t>
  </si>
  <si>
    <t>- C«ng t¾c 1 chiÒu 10A (Sino -S30/1/2M)</t>
  </si>
  <si>
    <t>- C©y chèng thÐp èng</t>
  </si>
  <si>
    <t>- Bét ®¸</t>
  </si>
  <si>
    <t>- Bu l«ng</t>
  </si>
  <si>
    <t>*C - XE MAY</t>
  </si>
  <si>
    <t>*B - NH¢N C¤NG</t>
  </si>
  <si>
    <t>*A - V¢T LI£U</t>
  </si>
  <si>
    <t>Céng hoµ x· héi chñ nghÜa ViÖt Nam</t>
  </si>
  <si>
    <t>§éc lËp - Tù do - H¹nh phóc</t>
  </si>
  <si>
    <t>=======@@@=======</t>
  </si>
  <si>
    <t>C«ng tr×nh: BÕP S¹CH, NGON C¥M</t>
  </si>
  <si>
    <t>§ÞA §IÓM X¢Y DùNG: TR¦êNG MÇM NON HåNG TIÕN, X· B×NH TIÕN, THÞ X· H¦¥NG TRµ</t>
  </si>
  <si>
    <t>TØNH THõA THI£N HUÕ</t>
  </si>
  <si>
    <t>H¹ng môc chi phÝ</t>
  </si>
  <si>
    <t>Ký
hiÖu</t>
  </si>
  <si>
    <t>C¸ch tÝnh</t>
  </si>
  <si>
    <t>Thµnh tiÒn
tr­íc thuÕ</t>
  </si>
  <si>
    <t>ThuÕ
VAT</t>
  </si>
  <si>
    <t>Thµnh tiÒn
sau thuÕ</t>
  </si>
  <si>
    <t>B¶ng tæng hîp chi phÝ x©y l¾p</t>
  </si>
  <si>
    <t>Thµnh tiÒn</t>
  </si>
  <si>
    <t>B¶ng dù to¸n chi tiÕt</t>
  </si>
  <si>
    <t>§¬n gi¸</t>
  </si>
  <si>
    <t>Sè hiÖu
®Þnh møc</t>
  </si>
  <si>
    <t>H¹ng môc c«ng t¸c</t>
  </si>
  <si>
    <t>§¬n
vÞ</t>
  </si>
  <si>
    <t>Khèi
l­îng</t>
  </si>
  <si>
    <t>VËt liÖu</t>
  </si>
  <si>
    <t>Nh©n c«ng</t>
  </si>
  <si>
    <t>Ca m¸y</t>
  </si>
  <si>
    <t>M¸y thi c«ng</t>
  </si>
  <si>
    <t>B¶ng ph©n tÝch ®¬n gi¸</t>
  </si>
  <si>
    <t>Sè hiÖu
§Þnh møc</t>
  </si>
  <si>
    <t>§¬n 
vÞ</t>
  </si>
  <si>
    <t>§Þnh møc</t>
  </si>
  <si>
    <t>B¶ng gi¸ nh©n c«ng vµ ca m¸y</t>
  </si>
  <si>
    <t>TT
M· m¸y</t>
  </si>
  <si>
    <t>Lo¹i nh©n c«ng
&amp; M¸y thi c«ng</t>
  </si>
  <si>
    <t>§¬n 
VÞ</t>
  </si>
  <si>
    <t>Sè
Ca/
n¨m</t>
  </si>
  <si>
    <t>§m
KhÊu
hao</t>
  </si>
  <si>
    <t>§m
S÷a
ch÷a</t>
  </si>
  <si>
    <t>§m
C.phÝ
kh¸c</t>
  </si>
  <si>
    <t>§Þnh møc
nhiªn liÖu</t>
  </si>
  <si>
    <t>Thµnh phÇn
bËc thî</t>
  </si>
  <si>
    <t>Gi¸ tÝnh
khÊu hao
(1000 ®)</t>
  </si>
  <si>
    <t>Chi phÝ
khÊu hao
VN§</t>
  </si>
  <si>
    <t>Chi phÝ
s÷a ch÷a
VN§</t>
  </si>
  <si>
    <t>Chi phÝ
nh. liÖu
n.l­îng</t>
  </si>
  <si>
    <t>Chi phÝ
l­¬ng
thî m¸y</t>
  </si>
  <si>
    <t>Chi phÝ
kh¸c
VN§</t>
  </si>
  <si>
    <t>§¬n gi¸
1 c«ng vµ
1 ca m¸y</t>
  </si>
  <si>
    <t>B¶ng tÝnh gi¸ vËt liÖu ®Õn ch©n c«ng tr×nh</t>
  </si>
  <si>
    <t>Tªn vËt liÖu</t>
  </si>
  <si>
    <t>§iÓm ®Çu</t>
  </si>
  <si>
    <t>§iÓm cuèi</t>
  </si>
  <si>
    <t>BËc
hµng</t>
  </si>
  <si>
    <t>Lo¹i
®­êng</t>
  </si>
  <si>
    <t>Cù
ly
lÎ</t>
  </si>
  <si>
    <t>Tæng
cù ly</t>
  </si>
  <si>
    <t>C­íc
vËn chuyÓn</t>
  </si>
  <si>
    <t>HÖ sè
®c.bËc
hµng</t>
  </si>
  <si>
    <t>HÖ sè
träng 
l­îng</t>
  </si>
  <si>
    <t>HÖ sè
n©ng
h¹ben</t>
  </si>
  <si>
    <t>Gi¸ c­íc
vËn chuyÓn</t>
  </si>
  <si>
    <t>C­íc
bèc dì</t>
  </si>
  <si>
    <t>Gi¸ th¸ng</t>
  </si>
  <si>
    <t>Gi¸ thµnh</t>
  </si>
  <si>
    <t>B¶ng tÝnh khèi l­îng - tiªn l­îng</t>
  </si>
  <si>
    <t>Sè
l­îng</t>
  </si>
  <si>
    <t>Dµi</t>
  </si>
  <si>
    <t>Réng</t>
  </si>
  <si>
    <t>Cao</t>
  </si>
  <si>
    <t>Sè phô</t>
  </si>
  <si>
    <t>C«ng thøc</t>
  </si>
  <si>
    <t>Khèi l­îng
chi tiÕt</t>
  </si>
  <si>
    <t>B¶ng tæng hîp khèi l­îng vµ chi phÝ VL,NC,M</t>
  </si>
  <si>
    <t>Lo¹i vËt liÖu...</t>
  </si>
  <si>
    <t>Khèi l­îng</t>
  </si>
  <si>
    <t>B¶ng ph©n tÝch khèi l­îng</t>
  </si>
  <si>
    <t xml:space="preserve"> 0.019%*50%*TM</t>
  </si>
  <si>
    <t xml:space="preserve"> (TM-G5)*0.57%</t>
  </si>
  <si>
    <t xml:space="preserve"> T¹m tÝnh</t>
  </si>
  <si>
    <t xml:space="preserve"> DPP</t>
  </si>
  <si>
    <t xml:space="preserve"> Tèi thiÓu</t>
  </si>
  <si>
    <t>HÖ sè lo¹i ®­êng</t>
  </si>
  <si>
    <t>§ÞA §IÓM X¢Y DùNG: TR¦êNG MÇM NON HåNG TIÕN, X· B×NH TIÕN,</t>
  </si>
  <si>
    <t xml:space="preserve"> THÞ X· H¦¥NG TRµ, TØNH THõA THI£N HUÕ</t>
  </si>
  <si>
    <t xml:space="preserve">§ÞA §IÓM X¢Y DùNG: TR¦êNG MÇM NON HåNG TIÕN, X· B×NH TIÕN, </t>
  </si>
  <si>
    <t>THÞ X· H¦¥NG TRµ, TØNH THõA THI£N HUÕ</t>
  </si>
  <si>
    <t xml:space="preserve"> A1</t>
  </si>
  <si>
    <t xml:space="preserve"> K1+...+K3</t>
  </si>
  <si>
    <t xml:space="preserve"> G1+...+G5</t>
  </si>
  <si>
    <t xml:space="preserve">  - Chi phÝ thÈm ®Þnh b¸o c¸o kinh tÕ kü thuËt</t>
  </si>
  <si>
    <t>§é chÆt yªu cÇu K=0.90 (tËn dông</t>
  </si>
  <si>
    <t>§ÞA §IÓM X¢Y DùNG: TR¦êNG MÇM NON HåNG TIÕN, X· B×NH TIÕN, THÞ X· H¦¥NG TRµ, TØNH THõA THI£N HUÕ</t>
  </si>
  <si>
    <t>- Phô kiÖn GQ cöa ®i uPVC 2 c¸nh më quay</t>
  </si>
  <si>
    <t>- Phô kiÖn GQ cöa ®i uPVC 1 c¸nh më quay</t>
  </si>
  <si>
    <t>- G¹ch Granite 60x60cm</t>
  </si>
  <si>
    <t>- G¹ch èp t­êng Ceramic men bãng 30x60cm</t>
  </si>
  <si>
    <t xml:space="preserve">   - G¹ch èp t­êng Ceramic men bãng 30x60cm</t>
  </si>
  <si>
    <t xml:space="preserve">   - G¹ch Granite 60x60cm </t>
  </si>
  <si>
    <t xml:space="preserve">- G¹ch kh«ng nung 9.5x6x20cm </t>
  </si>
  <si>
    <t xml:space="preserve">   - G¹ch kh«ng nung 9.5x6x20cm </t>
  </si>
  <si>
    <t>G¹ch Granite, XM c¸t mÞn M75</t>
  </si>
  <si>
    <t>G¹ch Ceramic, XM c¸t mÞn M75</t>
  </si>
  <si>
    <t>BẢNG TỔNG MỨC ĐẦU TƯ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</si>
</sst>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#,##0.0000"/>
  </numFmts>
  <fonts count="62">
    <font>
      <sz val="12"/>
      <color theme="1"/>
      <name val=".VnTime"/>
      <family val="2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b/>
      <sz val="15"/>
      <color indexed="54"/>
      <name val=".VnTime"/>
      <family val="2"/>
    </font>
    <font>
      <b/>
      <sz val="13"/>
      <color indexed="54"/>
      <name val=".VnTime"/>
      <family val="2"/>
    </font>
    <font>
      <b/>
      <sz val="11"/>
      <color indexed="54"/>
      <name val=".VnTime"/>
      <family val="2"/>
    </font>
    <font>
      <b/>
      <sz val="12"/>
      <color indexed="63"/>
      <name val=".VnTime"/>
      <family val="2"/>
    </font>
    <font>
      <sz val="12"/>
      <color indexed="62"/>
      <name val=".VnTime"/>
      <family val="2"/>
    </font>
    <font>
      <b/>
      <sz val="12"/>
      <color indexed="9"/>
      <name val=".VnTime"/>
      <family val="2"/>
    </font>
    <font>
      <sz val="12"/>
      <color indexed="52"/>
      <name val=".VnTime"/>
      <family val="2"/>
    </font>
    <font>
      <sz val="18"/>
      <color indexed="54"/>
      <name val="Calibri Light"/>
      <family val="2"/>
    </font>
    <font>
      <b/>
      <sz val="12"/>
      <color indexed="52"/>
      <name val=".VnTime"/>
      <family val="2"/>
    </font>
    <font>
      <b/>
      <sz val="12"/>
      <color indexed="8"/>
      <name val=".VnTime"/>
      <family val="2"/>
    </font>
    <font>
      <sz val="12"/>
      <color indexed="17"/>
      <name val=".VnTime"/>
      <family val="2"/>
    </font>
    <font>
      <sz val="12"/>
      <color indexed="60"/>
      <name val=".VnTime"/>
      <family val="2"/>
    </font>
    <font>
      <sz val="12"/>
      <color indexed="10"/>
      <name val=".VnTime"/>
      <family val="2"/>
    </font>
    <font>
      <i/>
      <sz val="12"/>
      <color indexed="23"/>
      <name val=".VnTime"/>
      <family val="2"/>
    </font>
    <font>
      <sz val="12"/>
      <color indexed="20"/>
      <name val=".VnTime"/>
      <family val="2"/>
    </font>
    <font>
      <sz val="11"/>
      <color indexed="8"/>
      <name val=".VnTimeH"/>
      <family val="2"/>
    </font>
    <font>
      <sz val="11"/>
      <color indexed="8"/>
      <name val=".VnArial Narrow"/>
      <family val="2"/>
    </font>
    <font>
      <b/>
      <sz val="11"/>
      <color indexed="8"/>
      <name val=".VnArial Narrow"/>
      <family val="2"/>
    </font>
    <font>
      <sz val="10"/>
      <color indexed="8"/>
      <name val=".VnArial Narrow"/>
      <family val="2"/>
    </font>
    <font>
      <b/>
      <sz val="10"/>
      <color indexed="8"/>
      <name val=".VnArial Narrow"/>
      <family val="2"/>
    </font>
    <font>
      <u val="single"/>
      <sz val="11"/>
      <color indexed="8"/>
      <name val=".VnArial Narrow"/>
      <family val="2"/>
    </font>
    <font>
      <b/>
      <sz val="9"/>
      <color indexed="8"/>
      <name val=".VnArial Narrow"/>
      <family val="2"/>
    </font>
    <font>
      <b/>
      <sz val="13"/>
      <color indexed="8"/>
      <name val=".VnArialH"/>
      <family val="2"/>
    </font>
    <font>
      <b/>
      <sz val="11"/>
      <color indexed="8"/>
      <name val=".VnTimeH"/>
      <family val="2"/>
    </font>
    <font>
      <b/>
      <i/>
      <sz val="12"/>
      <color indexed="8"/>
      <name val="Calibri Light"/>
      <family val="1"/>
    </font>
    <font>
      <b/>
      <i/>
      <sz val="12"/>
      <color indexed="8"/>
      <name val=".VnTime"/>
      <family val="2"/>
    </font>
    <font>
      <u val="single"/>
      <sz val="12"/>
      <color indexed="30"/>
      <name val=".VnTime"/>
      <family val="2"/>
    </font>
    <font>
      <u val="single"/>
      <sz val="12"/>
      <color indexed="25"/>
      <name val=".VnTime"/>
      <family val="2"/>
    </font>
    <font>
      <b/>
      <sz val="13"/>
      <color indexed="8"/>
      <name val="Times New Roman"/>
      <family val="1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u val="single"/>
      <sz val="12"/>
      <color theme="11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u val="single"/>
      <sz val="12"/>
      <color theme="10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sz val="18"/>
      <color theme="3"/>
      <name val="Calibri Light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1"/>
      <color theme="1"/>
      <name val=".VnTimeH"/>
      <family val="2"/>
    </font>
    <font>
      <sz val="11"/>
      <color theme="1"/>
      <name val=".VnArial Narrow"/>
      <family val="2"/>
    </font>
    <font>
      <b/>
      <sz val="11"/>
      <color theme="1"/>
      <name val=".VnArial Narrow"/>
      <family val="2"/>
    </font>
    <font>
      <sz val="10"/>
      <color theme="1"/>
      <name val=".VnArial Narrow"/>
      <family val="2"/>
    </font>
    <font>
      <b/>
      <sz val="10"/>
      <color theme="1"/>
      <name val=".VnArial Narrow"/>
      <family val="2"/>
    </font>
    <font>
      <u val="single"/>
      <sz val="11"/>
      <color theme="1"/>
      <name val=".VnArial Narrow"/>
      <family val="2"/>
    </font>
    <font>
      <b/>
      <sz val="9"/>
      <color theme="1"/>
      <name val=".VnArial Narrow"/>
      <family val="2"/>
    </font>
    <font>
      <b/>
      <i/>
      <sz val="12"/>
      <color theme="1"/>
      <name val="Calibri Light"/>
      <family val="1"/>
    </font>
    <font>
      <b/>
      <sz val="11"/>
      <color theme="1"/>
      <name val=".VnTimeH"/>
      <family val="2"/>
    </font>
    <font>
      <b/>
      <i/>
      <sz val="12"/>
      <color theme="1"/>
      <name val=".VnTime"/>
      <family val="2"/>
    </font>
    <font>
      <b/>
      <sz val="13"/>
      <color theme="1"/>
      <name val="Times New Roman"/>
      <family val="1"/>
    </font>
    <font>
      <b/>
      <sz val="13"/>
      <color theme="1"/>
      <name val=".VnArialH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16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64" fontId="48" fillId="0" borderId="0" xfId="0" applyNumberFormat="1" applyFont="1" applyAlignment="1">
      <alignment/>
    </xf>
    <xf numFmtId="3" fontId="48" fillId="0" borderId="0" xfId="0" applyNumberFormat="1" applyFont="1" applyAlignment="1">
      <alignment/>
    </xf>
    <xf numFmtId="4" fontId="48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/>
    </xf>
    <xf numFmtId="3" fontId="48" fillId="0" borderId="11" xfId="0" applyNumberFormat="1" applyFont="1" applyBorder="1" applyAlignment="1">
      <alignment/>
    </xf>
    <xf numFmtId="3" fontId="48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3" fontId="48" fillId="0" borderId="17" xfId="0" applyNumberFormat="1" applyFont="1" applyBorder="1" applyAlignment="1">
      <alignment/>
    </xf>
    <xf numFmtId="3" fontId="48" fillId="0" borderId="18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48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 wrapText="1"/>
    </xf>
    <xf numFmtId="3" fontId="48" fillId="0" borderId="20" xfId="0" applyNumberFormat="1" applyFont="1" applyBorder="1" applyAlignment="1">
      <alignment horizontal="center" vertical="center" wrapText="1"/>
    </xf>
    <xf numFmtId="3" fontId="48" fillId="0" borderId="21" xfId="0" applyNumberFormat="1" applyFont="1" applyBorder="1" applyAlignment="1">
      <alignment horizontal="center" vertical="center" wrapText="1"/>
    </xf>
    <xf numFmtId="0" fontId="50" fillId="0" borderId="0" xfId="0" applyFont="1" applyAlignment="1">
      <alignment/>
    </xf>
    <xf numFmtId="3" fontId="48" fillId="0" borderId="21" xfId="0" applyNumberFormat="1" applyFont="1" applyBorder="1" applyAlignment="1">
      <alignment horizontal="center" vertical="center"/>
    </xf>
    <xf numFmtId="0" fontId="51" fillId="0" borderId="0" xfId="0" applyFont="1" applyAlignment="1">
      <alignment/>
    </xf>
    <xf numFmtId="165" fontId="51" fillId="0" borderId="0" xfId="0" applyNumberFormat="1" applyFont="1" applyAlignment="1">
      <alignment/>
    </xf>
    <xf numFmtId="3" fontId="51" fillId="0" borderId="0" xfId="0" applyNumberFormat="1" applyFont="1" applyAlignment="1">
      <alignment/>
    </xf>
    <xf numFmtId="0" fontId="52" fillId="0" borderId="0" xfId="0" applyFont="1" applyAlignment="1">
      <alignment/>
    </xf>
    <xf numFmtId="165" fontId="52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0" fontId="51" fillId="0" borderId="22" xfId="0" applyFont="1" applyBorder="1" applyAlignment="1">
      <alignment/>
    </xf>
    <xf numFmtId="0" fontId="51" fillId="0" borderId="23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1" xfId="0" applyFont="1" applyBorder="1" applyAlignment="1">
      <alignment/>
    </xf>
    <xf numFmtId="165" fontId="51" fillId="0" borderId="11" xfId="0" applyNumberFormat="1" applyFont="1" applyBorder="1" applyAlignment="1">
      <alignment/>
    </xf>
    <xf numFmtId="3" fontId="51" fillId="0" borderId="11" xfId="0" applyNumberFormat="1" applyFont="1" applyBorder="1" applyAlignment="1">
      <alignment/>
    </xf>
    <xf numFmtId="3" fontId="51" fillId="0" borderId="12" xfId="0" applyNumberFormat="1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1" xfId="0" applyFont="1" applyBorder="1" applyAlignment="1">
      <alignment/>
    </xf>
    <xf numFmtId="165" fontId="52" fillId="0" borderId="11" xfId="0" applyNumberFormat="1" applyFont="1" applyBorder="1" applyAlignment="1">
      <alignment/>
    </xf>
    <xf numFmtId="3" fontId="52" fillId="0" borderId="11" xfId="0" applyNumberFormat="1" applyFont="1" applyBorder="1" applyAlignment="1">
      <alignment/>
    </xf>
    <xf numFmtId="3" fontId="52" fillId="0" borderId="12" xfId="0" applyNumberFormat="1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14" xfId="0" applyFont="1" applyBorder="1" applyAlignment="1">
      <alignment/>
    </xf>
    <xf numFmtId="165" fontId="51" fillId="0" borderId="14" xfId="0" applyNumberFormat="1" applyFont="1" applyBorder="1" applyAlignment="1">
      <alignment/>
    </xf>
    <xf numFmtId="3" fontId="51" fillId="0" borderId="14" xfId="0" applyNumberFormat="1" applyFont="1" applyBorder="1" applyAlignment="1">
      <alignment/>
    </xf>
    <xf numFmtId="3" fontId="51" fillId="0" borderId="15" xfId="0" applyNumberFormat="1" applyFont="1" applyBorder="1" applyAlignment="1">
      <alignment/>
    </xf>
    <xf numFmtId="0" fontId="52" fillId="0" borderId="16" xfId="0" applyFont="1" applyBorder="1" applyAlignment="1">
      <alignment/>
    </xf>
    <xf numFmtId="0" fontId="52" fillId="0" borderId="17" xfId="0" applyFont="1" applyBorder="1" applyAlignment="1">
      <alignment/>
    </xf>
    <xf numFmtId="165" fontId="52" fillId="0" borderId="17" xfId="0" applyNumberFormat="1" applyFont="1" applyBorder="1" applyAlignment="1">
      <alignment/>
    </xf>
    <xf numFmtId="3" fontId="52" fillId="0" borderId="17" xfId="0" applyNumberFormat="1" applyFont="1" applyBorder="1" applyAlignment="1">
      <alignment/>
    </xf>
    <xf numFmtId="3" fontId="52" fillId="0" borderId="18" xfId="0" applyNumberFormat="1" applyFont="1" applyBorder="1" applyAlignment="1">
      <alignment/>
    </xf>
    <xf numFmtId="164" fontId="51" fillId="0" borderId="0" xfId="0" applyNumberFormat="1" applyFont="1" applyAlignment="1">
      <alignment horizontal="right"/>
    </xf>
    <xf numFmtId="164" fontId="52" fillId="0" borderId="17" xfId="0" applyNumberFormat="1" applyFont="1" applyBorder="1" applyAlignment="1">
      <alignment horizontal="right"/>
    </xf>
    <xf numFmtId="164" fontId="51" fillId="0" borderId="11" xfId="0" applyNumberFormat="1" applyFont="1" applyBorder="1" applyAlignment="1">
      <alignment horizontal="right"/>
    </xf>
    <xf numFmtId="164" fontId="52" fillId="0" borderId="11" xfId="0" applyNumberFormat="1" applyFont="1" applyBorder="1" applyAlignment="1">
      <alignment horizontal="right"/>
    </xf>
    <xf numFmtId="164" fontId="51" fillId="0" borderId="14" xfId="0" applyNumberFormat="1" applyFont="1" applyBorder="1" applyAlignment="1">
      <alignment horizontal="right"/>
    </xf>
    <xf numFmtId="164" fontId="52" fillId="0" borderId="0" xfId="0" applyNumberFormat="1" applyFont="1" applyAlignment="1">
      <alignment horizontal="right"/>
    </xf>
    <xf numFmtId="165" fontId="52" fillId="0" borderId="24" xfId="0" applyNumberFormat="1" applyFont="1" applyBorder="1" applyAlignment="1">
      <alignment horizontal="center" vertical="center"/>
    </xf>
    <xf numFmtId="3" fontId="52" fillId="0" borderId="24" xfId="0" applyNumberFormat="1" applyFont="1" applyBorder="1" applyAlignment="1">
      <alignment horizontal="center" vertical="center"/>
    </xf>
    <xf numFmtId="3" fontId="52" fillId="0" borderId="25" xfId="0" applyNumberFormat="1" applyFont="1" applyBorder="1" applyAlignment="1">
      <alignment horizontal="center" vertical="center"/>
    </xf>
    <xf numFmtId="166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6" fontId="0" fillId="0" borderId="11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5" fontId="48" fillId="0" borderId="12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66" fontId="0" fillId="0" borderId="17" xfId="0" applyNumberFormat="1" applyFont="1" applyBorder="1" applyAlignment="1">
      <alignment/>
    </xf>
    <xf numFmtId="165" fontId="0" fillId="0" borderId="17" xfId="0" applyNumberFormat="1" applyFont="1" applyBorder="1" applyAlignment="1">
      <alignment/>
    </xf>
    <xf numFmtId="165" fontId="0" fillId="0" borderId="18" xfId="0" applyNumberFormat="1" applyFont="1" applyBorder="1" applyAlignment="1">
      <alignment/>
    </xf>
    <xf numFmtId="166" fontId="48" fillId="0" borderId="0" xfId="0" applyNumberFormat="1" applyFont="1" applyAlignment="1">
      <alignment/>
    </xf>
    <xf numFmtId="166" fontId="48" fillId="0" borderId="20" xfId="0" applyNumberFormat="1" applyFont="1" applyBorder="1" applyAlignment="1">
      <alignment horizontal="center" vertical="center"/>
    </xf>
    <xf numFmtId="165" fontId="48" fillId="0" borderId="20" xfId="0" applyNumberFormat="1" applyFont="1" applyBorder="1" applyAlignment="1">
      <alignment horizontal="center" vertical="center"/>
    </xf>
    <xf numFmtId="165" fontId="48" fillId="0" borderId="21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/>
    </xf>
    <xf numFmtId="4" fontId="53" fillId="0" borderId="0" xfId="0" applyNumberFormat="1" applyFont="1" applyAlignment="1">
      <alignment/>
    </xf>
    <xf numFmtId="165" fontId="53" fillId="0" borderId="0" xfId="0" applyNumberFormat="1" applyFont="1" applyAlignment="1">
      <alignment/>
    </xf>
    <xf numFmtId="0" fontId="53" fillId="0" borderId="10" xfId="0" applyFont="1" applyBorder="1" applyAlignment="1">
      <alignment/>
    </xf>
    <xf numFmtId="0" fontId="53" fillId="0" borderId="11" xfId="0" applyFont="1" applyBorder="1" applyAlignment="1">
      <alignment/>
    </xf>
    <xf numFmtId="3" fontId="53" fillId="0" borderId="11" xfId="0" applyNumberFormat="1" applyFont="1" applyBorder="1" applyAlignment="1">
      <alignment/>
    </xf>
    <xf numFmtId="4" fontId="53" fillId="0" borderId="11" xfId="0" applyNumberFormat="1" applyFont="1" applyBorder="1" applyAlignment="1">
      <alignment/>
    </xf>
    <xf numFmtId="165" fontId="53" fillId="0" borderId="11" xfId="0" applyNumberFormat="1" applyFont="1" applyBorder="1" applyAlignment="1">
      <alignment/>
    </xf>
    <xf numFmtId="165" fontId="53" fillId="0" borderId="12" xfId="0" applyNumberFormat="1" applyFont="1" applyBorder="1" applyAlignment="1">
      <alignment/>
    </xf>
    <xf numFmtId="0" fontId="53" fillId="0" borderId="13" xfId="0" applyFont="1" applyBorder="1" applyAlignment="1">
      <alignment/>
    </xf>
    <xf numFmtId="0" fontId="53" fillId="0" borderId="14" xfId="0" applyFont="1" applyBorder="1" applyAlignment="1">
      <alignment/>
    </xf>
    <xf numFmtId="3" fontId="53" fillId="0" borderId="14" xfId="0" applyNumberFormat="1" applyFont="1" applyBorder="1" applyAlignment="1">
      <alignment/>
    </xf>
    <xf numFmtId="4" fontId="53" fillId="0" borderId="14" xfId="0" applyNumberFormat="1" applyFont="1" applyBorder="1" applyAlignment="1">
      <alignment/>
    </xf>
    <xf numFmtId="165" fontId="53" fillId="0" borderId="14" xfId="0" applyNumberFormat="1" applyFont="1" applyBorder="1" applyAlignment="1">
      <alignment/>
    </xf>
    <xf numFmtId="165" fontId="53" fillId="0" borderId="15" xfId="0" applyNumberFormat="1" applyFont="1" applyBorder="1" applyAlignment="1">
      <alignment/>
    </xf>
    <xf numFmtId="0" fontId="53" fillId="0" borderId="16" xfId="0" applyFont="1" applyBorder="1" applyAlignment="1">
      <alignment/>
    </xf>
    <xf numFmtId="0" fontId="53" fillId="0" borderId="17" xfId="0" applyFont="1" applyBorder="1" applyAlignment="1">
      <alignment/>
    </xf>
    <xf numFmtId="3" fontId="53" fillId="0" borderId="17" xfId="0" applyNumberFormat="1" applyFont="1" applyBorder="1" applyAlignment="1">
      <alignment/>
    </xf>
    <xf numFmtId="4" fontId="53" fillId="0" borderId="17" xfId="0" applyNumberFormat="1" applyFont="1" applyBorder="1" applyAlignment="1">
      <alignment/>
    </xf>
    <xf numFmtId="165" fontId="53" fillId="0" borderId="17" xfId="0" applyNumberFormat="1" applyFont="1" applyBorder="1" applyAlignment="1">
      <alignment/>
    </xf>
    <xf numFmtId="165" fontId="53" fillId="0" borderId="18" xfId="0" applyNumberFormat="1" applyFont="1" applyBorder="1" applyAlignment="1">
      <alignment/>
    </xf>
    <xf numFmtId="0" fontId="54" fillId="0" borderId="0" xfId="0" applyFont="1" applyAlignment="1">
      <alignment/>
    </xf>
    <xf numFmtId="3" fontId="54" fillId="0" borderId="0" xfId="0" applyNumberFormat="1" applyFont="1" applyAlignment="1">
      <alignment/>
    </xf>
    <xf numFmtId="4" fontId="54" fillId="0" borderId="0" xfId="0" applyNumberFormat="1" applyFont="1" applyAlignment="1">
      <alignment/>
    </xf>
    <xf numFmtId="165" fontId="54" fillId="0" borderId="0" xfId="0" applyNumberFormat="1" applyFont="1" applyAlignment="1">
      <alignment/>
    </xf>
    <xf numFmtId="0" fontId="54" fillId="0" borderId="1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3" fontId="54" fillId="0" borderId="20" xfId="0" applyNumberFormat="1" applyFont="1" applyBorder="1" applyAlignment="1">
      <alignment horizontal="center" vertical="center" wrapText="1"/>
    </xf>
    <xf numFmtId="4" fontId="54" fillId="0" borderId="20" xfId="0" applyNumberFormat="1" applyFont="1" applyBorder="1" applyAlignment="1">
      <alignment horizontal="center" vertical="center" wrapText="1"/>
    </xf>
    <xf numFmtId="165" fontId="54" fillId="0" borderId="20" xfId="0" applyNumberFormat="1" applyFont="1" applyBorder="1" applyAlignment="1">
      <alignment horizontal="center" vertical="center" wrapText="1"/>
    </xf>
    <xf numFmtId="165" fontId="54" fillId="0" borderId="21" xfId="0" applyNumberFormat="1" applyFont="1" applyBorder="1" applyAlignment="1">
      <alignment horizontal="center" vertical="center" wrapText="1"/>
    </xf>
    <xf numFmtId="4" fontId="51" fillId="0" borderId="0" xfId="0" applyNumberFormat="1" applyFont="1" applyAlignment="1">
      <alignment/>
    </xf>
    <xf numFmtId="4" fontId="51" fillId="0" borderId="23" xfId="0" applyNumberFormat="1" applyFont="1" applyBorder="1" applyAlignment="1">
      <alignment/>
    </xf>
    <xf numFmtId="165" fontId="55" fillId="0" borderId="11" xfId="0" applyNumberFormat="1" applyFont="1" applyBorder="1" applyAlignment="1">
      <alignment/>
    </xf>
    <xf numFmtId="165" fontId="55" fillId="0" borderId="12" xfId="0" applyNumberFormat="1" applyFont="1" applyBorder="1" applyAlignment="1">
      <alignment/>
    </xf>
    <xf numFmtId="165" fontId="51" fillId="0" borderId="12" xfId="0" applyNumberFormat="1" applyFont="1" applyBorder="1" applyAlignment="1">
      <alignment/>
    </xf>
    <xf numFmtId="165" fontId="55" fillId="0" borderId="14" xfId="0" applyNumberFormat="1" applyFont="1" applyBorder="1" applyAlignment="1">
      <alignment/>
    </xf>
    <xf numFmtId="165" fontId="55" fillId="0" borderId="15" xfId="0" applyNumberFormat="1" applyFont="1" applyBorder="1" applyAlignment="1">
      <alignment/>
    </xf>
    <xf numFmtId="0" fontId="51" fillId="0" borderId="0" xfId="0" applyFont="1" applyAlignment="1">
      <alignment horizontal="right"/>
    </xf>
    <xf numFmtId="0" fontId="51" fillId="0" borderId="11" xfId="0" applyFont="1" applyBorder="1" applyAlignment="1">
      <alignment horizontal="right"/>
    </xf>
    <xf numFmtId="0" fontId="51" fillId="0" borderId="14" xfId="0" applyFont="1" applyBorder="1" applyAlignment="1">
      <alignment horizontal="right"/>
    </xf>
    <xf numFmtId="4" fontId="51" fillId="0" borderId="0" xfId="0" applyNumberFormat="1" applyFont="1" applyAlignment="1">
      <alignment horizontal="center"/>
    </xf>
    <xf numFmtId="4" fontId="51" fillId="0" borderId="11" xfId="0" applyNumberFormat="1" applyFont="1" applyBorder="1" applyAlignment="1">
      <alignment horizontal="center"/>
    </xf>
    <xf numFmtId="4" fontId="51" fillId="0" borderId="14" xfId="0" applyNumberFormat="1" applyFont="1" applyBorder="1" applyAlignment="1">
      <alignment horizontal="center"/>
    </xf>
    <xf numFmtId="0" fontId="51" fillId="0" borderId="16" xfId="0" applyFont="1" applyBorder="1" applyAlignment="1">
      <alignment/>
    </xf>
    <xf numFmtId="0" fontId="51" fillId="0" borderId="17" xfId="0" applyFont="1" applyBorder="1" applyAlignment="1">
      <alignment/>
    </xf>
    <xf numFmtId="0" fontId="51" fillId="0" borderId="17" xfId="0" applyFont="1" applyBorder="1" applyAlignment="1">
      <alignment horizontal="right"/>
    </xf>
    <xf numFmtId="165" fontId="51" fillId="0" borderId="17" xfId="0" applyNumberFormat="1" applyFont="1" applyBorder="1" applyAlignment="1">
      <alignment/>
    </xf>
    <xf numFmtId="4" fontId="51" fillId="0" borderId="17" xfId="0" applyNumberFormat="1" applyFont="1" applyBorder="1" applyAlignment="1">
      <alignment horizontal="center"/>
    </xf>
    <xf numFmtId="165" fontId="55" fillId="0" borderId="17" xfId="0" applyNumberFormat="1" applyFont="1" applyBorder="1" applyAlignment="1">
      <alignment/>
    </xf>
    <xf numFmtId="165" fontId="55" fillId="0" borderId="18" xfId="0" applyNumberFormat="1" applyFont="1" applyBorder="1" applyAlignment="1">
      <alignment/>
    </xf>
    <xf numFmtId="0" fontId="52" fillId="0" borderId="0" xfId="0" applyFont="1" applyAlignment="1">
      <alignment horizontal="right"/>
    </xf>
    <xf numFmtId="4" fontId="52" fillId="0" borderId="0" xfId="0" applyNumberFormat="1" applyFont="1" applyAlignment="1">
      <alignment horizontal="center"/>
    </xf>
    <xf numFmtId="0" fontId="56" fillId="0" borderId="20" xfId="0" applyFont="1" applyBorder="1" applyAlignment="1">
      <alignment horizontal="center" vertical="center" wrapText="1"/>
    </xf>
    <xf numFmtId="165" fontId="56" fillId="0" borderId="20" xfId="0" applyNumberFormat="1" applyFont="1" applyBorder="1" applyAlignment="1">
      <alignment horizontal="center" vertical="center" wrapText="1"/>
    </xf>
    <xf numFmtId="4" fontId="56" fillId="0" borderId="20" xfId="0" applyNumberFormat="1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 wrapText="1"/>
    </xf>
    <xf numFmtId="165" fontId="52" fillId="0" borderId="20" xfId="0" applyNumberFormat="1" applyFont="1" applyBorder="1" applyAlignment="1">
      <alignment horizontal="center" vertical="center" wrapText="1"/>
    </xf>
    <xf numFmtId="165" fontId="52" fillId="0" borderId="20" xfId="0" applyNumberFormat="1" applyFont="1" applyBorder="1" applyAlignment="1">
      <alignment horizontal="center" vertical="center"/>
    </xf>
    <xf numFmtId="165" fontId="52" fillId="0" borderId="21" xfId="0" applyNumberFormat="1" applyFont="1" applyBorder="1" applyAlignment="1">
      <alignment horizontal="center" vertical="center"/>
    </xf>
    <xf numFmtId="4" fontId="51" fillId="0" borderId="0" xfId="0" applyNumberFormat="1" applyFont="1" applyAlignment="1">
      <alignment horizontal="right"/>
    </xf>
    <xf numFmtId="4" fontId="51" fillId="0" borderId="23" xfId="0" applyNumberFormat="1" applyFont="1" applyBorder="1" applyAlignment="1">
      <alignment horizontal="right"/>
    </xf>
    <xf numFmtId="164" fontId="51" fillId="0" borderId="26" xfId="0" applyNumberFormat="1" applyFont="1" applyBorder="1" applyAlignment="1">
      <alignment horizontal="right"/>
    </xf>
    <xf numFmtId="4" fontId="52" fillId="0" borderId="0" xfId="0" applyNumberFormat="1" applyFont="1" applyAlignment="1">
      <alignment horizontal="right"/>
    </xf>
    <xf numFmtId="4" fontId="52" fillId="0" borderId="0" xfId="0" applyNumberFormat="1" applyFont="1" applyAlignment="1">
      <alignment/>
    </xf>
    <xf numFmtId="4" fontId="52" fillId="0" borderId="20" xfId="0" applyNumberFormat="1" applyFont="1" applyBorder="1" applyAlignment="1">
      <alignment horizontal="center" vertical="center" wrapText="1"/>
    </xf>
    <xf numFmtId="4" fontId="52" fillId="0" borderId="20" xfId="0" applyNumberFormat="1" applyFont="1" applyBorder="1" applyAlignment="1">
      <alignment horizontal="center" vertical="center"/>
    </xf>
    <xf numFmtId="164" fontId="52" fillId="0" borderId="21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48" fillId="0" borderId="11" xfId="0" applyNumberFormat="1" applyFont="1" applyBorder="1" applyAlignment="1">
      <alignment/>
    </xf>
    <xf numFmtId="4" fontId="48" fillId="0" borderId="12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48" fillId="0" borderId="17" xfId="0" applyNumberFormat="1" applyFont="1" applyBorder="1" applyAlignment="1">
      <alignment/>
    </xf>
    <xf numFmtId="4" fontId="48" fillId="0" borderId="18" xfId="0" applyNumberFormat="1" applyFont="1" applyBorder="1" applyAlignment="1">
      <alignment/>
    </xf>
    <xf numFmtId="4" fontId="48" fillId="0" borderId="20" xfId="0" applyNumberFormat="1" applyFont="1" applyBorder="1" applyAlignment="1">
      <alignment horizontal="center" vertical="center"/>
    </xf>
    <xf numFmtId="4" fontId="48" fillId="0" borderId="21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/>
    </xf>
    <xf numFmtId="164" fontId="48" fillId="0" borderId="11" xfId="0" applyNumberFormat="1" applyFont="1" applyBorder="1" applyAlignment="1">
      <alignment/>
    </xf>
    <xf numFmtId="164" fontId="48" fillId="0" borderId="12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48" fillId="0" borderId="17" xfId="0" applyNumberFormat="1" applyFont="1" applyBorder="1" applyAlignment="1">
      <alignment/>
    </xf>
    <xf numFmtId="164" fontId="48" fillId="0" borderId="18" xfId="0" applyNumberFormat="1" applyFont="1" applyBorder="1" applyAlignment="1">
      <alignment/>
    </xf>
    <xf numFmtId="164" fontId="48" fillId="0" borderId="20" xfId="0" applyNumberFormat="1" applyFont="1" applyBorder="1" applyAlignment="1">
      <alignment horizontal="center" vertical="center"/>
    </xf>
    <xf numFmtId="164" fontId="48" fillId="0" borderId="21" xfId="0" applyNumberFormat="1" applyFont="1" applyBorder="1" applyAlignment="1">
      <alignment horizontal="center" vertical="center" wrapText="1"/>
    </xf>
    <xf numFmtId="3" fontId="0" fillId="0" borderId="27" xfId="0" applyNumberFormat="1" applyFont="1" applyBorder="1" applyAlignment="1">
      <alignment/>
    </xf>
    <xf numFmtId="0" fontId="0" fillId="0" borderId="27" xfId="0" applyFont="1" applyBorder="1" applyAlignment="1">
      <alignment/>
    </xf>
    <xf numFmtId="3" fontId="48" fillId="0" borderId="27" xfId="0" applyNumberFormat="1" applyFont="1" applyBorder="1" applyAlignment="1">
      <alignment/>
    </xf>
    <xf numFmtId="49" fontId="51" fillId="0" borderId="11" xfId="0" applyNumberFormat="1" applyFont="1" applyBorder="1" applyAlignment="1">
      <alignment/>
    </xf>
    <xf numFmtId="0" fontId="57" fillId="0" borderId="28" xfId="0" applyFont="1" applyBorder="1" applyAlignment="1">
      <alignment horizontal="center" wrapText="1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 quotePrefix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65" fontId="52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" fontId="52" fillId="0" borderId="29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2" fillId="0" borderId="3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164" fontId="52" fillId="0" borderId="35" xfId="0" applyNumberFormat="1" applyFont="1" applyBorder="1" applyAlignment="1">
      <alignment horizontal="center" vertical="center" wrapText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showGridLines="0" showZeros="0" tabSelected="1" zoomScalePageLayoutView="0" workbookViewId="0" topLeftCell="A1">
      <selection activeCell="L7" sqref="L7"/>
    </sheetView>
  </sheetViews>
  <sheetFormatPr defaultColWidth="8.796875" defaultRowHeight="15"/>
  <cols>
    <col min="1" max="1" width="4.59765625" style="24" customWidth="1"/>
    <col min="2" max="2" width="37.19921875" style="6" bestFit="1" customWidth="1"/>
    <col min="3" max="3" width="6.59765625" style="24" customWidth="1"/>
    <col min="4" max="4" width="16.09765625" style="6" bestFit="1" customWidth="1"/>
    <col min="5" max="5" width="15.59765625" style="7" hidden="1" customWidth="1"/>
    <col min="6" max="6" width="5.59765625" style="24" hidden="1" customWidth="1"/>
    <col min="7" max="7" width="15.8984375" style="7" customWidth="1"/>
    <col min="8" max="9" width="9" style="6" customWidth="1"/>
    <col min="10" max="12" width="10.8984375" style="6" bestFit="1" customWidth="1"/>
    <col min="13" max="16384" width="9" style="6" customWidth="1"/>
  </cols>
  <sheetData>
    <row r="1" spans="1:7" ht="15.75">
      <c r="A1" s="196" t="s">
        <v>562</v>
      </c>
      <c r="B1" s="196"/>
      <c r="C1" s="196"/>
      <c r="D1" s="196"/>
      <c r="E1" s="196"/>
      <c r="F1" s="196"/>
      <c r="G1" s="196"/>
    </row>
    <row r="2" spans="1:7" ht="15.75">
      <c r="A2" s="196" t="s">
        <v>563</v>
      </c>
      <c r="B2" s="196"/>
      <c r="C2" s="196"/>
      <c r="D2" s="196"/>
      <c r="E2" s="196"/>
      <c r="F2" s="196"/>
      <c r="G2" s="196"/>
    </row>
    <row r="3" spans="1:7" ht="15.75">
      <c r="A3" s="197" t="s">
        <v>564</v>
      </c>
      <c r="B3" s="197"/>
      <c r="C3" s="197"/>
      <c r="D3" s="197"/>
      <c r="E3" s="197"/>
      <c r="F3" s="197"/>
      <c r="G3" s="197"/>
    </row>
    <row r="4" spans="1:7" ht="8.25" customHeight="1">
      <c r="A4" s="33"/>
      <c r="B4" s="2"/>
      <c r="C4" s="33"/>
      <c r="D4" s="2"/>
      <c r="E4" s="4"/>
      <c r="F4" s="33"/>
      <c r="G4" s="4"/>
    </row>
    <row r="5" spans="1:7" ht="16.5">
      <c r="A5" s="198" t="s">
        <v>661</v>
      </c>
      <c r="B5" s="198"/>
      <c r="C5" s="198"/>
      <c r="D5" s="198"/>
      <c r="E5" s="198"/>
      <c r="F5" s="198"/>
      <c r="G5" s="198"/>
    </row>
    <row r="6" spans="1:7" ht="9.75" customHeight="1">
      <c r="A6" s="33"/>
      <c r="B6" s="2"/>
      <c r="C6" s="33"/>
      <c r="D6" s="2"/>
      <c r="E6" s="4"/>
      <c r="F6" s="33"/>
      <c r="G6" s="4"/>
    </row>
    <row r="7" spans="1:7" s="39" customFormat="1" ht="16.5">
      <c r="A7" s="194" t="s">
        <v>565</v>
      </c>
      <c r="B7" s="194"/>
      <c r="C7" s="194"/>
      <c r="D7" s="194"/>
      <c r="E7" s="194"/>
      <c r="F7" s="194"/>
      <c r="G7" s="194"/>
    </row>
    <row r="8" spans="1:7" s="39" customFormat="1" ht="16.5">
      <c r="A8" s="194" t="s">
        <v>643</v>
      </c>
      <c r="B8" s="194"/>
      <c r="C8" s="194"/>
      <c r="D8" s="194"/>
      <c r="E8" s="194"/>
      <c r="F8" s="194"/>
      <c r="G8" s="194"/>
    </row>
    <row r="9" spans="1:7" s="39" customFormat="1" ht="16.5">
      <c r="A9" s="194" t="s">
        <v>644</v>
      </c>
      <c r="B9" s="194"/>
      <c r="C9" s="194"/>
      <c r="D9" s="194"/>
      <c r="E9" s="194"/>
      <c r="F9" s="194"/>
      <c r="G9" s="194"/>
    </row>
    <row r="10" spans="1:7" ht="16.5" thickBot="1">
      <c r="A10" s="33"/>
      <c r="B10" s="2"/>
      <c r="C10" s="33"/>
      <c r="D10" s="2"/>
      <c r="E10" s="4"/>
      <c r="F10" s="33"/>
      <c r="G10" s="4"/>
    </row>
    <row r="11" spans="1:7" ht="36" customHeight="1">
      <c r="A11" s="34" t="s">
        <v>359</v>
      </c>
      <c r="B11" s="35" t="s">
        <v>568</v>
      </c>
      <c r="C11" s="36" t="s">
        <v>569</v>
      </c>
      <c r="D11" s="35" t="s">
        <v>570</v>
      </c>
      <c r="E11" s="37" t="s">
        <v>571</v>
      </c>
      <c r="F11" s="36" t="s">
        <v>572</v>
      </c>
      <c r="G11" s="38" t="s">
        <v>573</v>
      </c>
    </row>
    <row r="12" spans="1:7" ht="15.75">
      <c r="A12" s="25" t="s">
        <v>344</v>
      </c>
      <c r="B12" s="21" t="s">
        <v>343</v>
      </c>
      <c r="C12" s="29" t="s">
        <v>342</v>
      </c>
      <c r="D12" s="21" t="s">
        <v>645</v>
      </c>
      <c r="E12" s="22">
        <f>SUM(E13:E13)</f>
        <v>254677699.48272032</v>
      </c>
      <c r="F12" s="29"/>
      <c r="G12" s="23">
        <f>G13</f>
        <v>254678000</v>
      </c>
    </row>
    <row r="13" spans="1:7" ht="15">
      <c r="A13" s="26" t="s">
        <v>0</v>
      </c>
      <c r="B13" s="13" t="s">
        <v>341</v>
      </c>
      <c r="C13" s="30" t="s">
        <v>340</v>
      </c>
      <c r="D13" s="13" t="s">
        <v>339</v>
      </c>
      <c r="E13" s="14">
        <f>'CP Xay lap'!E20</f>
        <v>254677699.48272032</v>
      </c>
      <c r="F13" s="30"/>
      <c r="G13" s="15">
        <f>ROUND(E13,-3)</f>
        <v>254678000</v>
      </c>
    </row>
    <row r="14" spans="1:7" ht="15.75">
      <c r="A14" s="27" t="s">
        <v>338</v>
      </c>
      <c r="B14" s="9" t="s">
        <v>337</v>
      </c>
      <c r="C14" s="31" t="s">
        <v>336</v>
      </c>
      <c r="D14" s="9" t="s">
        <v>335</v>
      </c>
      <c r="E14" s="10">
        <f>E15</f>
        <v>7978357.749249584</v>
      </c>
      <c r="F14" s="31"/>
      <c r="G14" s="11">
        <f>G15</f>
        <v>7978000</v>
      </c>
    </row>
    <row r="15" spans="1:7" ht="15">
      <c r="A15" s="26" t="s">
        <v>0</v>
      </c>
      <c r="B15" s="13" t="s">
        <v>334</v>
      </c>
      <c r="C15" s="30" t="s">
        <v>333</v>
      </c>
      <c r="D15" s="13" t="s">
        <v>332</v>
      </c>
      <c r="E15" s="14">
        <f>E12*3.446/100/1.1</f>
        <v>7978357.749249584</v>
      </c>
      <c r="F15" s="30"/>
      <c r="G15" s="15">
        <f>ROUND(E15,-3)</f>
        <v>7978000</v>
      </c>
    </row>
    <row r="16" spans="1:7" ht="15.75">
      <c r="A16" s="27" t="s">
        <v>331</v>
      </c>
      <c r="B16" s="9" t="s">
        <v>330</v>
      </c>
      <c r="C16" s="31" t="s">
        <v>329</v>
      </c>
      <c r="D16" s="9" t="s">
        <v>328</v>
      </c>
      <c r="E16" s="10">
        <f>SUM(E17:E20)</f>
        <v>29320212.894384183</v>
      </c>
      <c r="F16" s="31"/>
      <c r="G16" s="11">
        <f>SUM(G17:G20)</f>
        <v>29320000</v>
      </c>
    </row>
    <row r="17" spans="1:7" ht="15">
      <c r="A17" s="26" t="s">
        <v>0</v>
      </c>
      <c r="B17" s="13" t="s">
        <v>327</v>
      </c>
      <c r="C17" s="30" t="s">
        <v>326</v>
      </c>
      <c r="D17" s="13" t="s">
        <v>325</v>
      </c>
      <c r="E17" s="14">
        <f>E12*6.5/100</f>
        <v>16554050.466376819</v>
      </c>
      <c r="F17" s="30"/>
      <c r="G17" s="15">
        <f>ROUND(E17,-3)</f>
        <v>16554000</v>
      </c>
    </row>
    <row r="18" spans="1:12" ht="15">
      <c r="A18" s="26" t="s">
        <v>0</v>
      </c>
      <c r="B18" s="13" t="s">
        <v>324</v>
      </c>
      <c r="C18" s="30" t="s">
        <v>323</v>
      </c>
      <c r="D18" s="13" t="s">
        <v>639</v>
      </c>
      <c r="E18" s="14">
        <f>2200000</f>
        <v>2200000</v>
      </c>
      <c r="F18" s="30"/>
      <c r="G18" s="15">
        <f>ROUND(E18,-3)</f>
        <v>2200000</v>
      </c>
      <c r="J18" s="189">
        <v>268308000</v>
      </c>
      <c r="K18" s="189">
        <f>G12</f>
        <v>254678000</v>
      </c>
      <c r="L18" s="189">
        <f aca="true" t="shared" si="0" ref="L18:L23">K18-J18</f>
        <v>-13630000</v>
      </c>
    </row>
    <row r="19" spans="1:12" ht="15">
      <c r="A19" s="26" t="s">
        <v>0</v>
      </c>
      <c r="B19" s="13" t="s">
        <v>322</v>
      </c>
      <c r="C19" s="30" t="s">
        <v>321</v>
      </c>
      <c r="D19" s="13" t="s">
        <v>639</v>
      </c>
      <c r="E19" s="14">
        <f>2200000</f>
        <v>2200000</v>
      </c>
      <c r="F19" s="30"/>
      <c r="G19" s="15">
        <f>ROUND(E19,-3)</f>
        <v>2200000</v>
      </c>
      <c r="J19" s="190"/>
      <c r="K19" s="189">
        <f>G14</f>
        <v>7978000</v>
      </c>
      <c r="L19" s="189">
        <f t="shared" si="0"/>
        <v>7978000</v>
      </c>
    </row>
    <row r="20" spans="1:12" ht="15">
      <c r="A20" s="26" t="s">
        <v>0</v>
      </c>
      <c r="B20" s="13" t="s">
        <v>320</v>
      </c>
      <c r="C20" s="30" t="s">
        <v>319</v>
      </c>
      <c r="D20" s="13" t="s">
        <v>318</v>
      </c>
      <c r="E20" s="14">
        <f>E12*3.285/100</f>
        <v>8366162.428007363</v>
      </c>
      <c r="F20" s="30"/>
      <c r="G20" s="15">
        <f>ROUND(E20,-3)</f>
        <v>8366000</v>
      </c>
      <c r="J20" s="189">
        <v>30654000</v>
      </c>
      <c r="K20" s="189">
        <f>G16</f>
        <v>29320000</v>
      </c>
      <c r="L20" s="189">
        <f t="shared" si="0"/>
        <v>-1334000</v>
      </c>
    </row>
    <row r="21" spans="1:12" ht="15.75">
      <c r="A21" s="27" t="s">
        <v>317</v>
      </c>
      <c r="B21" s="9" t="s">
        <v>316</v>
      </c>
      <c r="C21" s="31" t="s">
        <v>315</v>
      </c>
      <c r="D21" s="9" t="s">
        <v>646</v>
      </c>
      <c r="E21" s="10">
        <f>SUM(E22:E25)</f>
        <v>1907380.9595861763</v>
      </c>
      <c r="F21" s="31"/>
      <c r="G21" s="11">
        <f>SUM(G22:G25)</f>
        <v>1908000</v>
      </c>
      <c r="J21" s="189">
        <v>815000</v>
      </c>
      <c r="K21" s="189">
        <f>G21</f>
        <v>1908000</v>
      </c>
      <c r="L21" s="189">
        <f t="shared" si="0"/>
        <v>1093000</v>
      </c>
    </row>
    <row r="22" spans="1:12" ht="15">
      <c r="A22" s="26" t="s">
        <v>0</v>
      </c>
      <c r="B22" s="13" t="s">
        <v>648</v>
      </c>
      <c r="C22" s="30" t="s">
        <v>314</v>
      </c>
      <c r="D22" s="13" t="s">
        <v>635</v>
      </c>
      <c r="E22" s="14">
        <f>0.019/100*50/100*J29</f>
        <v>28499.999999999996</v>
      </c>
      <c r="F22" s="30"/>
      <c r="G22" s="15">
        <f>ROUND(E22,-3)</f>
        <v>29000</v>
      </c>
      <c r="J22" s="189">
        <v>223000</v>
      </c>
      <c r="K22" s="189">
        <f>G26</f>
        <v>6116000</v>
      </c>
      <c r="L22" s="189">
        <f t="shared" si="0"/>
        <v>5893000</v>
      </c>
    </row>
    <row r="23" spans="1:12" ht="15.75">
      <c r="A23" s="26" t="s">
        <v>0</v>
      </c>
      <c r="B23" s="13" t="s">
        <v>313</v>
      </c>
      <c r="C23" s="30" t="s">
        <v>312</v>
      </c>
      <c r="D23" s="13" t="s">
        <v>311</v>
      </c>
      <c r="E23" s="14">
        <f>E12*0.08/100</f>
        <v>203742.15958617625</v>
      </c>
      <c r="F23" s="30"/>
      <c r="G23" s="15">
        <f>ROUND(E23,-3)</f>
        <v>204000</v>
      </c>
      <c r="J23" s="191">
        <f>SUM(J18:J22)</f>
        <v>300000000</v>
      </c>
      <c r="K23" s="191">
        <f>SUM(K18:K22)</f>
        <v>300000000</v>
      </c>
      <c r="L23" s="189">
        <f t="shared" si="0"/>
        <v>0</v>
      </c>
    </row>
    <row r="24" spans="1:7" ht="15">
      <c r="A24" s="26" t="s">
        <v>0</v>
      </c>
      <c r="B24" s="13" t="s">
        <v>310</v>
      </c>
      <c r="C24" s="30" t="s">
        <v>309</v>
      </c>
      <c r="D24" s="13" t="s">
        <v>636</v>
      </c>
      <c r="E24" s="14">
        <f>(J29-E26)*0.57/100</f>
        <v>1675138.8</v>
      </c>
      <c r="F24" s="30"/>
      <c r="G24" s="15">
        <f>ROUND(E24,-3)</f>
        <v>1675000</v>
      </c>
    </row>
    <row r="25" spans="1:7" ht="15" hidden="1">
      <c r="A25" s="26" t="s">
        <v>0</v>
      </c>
      <c r="B25" s="13" t="s">
        <v>308</v>
      </c>
      <c r="C25" s="30" t="s">
        <v>307</v>
      </c>
      <c r="D25" s="13" t="s">
        <v>637</v>
      </c>
      <c r="E25" s="14"/>
      <c r="F25" s="30"/>
      <c r="G25" s="15">
        <f>E25*(1+F25/100)</f>
        <v>0</v>
      </c>
    </row>
    <row r="26" spans="1:7" ht="15.75">
      <c r="A26" s="27" t="s">
        <v>306</v>
      </c>
      <c r="B26" s="9" t="s">
        <v>305</v>
      </c>
      <c r="C26" s="31" t="s">
        <v>304</v>
      </c>
      <c r="D26" s="9" t="s">
        <v>638</v>
      </c>
      <c r="E26" s="10">
        <v>6116000</v>
      </c>
      <c r="F26" s="31"/>
      <c r="G26" s="11">
        <f>ROUND(E26,-3)</f>
        <v>6116000</v>
      </c>
    </row>
    <row r="27" spans="1:7" ht="15.75">
      <c r="A27" s="27" t="s">
        <v>303</v>
      </c>
      <c r="B27" s="9" t="s">
        <v>302</v>
      </c>
      <c r="C27" s="31" t="s">
        <v>301</v>
      </c>
      <c r="D27" s="9" t="s">
        <v>647</v>
      </c>
      <c r="E27" s="10">
        <f>ROUND(E12+E14+E16+E21+E26,-4)</f>
        <v>300000000</v>
      </c>
      <c r="F27" s="31"/>
      <c r="G27" s="11">
        <f>ROUND(E27,-4)</f>
        <v>300000000</v>
      </c>
    </row>
    <row r="28" spans="1:7" ht="15.75" thickBot="1">
      <c r="A28" s="28" t="s">
        <v>0</v>
      </c>
      <c r="B28" s="17" t="s">
        <v>0</v>
      </c>
      <c r="C28" s="32" t="s">
        <v>0</v>
      </c>
      <c r="D28" s="17" t="s">
        <v>0</v>
      </c>
      <c r="E28" s="18"/>
      <c r="F28" s="32"/>
      <c r="G28" s="19">
        <f>E28*(1+F28/100)</f>
        <v>0</v>
      </c>
    </row>
    <row r="29" spans="1:10" ht="15.75">
      <c r="A29" s="193"/>
      <c r="B29" s="193"/>
      <c r="C29" s="193"/>
      <c r="D29" s="193"/>
      <c r="E29" s="193"/>
      <c r="F29" s="193"/>
      <c r="G29" s="193"/>
      <c r="J29" s="10">
        <v>300000000</v>
      </c>
    </row>
    <row r="30" spans="4:10" ht="15.75">
      <c r="D30" s="195"/>
      <c r="E30" s="195"/>
      <c r="F30" s="195"/>
      <c r="G30" s="195"/>
      <c r="J30" s="10"/>
    </row>
    <row r="31" spans="4:7" ht="15.75">
      <c r="D31" s="196"/>
      <c r="E31" s="196"/>
      <c r="F31" s="196"/>
      <c r="G31" s="196"/>
    </row>
    <row r="32" spans="4:9" ht="15.75">
      <c r="D32" s="196"/>
      <c r="E32" s="196"/>
      <c r="F32" s="196"/>
      <c r="G32" s="196"/>
      <c r="I32" s="7">
        <f>J29-G12-G14-G16-G21</f>
        <v>6116000</v>
      </c>
    </row>
  </sheetData>
  <sheetProtection/>
  <mergeCells count="11">
    <mergeCell ref="A8:G8"/>
    <mergeCell ref="A29:G29"/>
    <mergeCell ref="A9:G9"/>
    <mergeCell ref="D30:G30"/>
    <mergeCell ref="D31:G31"/>
    <mergeCell ref="D32:G32"/>
    <mergeCell ref="A1:G1"/>
    <mergeCell ref="A2:G2"/>
    <mergeCell ref="A3:G3"/>
    <mergeCell ref="A5:G5"/>
    <mergeCell ref="A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showGridLines="0" showZeros="0" zoomScalePageLayoutView="0" workbookViewId="0" topLeftCell="A4">
      <selection activeCell="E20" sqref="E20"/>
    </sheetView>
  </sheetViews>
  <sheetFormatPr defaultColWidth="8.796875" defaultRowHeight="15"/>
  <cols>
    <col min="1" max="1" width="4.59765625" style="24" customWidth="1"/>
    <col min="2" max="2" width="35.19921875" style="6" bestFit="1" customWidth="1"/>
    <col min="3" max="3" width="5.5" style="24" customWidth="1"/>
    <col min="4" max="4" width="22.69921875" style="6" customWidth="1"/>
    <col min="5" max="5" width="16.3984375" style="7" customWidth="1"/>
    <col min="6" max="16384" width="9" style="6" customWidth="1"/>
  </cols>
  <sheetData>
    <row r="1" spans="1:5" ht="21">
      <c r="A1" s="199" t="s">
        <v>574</v>
      </c>
      <c r="B1" s="199"/>
      <c r="C1" s="199"/>
      <c r="D1" s="199"/>
      <c r="E1" s="199"/>
    </row>
    <row r="2" spans="1:5" ht="15.75">
      <c r="A2" s="33"/>
      <c r="B2" s="2"/>
      <c r="C2" s="33"/>
      <c r="D2" s="2"/>
      <c r="E2" s="4"/>
    </row>
    <row r="3" spans="1:5" s="39" customFormat="1" ht="16.5">
      <c r="A3" s="194" t="s">
        <v>565</v>
      </c>
      <c r="B3" s="194"/>
      <c r="C3" s="194"/>
      <c r="D3" s="194"/>
      <c r="E3" s="194"/>
    </row>
    <row r="4" spans="1:5" s="39" customFormat="1" ht="16.5">
      <c r="A4" s="194" t="s">
        <v>643</v>
      </c>
      <c r="B4" s="194"/>
      <c r="C4" s="194"/>
      <c r="D4" s="194"/>
      <c r="E4" s="194"/>
    </row>
    <row r="5" spans="1:5" s="39" customFormat="1" ht="16.5">
      <c r="A5" s="194" t="s">
        <v>644</v>
      </c>
      <c r="B5" s="194"/>
      <c r="C5" s="194"/>
      <c r="D5" s="194"/>
      <c r="E5" s="194"/>
    </row>
    <row r="6" spans="1:5" ht="16.5" thickBot="1">
      <c r="A6" s="33"/>
      <c r="B6" s="2"/>
      <c r="C6" s="33"/>
      <c r="D6" s="2"/>
      <c r="E6" s="4"/>
    </row>
    <row r="7" spans="1:5" ht="36" customHeight="1">
      <c r="A7" s="34" t="s">
        <v>359</v>
      </c>
      <c r="B7" s="35" t="s">
        <v>568</v>
      </c>
      <c r="C7" s="36" t="s">
        <v>569</v>
      </c>
      <c r="D7" s="35" t="s">
        <v>570</v>
      </c>
      <c r="E7" s="40" t="s">
        <v>575</v>
      </c>
    </row>
    <row r="8" spans="1:5" ht="15.75">
      <c r="A8" s="25" t="s">
        <v>383</v>
      </c>
      <c r="B8" s="21" t="s">
        <v>1</v>
      </c>
      <c r="C8" s="29" t="s">
        <v>0</v>
      </c>
      <c r="D8" s="21" t="s">
        <v>0</v>
      </c>
      <c r="E8" s="23"/>
    </row>
    <row r="9" spans="1:5" ht="15">
      <c r="A9" s="26" t="s">
        <v>0</v>
      </c>
      <c r="B9" s="13" t="s">
        <v>381</v>
      </c>
      <c r="C9" s="30" t="s">
        <v>380</v>
      </c>
      <c r="D9" s="13" t="s">
        <v>379</v>
      </c>
      <c r="E9" s="15">
        <f>E10+E11+E12</f>
        <v>197885616.04786992</v>
      </c>
    </row>
    <row r="10" spans="1:5" ht="15">
      <c r="A10" s="26" t="s">
        <v>0</v>
      </c>
      <c r="B10" s="13" t="s">
        <v>378</v>
      </c>
      <c r="C10" s="30" t="s">
        <v>377</v>
      </c>
      <c r="D10" s="13" t="s">
        <v>376</v>
      </c>
      <c r="E10" s="15">
        <f>'Du toan chi tiet'!I8</f>
        <v>136621250.95636508</v>
      </c>
    </row>
    <row r="11" spans="1:5" ht="15">
      <c r="A11" s="26" t="s">
        <v>0</v>
      </c>
      <c r="B11" s="13" t="s">
        <v>375</v>
      </c>
      <c r="C11" s="30" t="s">
        <v>374</v>
      </c>
      <c r="D11" s="13" t="s">
        <v>373</v>
      </c>
      <c r="E11" s="15">
        <f>'Du toan chi tiet'!J8</f>
        <v>58656020.07805159</v>
      </c>
    </row>
    <row r="12" spans="1:5" ht="15">
      <c r="A12" s="26" t="s">
        <v>0</v>
      </c>
      <c r="B12" s="13" t="s">
        <v>372</v>
      </c>
      <c r="C12" s="30" t="s">
        <v>371</v>
      </c>
      <c r="D12" s="13" t="s">
        <v>370</v>
      </c>
      <c r="E12" s="15">
        <f>'Du toan chi tiet'!K8</f>
        <v>2608345.0134532405</v>
      </c>
    </row>
    <row r="13" spans="1:5" ht="15">
      <c r="A13" s="26" t="s">
        <v>0</v>
      </c>
      <c r="B13" s="13" t="s">
        <v>369</v>
      </c>
      <c r="C13" s="30" t="s">
        <v>368</v>
      </c>
      <c r="D13" s="13" t="s">
        <v>367</v>
      </c>
      <c r="E13" s="15">
        <f>E14+E15+E16</f>
        <v>21569532.14921782</v>
      </c>
    </row>
    <row r="14" spans="1:5" ht="15">
      <c r="A14" s="26" t="s">
        <v>0</v>
      </c>
      <c r="B14" s="13" t="s">
        <v>366</v>
      </c>
      <c r="C14" s="30" t="s">
        <v>365</v>
      </c>
      <c r="D14" s="13" t="s">
        <v>364</v>
      </c>
      <c r="E14" s="15">
        <f>E9*7.3/100</f>
        <v>14445649.971494503</v>
      </c>
    </row>
    <row r="15" spans="1:5" ht="15">
      <c r="A15" s="26" t="s">
        <v>0</v>
      </c>
      <c r="B15" s="13" t="s">
        <v>363</v>
      </c>
      <c r="C15" s="30" t="s">
        <v>362</v>
      </c>
      <c r="D15" s="13" t="s">
        <v>361</v>
      </c>
      <c r="E15" s="15">
        <f>E9*1.1/100</f>
        <v>2176741.7765265694</v>
      </c>
    </row>
    <row r="16" spans="1:5" ht="15">
      <c r="A16" s="26" t="s">
        <v>0</v>
      </c>
      <c r="B16" s="13" t="s">
        <v>360</v>
      </c>
      <c r="C16" s="30" t="s">
        <v>359</v>
      </c>
      <c r="D16" s="13" t="s">
        <v>358</v>
      </c>
      <c r="E16" s="15">
        <f>E9*2.5/100</f>
        <v>4947140.401196748</v>
      </c>
    </row>
    <row r="17" spans="1:5" ht="15">
      <c r="A17" s="26" t="s">
        <v>0</v>
      </c>
      <c r="B17" s="13" t="s">
        <v>357</v>
      </c>
      <c r="C17" s="30" t="s">
        <v>356</v>
      </c>
      <c r="D17" s="13" t="s">
        <v>355</v>
      </c>
      <c r="E17" s="15">
        <f>(E9+E13)*5.5/100</f>
        <v>12070033.150839824</v>
      </c>
    </row>
    <row r="18" spans="1:5" ht="15.75">
      <c r="A18" s="27" t="s">
        <v>354</v>
      </c>
      <c r="B18" s="9" t="s">
        <v>353</v>
      </c>
      <c r="C18" s="31" t="s">
        <v>301</v>
      </c>
      <c r="D18" s="9" t="s">
        <v>352</v>
      </c>
      <c r="E18" s="11">
        <f>E9+E13+E17</f>
        <v>231525181.34792757</v>
      </c>
    </row>
    <row r="19" spans="1:5" ht="15">
      <c r="A19" s="26" t="s">
        <v>0</v>
      </c>
      <c r="B19" s="13" t="s">
        <v>351</v>
      </c>
      <c r="C19" s="30" t="s">
        <v>350</v>
      </c>
      <c r="D19" s="13" t="s">
        <v>349</v>
      </c>
      <c r="E19" s="15">
        <f>E18*10/100</f>
        <v>23152518.134792756</v>
      </c>
    </row>
    <row r="20" spans="1:5" ht="15.75">
      <c r="A20" s="27" t="s">
        <v>348</v>
      </c>
      <c r="B20" s="9" t="s">
        <v>347</v>
      </c>
      <c r="C20" s="31" t="s">
        <v>346</v>
      </c>
      <c r="D20" s="9" t="s">
        <v>345</v>
      </c>
      <c r="E20" s="11">
        <f>E18+E19</f>
        <v>254677699.48272032</v>
      </c>
    </row>
    <row r="21" spans="1:5" ht="15" hidden="1">
      <c r="A21" s="26" t="s">
        <v>0</v>
      </c>
      <c r="B21" s="13" t="s">
        <v>0</v>
      </c>
      <c r="C21" s="30" t="s">
        <v>0</v>
      </c>
      <c r="D21" s="13" t="s">
        <v>0</v>
      </c>
      <c r="E21" s="15"/>
    </row>
    <row r="22" spans="1:5" ht="15.75" hidden="1">
      <c r="A22" s="27" t="s">
        <v>382</v>
      </c>
      <c r="B22" s="9" t="s">
        <v>232</v>
      </c>
      <c r="C22" s="31" t="s">
        <v>0</v>
      </c>
      <c r="D22" s="9" t="s">
        <v>0</v>
      </c>
      <c r="E22" s="11"/>
    </row>
    <row r="23" spans="1:5" ht="15" hidden="1">
      <c r="A23" s="26" t="s">
        <v>0</v>
      </c>
      <c r="B23" s="13" t="s">
        <v>381</v>
      </c>
      <c r="C23" s="30" t="s">
        <v>380</v>
      </c>
      <c r="D23" s="13" t="s">
        <v>379</v>
      </c>
      <c r="E23" s="15">
        <f>E24+E25+E26</f>
        <v>1134916.6308000002</v>
      </c>
    </row>
    <row r="24" spans="1:5" ht="15" hidden="1">
      <c r="A24" s="26" t="s">
        <v>0</v>
      </c>
      <c r="B24" s="13" t="s">
        <v>378</v>
      </c>
      <c r="C24" s="30" t="s">
        <v>377</v>
      </c>
      <c r="D24" s="13" t="s">
        <v>376</v>
      </c>
      <c r="E24" s="15">
        <f>'Du toan chi tiet'!I94</f>
        <v>0</v>
      </c>
    </row>
    <row r="25" spans="1:5" ht="15" hidden="1">
      <c r="A25" s="26" t="s">
        <v>0</v>
      </c>
      <c r="B25" s="13" t="s">
        <v>375</v>
      </c>
      <c r="C25" s="30" t="s">
        <v>374</v>
      </c>
      <c r="D25" s="13" t="s">
        <v>373</v>
      </c>
      <c r="E25" s="15">
        <f>'Du toan chi tiet'!J94</f>
        <v>133321.112</v>
      </c>
    </row>
    <row r="26" spans="1:5" ht="15" hidden="1">
      <c r="A26" s="26" t="s">
        <v>0</v>
      </c>
      <c r="B26" s="13" t="s">
        <v>372</v>
      </c>
      <c r="C26" s="30" t="s">
        <v>371</v>
      </c>
      <c r="D26" s="13" t="s">
        <v>370</v>
      </c>
      <c r="E26" s="15">
        <f>'Du toan chi tiet'!K94</f>
        <v>1001595.5188000001</v>
      </c>
    </row>
    <row r="27" spans="1:5" ht="15" hidden="1">
      <c r="A27" s="26" t="s">
        <v>0</v>
      </c>
      <c r="B27" s="13" t="s">
        <v>369</v>
      </c>
      <c r="C27" s="30" t="s">
        <v>368</v>
      </c>
      <c r="D27" s="13" t="s">
        <v>367</v>
      </c>
      <c r="E27" s="15">
        <f>E28+E29+E30</f>
        <v>123705.91275720001</v>
      </c>
    </row>
    <row r="28" spans="1:5" ht="15" hidden="1">
      <c r="A28" s="26" t="s">
        <v>0</v>
      </c>
      <c r="B28" s="13" t="s">
        <v>366</v>
      </c>
      <c r="C28" s="30" t="s">
        <v>365</v>
      </c>
      <c r="D28" s="13" t="s">
        <v>364</v>
      </c>
      <c r="E28" s="15">
        <f>E23*7.3/100</f>
        <v>82848.91404840001</v>
      </c>
    </row>
    <row r="29" spans="1:5" ht="15" hidden="1">
      <c r="A29" s="26" t="s">
        <v>0</v>
      </c>
      <c r="B29" s="13" t="s">
        <v>363</v>
      </c>
      <c r="C29" s="30" t="s">
        <v>362</v>
      </c>
      <c r="D29" s="13" t="s">
        <v>361</v>
      </c>
      <c r="E29" s="15">
        <f>E23*1.1/100</f>
        <v>12484.082938800002</v>
      </c>
    </row>
    <row r="30" spans="1:5" ht="15" hidden="1">
      <c r="A30" s="26" t="s">
        <v>0</v>
      </c>
      <c r="B30" s="13" t="s">
        <v>360</v>
      </c>
      <c r="C30" s="30" t="s">
        <v>359</v>
      </c>
      <c r="D30" s="13" t="s">
        <v>358</v>
      </c>
      <c r="E30" s="15">
        <f>E23*2.5/100</f>
        <v>28372.915770000007</v>
      </c>
    </row>
    <row r="31" spans="1:5" ht="15" hidden="1">
      <c r="A31" s="26" t="s">
        <v>0</v>
      </c>
      <c r="B31" s="13" t="s">
        <v>357</v>
      </c>
      <c r="C31" s="30" t="s">
        <v>356</v>
      </c>
      <c r="D31" s="13" t="s">
        <v>355</v>
      </c>
      <c r="E31" s="15">
        <f>(E23+E27)*5.5/100</f>
        <v>69224.23989564601</v>
      </c>
    </row>
    <row r="32" spans="1:5" ht="15.75" hidden="1">
      <c r="A32" s="27" t="s">
        <v>354</v>
      </c>
      <c r="B32" s="9" t="s">
        <v>353</v>
      </c>
      <c r="C32" s="31" t="s">
        <v>301</v>
      </c>
      <c r="D32" s="9" t="s">
        <v>352</v>
      </c>
      <c r="E32" s="11">
        <f>E23+E27+E31</f>
        <v>1327846.783452846</v>
      </c>
    </row>
    <row r="33" spans="1:5" ht="15" hidden="1">
      <c r="A33" s="26" t="s">
        <v>0</v>
      </c>
      <c r="B33" s="13" t="s">
        <v>351</v>
      </c>
      <c r="C33" s="30" t="s">
        <v>350</v>
      </c>
      <c r="D33" s="13" t="s">
        <v>349</v>
      </c>
      <c r="E33" s="15">
        <f>E32*10/100</f>
        <v>132784.6783452846</v>
      </c>
    </row>
    <row r="34" spans="1:5" ht="15.75" hidden="1">
      <c r="A34" s="27" t="s">
        <v>348</v>
      </c>
      <c r="B34" s="9" t="s">
        <v>347</v>
      </c>
      <c r="C34" s="31" t="s">
        <v>346</v>
      </c>
      <c r="D34" s="9" t="s">
        <v>345</v>
      </c>
      <c r="E34" s="11">
        <f>E32+E33</f>
        <v>1460631.4617981308</v>
      </c>
    </row>
    <row r="35" spans="1:5" ht="15.75" thickBot="1">
      <c r="A35" s="28" t="s">
        <v>0</v>
      </c>
      <c r="B35" s="17" t="s">
        <v>0</v>
      </c>
      <c r="C35" s="32" t="s">
        <v>0</v>
      </c>
      <c r="D35" s="17" t="s">
        <v>0</v>
      </c>
      <c r="E35" s="19"/>
    </row>
    <row r="37" spans="4:5" ht="15">
      <c r="D37" s="195"/>
      <c r="E37" s="195"/>
    </row>
    <row r="38" spans="4:5" ht="15.75">
      <c r="D38" s="196"/>
      <c r="E38" s="196"/>
    </row>
    <row r="39" spans="4:5" ht="15.75">
      <c r="D39" s="196"/>
      <c r="E39" s="196"/>
    </row>
  </sheetData>
  <sheetProtection/>
  <mergeCells count="7">
    <mergeCell ref="D39:E39"/>
    <mergeCell ref="A1:E1"/>
    <mergeCell ref="A3:E3"/>
    <mergeCell ref="A4:E4"/>
    <mergeCell ref="A5:E5"/>
    <mergeCell ref="D37:E37"/>
    <mergeCell ref="D38:E3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6"/>
  <sheetViews>
    <sheetView showGridLines="0" showZeros="0" zoomScalePageLayoutView="0" workbookViewId="0" topLeftCell="A1">
      <selection activeCell="F14" sqref="F14"/>
    </sheetView>
  </sheetViews>
  <sheetFormatPr defaultColWidth="8.796875" defaultRowHeight="15"/>
  <cols>
    <col min="1" max="1" width="3.3984375" style="41" customWidth="1"/>
    <col min="2" max="2" width="8.8984375" style="41" customWidth="1"/>
    <col min="3" max="3" width="35.19921875" style="41" bestFit="1" customWidth="1"/>
    <col min="4" max="4" width="4.8984375" style="41" customWidth="1"/>
    <col min="5" max="5" width="9.69921875" style="69" customWidth="1"/>
    <col min="6" max="6" width="11.19921875" style="42" customWidth="1"/>
    <col min="7" max="7" width="10" style="42" customWidth="1"/>
    <col min="8" max="8" width="10.09765625" style="42" customWidth="1"/>
    <col min="9" max="9" width="9.5" style="43" bestFit="1" customWidth="1"/>
    <col min="10" max="10" width="9.09765625" style="43" bestFit="1" customWidth="1"/>
    <col min="11" max="11" width="10.3984375" style="43" bestFit="1" customWidth="1"/>
    <col min="12" max="16384" width="9" style="41" customWidth="1"/>
  </cols>
  <sheetData>
    <row r="1" spans="1:11" ht="21" customHeight="1">
      <c r="A1" s="199" t="s">
        <v>576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4.25">
      <c r="A2" s="44"/>
      <c r="B2" s="44"/>
      <c r="C2" s="44"/>
      <c r="D2" s="44"/>
      <c r="E2" s="74"/>
      <c r="F2" s="45"/>
      <c r="G2" s="45"/>
      <c r="H2" s="45"/>
      <c r="I2" s="46"/>
      <c r="J2" s="46"/>
      <c r="K2" s="46"/>
    </row>
    <row r="3" spans="1:11" s="39" customFormat="1" ht="16.5" customHeight="1">
      <c r="A3" s="194" t="s">
        <v>565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</row>
    <row r="4" spans="1:11" s="39" customFormat="1" ht="16.5" customHeight="1">
      <c r="A4" s="194" t="s">
        <v>650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</row>
    <row r="5" spans="1:11" ht="15" thickBot="1">
      <c r="A5" s="44"/>
      <c r="B5" s="44"/>
      <c r="C5" s="44"/>
      <c r="D5" s="44"/>
      <c r="E5" s="74"/>
      <c r="F5" s="45"/>
      <c r="G5" s="45"/>
      <c r="H5" s="45"/>
      <c r="I5" s="46"/>
      <c r="J5" s="46"/>
      <c r="K5" s="46"/>
    </row>
    <row r="6" spans="1:11" ht="22.5" customHeight="1">
      <c r="A6" s="205" t="s">
        <v>359</v>
      </c>
      <c r="B6" s="207" t="s">
        <v>578</v>
      </c>
      <c r="C6" s="209" t="s">
        <v>579</v>
      </c>
      <c r="D6" s="207" t="s">
        <v>580</v>
      </c>
      <c r="E6" s="210" t="s">
        <v>581</v>
      </c>
      <c r="F6" s="200" t="s">
        <v>577</v>
      </c>
      <c r="G6" s="201"/>
      <c r="H6" s="202"/>
      <c r="I6" s="203" t="s">
        <v>575</v>
      </c>
      <c r="J6" s="201"/>
      <c r="K6" s="204"/>
    </row>
    <row r="7" spans="1:11" ht="22.5" customHeight="1">
      <c r="A7" s="206"/>
      <c r="B7" s="208"/>
      <c r="C7" s="208"/>
      <c r="D7" s="208"/>
      <c r="E7" s="208"/>
      <c r="F7" s="75" t="s">
        <v>582</v>
      </c>
      <c r="G7" s="75" t="s">
        <v>583</v>
      </c>
      <c r="H7" s="75" t="s">
        <v>584</v>
      </c>
      <c r="I7" s="76" t="s">
        <v>582</v>
      </c>
      <c r="J7" s="76" t="s">
        <v>583</v>
      </c>
      <c r="K7" s="77" t="s">
        <v>585</v>
      </c>
    </row>
    <row r="8" spans="1:11" ht="14.25">
      <c r="A8" s="64" t="s">
        <v>2</v>
      </c>
      <c r="B8" s="65" t="s">
        <v>0</v>
      </c>
      <c r="C8" s="65" t="s">
        <v>1</v>
      </c>
      <c r="D8" s="65" t="s">
        <v>0</v>
      </c>
      <c r="E8" s="70"/>
      <c r="F8" s="66"/>
      <c r="G8" s="66"/>
      <c r="H8" s="66"/>
      <c r="I8" s="67">
        <f>SUM(I9:I93)</f>
        <v>136621250.95636508</v>
      </c>
      <c r="J8" s="67">
        <f>SUM(J9:J93)</f>
        <v>58656020.07805159</v>
      </c>
      <c r="K8" s="68">
        <f>SUM(K9:K93)</f>
        <v>2608345.0134532405</v>
      </c>
    </row>
    <row r="9" spans="1:11" ht="14.25">
      <c r="A9" s="49" t="s">
        <v>0</v>
      </c>
      <c r="B9" s="50" t="s">
        <v>0</v>
      </c>
      <c r="C9" s="55" t="s">
        <v>455</v>
      </c>
      <c r="D9" s="50" t="s">
        <v>0</v>
      </c>
      <c r="E9" s="71"/>
      <c r="F9" s="51"/>
      <c r="G9" s="51"/>
      <c r="H9" s="51"/>
      <c r="I9" s="52"/>
      <c r="J9" s="52"/>
      <c r="K9" s="53"/>
    </row>
    <row r="10" spans="1:11" ht="14.25">
      <c r="A10" s="49" t="s">
        <v>454</v>
      </c>
      <c r="B10" s="50" t="s">
        <v>3</v>
      </c>
      <c r="C10" s="50" t="s">
        <v>4</v>
      </c>
      <c r="D10" s="50" t="s">
        <v>5</v>
      </c>
      <c r="E10" s="71">
        <f>27.916</f>
        <v>27.916</v>
      </c>
      <c r="F10" s="51"/>
      <c r="G10" s="51">
        <f>'Phan tich don gia'!G10</f>
        <v>330024.392</v>
      </c>
      <c r="H10" s="51"/>
      <c r="I10" s="52">
        <f>E10*F10</f>
        <v>0</v>
      </c>
      <c r="J10" s="52">
        <f>E10*G10</f>
        <v>9212960.927072</v>
      </c>
      <c r="K10" s="53">
        <f>E10*H10</f>
        <v>0</v>
      </c>
    </row>
    <row r="11" spans="1:11" ht="14.25">
      <c r="A11" s="49" t="s">
        <v>0</v>
      </c>
      <c r="B11" s="50" t="s">
        <v>0</v>
      </c>
      <c r="C11" s="50" t="s">
        <v>6</v>
      </c>
      <c r="D11" s="50" t="s">
        <v>0</v>
      </c>
      <c r="E11" s="71"/>
      <c r="F11" s="51"/>
      <c r="G11" s="51"/>
      <c r="H11" s="51"/>
      <c r="I11" s="52"/>
      <c r="J11" s="52"/>
      <c r="K11" s="53"/>
    </row>
    <row r="12" spans="1:11" ht="14.25">
      <c r="A12" s="49" t="s">
        <v>450</v>
      </c>
      <c r="B12" s="50" t="s">
        <v>10</v>
      </c>
      <c r="C12" s="50" t="s">
        <v>11</v>
      </c>
      <c r="D12" s="50" t="s">
        <v>12</v>
      </c>
      <c r="E12" s="71">
        <f>9.688</f>
        <v>9.688</v>
      </c>
      <c r="F12" s="51">
        <f>'Phan tich don gia'!G15</f>
        <v>20008.42839</v>
      </c>
      <c r="G12" s="51">
        <f>'Phan tich don gia'!G20</f>
        <v>73178.64081</v>
      </c>
      <c r="H12" s="51">
        <f>'Phan tich don gia'!G22</f>
        <v>3841.98133</v>
      </c>
      <c r="I12" s="52">
        <f>E12*F12</f>
        <v>193841.65424232002</v>
      </c>
      <c r="J12" s="52">
        <f>E12*G12</f>
        <v>708954.67216728</v>
      </c>
      <c r="K12" s="53">
        <f>E12*H12</f>
        <v>37221.11512504</v>
      </c>
    </row>
    <row r="13" spans="1:11" ht="14.25">
      <c r="A13" s="49" t="s">
        <v>0</v>
      </c>
      <c r="B13" s="50" t="s">
        <v>0</v>
      </c>
      <c r="C13" s="50" t="s">
        <v>13</v>
      </c>
      <c r="D13" s="50" t="s">
        <v>0</v>
      </c>
      <c r="E13" s="71"/>
      <c r="F13" s="51"/>
      <c r="G13" s="51"/>
      <c r="H13" s="51"/>
      <c r="I13" s="52"/>
      <c r="J13" s="52"/>
      <c r="K13" s="53"/>
    </row>
    <row r="14" spans="1:11" ht="14.25">
      <c r="A14" s="49" t="s">
        <v>453</v>
      </c>
      <c r="B14" s="50" t="s">
        <v>22</v>
      </c>
      <c r="C14" s="50" t="s">
        <v>23</v>
      </c>
      <c r="D14" s="50" t="s">
        <v>5</v>
      </c>
      <c r="E14" s="71">
        <f>4.116</f>
        <v>4.116</v>
      </c>
      <c r="F14" s="51">
        <f>'Phan tich don gia'!G28</f>
        <v>818506.0376</v>
      </c>
      <c r="G14" s="51">
        <f>'Phan tich don gia'!G33</f>
        <v>246774.421</v>
      </c>
      <c r="H14" s="51">
        <f>'Phan tich don gia'!G35</f>
        <v>54409.0095</v>
      </c>
      <c r="I14" s="52">
        <f>E14*F14</f>
        <v>3368970.8507616</v>
      </c>
      <c r="J14" s="52">
        <f>E14*G14</f>
        <v>1015723.5168359999</v>
      </c>
      <c r="K14" s="53">
        <f>E14*H14</f>
        <v>223947.48310199997</v>
      </c>
    </row>
    <row r="15" spans="1:11" ht="14.25">
      <c r="A15" s="49" t="s">
        <v>0</v>
      </c>
      <c r="B15" s="50" t="s">
        <v>0</v>
      </c>
      <c r="C15" s="50" t="s">
        <v>24</v>
      </c>
      <c r="D15" s="50" t="s">
        <v>0</v>
      </c>
      <c r="E15" s="71"/>
      <c r="F15" s="51"/>
      <c r="G15" s="51"/>
      <c r="H15" s="51"/>
      <c r="I15" s="52"/>
      <c r="J15" s="52"/>
      <c r="K15" s="53"/>
    </row>
    <row r="16" spans="1:11" ht="14.25">
      <c r="A16" s="49" t="s">
        <v>452</v>
      </c>
      <c r="B16" s="50" t="s">
        <v>34</v>
      </c>
      <c r="C16" s="50" t="s">
        <v>35</v>
      </c>
      <c r="D16" s="50" t="s">
        <v>36</v>
      </c>
      <c r="E16" s="71">
        <f>0.136</f>
        <v>0.136</v>
      </c>
      <c r="F16" s="51">
        <f>'Phan tich don gia'!G41</f>
        <v>16791090.52234</v>
      </c>
      <c r="G16" s="51">
        <f>'Phan tich don gia'!G44</f>
        <v>2711150</v>
      </c>
      <c r="H16" s="51">
        <f>'Phan tich don gia'!G46</f>
        <v>111746.08</v>
      </c>
      <c r="I16" s="52">
        <f>E16*F16</f>
        <v>2283588.3110382403</v>
      </c>
      <c r="J16" s="52">
        <f>E16*G16</f>
        <v>368716.4</v>
      </c>
      <c r="K16" s="53">
        <f>E16*H16</f>
        <v>15197.466880000002</v>
      </c>
    </row>
    <row r="17" spans="1:11" ht="14.25">
      <c r="A17" s="49" t="s">
        <v>0</v>
      </c>
      <c r="B17" s="50" t="s">
        <v>0</v>
      </c>
      <c r="C17" s="50" t="s">
        <v>37</v>
      </c>
      <c r="D17" s="50" t="s">
        <v>0</v>
      </c>
      <c r="E17" s="71"/>
      <c r="F17" s="51"/>
      <c r="G17" s="51"/>
      <c r="H17" s="51"/>
      <c r="I17" s="52"/>
      <c r="J17" s="52"/>
      <c r="K17" s="53"/>
    </row>
    <row r="18" spans="1:11" ht="14.25">
      <c r="A18" s="49" t="s">
        <v>451</v>
      </c>
      <c r="B18" s="50" t="s">
        <v>43</v>
      </c>
      <c r="C18" s="50" t="s">
        <v>35</v>
      </c>
      <c r="D18" s="50" t="s">
        <v>36</v>
      </c>
      <c r="E18" s="71">
        <f>0.043</f>
        <v>0.043</v>
      </c>
      <c r="F18" s="51">
        <f>'Phan tich don gia'!G51</f>
        <v>16858033.52884</v>
      </c>
      <c r="G18" s="51">
        <f>'Phan tich don gia'!G55</f>
        <v>1934374</v>
      </c>
      <c r="H18" s="51">
        <f>'Phan tich don gia'!G57</f>
        <v>547945.36</v>
      </c>
      <c r="I18" s="52">
        <f>E18*F18</f>
        <v>724895.4417401201</v>
      </c>
      <c r="J18" s="52">
        <f>E18*G18</f>
        <v>83178.082</v>
      </c>
      <c r="K18" s="53">
        <f>E18*H18</f>
        <v>23561.650479999997</v>
      </c>
    </row>
    <row r="19" spans="1:11" ht="14.25">
      <c r="A19" s="49" t="s">
        <v>0</v>
      </c>
      <c r="B19" s="50" t="s">
        <v>0</v>
      </c>
      <c r="C19" s="50" t="s">
        <v>44</v>
      </c>
      <c r="D19" s="50" t="s">
        <v>0</v>
      </c>
      <c r="E19" s="71"/>
      <c r="F19" s="51"/>
      <c r="G19" s="51"/>
      <c r="H19" s="51"/>
      <c r="I19" s="52"/>
      <c r="J19" s="52"/>
      <c r="K19" s="53"/>
    </row>
    <row r="20" spans="1:11" ht="14.25">
      <c r="A20" s="49" t="s">
        <v>450</v>
      </c>
      <c r="B20" s="50" t="s">
        <v>10</v>
      </c>
      <c r="C20" s="50" t="s">
        <v>47</v>
      </c>
      <c r="D20" s="50" t="s">
        <v>12</v>
      </c>
      <c r="E20" s="71">
        <f>7.68</f>
        <v>7.68</v>
      </c>
      <c r="F20" s="51">
        <f>'Phan tich don gia'!G15</f>
        <v>20008.42839</v>
      </c>
      <c r="G20" s="51">
        <f>'Phan tich don gia'!G20</f>
        <v>73178.64081</v>
      </c>
      <c r="H20" s="51">
        <f>'Phan tich don gia'!G22</f>
        <v>3841.98133</v>
      </c>
      <c r="I20" s="52">
        <f>E20*F20</f>
        <v>153664.7300352</v>
      </c>
      <c r="J20" s="52">
        <f>E20*G20</f>
        <v>562011.9614208</v>
      </c>
      <c r="K20" s="53">
        <f>E20*H20</f>
        <v>29506.4166144</v>
      </c>
    </row>
    <row r="21" spans="1:11" ht="14.25">
      <c r="A21" s="49" t="s">
        <v>0</v>
      </c>
      <c r="B21" s="50" t="s">
        <v>0</v>
      </c>
      <c r="C21" s="50" t="s">
        <v>13</v>
      </c>
      <c r="D21" s="50" t="s">
        <v>0</v>
      </c>
      <c r="E21" s="71"/>
      <c r="F21" s="51"/>
      <c r="G21" s="51"/>
      <c r="H21" s="51"/>
      <c r="I21" s="52"/>
      <c r="J21" s="52"/>
      <c r="K21" s="53"/>
    </row>
    <row r="22" spans="1:11" ht="14.25">
      <c r="A22" s="49" t="s">
        <v>449</v>
      </c>
      <c r="B22" s="50" t="s">
        <v>49</v>
      </c>
      <c r="C22" s="50" t="s">
        <v>50</v>
      </c>
      <c r="D22" s="50" t="s">
        <v>5</v>
      </c>
      <c r="E22" s="71">
        <f>3.955</f>
        <v>3.955</v>
      </c>
      <c r="F22" s="51">
        <f>'Phan tich don gia'!G63</f>
        <v>1051793.04282</v>
      </c>
      <c r="G22" s="51">
        <f>'Phan tich don gia'!G69</f>
        <v>283675.269</v>
      </c>
      <c r="H22" s="51">
        <f>'Phan tich don gia'!G71</f>
        <v>54756.7503</v>
      </c>
      <c r="I22" s="52">
        <f>E22*F22</f>
        <v>4159841.4843531004</v>
      </c>
      <c r="J22" s="52">
        <f>E22*G22</f>
        <v>1121935.688895</v>
      </c>
      <c r="K22" s="53">
        <f>E22*H22</f>
        <v>216562.9474365</v>
      </c>
    </row>
    <row r="23" spans="1:11" ht="14.25">
      <c r="A23" s="49" t="s">
        <v>0</v>
      </c>
      <c r="B23" s="50" t="s">
        <v>0</v>
      </c>
      <c r="C23" s="50" t="s">
        <v>51</v>
      </c>
      <c r="D23" s="50" t="s">
        <v>0</v>
      </c>
      <c r="E23" s="71"/>
      <c r="F23" s="51"/>
      <c r="G23" s="51"/>
      <c r="H23" s="51"/>
      <c r="I23" s="52"/>
      <c r="J23" s="52"/>
      <c r="K23" s="53"/>
    </row>
    <row r="24" spans="1:11" ht="14.25">
      <c r="A24" s="49" t="s">
        <v>448</v>
      </c>
      <c r="B24" s="50" t="s">
        <v>56</v>
      </c>
      <c r="C24" s="50" t="s">
        <v>57</v>
      </c>
      <c r="D24" s="50" t="s">
        <v>5</v>
      </c>
      <c r="E24" s="71">
        <f>19.191</f>
        <v>19.191</v>
      </c>
      <c r="F24" s="51">
        <f>'Phan tich don gia'!G77</f>
        <v>1668706.13307</v>
      </c>
      <c r="G24" s="51">
        <f>'Phan tich don gia'!G83</f>
        <v>622934</v>
      </c>
      <c r="H24" s="51">
        <f>'Phan tich don gia'!G85</f>
        <v>10304.46701</v>
      </c>
      <c r="I24" s="52">
        <f>E24*F24</f>
        <v>32024139.39974637</v>
      </c>
      <c r="J24" s="52">
        <f>E24*G24</f>
        <v>11954726.394</v>
      </c>
      <c r="K24" s="53">
        <f>E24*H24</f>
        <v>197753.02638891</v>
      </c>
    </row>
    <row r="25" spans="1:11" ht="14.25">
      <c r="A25" s="49" t="s">
        <v>0</v>
      </c>
      <c r="B25" s="50" t="s">
        <v>0</v>
      </c>
      <c r="C25" s="50" t="s">
        <v>58</v>
      </c>
      <c r="D25" s="50" t="s">
        <v>0</v>
      </c>
      <c r="E25" s="71"/>
      <c r="F25" s="51"/>
      <c r="G25" s="51"/>
      <c r="H25" s="51"/>
      <c r="I25" s="52"/>
      <c r="J25" s="52"/>
      <c r="K25" s="53"/>
    </row>
    <row r="26" spans="1:11" ht="14.25">
      <c r="A26" s="49" t="s">
        <v>447</v>
      </c>
      <c r="B26" s="50" t="s">
        <v>64</v>
      </c>
      <c r="C26" s="50" t="s">
        <v>65</v>
      </c>
      <c r="D26" s="50" t="s">
        <v>5</v>
      </c>
      <c r="E26" s="71">
        <f>1.52</f>
        <v>1.52</v>
      </c>
      <c r="F26" s="51">
        <f>'Phan tich don gia'!G91</f>
        <v>988453.06141</v>
      </c>
      <c r="G26" s="51">
        <f>'Phan tich don gia'!G97</f>
        <v>615782.901</v>
      </c>
      <c r="H26" s="51">
        <f>'Phan tich don gia'!G99</f>
        <v>79769.1195</v>
      </c>
      <c r="I26" s="52">
        <f>E26*F26</f>
        <v>1502448.6533432</v>
      </c>
      <c r="J26" s="52">
        <f>E26*G26</f>
        <v>935990.00952</v>
      </c>
      <c r="K26" s="53">
        <f>E26*H26</f>
        <v>121249.06164</v>
      </c>
    </row>
    <row r="27" spans="1:11" ht="14.25">
      <c r="A27" s="49" t="s">
        <v>0</v>
      </c>
      <c r="B27" s="50" t="s">
        <v>0</v>
      </c>
      <c r="C27" s="50" t="s">
        <v>66</v>
      </c>
      <c r="D27" s="50" t="s">
        <v>0</v>
      </c>
      <c r="E27" s="71"/>
      <c r="F27" s="51"/>
      <c r="G27" s="51"/>
      <c r="H27" s="51"/>
      <c r="I27" s="52"/>
      <c r="J27" s="52"/>
      <c r="K27" s="53"/>
    </row>
    <row r="28" spans="1:11" ht="14.25">
      <c r="A28" s="49" t="s">
        <v>446</v>
      </c>
      <c r="B28" s="50" t="s">
        <v>68</v>
      </c>
      <c r="C28" s="50" t="s">
        <v>69</v>
      </c>
      <c r="D28" s="50" t="s">
        <v>12</v>
      </c>
      <c r="E28" s="71">
        <f>13.82</f>
        <v>13.82</v>
      </c>
      <c r="F28" s="51">
        <f>'Phan tich don gia'!G104</f>
        <v>83060.05755</v>
      </c>
      <c r="G28" s="51">
        <f>'Phan tich don gia'!G110</f>
        <v>69355</v>
      </c>
      <c r="H28" s="51"/>
      <c r="I28" s="52">
        <f>E28*F28</f>
        <v>1147889.995341</v>
      </c>
      <c r="J28" s="52">
        <f>E28*G28</f>
        <v>958486.1</v>
      </c>
      <c r="K28" s="53">
        <f>E28*H28</f>
        <v>0</v>
      </c>
    </row>
    <row r="29" spans="1:11" ht="14.25">
      <c r="A29" s="49" t="s">
        <v>0</v>
      </c>
      <c r="B29" s="50" t="s">
        <v>0</v>
      </c>
      <c r="C29" s="50"/>
      <c r="D29" s="50" t="s">
        <v>0</v>
      </c>
      <c r="E29" s="71"/>
      <c r="F29" s="51"/>
      <c r="G29" s="51"/>
      <c r="H29" s="51"/>
      <c r="I29" s="52"/>
      <c r="J29" s="52"/>
      <c r="K29" s="53"/>
    </row>
    <row r="30" spans="1:11" ht="14.25">
      <c r="A30" s="49" t="s">
        <v>445</v>
      </c>
      <c r="B30" s="50" t="s">
        <v>75</v>
      </c>
      <c r="C30" s="50" t="s">
        <v>76</v>
      </c>
      <c r="D30" s="50" t="s">
        <v>36</v>
      </c>
      <c r="E30" s="71">
        <f>0.062</f>
        <v>0.062</v>
      </c>
      <c r="F30" s="51">
        <f>'Phan tich don gia'!G115</f>
        <v>16791090.52234</v>
      </c>
      <c r="G30" s="51">
        <f>'Phan tich don gia'!G118</f>
        <v>3881358</v>
      </c>
      <c r="H30" s="51">
        <f>'Phan tich don gia'!G120</f>
        <v>111746.08</v>
      </c>
      <c r="I30" s="52">
        <f>E30*F30</f>
        <v>1041047.61238508</v>
      </c>
      <c r="J30" s="52">
        <f>E30*G30</f>
        <v>240644.196</v>
      </c>
      <c r="K30" s="53">
        <f>E30*H30</f>
        <v>6928.25696</v>
      </c>
    </row>
    <row r="31" spans="1:11" ht="14.25">
      <c r="A31" s="49" t="s">
        <v>0</v>
      </c>
      <c r="B31" s="50" t="s">
        <v>0</v>
      </c>
      <c r="C31" s="50" t="s">
        <v>77</v>
      </c>
      <c r="D31" s="50" t="s">
        <v>0</v>
      </c>
      <c r="E31" s="71"/>
      <c r="F31" s="51"/>
      <c r="G31" s="51"/>
      <c r="H31" s="51"/>
      <c r="I31" s="52"/>
      <c r="J31" s="52"/>
      <c r="K31" s="53"/>
    </row>
    <row r="32" spans="1:11" ht="14.25">
      <c r="A32" s="49" t="s">
        <v>444</v>
      </c>
      <c r="B32" s="50" t="s">
        <v>79</v>
      </c>
      <c r="C32" s="50" t="s">
        <v>76</v>
      </c>
      <c r="D32" s="50" t="s">
        <v>36</v>
      </c>
      <c r="E32" s="71">
        <f>0.099</f>
        <v>0.099</v>
      </c>
      <c r="F32" s="51">
        <f>'Phan tich don gia'!G125</f>
        <v>16859124.43793</v>
      </c>
      <c r="G32" s="51">
        <f>'Phan tich don gia'!G129</f>
        <v>2330328</v>
      </c>
      <c r="H32" s="51">
        <f>'Phan tich don gia'!G131</f>
        <v>553267.7979</v>
      </c>
      <c r="I32" s="52">
        <f>E32*F32</f>
        <v>1669053.31935507</v>
      </c>
      <c r="J32" s="52">
        <f>E32*G32</f>
        <v>230702.472</v>
      </c>
      <c r="K32" s="53">
        <f>E32*H32</f>
        <v>54773.5119921</v>
      </c>
    </row>
    <row r="33" spans="1:11" ht="14.25">
      <c r="A33" s="49" t="s">
        <v>0</v>
      </c>
      <c r="B33" s="50" t="s">
        <v>0</v>
      </c>
      <c r="C33" s="50" t="s">
        <v>80</v>
      </c>
      <c r="D33" s="50" t="s">
        <v>0</v>
      </c>
      <c r="E33" s="71"/>
      <c r="F33" s="51"/>
      <c r="G33" s="51"/>
      <c r="H33" s="51"/>
      <c r="I33" s="52"/>
      <c r="J33" s="52"/>
      <c r="K33" s="53"/>
    </row>
    <row r="34" spans="1:11" ht="14.25">
      <c r="A34" s="49" t="s">
        <v>443</v>
      </c>
      <c r="B34" s="50" t="s">
        <v>82</v>
      </c>
      <c r="C34" s="50" t="s">
        <v>83</v>
      </c>
      <c r="D34" s="50" t="s">
        <v>12</v>
      </c>
      <c r="E34" s="71">
        <f>8.448</f>
        <v>8.448</v>
      </c>
      <c r="F34" s="51">
        <f>'Phan tich don gia'!G137</f>
        <v>31318.22142</v>
      </c>
      <c r="G34" s="51">
        <f>'Phan tich don gia'!G143</f>
        <v>81939.27121</v>
      </c>
      <c r="H34" s="51">
        <f>'Phan tich don gia'!G145</f>
        <v>6264.09999</v>
      </c>
      <c r="I34" s="52">
        <f>E34*F34</f>
        <v>264576.33455616</v>
      </c>
      <c r="J34" s="52">
        <f>E34*G34</f>
        <v>692222.9631820801</v>
      </c>
      <c r="K34" s="53">
        <f>E34*H34</f>
        <v>52919.11671552</v>
      </c>
    </row>
    <row r="35" spans="1:11" ht="14.25">
      <c r="A35" s="49" t="s">
        <v>0</v>
      </c>
      <c r="B35" s="50" t="s">
        <v>0</v>
      </c>
      <c r="C35" s="50" t="s">
        <v>84</v>
      </c>
      <c r="D35" s="50" t="s">
        <v>0</v>
      </c>
      <c r="E35" s="71"/>
      <c r="F35" s="51"/>
      <c r="G35" s="51"/>
      <c r="H35" s="51"/>
      <c r="I35" s="52"/>
      <c r="J35" s="52"/>
      <c r="K35" s="53"/>
    </row>
    <row r="36" spans="1:11" ht="14.25">
      <c r="A36" s="49" t="s">
        <v>442</v>
      </c>
      <c r="B36" s="50" t="s">
        <v>87</v>
      </c>
      <c r="C36" s="50" t="s">
        <v>88</v>
      </c>
      <c r="D36" s="50" t="s">
        <v>36</v>
      </c>
      <c r="E36" s="71">
        <f>0.115</f>
        <v>0.115</v>
      </c>
      <c r="F36" s="51">
        <f>'Phan tich don gia'!G151</f>
        <v>16791090.52234</v>
      </c>
      <c r="G36" s="51">
        <f>'Phan tich don gia'!G154</f>
        <v>3566108</v>
      </c>
      <c r="H36" s="51">
        <f>'Phan tich don gia'!G156</f>
        <v>111746.08</v>
      </c>
      <c r="I36" s="52">
        <f>E36*F36</f>
        <v>1930975.4100691</v>
      </c>
      <c r="J36" s="52">
        <f>E36*G36</f>
        <v>410102.42000000004</v>
      </c>
      <c r="K36" s="53">
        <f>E36*H36</f>
        <v>12850.799200000001</v>
      </c>
    </row>
    <row r="37" spans="1:11" ht="14.25">
      <c r="A37" s="49" t="s">
        <v>0</v>
      </c>
      <c r="B37" s="50" t="s">
        <v>0</v>
      </c>
      <c r="C37" s="50" t="s">
        <v>77</v>
      </c>
      <c r="D37" s="50" t="s">
        <v>0</v>
      </c>
      <c r="E37" s="71"/>
      <c r="F37" s="51"/>
      <c r="G37" s="51"/>
      <c r="H37" s="51"/>
      <c r="I37" s="52"/>
      <c r="J37" s="52"/>
      <c r="K37" s="53"/>
    </row>
    <row r="38" spans="1:11" ht="14.25">
      <c r="A38" s="49" t="s">
        <v>441</v>
      </c>
      <c r="B38" s="50" t="s">
        <v>90</v>
      </c>
      <c r="C38" s="50" t="s">
        <v>88</v>
      </c>
      <c r="D38" s="50" t="s">
        <v>36</v>
      </c>
      <c r="E38" s="71">
        <f>0.137</f>
        <v>0.137</v>
      </c>
      <c r="F38" s="51">
        <f>'Phan tich don gia'!G161</f>
        <v>16861306.2561</v>
      </c>
      <c r="G38" s="51">
        <f>'Phan tich don gia'!G165</f>
        <v>2325284</v>
      </c>
      <c r="H38" s="51">
        <f>'Phan tich don gia'!G167</f>
        <v>564322.092</v>
      </c>
      <c r="I38" s="52">
        <f>E38*F38</f>
        <v>2309998.9570857002</v>
      </c>
      <c r="J38" s="52">
        <f>E38*G38</f>
        <v>318563.908</v>
      </c>
      <c r="K38" s="53">
        <f>E38*H38</f>
        <v>77312.126604</v>
      </c>
    </row>
    <row r="39" spans="1:11" ht="14.25">
      <c r="A39" s="49" t="s">
        <v>0</v>
      </c>
      <c r="B39" s="50" t="s">
        <v>0</v>
      </c>
      <c r="C39" s="50" t="s">
        <v>80</v>
      </c>
      <c r="D39" s="50" t="s">
        <v>0</v>
      </c>
      <c r="E39" s="71"/>
      <c r="F39" s="51"/>
      <c r="G39" s="51"/>
      <c r="H39" s="51"/>
      <c r="I39" s="52"/>
      <c r="J39" s="52"/>
      <c r="K39" s="53"/>
    </row>
    <row r="40" spans="1:11" ht="14.25">
      <c r="A40" s="49" t="s">
        <v>440</v>
      </c>
      <c r="B40" s="50" t="s">
        <v>92</v>
      </c>
      <c r="C40" s="50" t="s">
        <v>93</v>
      </c>
      <c r="D40" s="50" t="s">
        <v>5</v>
      </c>
      <c r="E40" s="71">
        <f>1.704</f>
        <v>1.704</v>
      </c>
      <c r="F40" s="51">
        <f>'Phan tich don gia'!G173</f>
        <v>1093448.21284</v>
      </c>
      <c r="G40" s="51">
        <f>'Phan tich don gia'!G179</f>
        <v>849914</v>
      </c>
      <c r="H40" s="51">
        <f>'Phan tich don gia'!G181</f>
        <v>79769.1195</v>
      </c>
      <c r="I40" s="52">
        <f>E40*F40</f>
        <v>1863235.7546793597</v>
      </c>
      <c r="J40" s="52">
        <f>E40*G40</f>
        <v>1448253.456</v>
      </c>
      <c r="K40" s="53">
        <f>E40*H40</f>
        <v>135926.579628</v>
      </c>
    </row>
    <row r="41" spans="1:11" ht="14.25">
      <c r="A41" s="49" t="s">
        <v>0</v>
      </c>
      <c r="B41" s="50" t="s">
        <v>0</v>
      </c>
      <c r="C41" s="50" t="s">
        <v>94</v>
      </c>
      <c r="D41" s="50" t="s">
        <v>0</v>
      </c>
      <c r="E41" s="71"/>
      <c r="F41" s="51"/>
      <c r="G41" s="51"/>
      <c r="H41" s="51"/>
      <c r="I41" s="52"/>
      <c r="J41" s="52"/>
      <c r="K41" s="53"/>
    </row>
    <row r="42" spans="1:11" ht="14.25">
      <c r="A42" s="49" t="s">
        <v>439</v>
      </c>
      <c r="B42" s="50" t="s">
        <v>96</v>
      </c>
      <c r="C42" s="50" t="s">
        <v>97</v>
      </c>
      <c r="D42" s="50" t="s">
        <v>5</v>
      </c>
      <c r="E42" s="71">
        <f>9.305</f>
        <v>9.305</v>
      </c>
      <c r="F42" s="51"/>
      <c r="G42" s="51">
        <f>'Phan tich don gia'!G187</f>
        <v>13528.81448</v>
      </c>
      <c r="H42" s="51">
        <f>'Phan tich don gia'!G189</f>
        <v>14471.5457</v>
      </c>
      <c r="I42" s="52">
        <f>E42*F42</f>
        <v>0</v>
      </c>
      <c r="J42" s="52">
        <f>E42*G42</f>
        <v>125885.61873639999</v>
      </c>
      <c r="K42" s="53">
        <f>E42*H42</f>
        <v>134657.7327385</v>
      </c>
    </row>
    <row r="43" spans="1:11" ht="14.25">
      <c r="A43" s="49" t="s">
        <v>0</v>
      </c>
      <c r="B43" s="50" t="s">
        <v>0</v>
      </c>
      <c r="C43" s="50" t="s">
        <v>649</v>
      </c>
      <c r="D43" s="50" t="s">
        <v>0</v>
      </c>
      <c r="E43" s="71"/>
      <c r="F43" s="51"/>
      <c r="G43" s="51"/>
      <c r="H43" s="51"/>
      <c r="I43" s="52"/>
      <c r="J43" s="52"/>
      <c r="K43" s="53"/>
    </row>
    <row r="44" spans="1:11" ht="14.25">
      <c r="A44" s="49" t="s">
        <v>438</v>
      </c>
      <c r="B44" s="50" t="s">
        <v>101</v>
      </c>
      <c r="C44" s="50" t="s">
        <v>102</v>
      </c>
      <c r="D44" s="50" t="s">
        <v>5</v>
      </c>
      <c r="E44" s="71">
        <f>12.309</f>
        <v>12.309</v>
      </c>
      <c r="F44" s="51">
        <f>'Phan tich don gia'!G194</f>
        <v>222844.224</v>
      </c>
      <c r="G44" s="51">
        <f>'Phan tich don gia'!G196</f>
        <v>9135.77456</v>
      </c>
      <c r="H44" s="51">
        <f>'Phan tich don gia'!G198</f>
        <v>7800.82178</v>
      </c>
      <c r="I44" s="52">
        <f>E44*F44</f>
        <v>2742989.5532159996</v>
      </c>
      <c r="J44" s="52">
        <f>E44*G44</f>
        <v>112452.24905904</v>
      </c>
      <c r="K44" s="53">
        <f>E44*H44</f>
        <v>96020.31529002</v>
      </c>
    </row>
    <row r="45" spans="1:11" ht="14.25">
      <c r="A45" s="49" t="s">
        <v>0</v>
      </c>
      <c r="B45" s="50" t="s">
        <v>0</v>
      </c>
      <c r="C45" s="50" t="s">
        <v>103</v>
      </c>
      <c r="D45" s="50" t="s">
        <v>0</v>
      </c>
      <c r="E45" s="71"/>
      <c r="F45" s="51"/>
      <c r="G45" s="51"/>
      <c r="H45" s="51"/>
      <c r="I45" s="52"/>
      <c r="J45" s="52"/>
      <c r="K45" s="53"/>
    </row>
    <row r="46" spans="1:11" ht="14.25">
      <c r="A46" s="49" t="s">
        <v>437</v>
      </c>
      <c r="B46" s="50" t="s">
        <v>106</v>
      </c>
      <c r="C46" s="50" t="s">
        <v>107</v>
      </c>
      <c r="D46" s="50" t="s">
        <v>5</v>
      </c>
      <c r="E46" s="71">
        <f>0.998</f>
        <v>0.998</v>
      </c>
      <c r="F46" s="51">
        <f>'Phan tich don gia'!G204</f>
        <v>988453.06141</v>
      </c>
      <c r="G46" s="51">
        <f>'Phan tich don gia'!G210</f>
        <v>670852</v>
      </c>
      <c r="H46" s="51">
        <f>'Phan tich don gia'!G212</f>
        <v>54756.7503</v>
      </c>
      <c r="I46" s="52">
        <f>E46*F46</f>
        <v>986476.15528718</v>
      </c>
      <c r="J46" s="52">
        <f>E46*G46</f>
        <v>669510.296</v>
      </c>
      <c r="K46" s="53">
        <f>E46*H46</f>
        <v>54647.2367994</v>
      </c>
    </row>
    <row r="47" spans="1:11" ht="14.25">
      <c r="A47" s="49" t="s">
        <v>0</v>
      </c>
      <c r="B47" s="50" t="s">
        <v>0</v>
      </c>
      <c r="C47" s="50" t="s">
        <v>108</v>
      </c>
      <c r="D47" s="50" t="s">
        <v>0</v>
      </c>
      <c r="E47" s="71"/>
      <c r="F47" s="51"/>
      <c r="G47" s="51"/>
      <c r="H47" s="51"/>
      <c r="I47" s="52"/>
      <c r="J47" s="52"/>
      <c r="K47" s="53"/>
    </row>
    <row r="48" spans="1:11" ht="14.25">
      <c r="A48" s="49" t="s">
        <v>436</v>
      </c>
      <c r="B48" s="50" t="s">
        <v>110</v>
      </c>
      <c r="C48" s="50" t="s">
        <v>111</v>
      </c>
      <c r="D48" s="50" t="s">
        <v>36</v>
      </c>
      <c r="E48" s="71">
        <f>0.076</f>
        <v>0.076</v>
      </c>
      <c r="F48" s="51">
        <f>'Phan tich don gia'!G218</f>
        <v>16791090.52234</v>
      </c>
      <c r="G48" s="51">
        <f>'Phan tich don gia'!G221</f>
        <v>4655612</v>
      </c>
      <c r="H48" s="51">
        <f>'Phan tich don gia'!G223</f>
        <v>111746.08</v>
      </c>
      <c r="I48" s="52">
        <f>E48*F48</f>
        <v>1276122.87969784</v>
      </c>
      <c r="J48" s="52">
        <f>E48*G48</f>
        <v>353826.512</v>
      </c>
      <c r="K48" s="53">
        <f>E48*H48</f>
        <v>8492.70208</v>
      </c>
    </row>
    <row r="49" spans="1:11" ht="14.25">
      <c r="A49" s="49" t="s">
        <v>0</v>
      </c>
      <c r="B49" s="50" t="s">
        <v>0</v>
      </c>
      <c r="C49" s="50" t="s">
        <v>77</v>
      </c>
      <c r="D49" s="50" t="s">
        <v>0</v>
      </c>
      <c r="E49" s="71"/>
      <c r="F49" s="51"/>
      <c r="G49" s="51"/>
      <c r="H49" s="51"/>
      <c r="I49" s="52"/>
      <c r="J49" s="52"/>
      <c r="K49" s="53"/>
    </row>
    <row r="50" spans="1:11" ht="14.25">
      <c r="A50" s="49" t="s">
        <v>435</v>
      </c>
      <c r="B50" s="50" t="s">
        <v>113</v>
      </c>
      <c r="C50" s="50" t="s">
        <v>114</v>
      </c>
      <c r="D50" s="50" t="s">
        <v>12</v>
      </c>
      <c r="E50" s="71">
        <f>10.658</f>
        <v>10.658</v>
      </c>
      <c r="F50" s="51">
        <f>'Phan tich don gia'!G227</f>
        <v>66804.22914</v>
      </c>
      <c r="G50" s="51">
        <f>'Phan tich don gia'!G233</f>
        <v>71801.34</v>
      </c>
      <c r="H50" s="51"/>
      <c r="I50" s="52">
        <f>E50*F50</f>
        <v>711999.4741741199</v>
      </c>
      <c r="J50" s="52">
        <f>E50*G50</f>
        <v>765258.6817199999</v>
      </c>
      <c r="K50" s="53">
        <f>E50*H50</f>
        <v>0</v>
      </c>
    </row>
    <row r="51" spans="1:11" ht="14.25">
      <c r="A51" s="49" t="s">
        <v>0</v>
      </c>
      <c r="B51" s="50" t="s">
        <v>0</v>
      </c>
      <c r="C51" s="50"/>
      <c r="D51" s="50" t="s">
        <v>0</v>
      </c>
      <c r="E51" s="71"/>
      <c r="F51" s="51"/>
      <c r="G51" s="51"/>
      <c r="H51" s="51"/>
      <c r="I51" s="52"/>
      <c r="J51" s="52"/>
      <c r="K51" s="53"/>
    </row>
    <row r="52" spans="1:11" ht="14.25">
      <c r="A52" s="49" t="s">
        <v>434</v>
      </c>
      <c r="B52" s="50" t="s">
        <v>116</v>
      </c>
      <c r="C52" s="50" t="s">
        <v>117</v>
      </c>
      <c r="D52" s="50" t="s">
        <v>5</v>
      </c>
      <c r="E52" s="71">
        <f>4.103</f>
        <v>4.103</v>
      </c>
      <c r="F52" s="51">
        <f>'Phan tich don gia'!G238</f>
        <v>988453.06141</v>
      </c>
      <c r="G52" s="51">
        <f>'Phan tich don gia'!G244</f>
        <v>274450.057</v>
      </c>
      <c r="H52" s="51">
        <f>'Phan tich don gia'!G246</f>
        <v>54409.0095</v>
      </c>
      <c r="I52" s="52">
        <f>E52*F52</f>
        <v>4055622.91096523</v>
      </c>
      <c r="J52" s="52">
        <f>E52*G52</f>
        <v>1126068.5838709997</v>
      </c>
      <c r="K52" s="53">
        <f>E52*H52</f>
        <v>223240.16597849998</v>
      </c>
    </row>
    <row r="53" spans="1:11" ht="14.25">
      <c r="A53" s="49" t="s">
        <v>0</v>
      </c>
      <c r="B53" s="50" t="s">
        <v>0</v>
      </c>
      <c r="C53" s="50" t="s">
        <v>118</v>
      </c>
      <c r="D53" s="50" t="s">
        <v>0</v>
      </c>
      <c r="E53" s="71"/>
      <c r="F53" s="51"/>
      <c r="G53" s="51"/>
      <c r="H53" s="51"/>
      <c r="I53" s="52"/>
      <c r="J53" s="52"/>
      <c r="K53" s="53"/>
    </row>
    <row r="54" spans="1:11" ht="14.25">
      <c r="A54" s="49" t="s">
        <v>433</v>
      </c>
      <c r="B54" s="50" t="s">
        <v>120</v>
      </c>
      <c r="C54" s="50" t="s">
        <v>121</v>
      </c>
      <c r="D54" s="50" t="s">
        <v>36</v>
      </c>
      <c r="E54" s="71">
        <f>0.199</f>
        <v>0.199</v>
      </c>
      <c r="F54" s="51">
        <f>'Phan tich don gia'!G252</f>
        <v>22433977.91993</v>
      </c>
      <c r="G54" s="51">
        <f>'Phan tich don gia'!G259</f>
        <v>8144648.575</v>
      </c>
      <c r="H54" s="51">
        <f>'Phan tich don gia'!G261</f>
        <v>3190144.04965</v>
      </c>
      <c r="I54" s="52">
        <f>E54*F54</f>
        <v>4464361.6060660705</v>
      </c>
      <c r="J54" s="52">
        <f>E54*G54</f>
        <v>1620785.066425</v>
      </c>
      <c r="K54" s="53">
        <f>E54*H54</f>
        <v>634838.66588035</v>
      </c>
    </row>
    <row r="55" spans="1:11" ht="14.25">
      <c r="A55" s="49" t="s">
        <v>0</v>
      </c>
      <c r="B55" s="50" t="s">
        <v>0</v>
      </c>
      <c r="C55" s="50" t="s">
        <v>122</v>
      </c>
      <c r="D55" s="50" t="s">
        <v>0</v>
      </c>
      <c r="E55" s="71"/>
      <c r="F55" s="51"/>
      <c r="G55" s="51"/>
      <c r="H55" s="51"/>
      <c r="I55" s="52"/>
      <c r="J55" s="52"/>
      <c r="K55" s="53"/>
    </row>
    <row r="56" spans="1:11" ht="14.25">
      <c r="A56" s="49" t="s">
        <v>432</v>
      </c>
      <c r="B56" s="50" t="s">
        <v>129</v>
      </c>
      <c r="C56" s="50" t="s">
        <v>130</v>
      </c>
      <c r="D56" s="50" t="s">
        <v>131</v>
      </c>
      <c r="E56" s="71">
        <f>18.24</f>
        <v>18.24</v>
      </c>
      <c r="F56" s="51">
        <f>'Phan tich don gia'!G269</f>
        <v>32218.82534</v>
      </c>
      <c r="G56" s="51">
        <f>'Phan tich don gia'!G273</f>
        <v>23706.8</v>
      </c>
      <c r="H56" s="51"/>
      <c r="I56" s="52">
        <f>E56*F56</f>
        <v>587671.3742016</v>
      </c>
      <c r="J56" s="52">
        <f>E56*G56</f>
        <v>432412.03199999995</v>
      </c>
      <c r="K56" s="53">
        <f>E56*H56</f>
        <v>0</v>
      </c>
    </row>
    <row r="57" spans="1:11" ht="14.25">
      <c r="A57" s="49" t="s">
        <v>0</v>
      </c>
      <c r="B57" s="50" t="s">
        <v>0</v>
      </c>
      <c r="C57" s="50" t="s">
        <v>132</v>
      </c>
      <c r="D57" s="50" t="s">
        <v>0</v>
      </c>
      <c r="E57" s="71"/>
      <c r="F57" s="51"/>
      <c r="G57" s="51"/>
      <c r="H57" s="51"/>
      <c r="I57" s="52"/>
      <c r="J57" s="52"/>
      <c r="K57" s="53"/>
    </row>
    <row r="58" spans="1:11" ht="14.25">
      <c r="A58" s="49" t="s">
        <v>431</v>
      </c>
      <c r="B58" s="50" t="s">
        <v>136</v>
      </c>
      <c r="C58" s="50" t="s">
        <v>137</v>
      </c>
      <c r="D58" s="50" t="s">
        <v>36</v>
      </c>
      <c r="E58" s="71">
        <f>0.199</f>
        <v>0.199</v>
      </c>
      <c r="F58" s="51">
        <f>'Phan tich don gia'!G277</f>
        <v>440222.43114</v>
      </c>
      <c r="G58" s="51">
        <f>'Phan tich don gia'!G282</f>
        <v>747391.281</v>
      </c>
      <c r="H58" s="51">
        <f>'Phan tich don gia'!G284</f>
        <v>818836.6</v>
      </c>
      <c r="I58" s="52">
        <f>E58*F58</f>
        <v>87604.26379686</v>
      </c>
      <c r="J58" s="52">
        <f>E58*G58</f>
        <v>148730.86491899999</v>
      </c>
      <c r="K58" s="53">
        <f>E58*H58</f>
        <v>162948.4834</v>
      </c>
    </row>
    <row r="59" spans="1:11" ht="14.25">
      <c r="A59" s="49" t="s">
        <v>0</v>
      </c>
      <c r="B59" s="50" t="s">
        <v>0</v>
      </c>
      <c r="C59" s="50"/>
      <c r="D59" s="50" t="s">
        <v>0</v>
      </c>
      <c r="E59" s="71"/>
      <c r="F59" s="51"/>
      <c r="G59" s="51"/>
      <c r="H59" s="51"/>
      <c r="I59" s="52"/>
      <c r="J59" s="52"/>
      <c r="K59" s="53"/>
    </row>
    <row r="60" spans="1:11" ht="14.25">
      <c r="A60" s="49" t="s">
        <v>430</v>
      </c>
      <c r="B60" s="50" t="s">
        <v>141</v>
      </c>
      <c r="C60" s="50" t="s">
        <v>142</v>
      </c>
      <c r="D60" s="50" t="s">
        <v>12</v>
      </c>
      <c r="E60" s="71">
        <f>58.9</f>
        <v>58.9</v>
      </c>
      <c r="F60" s="51">
        <f>'Phan tich don gia'!G289</f>
        <v>149926.5</v>
      </c>
      <c r="G60" s="51">
        <f>'Phan tich don gia'!G293</f>
        <v>11349</v>
      </c>
      <c r="H60" s="51"/>
      <c r="I60" s="52">
        <f>E60*F60</f>
        <v>8830670.85</v>
      </c>
      <c r="J60" s="52">
        <f>E60*G60</f>
        <v>668456.1</v>
      </c>
      <c r="K60" s="53">
        <f>E60*H60</f>
        <v>0</v>
      </c>
    </row>
    <row r="61" spans="1:11" ht="14.25">
      <c r="A61" s="49" t="s">
        <v>0</v>
      </c>
      <c r="B61" s="50" t="s">
        <v>0</v>
      </c>
      <c r="C61" s="50" t="s">
        <v>143</v>
      </c>
      <c r="D61" s="50" t="s">
        <v>0</v>
      </c>
      <c r="E61" s="71"/>
      <c r="F61" s="51"/>
      <c r="G61" s="51"/>
      <c r="H61" s="51"/>
      <c r="I61" s="52"/>
      <c r="J61" s="52"/>
      <c r="K61" s="53"/>
    </row>
    <row r="62" spans="1:11" ht="14.25">
      <c r="A62" s="49" t="s">
        <v>429</v>
      </c>
      <c r="B62" s="50" t="s">
        <v>149</v>
      </c>
      <c r="C62" s="50" t="s">
        <v>150</v>
      </c>
      <c r="D62" s="50" t="s">
        <v>12</v>
      </c>
      <c r="E62" s="71">
        <f>5.45</f>
        <v>5.45</v>
      </c>
      <c r="F62" s="51">
        <f>'Phan tich don gia'!G298</f>
        <v>176458.8</v>
      </c>
      <c r="G62" s="51">
        <f>'Phan tich don gia'!G301</f>
        <v>16140.8</v>
      </c>
      <c r="H62" s="51"/>
      <c r="I62" s="52">
        <f>E62*F62</f>
        <v>961700.46</v>
      </c>
      <c r="J62" s="52">
        <f>E62*G62</f>
        <v>87967.36</v>
      </c>
      <c r="K62" s="53">
        <f>E62*H62</f>
        <v>0</v>
      </c>
    </row>
    <row r="63" spans="1:11" ht="14.25">
      <c r="A63" s="49" t="s">
        <v>0</v>
      </c>
      <c r="B63" s="50" t="s">
        <v>0</v>
      </c>
      <c r="C63" s="50" t="s">
        <v>151</v>
      </c>
      <c r="D63" s="50" t="s">
        <v>0</v>
      </c>
      <c r="E63" s="71"/>
      <c r="F63" s="51"/>
      <c r="G63" s="51"/>
      <c r="H63" s="51"/>
      <c r="I63" s="52"/>
      <c r="J63" s="52"/>
      <c r="K63" s="53"/>
    </row>
    <row r="64" spans="1:11" ht="14.25">
      <c r="A64" s="49" t="s">
        <v>428</v>
      </c>
      <c r="B64" s="50" t="s">
        <v>154</v>
      </c>
      <c r="C64" s="50" t="s">
        <v>155</v>
      </c>
      <c r="D64" s="50" t="s">
        <v>12</v>
      </c>
      <c r="E64" s="71">
        <f>54.88</f>
        <v>54.88</v>
      </c>
      <c r="F64" s="51">
        <f>'Phan tich don gia'!G306</f>
        <v>247062.65199</v>
      </c>
      <c r="G64" s="51">
        <f>'Phan tich don gia'!G314</f>
        <v>38327.758</v>
      </c>
      <c r="H64" s="51">
        <f>'Phan tich don gia'!G316</f>
        <v>1112.692</v>
      </c>
      <c r="I64" s="52">
        <f>E64*F64</f>
        <v>13558798.341211202</v>
      </c>
      <c r="J64" s="52">
        <f>E64*G64</f>
        <v>2103427.35904</v>
      </c>
      <c r="K64" s="53">
        <f>E64*H64</f>
        <v>61064.536960000005</v>
      </c>
    </row>
    <row r="65" spans="1:11" ht="14.25">
      <c r="A65" s="49" t="s">
        <v>0</v>
      </c>
      <c r="B65" s="50" t="s">
        <v>0</v>
      </c>
      <c r="C65" s="50" t="s">
        <v>659</v>
      </c>
      <c r="D65" s="50" t="s">
        <v>0</v>
      </c>
      <c r="E65" s="71"/>
      <c r="F65" s="51"/>
      <c r="G65" s="51"/>
      <c r="H65" s="51"/>
      <c r="I65" s="52"/>
      <c r="J65" s="52"/>
      <c r="K65" s="53"/>
    </row>
    <row r="66" spans="1:11" ht="14.25">
      <c r="A66" s="49" t="s">
        <v>427</v>
      </c>
      <c r="B66" s="50" t="s">
        <v>162</v>
      </c>
      <c r="C66" s="50" t="s">
        <v>163</v>
      </c>
      <c r="D66" s="50" t="s">
        <v>12</v>
      </c>
      <c r="E66" s="71">
        <f>4.236</f>
        <v>4.236</v>
      </c>
      <c r="F66" s="51">
        <f>'Phan tich don gia'!G321</f>
        <v>262315.62441</v>
      </c>
      <c r="G66" s="51">
        <f>'Phan tich don gia'!G329</f>
        <v>106770.183</v>
      </c>
      <c r="H66" s="51">
        <f>'Phan tich don gia'!G331</f>
        <v>5563.46</v>
      </c>
      <c r="I66" s="52">
        <f>E66*F66</f>
        <v>1111168.9850007598</v>
      </c>
      <c r="J66" s="52">
        <f>E66*G66</f>
        <v>452278.495188</v>
      </c>
      <c r="K66" s="53">
        <f>E66*H66</f>
        <v>23566.81656</v>
      </c>
    </row>
    <row r="67" spans="1:11" ht="14.25">
      <c r="A67" s="49" t="s">
        <v>0</v>
      </c>
      <c r="B67" s="50" t="s">
        <v>0</v>
      </c>
      <c r="C67" s="50" t="s">
        <v>660</v>
      </c>
      <c r="D67" s="50" t="s">
        <v>0</v>
      </c>
      <c r="E67" s="71"/>
      <c r="F67" s="51"/>
      <c r="G67" s="51"/>
      <c r="H67" s="51"/>
      <c r="I67" s="52"/>
      <c r="J67" s="52"/>
      <c r="K67" s="53"/>
    </row>
    <row r="68" spans="1:11" ht="14.25">
      <c r="A68" s="49" t="s">
        <v>426</v>
      </c>
      <c r="B68" s="50" t="s">
        <v>167</v>
      </c>
      <c r="C68" s="50" t="s">
        <v>168</v>
      </c>
      <c r="D68" s="50" t="s">
        <v>169</v>
      </c>
      <c r="E68" s="71">
        <f>105.84</f>
        <v>105.84</v>
      </c>
      <c r="F68" s="51">
        <f>'Phan tich don gia'!G336</f>
        <v>4482.2777</v>
      </c>
      <c r="G68" s="51">
        <f>'Phan tich don gia'!G342</f>
        <v>13871</v>
      </c>
      <c r="H68" s="51"/>
      <c r="I68" s="52">
        <f>E68*F68</f>
        <v>474404.271768</v>
      </c>
      <c r="J68" s="52">
        <f>E68*G68</f>
        <v>1468106.6400000001</v>
      </c>
      <c r="K68" s="53">
        <f>E68*H68</f>
        <v>0</v>
      </c>
    </row>
    <row r="69" spans="1:11" ht="14.25">
      <c r="A69" s="49" t="s">
        <v>0</v>
      </c>
      <c r="B69" s="50" t="s">
        <v>0</v>
      </c>
      <c r="C69" s="50" t="s">
        <v>170</v>
      </c>
      <c r="D69" s="50" t="s">
        <v>0</v>
      </c>
      <c r="E69" s="71"/>
      <c r="F69" s="51"/>
      <c r="G69" s="51"/>
      <c r="H69" s="51"/>
      <c r="I69" s="52"/>
      <c r="J69" s="52"/>
      <c r="K69" s="53"/>
    </row>
    <row r="70" spans="1:11" ht="14.25">
      <c r="A70" s="49" t="s">
        <v>425</v>
      </c>
      <c r="B70" s="50" t="s">
        <v>174</v>
      </c>
      <c r="C70" s="50" t="s">
        <v>175</v>
      </c>
      <c r="D70" s="50" t="s">
        <v>131</v>
      </c>
      <c r="E70" s="71">
        <f>207.62</f>
        <v>207.62</v>
      </c>
      <c r="F70" s="51">
        <f>'Phan tich don gia'!G347</f>
        <v>45662.86023</v>
      </c>
      <c r="G70" s="51">
        <f>'Phan tich don gia'!G351</f>
        <v>18410.6</v>
      </c>
      <c r="H70" s="51"/>
      <c r="I70" s="52">
        <f>E70*F70</f>
        <v>9480523.0409526</v>
      </c>
      <c r="J70" s="52">
        <f>E70*G70</f>
        <v>3822408.772</v>
      </c>
      <c r="K70" s="53">
        <f>E70*H70</f>
        <v>0</v>
      </c>
    </row>
    <row r="71" spans="1:11" ht="14.25">
      <c r="A71" s="49" t="s">
        <v>0</v>
      </c>
      <c r="B71" s="50" t="s">
        <v>0</v>
      </c>
      <c r="C71" s="50" t="s">
        <v>176</v>
      </c>
      <c r="D71" s="50" t="s">
        <v>0</v>
      </c>
      <c r="E71" s="71"/>
      <c r="F71" s="51"/>
      <c r="G71" s="51"/>
      <c r="H71" s="51"/>
      <c r="I71" s="52"/>
      <c r="J71" s="52"/>
      <c r="K71" s="53"/>
    </row>
    <row r="72" spans="1:11" ht="14.25">
      <c r="A72" s="49" t="s">
        <v>424</v>
      </c>
      <c r="B72" s="50" t="s">
        <v>181</v>
      </c>
      <c r="C72" s="50" t="s">
        <v>182</v>
      </c>
      <c r="D72" s="50" t="s">
        <v>12</v>
      </c>
      <c r="E72" s="71">
        <f>98.04</f>
        <v>98.04</v>
      </c>
      <c r="F72" s="51">
        <f>'Phan tich don gia'!G356</f>
        <v>14433.4908</v>
      </c>
      <c r="G72" s="51">
        <f>'Phan tich don gia'!G361</f>
        <v>75660</v>
      </c>
      <c r="H72" s="51"/>
      <c r="I72" s="52">
        <f>E72*F72</f>
        <v>1415059.438032</v>
      </c>
      <c r="J72" s="52">
        <f>E72*G72</f>
        <v>7417706.4</v>
      </c>
      <c r="K72" s="53">
        <f>E72*H72</f>
        <v>0</v>
      </c>
    </row>
    <row r="73" spans="1:11" ht="14.25">
      <c r="A73" s="49" t="s">
        <v>0</v>
      </c>
      <c r="B73" s="50" t="s">
        <v>0</v>
      </c>
      <c r="C73" s="50" t="s">
        <v>183</v>
      </c>
      <c r="D73" s="50" t="s">
        <v>0</v>
      </c>
      <c r="E73" s="71"/>
      <c r="F73" s="51"/>
      <c r="G73" s="51"/>
      <c r="H73" s="51"/>
      <c r="I73" s="52"/>
      <c r="J73" s="52"/>
      <c r="K73" s="53"/>
    </row>
    <row r="74" spans="1:11" ht="14.25">
      <c r="A74" s="49" t="s">
        <v>423</v>
      </c>
      <c r="B74" s="50" t="s">
        <v>185</v>
      </c>
      <c r="C74" s="50" t="s">
        <v>186</v>
      </c>
      <c r="D74" s="50" t="s">
        <v>12</v>
      </c>
      <c r="E74" s="71">
        <f>109.58</f>
        <v>109.58</v>
      </c>
      <c r="F74" s="51">
        <f>'Phan tich don gia'!G366</f>
        <v>14433.4908</v>
      </c>
      <c r="G74" s="51">
        <f>'Phan tich don gia'!G371</f>
        <v>58006</v>
      </c>
      <c r="H74" s="51"/>
      <c r="I74" s="52">
        <f>E74*F74</f>
        <v>1581621.921864</v>
      </c>
      <c r="J74" s="52">
        <f>E74*G74</f>
        <v>6356297.4799999995</v>
      </c>
      <c r="K74" s="53">
        <f>E74*H74</f>
        <v>0</v>
      </c>
    </row>
    <row r="75" spans="1:11" ht="14.25">
      <c r="A75" s="49" t="s">
        <v>0</v>
      </c>
      <c r="B75" s="50" t="s">
        <v>0</v>
      </c>
      <c r="C75" s="50" t="s">
        <v>183</v>
      </c>
      <c r="D75" s="50" t="s">
        <v>0</v>
      </c>
      <c r="E75" s="71"/>
      <c r="F75" s="51"/>
      <c r="G75" s="51"/>
      <c r="H75" s="51"/>
      <c r="I75" s="52"/>
      <c r="J75" s="52"/>
      <c r="K75" s="53"/>
    </row>
    <row r="76" spans="1:11" ht="14.25">
      <c r="A76" s="49" t="s">
        <v>422</v>
      </c>
      <c r="B76" s="50" t="s">
        <v>188</v>
      </c>
      <c r="C76" s="50" t="s">
        <v>189</v>
      </c>
      <c r="D76" s="50" t="s">
        <v>12</v>
      </c>
      <c r="E76" s="71">
        <f>7.8</f>
        <v>7.8</v>
      </c>
      <c r="F76" s="51">
        <f>'Phan tich don gia'!G376</f>
        <v>2100000</v>
      </c>
      <c r="G76" s="51"/>
      <c r="H76" s="51"/>
      <c r="I76" s="52">
        <f>E76*F76</f>
        <v>16380000</v>
      </c>
      <c r="J76" s="52">
        <f>E76*G76</f>
        <v>0</v>
      </c>
      <c r="K76" s="53">
        <f>E76*H76</f>
        <v>0</v>
      </c>
    </row>
    <row r="77" spans="1:11" ht="14.25">
      <c r="A77" s="49" t="s">
        <v>0</v>
      </c>
      <c r="B77" s="50" t="s">
        <v>0</v>
      </c>
      <c r="C77" s="50" t="s">
        <v>190</v>
      </c>
      <c r="D77" s="50" t="s">
        <v>0</v>
      </c>
      <c r="E77" s="71"/>
      <c r="F77" s="51"/>
      <c r="G77" s="51"/>
      <c r="H77" s="51"/>
      <c r="I77" s="52"/>
      <c r="J77" s="52"/>
      <c r="K77" s="53"/>
    </row>
    <row r="78" spans="1:11" ht="14.25">
      <c r="A78" s="49" t="s">
        <v>421</v>
      </c>
      <c r="B78" s="50" t="s">
        <v>193</v>
      </c>
      <c r="C78" s="50" t="s">
        <v>194</v>
      </c>
      <c r="D78" s="50" t="s">
        <v>195</v>
      </c>
      <c r="E78" s="71">
        <f>2</f>
        <v>2</v>
      </c>
      <c r="F78" s="51">
        <f>'Phan tich don gia'!G380</f>
        <v>2100000</v>
      </c>
      <c r="G78" s="51"/>
      <c r="H78" s="51"/>
      <c r="I78" s="52">
        <f>E78*F78</f>
        <v>4200000</v>
      </c>
      <c r="J78" s="52">
        <f>E78*G78</f>
        <v>0</v>
      </c>
      <c r="K78" s="53">
        <f>E78*H78</f>
        <v>0</v>
      </c>
    </row>
    <row r="79" spans="1:11" ht="14.25">
      <c r="A79" s="49" t="s">
        <v>0</v>
      </c>
      <c r="B79" s="50" t="s">
        <v>0</v>
      </c>
      <c r="C79" s="50"/>
      <c r="D79" s="50" t="s">
        <v>0</v>
      </c>
      <c r="E79" s="71"/>
      <c r="F79" s="51"/>
      <c r="G79" s="51"/>
      <c r="H79" s="51"/>
      <c r="I79" s="52"/>
      <c r="J79" s="52"/>
      <c r="K79" s="53"/>
    </row>
    <row r="80" spans="1:11" ht="14.25">
      <c r="A80" s="49" t="s">
        <v>420</v>
      </c>
      <c r="B80" s="50" t="s">
        <v>198</v>
      </c>
      <c r="C80" s="50" t="s">
        <v>199</v>
      </c>
      <c r="D80" s="50" t="s">
        <v>12</v>
      </c>
      <c r="E80" s="71">
        <f>2.64</f>
        <v>2.64</v>
      </c>
      <c r="F80" s="51">
        <f>'Phan tich don gia'!G385</f>
        <v>2100000</v>
      </c>
      <c r="G80" s="51"/>
      <c r="H80" s="51"/>
      <c r="I80" s="52">
        <f>E80*F80</f>
        <v>5544000</v>
      </c>
      <c r="J80" s="52">
        <f>E80*G80</f>
        <v>0</v>
      </c>
      <c r="K80" s="53">
        <f>E80*H80</f>
        <v>0</v>
      </c>
    </row>
    <row r="81" spans="1:11" ht="14.25">
      <c r="A81" s="49" t="s">
        <v>0</v>
      </c>
      <c r="B81" s="50" t="s">
        <v>0</v>
      </c>
      <c r="C81" s="50" t="s">
        <v>190</v>
      </c>
      <c r="D81" s="50" t="s">
        <v>0</v>
      </c>
      <c r="E81" s="71"/>
      <c r="F81" s="51"/>
      <c r="G81" s="51"/>
      <c r="H81" s="51"/>
      <c r="I81" s="52"/>
      <c r="J81" s="52"/>
      <c r="K81" s="53"/>
    </row>
    <row r="82" spans="1:11" ht="14.25">
      <c r="A82" s="49" t="s">
        <v>419</v>
      </c>
      <c r="B82" s="50" t="s">
        <v>202</v>
      </c>
      <c r="C82" s="50" t="s">
        <v>203</v>
      </c>
      <c r="D82" s="50" t="s">
        <v>195</v>
      </c>
      <c r="E82" s="71">
        <f>1</f>
        <v>1</v>
      </c>
      <c r="F82" s="51">
        <f>'Phan tich don gia'!G389</f>
        <v>1500000</v>
      </c>
      <c r="G82" s="51"/>
      <c r="H82" s="51"/>
      <c r="I82" s="52">
        <f>E82*F82</f>
        <v>1500000</v>
      </c>
      <c r="J82" s="52">
        <f>E82*G82</f>
        <v>0</v>
      </c>
      <c r="K82" s="53">
        <f>E82*H82</f>
        <v>0</v>
      </c>
    </row>
    <row r="83" spans="1:11" ht="14.25">
      <c r="A83" s="49" t="s">
        <v>0</v>
      </c>
      <c r="B83" s="50" t="s">
        <v>0</v>
      </c>
      <c r="C83" s="50"/>
      <c r="D83" s="50" t="s">
        <v>0</v>
      </c>
      <c r="E83" s="71"/>
      <c r="F83" s="51"/>
      <c r="G83" s="51"/>
      <c r="H83" s="51"/>
      <c r="I83" s="52"/>
      <c r="J83" s="52"/>
      <c r="K83" s="53"/>
    </row>
    <row r="84" spans="1:11" ht="14.25">
      <c r="A84" s="49" t="s">
        <v>0</v>
      </c>
      <c r="B84" s="50" t="s">
        <v>0</v>
      </c>
      <c r="C84" s="55" t="s">
        <v>418</v>
      </c>
      <c r="D84" s="50" t="s">
        <v>0</v>
      </c>
      <c r="E84" s="71"/>
      <c r="F84" s="51"/>
      <c r="G84" s="51"/>
      <c r="H84" s="51"/>
      <c r="I84" s="52"/>
      <c r="J84" s="52"/>
      <c r="K84" s="53"/>
    </row>
    <row r="85" spans="1:11" ht="14.25">
      <c r="A85" s="49" t="s">
        <v>417</v>
      </c>
      <c r="B85" s="50" t="s">
        <v>206</v>
      </c>
      <c r="C85" s="50" t="s">
        <v>207</v>
      </c>
      <c r="D85" s="50" t="s">
        <v>208</v>
      </c>
      <c r="E85" s="71">
        <f>6</f>
        <v>6</v>
      </c>
      <c r="F85" s="51">
        <f>'Phan tich don gia'!G394</f>
        <v>274077.64</v>
      </c>
      <c r="G85" s="51">
        <f>'Phan tich don gia'!G397</f>
        <v>47918</v>
      </c>
      <c r="H85" s="51"/>
      <c r="I85" s="52">
        <f>E85*F85</f>
        <v>1644465.84</v>
      </c>
      <c r="J85" s="52">
        <f>E85*G85</f>
        <v>287508</v>
      </c>
      <c r="K85" s="53">
        <f>E85*H85</f>
        <v>0</v>
      </c>
    </row>
    <row r="86" spans="1:11" ht="14.25">
      <c r="A86" s="49" t="s">
        <v>0</v>
      </c>
      <c r="B86" s="50" t="s">
        <v>0</v>
      </c>
      <c r="C86" s="50" t="s">
        <v>209</v>
      </c>
      <c r="D86" s="50" t="s">
        <v>0</v>
      </c>
      <c r="E86" s="71"/>
      <c r="F86" s="51"/>
      <c r="G86" s="51"/>
      <c r="H86" s="51"/>
      <c r="I86" s="52"/>
      <c r="J86" s="52"/>
      <c r="K86" s="53"/>
    </row>
    <row r="87" spans="1:11" ht="14.25">
      <c r="A87" s="49" t="s">
        <v>416</v>
      </c>
      <c r="B87" s="50" t="s">
        <v>212</v>
      </c>
      <c r="C87" s="50" t="s">
        <v>213</v>
      </c>
      <c r="D87" s="50" t="s">
        <v>139</v>
      </c>
      <c r="E87" s="71">
        <f>3</f>
        <v>3</v>
      </c>
      <c r="F87" s="51">
        <f>'Phan tich don gia'!G402</f>
        <v>32753.754</v>
      </c>
      <c r="G87" s="51">
        <f>'Phan tich don gia'!G407</f>
        <v>22193.6</v>
      </c>
      <c r="H87" s="51"/>
      <c r="I87" s="52">
        <f>E87*F87</f>
        <v>98261.262</v>
      </c>
      <c r="J87" s="52">
        <f>E87*G87</f>
        <v>66580.79999999999</v>
      </c>
      <c r="K87" s="53">
        <f>E87*H87</f>
        <v>0</v>
      </c>
    </row>
    <row r="88" spans="1:11" ht="14.25">
      <c r="A88" s="49" t="s">
        <v>0</v>
      </c>
      <c r="B88" s="50" t="s">
        <v>0</v>
      </c>
      <c r="C88" s="50" t="s">
        <v>214</v>
      </c>
      <c r="D88" s="50" t="s">
        <v>0</v>
      </c>
      <c r="E88" s="71"/>
      <c r="F88" s="51"/>
      <c r="G88" s="51"/>
      <c r="H88" s="51"/>
      <c r="I88" s="52"/>
      <c r="J88" s="52"/>
      <c r="K88" s="53"/>
    </row>
    <row r="89" spans="1:11" ht="14.25">
      <c r="A89" s="49" t="s">
        <v>415</v>
      </c>
      <c r="B89" s="50" t="s">
        <v>219</v>
      </c>
      <c r="C89" s="50" t="s">
        <v>220</v>
      </c>
      <c r="D89" s="50" t="s">
        <v>221</v>
      </c>
      <c r="E89" s="71">
        <f>21</f>
        <v>21</v>
      </c>
      <c r="F89" s="51">
        <f>'Phan tich don gia'!G412</f>
        <v>6187.7044</v>
      </c>
      <c r="G89" s="51">
        <f>'Phan tich don gia'!G415</f>
        <v>6052.8</v>
      </c>
      <c r="H89" s="51"/>
      <c r="I89" s="52">
        <f>E89*F89</f>
        <v>129941.79239999999</v>
      </c>
      <c r="J89" s="52">
        <f>E89*G89</f>
        <v>127108.8</v>
      </c>
      <c r="K89" s="53">
        <f>E89*H89</f>
        <v>0</v>
      </c>
    </row>
    <row r="90" spans="1:11" ht="14.25">
      <c r="A90" s="49" t="s">
        <v>0</v>
      </c>
      <c r="B90" s="50" t="s">
        <v>0</v>
      </c>
      <c r="C90" s="50" t="s">
        <v>222</v>
      </c>
      <c r="D90" s="50" t="s">
        <v>0</v>
      </c>
      <c r="E90" s="71"/>
      <c r="F90" s="51"/>
      <c r="G90" s="51"/>
      <c r="H90" s="51"/>
      <c r="I90" s="52"/>
      <c r="J90" s="52"/>
      <c r="K90" s="53"/>
    </row>
    <row r="91" spans="1:11" ht="14.25">
      <c r="A91" s="49" t="s">
        <v>414</v>
      </c>
      <c r="B91" s="50" t="s">
        <v>226</v>
      </c>
      <c r="C91" s="50" t="s">
        <v>227</v>
      </c>
      <c r="D91" s="50" t="s">
        <v>228</v>
      </c>
      <c r="E91" s="71">
        <f>21</f>
        <v>21</v>
      </c>
      <c r="F91" s="51">
        <f>'Phan tich don gia'!G420</f>
        <v>7600.887</v>
      </c>
      <c r="G91" s="51">
        <f>'Phan tich don gia'!G423</f>
        <v>8574.8</v>
      </c>
      <c r="H91" s="51">
        <f>'Phan tich don gia'!G425</f>
        <v>150.419</v>
      </c>
      <c r="I91" s="52">
        <f>E91*F91</f>
        <v>159618.627</v>
      </c>
      <c r="J91" s="52">
        <f>E91*G91</f>
        <v>180070.8</v>
      </c>
      <c r="K91" s="53">
        <f>E91*H91</f>
        <v>3158.7990000000004</v>
      </c>
    </row>
    <row r="92" spans="1:11" ht="14.25">
      <c r="A92" s="49" t="s">
        <v>0</v>
      </c>
      <c r="B92" s="50" t="s">
        <v>0</v>
      </c>
      <c r="C92" s="50" t="s">
        <v>229</v>
      </c>
      <c r="D92" s="50" t="s">
        <v>0</v>
      </c>
      <c r="E92" s="71"/>
      <c r="F92" s="51"/>
      <c r="G92" s="51"/>
      <c r="H92" s="51"/>
      <c r="I92" s="52"/>
      <c r="J92" s="52"/>
      <c r="K92" s="53"/>
    </row>
    <row r="93" spans="1:11" ht="14.25" hidden="1">
      <c r="A93" s="49" t="s">
        <v>0</v>
      </c>
      <c r="B93" s="50" t="s">
        <v>0</v>
      </c>
      <c r="C93" s="50" t="s">
        <v>0</v>
      </c>
      <c r="D93" s="50" t="s">
        <v>0</v>
      </c>
      <c r="E93" s="71"/>
      <c r="F93" s="51"/>
      <c r="G93" s="51"/>
      <c r="H93" s="51"/>
      <c r="I93" s="52"/>
      <c r="J93" s="52"/>
      <c r="K93" s="53"/>
    </row>
    <row r="94" spans="1:11" ht="14.25" hidden="1">
      <c r="A94" s="54" t="s">
        <v>9</v>
      </c>
      <c r="B94" s="55" t="s">
        <v>0</v>
      </c>
      <c r="C94" s="55" t="s">
        <v>232</v>
      </c>
      <c r="D94" s="55" t="s">
        <v>0</v>
      </c>
      <c r="E94" s="72"/>
      <c r="F94" s="56"/>
      <c r="G94" s="56"/>
      <c r="H94" s="56"/>
      <c r="I94" s="57">
        <f>SUM(I95:I146)</f>
        <v>0</v>
      </c>
      <c r="J94" s="57">
        <f>SUM(J95:J146)</f>
        <v>133321.112</v>
      </c>
      <c r="K94" s="58">
        <f>SUM(K95:K146)</f>
        <v>1001595.5188000001</v>
      </c>
    </row>
    <row r="95" spans="1:11" ht="14.25" hidden="1">
      <c r="A95" s="49" t="s">
        <v>413</v>
      </c>
      <c r="B95" s="50" t="s">
        <v>234</v>
      </c>
      <c r="C95" s="50" t="s">
        <v>235</v>
      </c>
      <c r="D95" s="50" t="s">
        <v>236</v>
      </c>
      <c r="E95" s="71">
        <f>1</f>
        <v>1</v>
      </c>
      <c r="F95" s="51"/>
      <c r="G95" s="51">
        <f>'Phan tich don gia'!G430</f>
        <v>67753.352</v>
      </c>
      <c r="H95" s="51"/>
      <c r="I95" s="52">
        <f>E95*F95</f>
        <v>0</v>
      </c>
      <c r="J95" s="52">
        <f>E95*G95</f>
        <v>67753.352</v>
      </c>
      <c r="K95" s="53">
        <f>E95*H95</f>
        <v>0</v>
      </c>
    </row>
    <row r="96" spans="1:11" ht="14.25" hidden="1">
      <c r="A96" s="49" t="s">
        <v>0</v>
      </c>
      <c r="B96" s="50" t="s">
        <v>0</v>
      </c>
      <c r="C96" s="50" t="s">
        <v>412</v>
      </c>
      <c r="D96" s="50" t="s">
        <v>0</v>
      </c>
      <c r="E96" s="71"/>
      <c r="F96" s="51"/>
      <c r="G96" s="51"/>
      <c r="H96" s="51"/>
      <c r="I96" s="52"/>
      <c r="J96" s="52"/>
      <c r="K96" s="53"/>
    </row>
    <row r="97" spans="1:11" ht="14.25" hidden="1">
      <c r="A97" s="49" t="s">
        <v>411</v>
      </c>
      <c r="B97" s="50" t="s">
        <v>239</v>
      </c>
      <c r="C97" s="50" t="s">
        <v>235</v>
      </c>
      <c r="D97" s="50" t="s">
        <v>27</v>
      </c>
      <c r="E97" s="71">
        <f>1</f>
        <v>1</v>
      </c>
      <c r="F97" s="51"/>
      <c r="G97" s="51">
        <f>'Phan tich don gia'!G435</f>
        <v>19670.328</v>
      </c>
      <c r="H97" s="51"/>
      <c r="I97" s="52">
        <f>E97*F97</f>
        <v>0</v>
      </c>
      <c r="J97" s="52">
        <f>E97*G97</f>
        <v>19670.328</v>
      </c>
      <c r="K97" s="53">
        <f>E97*H97</f>
        <v>0</v>
      </c>
    </row>
    <row r="98" spans="1:11" ht="14.25" hidden="1">
      <c r="A98" s="49" t="s">
        <v>0</v>
      </c>
      <c r="B98" s="50" t="s">
        <v>0</v>
      </c>
      <c r="C98" s="50" t="s">
        <v>410</v>
      </c>
      <c r="D98" s="50" t="s">
        <v>0</v>
      </c>
      <c r="E98" s="71"/>
      <c r="F98" s="51"/>
      <c r="G98" s="51"/>
      <c r="H98" s="51"/>
      <c r="I98" s="52"/>
      <c r="J98" s="52"/>
      <c r="K98" s="53"/>
    </row>
    <row r="99" spans="1:11" ht="14.25" hidden="1">
      <c r="A99" s="49" t="s">
        <v>409</v>
      </c>
      <c r="B99" s="50" t="s">
        <v>242</v>
      </c>
      <c r="C99" s="50" t="s">
        <v>235</v>
      </c>
      <c r="D99" s="50" t="s">
        <v>243</v>
      </c>
      <c r="E99" s="71">
        <f>1</f>
        <v>1</v>
      </c>
      <c r="F99" s="51"/>
      <c r="G99" s="51">
        <f>'Phan tich don gia'!G440</f>
        <v>45897.432</v>
      </c>
      <c r="H99" s="51"/>
      <c r="I99" s="52">
        <f>E99*F99</f>
        <v>0</v>
      </c>
      <c r="J99" s="52">
        <f>E99*G99</f>
        <v>45897.432</v>
      </c>
      <c r="K99" s="53">
        <f>E99*H99</f>
        <v>0</v>
      </c>
    </row>
    <row r="100" spans="1:11" ht="14.25" hidden="1">
      <c r="A100" s="49" t="s">
        <v>0</v>
      </c>
      <c r="B100" s="50" t="s">
        <v>0</v>
      </c>
      <c r="C100" s="50" t="s">
        <v>408</v>
      </c>
      <c r="D100" s="50" t="s">
        <v>0</v>
      </c>
      <c r="E100" s="71"/>
      <c r="F100" s="51"/>
      <c r="G100" s="51"/>
      <c r="H100" s="51"/>
      <c r="I100" s="52"/>
      <c r="J100" s="52"/>
      <c r="K100" s="53"/>
    </row>
    <row r="101" spans="1:11" ht="14.25" hidden="1">
      <c r="A101" s="49" t="s">
        <v>407</v>
      </c>
      <c r="B101" s="50" t="s">
        <v>246</v>
      </c>
      <c r="C101" s="50" t="s">
        <v>247</v>
      </c>
      <c r="D101" s="50" t="s">
        <v>248</v>
      </c>
      <c r="E101" s="71">
        <f>1</f>
        <v>1</v>
      </c>
      <c r="F101" s="51"/>
      <c r="G101" s="51"/>
      <c r="H101" s="51">
        <f>'Phan tich don gia'!G445</f>
        <v>47008.4634</v>
      </c>
      <c r="I101" s="52">
        <f>E101*F101</f>
        <v>0</v>
      </c>
      <c r="J101" s="52">
        <f>E101*G101</f>
        <v>0</v>
      </c>
      <c r="K101" s="53">
        <f>E101*H101</f>
        <v>47008.4634</v>
      </c>
    </row>
    <row r="102" spans="1:11" ht="14.25" hidden="1">
      <c r="A102" s="49" t="s">
        <v>0</v>
      </c>
      <c r="B102" s="50" t="s">
        <v>0</v>
      </c>
      <c r="C102" s="50" t="s">
        <v>388</v>
      </c>
      <c r="D102" s="50" t="s">
        <v>0</v>
      </c>
      <c r="E102" s="71"/>
      <c r="F102" s="51"/>
      <c r="G102" s="51"/>
      <c r="H102" s="51"/>
      <c r="I102" s="52"/>
      <c r="J102" s="52"/>
      <c r="K102" s="53"/>
    </row>
    <row r="103" spans="1:11" ht="14.25" hidden="1">
      <c r="A103" s="49" t="s">
        <v>406</v>
      </c>
      <c r="B103" s="50" t="s">
        <v>252</v>
      </c>
      <c r="C103" s="50" t="s">
        <v>247</v>
      </c>
      <c r="D103" s="50" t="s">
        <v>248</v>
      </c>
      <c r="E103" s="71">
        <f>1</f>
        <v>1</v>
      </c>
      <c r="F103" s="51"/>
      <c r="G103" s="51"/>
      <c r="H103" s="51">
        <f>'Phan tich don gia'!G450</f>
        <v>33080.0298</v>
      </c>
      <c r="I103" s="52">
        <f>E103*F103</f>
        <v>0</v>
      </c>
      <c r="J103" s="52">
        <f>E103*G103</f>
        <v>0</v>
      </c>
      <c r="K103" s="53">
        <f>E103*H103</f>
        <v>33080.0298</v>
      </c>
    </row>
    <row r="104" spans="1:11" ht="14.25" hidden="1">
      <c r="A104" s="49" t="s">
        <v>0</v>
      </c>
      <c r="B104" s="50" t="s">
        <v>0</v>
      </c>
      <c r="C104" s="50" t="s">
        <v>386</v>
      </c>
      <c r="D104" s="50" t="s">
        <v>0</v>
      </c>
      <c r="E104" s="71"/>
      <c r="F104" s="51"/>
      <c r="G104" s="51"/>
      <c r="H104" s="51"/>
      <c r="I104" s="52"/>
      <c r="J104" s="52"/>
      <c r="K104" s="53"/>
    </row>
    <row r="105" spans="1:11" ht="14.25" hidden="1">
      <c r="A105" s="49" t="s">
        <v>405</v>
      </c>
      <c r="B105" s="50" t="s">
        <v>255</v>
      </c>
      <c r="C105" s="50" t="s">
        <v>247</v>
      </c>
      <c r="D105" s="50" t="s">
        <v>248</v>
      </c>
      <c r="E105" s="71">
        <f>1</f>
        <v>1</v>
      </c>
      <c r="F105" s="51"/>
      <c r="G105" s="51"/>
      <c r="H105" s="51">
        <f>'Phan tich don gia'!G455</f>
        <v>24374.7588</v>
      </c>
      <c r="I105" s="52">
        <f>E105*F105</f>
        <v>0</v>
      </c>
      <c r="J105" s="52">
        <f>E105*G105</f>
        <v>0</v>
      </c>
      <c r="K105" s="53">
        <f>E105*H105</f>
        <v>24374.7588</v>
      </c>
    </row>
    <row r="106" spans="1:11" ht="14.25" hidden="1">
      <c r="A106" s="49" t="s">
        <v>0</v>
      </c>
      <c r="B106" s="50" t="s">
        <v>0</v>
      </c>
      <c r="C106" s="50" t="s">
        <v>384</v>
      </c>
      <c r="D106" s="50" t="s">
        <v>0</v>
      </c>
      <c r="E106" s="71"/>
      <c r="F106" s="51"/>
      <c r="G106" s="51"/>
      <c r="H106" s="51"/>
      <c r="I106" s="52"/>
      <c r="J106" s="52"/>
      <c r="K106" s="53"/>
    </row>
    <row r="107" spans="1:11" ht="14.25" hidden="1">
      <c r="A107" s="49" t="s">
        <v>404</v>
      </c>
      <c r="B107" s="50" t="s">
        <v>258</v>
      </c>
      <c r="C107" s="50" t="s">
        <v>259</v>
      </c>
      <c r="D107" s="50" t="s">
        <v>248</v>
      </c>
      <c r="E107" s="71">
        <f>1</f>
        <v>1</v>
      </c>
      <c r="F107" s="51"/>
      <c r="G107" s="51"/>
      <c r="H107" s="51">
        <f>'Phan tich don gia'!G460</f>
        <v>96778.5368</v>
      </c>
      <c r="I107" s="52">
        <f>E107*F107</f>
        <v>0</v>
      </c>
      <c r="J107" s="52">
        <f>E107*G107</f>
        <v>0</v>
      </c>
      <c r="K107" s="53">
        <f>E107*H107</f>
        <v>96778.5368</v>
      </c>
    </row>
    <row r="108" spans="1:11" ht="14.25" hidden="1">
      <c r="A108" s="49" t="s">
        <v>0</v>
      </c>
      <c r="B108" s="50" t="s">
        <v>0</v>
      </c>
      <c r="C108" s="50" t="s">
        <v>388</v>
      </c>
      <c r="D108" s="50" t="s">
        <v>0</v>
      </c>
      <c r="E108" s="71"/>
      <c r="F108" s="51"/>
      <c r="G108" s="51"/>
      <c r="H108" s="51"/>
      <c r="I108" s="52"/>
      <c r="J108" s="52"/>
      <c r="K108" s="53"/>
    </row>
    <row r="109" spans="1:11" ht="14.25" hidden="1">
      <c r="A109" s="49" t="s">
        <v>403</v>
      </c>
      <c r="B109" s="50" t="s">
        <v>262</v>
      </c>
      <c r="C109" s="50" t="s">
        <v>259</v>
      </c>
      <c r="D109" s="50" t="s">
        <v>263</v>
      </c>
      <c r="E109" s="71">
        <f>1</f>
        <v>1</v>
      </c>
      <c r="F109" s="51"/>
      <c r="G109" s="51"/>
      <c r="H109" s="51">
        <f>'Phan tich don gia'!G465</f>
        <v>70037.099</v>
      </c>
      <c r="I109" s="52">
        <f>E109*F109</f>
        <v>0</v>
      </c>
      <c r="J109" s="52">
        <f>E109*G109</f>
        <v>0</v>
      </c>
      <c r="K109" s="53">
        <f>E109*H109</f>
        <v>70037.099</v>
      </c>
    </row>
    <row r="110" spans="1:11" ht="14.25" hidden="1">
      <c r="A110" s="49" t="s">
        <v>0</v>
      </c>
      <c r="B110" s="50" t="s">
        <v>0</v>
      </c>
      <c r="C110" s="50" t="s">
        <v>386</v>
      </c>
      <c r="D110" s="50" t="s">
        <v>0</v>
      </c>
      <c r="E110" s="71"/>
      <c r="F110" s="51"/>
      <c r="G110" s="51"/>
      <c r="H110" s="51"/>
      <c r="I110" s="52"/>
      <c r="J110" s="52"/>
      <c r="K110" s="53"/>
    </row>
    <row r="111" spans="1:11" ht="14.25" hidden="1">
      <c r="A111" s="49" t="s">
        <v>402</v>
      </c>
      <c r="B111" s="50" t="s">
        <v>265</v>
      </c>
      <c r="C111" s="50" t="s">
        <v>259</v>
      </c>
      <c r="D111" s="50" t="s">
        <v>263</v>
      </c>
      <c r="E111" s="71">
        <f>1</f>
        <v>1</v>
      </c>
      <c r="F111" s="51"/>
      <c r="G111" s="51"/>
      <c r="H111" s="51">
        <f>'Phan tich don gia'!G470</f>
        <v>47115.8666</v>
      </c>
      <c r="I111" s="52">
        <f>E111*F111</f>
        <v>0</v>
      </c>
      <c r="J111" s="52">
        <f>E111*G111</f>
        <v>0</v>
      </c>
      <c r="K111" s="53">
        <f>E111*H111</f>
        <v>47115.8666</v>
      </c>
    </row>
    <row r="112" spans="1:11" ht="14.25" hidden="1">
      <c r="A112" s="49" t="s">
        <v>0</v>
      </c>
      <c r="B112" s="50" t="s">
        <v>0</v>
      </c>
      <c r="C112" s="50" t="s">
        <v>384</v>
      </c>
      <c r="D112" s="50" t="s">
        <v>0</v>
      </c>
      <c r="E112" s="71"/>
      <c r="F112" s="51"/>
      <c r="G112" s="51"/>
      <c r="H112" s="51"/>
      <c r="I112" s="52"/>
      <c r="J112" s="52"/>
      <c r="K112" s="53"/>
    </row>
    <row r="113" spans="1:11" ht="14.25" hidden="1">
      <c r="A113" s="49" t="s">
        <v>401</v>
      </c>
      <c r="B113" s="50" t="s">
        <v>267</v>
      </c>
      <c r="C113" s="50" t="s">
        <v>268</v>
      </c>
      <c r="D113" s="50" t="s">
        <v>263</v>
      </c>
      <c r="E113" s="71">
        <f>1</f>
        <v>1</v>
      </c>
      <c r="F113" s="51"/>
      <c r="G113" s="51"/>
      <c r="H113" s="51">
        <f>'Phan tich don gia'!G475</f>
        <v>52231.626</v>
      </c>
      <c r="I113" s="52">
        <f>E113*F113</f>
        <v>0</v>
      </c>
      <c r="J113" s="52">
        <f>E113*G113</f>
        <v>0</v>
      </c>
      <c r="K113" s="53">
        <f>E113*H113</f>
        <v>52231.626</v>
      </c>
    </row>
    <row r="114" spans="1:11" ht="14.25" hidden="1">
      <c r="A114" s="49" t="s">
        <v>0</v>
      </c>
      <c r="B114" s="50" t="s">
        <v>0</v>
      </c>
      <c r="C114" s="50" t="s">
        <v>388</v>
      </c>
      <c r="D114" s="50" t="s">
        <v>0</v>
      </c>
      <c r="E114" s="71"/>
      <c r="F114" s="51"/>
      <c r="G114" s="51"/>
      <c r="H114" s="51"/>
      <c r="I114" s="52"/>
      <c r="J114" s="52"/>
      <c r="K114" s="53"/>
    </row>
    <row r="115" spans="1:11" ht="14.25" hidden="1">
      <c r="A115" s="49" t="s">
        <v>400</v>
      </c>
      <c r="B115" s="50" t="s">
        <v>270</v>
      </c>
      <c r="C115" s="50" t="s">
        <v>268</v>
      </c>
      <c r="D115" s="50" t="s">
        <v>248</v>
      </c>
      <c r="E115" s="71">
        <f>1</f>
        <v>1</v>
      </c>
      <c r="F115" s="51"/>
      <c r="G115" s="51"/>
      <c r="H115" s="51">
        <f>'Phan tich don gia'!G480</f>
        <v>36562.1382</v>
      </c>
      <c r="I115" s="52">
        <f>E115*F115</f>
        <v>0</v>
      </c>
      <c r="J115" s="52">
        <f>E115*G115</f>
        <v>0</v>
      </c>
      <c r="K115" s="53">
        <f>E115*H115</f>
        <v>36562.1382</v>
      </c>
    </row>
    <row r="116" spans="1:11" ht="14.25" hidden="1">
      <c r="A116" s="49" t="s">
        <v>0</v>
      </c>
      <c r="B116" s="50" t="s">
        <v>0</v>
      </c>
      <c r="C116" s="50" t="s">
        <v>386</v>
      </c>
      <c r="D116" s="50" t="s">
        <v>0</v>
      </c>
      <c r="E116" s="71"/>
      <c r="F116" s="51"/>
      <c r="G116" s="51"/>
      <c r="H116" s="51"/>
      <c r="I116" s="52"/>
      <c r="J116" s="52"/>
      <c r="K116" s="53"/>
    </row>
    <row r="117" spans="1:11" ht="14.25" hidden="1">
      <c r="A117" s="49" t="s">
        <v>399</v>
      </c>
      <c r="B117" s="50" t="s">
        <v>272</v>
      </c>
      <c r="C117" s="50" t="s">
        <v>268</v>
      </c>
      <c r="D117" s="50" t="s">
        <v>248</v>
      </c>
      <c r="E117" s="71">
        <f>1</f>
        <v>1</v>
      </c>
      <c r="F117" s="51"/>
      <c r="G117" s="51"/>
      <c r="H117" s="51">
        <f>'Phan tich don gia'!G485</f>
        <v>26115.813</v>
      </c>
      <c r="I117" s="52">
        <f>E117*F117</f>
        <v>0</v>
      </c>
      <c r="J117" s="52">
        <f>E117*G117</f>
        <v>0</v>
      </c>
      <c r="K117" s="53">
        <f>E117*H117</f>
        <v>26115.813</v>
      </c>
    </row>
    <row r="118" spans="1:11" ht="14.25" hidden="1">
      <c r="A118" s="49" t="s">
        <v>0</v>
      </c>
      <c r="B118" s="50" t="s">
        <v>0</v>
      </c>
      <c r="C118" s="50" t="s">
        <v>384</v>
      </c>
      <c r="D118" s="50" t="s">
        <v>0</v>
      </c>
      <c r="E118" s="71"/>
      <c r="F118" s="51"/>
      <c r="G118" s="51"/>
      <c r="H118" s="51"/>
      <c r="I118" s="52"/>
      <c r="J118" s="52"/>
      <c r="K118" s="53"/>
    </row>
    <row r="119" spans="1:11" ht="14.25" hidden="1">
      <c r="A119" s="49" t="s">
        <v>398</v>
      </c>
      <c r="B119" s="50" t="s">
        <v>274</v>
      </c>
      <c r="C119" s="50" t="s">
        <v>275</v>
      </c>
      <c r="D119" s="50" t="s">
        <v>248</v>
      </c>
      <c r="E119" s="71">
        <f>1</f>
        <v>1</v>
      </c>
      <c r="F119" s="51"/>
      <c r="G119" s="51"/>
      <c r="H119" s="51">
        <f>'Phan tich don gia'!G490</f>
        <v>137527.3944</v>
      </c>
      <c r="I119" s="52">
        <f>E119*F119</f>
        <v>0</v>
      </c>
      <c r="J119" s="52">
        <f>E119*G119</f>
        <v>0</v>
      </c>
      <c r="K119" s="53">
        <f>E119*H119</f>
        <v>137527.3944</v>
      </c>
    </row>
    <row r="120" spans="1:11" ht="14.25" hidden="1">
      <c r="A120" s="49" t="s">
        <v>0</v>
      </c>
      <c r="B120" s="50" t="s">
        <v>0</v>
      </c>
      <c r="C120" s="50" t="s">
        <v>388</v>
      </c>
      <c r="D120" s="50" t="s">
        <v>0</v>
      </c>
      <c r="E120" s="71"/>
      <c r="F120" s="51"/>
      <c r="G120" s="51"/>
      <c r="H120" s="51"/>
      <c r="I120" s="52"/>
      <c r="J120" s="52"/>
      <c r="K120" s="53"/>
    </row>
    <row r="121" spans="1:11" ht="14.25" hidden="1">
      <c r="A121" s="49" t="s">
        <v>397</v>
      </c>
      <c r="B121" s="50" t="s">
        <v>277</v>
      </c>
      <c r="C121" s="50" t="s">
        <v>275</v>
      </c>
      <c r="D121" s="50" t="s">
        <v>263</v>
      </c>
      <c r="E121" s="71">
        <f>1</f>
        <v>1</v>
      </c>
      <c r="F121" s="51"/>
      <c r="G121" s="51"/>
      <c r="H121" s="51">
        <f>'Phan tich don gia'!G495</f>
        <v>99325.3404</v>
      </c>
      <c r="I121" s="52">
        <f>E121*F121</f>
        <v>0</v>
      </c>
      <c r="J121" s="52">
        <f>E121*G121</f>
        <v>0</v>
      </c>
      <c r="K121" s="53">
        <f>E121*H121</f>
        <v>99325.3404</v>
      </c>
    </row>
    <row r="122" spans="1:11" ht="14.25" hidden="1">
      <c r="A122" s="49" t="s">
        <v>0</v>
      </c>
      <c r="B122" s="50" t="s">
        <v>0</v>
      </c>
      <c r="C122" s="50" t="s">
        <v>386</v>
      </c>
      <c r="D122" s="50" t="s">
        <v>0</v>
      </c>
      <c r="E122" s="71"/>
      <c r="F122" s="51"/>
      <c r="G122" s="51"/>
      <c r="H122" s="51"/>
      <c r="I122" s="52"/>
      <c r="J122" s="52"/>
      <c r="K122" s="53"/>
    </row>
    <row r="123" spans="1:11" ht="14.25" hidden="1">
      <c r="A123" s="49" t="s">
        <v>396</v>
      </c>
      <c r="B123" s="50" t="s">
        <v>279</v>
      </c>
      <c r="C123" s="50" t="s">
        <v>275</v>
      </c>
      <c r="D123" s="50" t="s">
        <v>263</v>
      </c>
      <c r="E123" s="71">
        <f>1</f>
        <v>1</v>
      </c>
      <c r="F123" s="51"/>
      <c r="G123" s="51"/>
      <c r="H123" s="51">
        <f>'Phan tich don gia'!G500</f>
        <v>67490.2954</v>
      </c>
      <c r="I123" s="52">
        <f>E123*F123</f>
        <v>0</v>
      </c>
      <c r="J123" s="52">
        <f>E123*G123</f>
        <v>0</v>
      </c>
      <c r="K123" s="53">
        <f>E123*H123</f>
        <v>67490.2954</v>
      </c>
    </row>
    <row r="124" spans="1:11" ht="14.25" hidden="1">
      <c r="A124" s="49" t="s">
        <v>0</v>
      </c>
      <c r="B124" s="50" t="s">
        <v>0</v>
      </c>
      <c r="C124" s="50" t="s">
        <v>384</v>
      </c>
      <c r="D124" s="50" t="s">
        <v>0</v>
      </c>
      <c r="E124" s="71"/>
      <c r="F124" s="51"/>
      <c r="G124" s="51"/>
      <c r="H124" s="51"/>
      <c r="I124" s="52"/>
      <c r="J124" s="52"/>
      <c r="K124" s="53"/>
    </row>
    <row r="125" spans="1:11" ht="14.25" hidden="1">
      <c r="A125" s="49" t="s">
        <v>395</v>
      </c>
      <c r="B125" s="50" t="s">
        <v>281</v>
      </c>
      <c r="C125" s="50" t="s">
        <v>282</v>
      </c>
      <c r="D125" s="50" t="s">
        <v>263</v>
      </c>
      <c r="E125" s="71">
        <f>1</f>
        <v>1</v>
      </c>
      <c r="F125" s="51"/>
      <c r="G125" s="51"/>
      <c r="H125" s="51">
        <f>'Phan tich don gia'!G505</f>
        <v>59195.8428</v>
      </c>
      <c r="I125" s="52">
        <f>E125*F125</f>
        <v>0</v>
      </c>
      <c r="J125" s="52">
        <f>E125*G125</f>
        <v>0</v>
      </c>
      <c r="K125" s="53">
        <f>E125*H125</f>
        <v>59195.8428</v>
      </c>
    </row>
    <row r="126" spans="1:11" ht="14.25" hidden="1">
      <c r="A126" s="49" t="s">
        <v>0</v>
      </c>
      <c r="B126" s="50" t="s">
        <v>0</v>
      </c>
      <c r="C126" s="50" t="s">
        <v>388</v>
      </c>
      <c r="D126" s="50" t="s">
        <v>0</v>
      </c>
      <c r="E126" s="71"/>
      <c r="F126" s="51"/>
      <c r="G126" s="51"/>
      <c r="H126" s="51"/>
      <c r="I126" s="52"/>
      <c r="J126" s="52"/>
      <c r="K126" s="53"/>
    </row>
    <row r="127" spans="1:11" ht="14.25" hidden="1">
      <c r="A127" s="49" t="s">
        <v>394</v>
      </c>
      <c r="B127" s="50" t="s">
        <v>284</v>
      </c>
      <c r="C127" s="50" t="s">
        <v>282</v>
      </c>
      <c r="D127" s="50" t="s">
        <v>248</v>
      </c>
      <c r="E127" s="71">
        <f>1</f>
        <v>1</v>
      </c>
      <c r="F127" s="51"/>
      <c r="G127" s="51"/>
      <c r="H127" s="51">
        <f>'Phan tich don gia'!G510</f>
        <v>43526.355</v>
      </c>
      <c r="I127" s="52">
        <f>E127*F127</f>
        <v>0</v>
      </c>
      <c r="J127" s="52">
        <f>E127*G127</f>
        <v>0</v>
      </c>
      <c r="K127" s="53">
        <f>E127*H127</f>
        <v>43526.355</v>
      </c>
    </row>
    <row r="128" spans="1:11" ht="14.25" hidden="1">
      <c r="A128" s="49" t="s">
        <v>0</v>
      </c>
      <c r="B128" s="50" t="s">
        <v>0</v>
      </c>
      <c r="C128" s="50" t="s">
        <v>386</v>
      </c>
      <c r="D128" s="50" t="s">
        <v>0</v>
      </c>
      <c r="E128" s="71"/>
      <c r="F128" s="51"/>
      <c r="G128" s="51"/>
      <c r="H128" s="51"/>
      <c r="I128" s="52"/>
      <c r="J128" s="52"/>
      <c r="K128" s="53"/>
    </row>
    <row r="129" spans="1:11" ht="14.25" hidden="1">
      <c r="A129" s="49" t="s">
        <v>393</v>
      </c>
      <c r="B129" s="50" t="s">
        <v>286</v>
      </c>
      <c r="C129" s="50" t="s">
        <v>282</v>
      </c>
      <c r="D129" s="50" t="s">
        <v>248</v>
      </c>
      <c r="E129" s="71">
        <f>1</f>
        <v>1</v>
      </c>
      <c r="F129" s="51"/>
      <c r="G129" s="51"/>
      <c r="H129" s="51">
        <f>'Phan tich don gia'!G515</f>
        <v>31338.9756</v>
      </c>
      <c r="I129" s="52">
        <f>E129*F129</f>
        <v>0</v>
      </c>
      <c r="J129" s="52">
        <f>E129*G129</f>
        <v>0</v>
      </c>
      <c r="K129" s="53">
        <f>E129*H129</f>
        <v>31338.9756</v>
      </c>
    </row>
    <row r="130" spans="1:11" ht="14.25" hidden="1">
      <c r="A130" s="49" t="s">
        <v>0</v>
      </c>
      <c r="B130" s="50" t="s">
        <v>0</v>
      </c>
      <c r="C130" s="50" t="s">
        <v>384</v>
      </c>
      <c r="D130" s="50" t="s">
        <v>0</v>
      </c>
      <c r="E130" s="71"/>
      <c r="F130" s="51"/>
      <c r="G130" s="51"/>
      <c r="H130" s="51"/>
      <c r="I130" s="52"/>
      <c r="J130" s="52"/>
      <c r="K130" s="53"/>
    </row>
    <row r="131" spans="1:11" ht="14.25" hidden="1">
      <c r="A131" s="49" t="s">
        <v>392</v>
      </c>
      <c r="B131" s="50" t="s">
        <v>288</v>
      </c>
      <c r="C131" s="50" t="s">
        <v>289</v>
      </c>
      <c r="D131" s="50" t="s">
        <v>248</v>
      </c>
      <c r="E131" s="71">
        <f>1</f>
        <v>1</v>
      </c>
      <c r="F131" s="51"/>
      <c r="G131" s="51"/>
      <c r="H131" s="51">
        <f>'Phan tich don gia'!G520</f>
        <v>28014.8396</v>
      </c>
      <c r="I131" s="52">
        <f>E131*F131</f>
        <v>0</v>
      </c>
      <c r="J131" s="52">
        <f>E131*G131</f>
        <v>0</v>
      </c>
      <c r="K131" s="53">
        <f>E131*H131</f>
        <v>28014.8396</v>
      </c>
    </row>
    <row r="132" spans="1:11" ht="14.25" hidden="1">
      <c r="A132" s="49" t="s">
        <v>0</v>
      </c>
      <c r="B132" s="50" t="s">
        <v>0</v>
      </c>
      <c r="C132" s="50" t="s">
        <v>388</v>
      </c>
      <c r="D132" s="50" t="s">
        <v>0</v>
      </c>
      <c r="E132" s="71"/>
      <c r="F132" s="51"/>
      <c r="G132" s="51"/>
      <c r="H132" s="51"/>
      <c r="I132" s="52"/>
      <c r="J132" s="52"/>
      <c r="K132" s="53"/>
    </row>
    <row r="133" spans="1:11" ht="14.25" hidden="1">
      <c r="A133" s="49" t="s">
        <v>391</v>
      </c>
      <c r="B133" s="50" t="s">
        <v>291</v>
      </c>
      <c r="C133" s="50" t="s">
        <v>289</v>
      </c>
      <c r="D133" s="50" t="s">
        <v>263</v>
      </c>
      <c r="E133" s="71">
        <f>1</f>
        <v>1</v>
      </c>
      <c r="F133" s="51"/>
      <c r="G133" s="51"/>
      <c r="H133" s="51">
        <f>'Phan tich don gia'!G525</f>
        <v>20374.4288</v>
      </c>
      <c r="I133" s="52">
        <f>E133*F133</f>
        <v>0</v>
      </c>
      <c r="J133" s="52">
        <f>E133*G133</f>
        <v>0</v>
      </c>
      <c r="K133" s="53">
        <f>E133*H133</f>
        <v>20374.4288</v>
      </c>
    </row>
    <row r="134" spans="1:11" ht="14.25" hidden="1">
      <c r="A134" s="49" t="s">
        <v>0</v>
      </c>
      <c r="B134" s="50" t="s">
        <v>0</v>
      </c>
      <c r="C134" s="50" t="s">
        <v>386</v>
      </c>
      <c r="D134" s="50" t="s">
        <v>0</v>
      </c>
      <c r="E134" s="71"/>
      <c r="F134" s="51"/>
      <c r="G134" s="51"/>
      <c r="H134" s="51"/>
      <c r="I134" s="52"/>
      <c r="J134" s="52"/>
      <c r="K134" s="53"/>
    </row>
    <row r="135" spans="1:11" ht="14.25" hidden="1">
      <c r="A135" s="49" t="s">
        <v>390</v>
      </c>
      <c r="B135" s="50" t="s">
        <v>293</v>
      </c>
      <c r="C135" s="50" t="s">
        <v>289</v>
      </c>
      <c r="D135" s="50" t="s">
        <v>263</v>
      </c>
      <c r="E135" s="71">
        <f>1</f>
        <v>1</v>
      </c>
      <c r="F135" s="51"/>
      <c r="G135" s="51"/>
      <c r="H135" s="51">
        <f>'Phan tich don gia'!G530</f>
        <v>14007.4198</v>
      </c>
      <c r="I135" s="52">
        <f>E135*F135</f>
        <v>0</v>
      </c>
      <c r="J135" s="52">
        <f>E135*G135</f>
        <v>0</v>
      </c>
      <c r="K135" s="53">
        <f>E135*H135</f>
        <v>14007.4198</v>
      </c>
    </row>
    <row r="136" spans="1:11" ht="14.25" hidden="1">
      <c r="A136" s="49" t="s">
        <v>0</v>
      </c>
      <c r="B136" s="50" t="s">
        <v>0</v>
      </c>
      <c r="C136" s="50" t="s">
        <v>384</v>
      </c>
      <c r="D136" s="50" t="s">
        <v>0</v>
      </c>
      <c r="E136" s="71"/>
      <c r="F136" s="51"/>
      <c r="G136" s="51"/>
      <c r="H136" s="51"/>
      <c r="I136" s="52"/>
      <c r="J136" s="52"/>
      <c r="K136" s="53"/>
    </row>
    <row r="137" spans="1:11" ht="14.25" hidden="1">
      <c r="A137" s="49" t="s">
        <v>389</v>
      </c>
      <c r="B137" s="50" t="s">
        <v>295</v>
      </c>
      <c r="C137" s="50" t="s">
        <v>296</v>
      </c>
      <c r="D137" s="50" t="s">
        <v>263</v>
      </c>
      <c r="E137" s="71">
        <f>1</f>
        <v>1</v>
      </c>
      <c r="F137" s="51"/>
      <c r="G137" s="51"/>
      <c r="H137" s="51">
        <f>'Phan tich don gia'!G535</f>
        <v>30561.6432</v>
      </c>
      <c r="I137" s="52">
        <f>E137*F137</f>
        <v>0</v>
      </c>
      <c r="J137" s="52">
        <f>E137*G137</f>
        <v>0</v>
      </c>
      <c r="K137" s="53">
        <f>E137*H137</f>
        <v>30561.6432</v>
      </c>
    </row>
    <row r="138" spans="1:11" ht="14.25" hidden="1">
      <c r="A138" s="49" t="s">
        <v>0</v>
      </c>
      <c r="B138" s="50" t="s">
        <v>0</v>
      </c>
      <c r="C138" s="50" t="s">
        <v>388</v>
      </c>
      <c r="D138" s="50" t="s">
        <v>0</v>
      </c>
      <c r="E138" s="71"/>
      <c r="F138" s="51"/>
      <c r="G138" s="51"/>
      <c r="H138" s="51"/>
      <c r="I138" s="52"/>
      <c r="J138" s="52"/>
      <c r="K138" s="53"/>
    </row>
    <row r="139" spans="1:11" ht="14.25" hidden="1">
      <c r="A139" s="49" t="s">
        <v>387</v>
      </c>
      <c r="B139" s="50" t="s">
        <v>298</v>
      </c>
      <c r="C139" s="50" t="s">
        <v>296</v>
      </c>
      <c r="D139" s="50" t="s">
        <v>263</v>
      </c>
      <c r="E139" s="71">
        <f>1</f>
        <v>1</v>
      </c>
      <c r="F139" s="51"/>
      <c r="G139" s="51"/>
      <c r="H139" s="51">
        <f>'Phan tich don gia'!G540</f>
        <v>22921.2324</v>
      </c>
      <c r="I139" s="52">
        <f>E139*F139</f>
        <v>0</v>
      </c>
      <c r="J139" s="52">
        <f>E139*G139</f>
        <v>0</v>
      </c>
      <c r="K139" s="53">
        <f>E139*H139</f>
        <v>22921.2324</v>
      </c>
    </row>
    <row r="140" spans="1:11" ht="14.25" hidden="1">
      <c r="A140" s="49" t="s">
        <v>0</v>
      </c>
      <c r="B140" s="50" t="s">
        <v>0</v>
      </c>
      <c r="C140" s="50" t="s">
        <v>386</v>
      </c>
      <c r="D140" s="50" t="s">
        <v>0</v>
      </c>
      <c r="E140" s="71"/>
      <c r="F140" s="51"/>
      <c r="G140" s="51"/>
      <c r="H140" s="51"/>
      <c r="I140" s="52"/>
      <c r="J140" s="52"/>
      <c r="K140" s="53"/>
    </row>
    <row r="141" spans="1:11" ht="14.25" hidden="1">
      <c r="A141" s="49" t="s">
        <v>385</v>
      </c>
      <c r="B141" s="50" t="s">
        <v>300</v>
      </c>
      <c r="C141" s="50" t="s">
        <v>296</v>
      </c>
      <c r="D141" s="50" t="s">
        <v>263</v>
      </c>
      <c r="E141" s="71">
        <f>1</f>
        <v>1</v>
      </c>
      <c r="F141" s="51"/>
      <c r="G141" s="51"/>
      <c r="H141" s="51">
        <f>'Phan tich don gia'!G545</f>
        <v>14007.4198</v>
      </c>
      <c r="I141" s="52">
        <f>E141*F141</f>
        <v>0</v>
      </c>
      <c r="J141" s="52">
        <f>E141*G141</f>
        <v>0</v>
      </c>
      <c r="K141" s="53">
        <f>E141*H141</f>
        <v>14007.4198</v>
      </c>
    </row>
    <row r="142" spans="1:11" ht="14.25" hidden="1">
      <c r="A142" s="49" t="s">
        <v>0</v>
      </c>
      <c r="B142" s="50" t="s">
        <v>0</v>
      </c>
      <c r="C142" s="50" t="s">
        <v>384</v>
      </c>
      <c r="D142" s="50" t="s">
        <v>0</v>
      </c>
      <c r="E142" s="71"/>
      <c r="F142" s="51"/>
      <c r="G142" s="51"/>
      <c r="H142" s="51"/>
      <c r="I142" s="52"/>
      <c r="J142" s="52"/>
      <c r="K142" s="53"/>
    </row>
    <row r="143" spans="1:11" ht="14.25" hidden="1">
      <c r="A143" s="49" t="s">
        <v>0</v>
      </c>
      <c r="B143" s="50" t="s">
        <v>0</v>
      </c>
      <c r="C143" s="50" t="s">
        <v>0</v>
      </c>
      <c r="D143" s="50" t="s">
        <v>0</v>
      </c>
      <c r="E143" s="71"/>
      <c r="F143" s="51"/>
      <c r="G143" s="51"/>
      <c r="H143" s="51"/>
      <c r="I143" s="52"/>
      <c r="J143" s="52"/>
      <c r="K143" s="53"/>
    </row>
    <row r="144" spans="1:11" ht="14.25" hidden="1">
      <c r="A144" s="49" t="s">
        <v>0</v>
      </c>
      <c r="B144" s="50" t="s">
        <v>0</v>
      </c>
      <c r="C144" s="50" t="s">
        <v>0</v>
      </c>
      <c r="D144" s="50" t="s">
        <v>0</v>
      </c>
      <c r="E144" s="71"/>
      <c r="F144" s="51"/>
      <c r="G144" s="51"/>
      <c r="H144" s="51"/>
      <c r="I144" s="52"/>
      <c r="J144" s="52"/>
      <c r="K144" s="53"/>
    </row>
    <row r="145" spans="1:11" ht="14.25" hidden="1">
      <c r="A145" s="49" t="s">
        <v>0</v>
      </c>
      <c r="B145" s="50" t="s">
        <v>0</v>
      </c>
      <c r="C145" s="50" t="s">
        <v>0</v>
      </c>
      <c r="D145" s="50" t="s">
        <v>0</v>
      </c>
      <c r="E145" s="71"/>
      <c r="F145" s="51"/>
      <c r="G145" s="51"/>
      <c r="H145" s="51"/>
      <c r="I145" s="52"/>
      <c r="J145" s="52"/>
      <c r="K145" s="53"/>
    </row>
    <row r="146" spans="1:11" ht="15" thickBot="1">
      <c r="A146" s="59" t="s">
        <v>0</v>
      </c>
      <c r="B146" s="60" t="s">
        <v>0</v>
      </c>
      <c r="C146" s="60" t="s">
        <v>0</v>
      </c>
      <c r="D146" s="60" t="s">
        <v>0</v>
      </c>
      <c r="E146" s="73"/>
      <c r="F146" s="61"/>
      <c r="G146" s="61"/>
      <c r="H146" s="61"/>
      <c r="I146" s="62"/>
      <c r="J146" s="62"/>
      <c r="K146" s="63"/>
    </row>
  </sheetData>
  <sheetProtection/>
  <mergeCells count="10">
    <mergeCell ref="F6:H6"/>
    <mergeCell ref="I6:K6"/>
    <mergeCell ref="A1:K1"/>
    <mergeCell ref="A3:K3"/>
    <mergeCell ref="A4:K4"/>
    <mergeCell ref="A6:A7"/>
    <mergeCell ref="B6:B7"/>
    <mergeCell ref="C6:C7"/>
    <mergeCell ref="D6:D7"/>
    <mergeCell ref="E6:E7"/>
  </mergeCells>
  <printOptions horizontalCentered="1"/>
  <pageMargins left="0.75" right="0.5" top="0.75" bottom="0.7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0"/>
  <sheetViews>
    <sheetView showGridLines="0" showZeros="0" zoomScalePageLayoutView="0" workbookViewId="0" topLeftCell="A304">
      <selection activeCell="C321" sqref="C321"/>
    </sheetView>
  </sheetViews>
  <sheetFormatPr defaultColWidth="8.796875" defaultRowHeight="15"/>
  <cols>
    <col min="1" max="1" width="3.59765625" style="6" customWidth="1"/>
    <col min="2" max="2" width="8.59765625" style="6" customWidth="1"/>
    <col min="3" max="3" width="46.19921875" style="6" bestFit="1" customWidth="1"/>
    <col min="4" max="4" width="5.19921875" style="6" customWidth="1"/>
    <col min="5" max="5" width="10.09765625" style="78" customWidth="1"/>
    <col min="6" max="6" width="10.5" style="79" customWidth="1"/>
    <col min="7" max="7" width="12.5" style="79" customWidth="1"/>
    <col min="8" max="16384" width="9" style="6" customWidth="1"/>
  </cols>
  <sheetData>
    <row r="1" spans="1:7" ht="21">
      <c r="A1" s="199" t="s">
        <v>586</v>
      </c>
      <c r="B1" s="199"/>
      <c r="C1" s="199"/>
      <c r="D1" s="199"/>
      <c r="E1" s="199"/>
      <c r="F1" s="199"/>
      <c r="G1" s="199"/>
    </row>
    <row r="2" spans="1:7" ht="15.75">
      <c r="A2" s="2"/>
      <c r="B2" s="2"/>
      <c r="C2" s="2"/>
      <c r="D2" s="2"/>
      <c r="E2" s="92"/>
      <c r="F2" s="1"/>
      <c r="G2" s="1"/>
    </row>
    <row r="3" spans="1:7" s="39" customFormat="1" ht="16.5">
      <c r="A3" s="194" t="s">
        <v>565</v>
      </c>
      <c r="B3" s="194"/>
      <c r="C3" s="194"/>
      <c r="D3" s="194"/>
      <c r="E3" s="194"/>
      <c r="F3" s="194"/>
      <c r="G3" s="194"/>
    </row>
    <row r="4" spans="1:7" s="39" customFormat="1" ht="16.5">
      <c r="A4" s="194" t="s">
        <v>641</v>
      </c>
      <c r="B4" s="194"/>
      <c r="C4" s="194"/>
      <c r="D4" s="194"/>
      <c r="E4" s="194"/>
      <c r="F4" s="194"/>
      <c r="G4" s="194"/>
    </row>
    <row r="5" spans="1:7" s="39" customFormat="1" ht="16.5">
      <c r="A5" s="194" t="s">
        <v>642</v>
      </c>
      <c r="B5" s="194"/>
      <c r="C5" s="194"/>
      <c r="D5" s="194"/>
      <c r="E5" s="194"/>
      <c r="F5" s="194"/>
      <c r="G5" s="194"/>
    </row>
    <row r="6" spans="1:7" ht="16.5" thickBot="1">
      <c r="A6" s="2"/>
      <c r="B6" s="2"/>
      <c r="C6" s="2"/>
      <c r="D6" s="2"/>
      <c r="E6" s="92"/>
      <c r="F6" s="1"/>
      <c r="G6" s="1"/>
    </row>
    <row r="7" spans="1:7" ht="45" customHeight="1">
      <c r="A7" s="34" t="s">
        <v>359</v>
      </c>
      <c r="B7" s="36" t="s">
        <v>587</v>
      </c>
      <c r="C7" s="35" t="s">
        <v>579</v>
      </c>
      <c r="D7" s="36" t="s">
        <v>588</v>
      </c>
      <c r="E7" s="93" t="s">
        <v>589</v>
      </c>
      <c r="F7" s="94" t="s">
        <v>577</v>
      </c>
      <c r="G7" s="95" t="s">
        <v>575</v>
      </c>
    </row>
    <row r="8" spans="1:7" ht="15">
      <c r="A8" s="87" t="s">
        <v>2</v>
      </c>
      <c r="B8" s="88" t="s">
        <v>3</v>
      </c>
      <c r="C8" s="88" t="s">
        <v>4</v>
      </c>
      <c r="D8" s="88" t="s">
        <v>5</v>
      </c>
      <c r="E8" s="89"/>
      <c r="F8" s="90"/>
      <c r="G8" s="91"/>
    </row>
    <row r="9" spans="1:7" ht="15">
      <c r="A9" s="12" t="s">
        <v>0</v>
      </c>
      <c r="B9" s="13" t="s">
        <v>0</v>
      </c>
      <c r="C9" s="13" t="s">
        <v>6</v>
      </c>
      <c r="D9" s="13" t="s">
        <v>0</v>
      </c>
      <c r="E9" s="80"/>
      <c r="F9" s="81"/>
      <c r="G9" s="82"/>
    </row>
    <row r="10" spans="1:7" ht="15.75">
      <c r="A10" s="12" t="s">
        <v>0</v>
      </c>
      <c r="B10" s="13" t="s">
        <v>0</v>
      </c>
      <c r="C10" s="13" t="s">
        <v>457</v>
      </c>
      <c r="D10" s="13" t="s">
        <v>0</v>
      </c>
      <c r="E10" s="80"/>
      <c r="F10" s="81"/>
      <c r="G10" s="83">
        <f>ROUND(SUM(G11:G14),5)</f>
        <v>330024.392</v>
      </c>
    </row>
    <row r="11" spans="1:7" ht="15">
      <c r="A11" s="12" t="s">
        <v>0</v>
      </c>
      <c r="B11" s="13" t="s">
        <v>0</v>
      </c>
      <c r="C11" s="13" t="s">
        <v>7</v>
      </c>
      <c r="D11" s="13" t="s">
        <v>8</v>
      </c>
      <c r="E11" s="80">
        <f>1.51</f>
        <v>1.51</v>
      </c>
      <c r="F11" s="81">
        <f>'Gia NC,CM'!P8</f>
        <v>218559.2</v>
      </c>
      <c r="G11" s="82">
        <f>ROUND(E11*F11,5)</f>
        <v>330024.392</v>
      </c>
    </row>
    <row r="12" spans="1:7" ht="15">
      <c r="A12" s="12" t="s">
        <v>0</v>
      </c>
      <c r="B12" s="13" t="s">
        <v>0</v>
      </c>
      <c r="C12" s="13" t="s">
        <v>0</v>
      </c>
      <c r="D12" s="13" t="s">
        <v>0</v>
      </c>
      <c r="E12" s="80"/>
      <c r="F12" s="81"/>
      <c r="G12" s="82"/>
    </row>
    <row r="13" spans="1:7" ht="15">
      <c r="A13" s="12" t="s">
        <v>9</v>
      </c>
      <c r="B13" s="13" t="s">
        <v>10</v>
      </c>
      <c r="C13" s="13" t="s">
        <v>11</v>
      </c>
      <c r="D13" s="13" t="s">
        <v>12</v>
      </c>
      <c r="E13" s="80"/>
      <c r="F13" s="81"/>
      <c r="G13" s="82"/>
    </row>
    <row r="14" spans="1:7" ht="15">
      <c r="A14" s="12" t="s">
        <v>0</v>
      </c>
      <c r="B14" s="13" t="s">
        <v>0</v>
      </c>
      <c r="C14" s="13" t="s">
        <v>13</v>
      </c>
      <c r="D14" s="13" t="s">
        <v>0</v>
      </c>
      <c r="E14" s="80"/>
      <c r="F14" s="81"/>
      <c r="G14" s="82"/>
    </row>
    <row r="15" spans="1:7" ht="15.75">
      <c r="A15" s="12" t="s">
        <v>0</v>
      </c>
      <c r="B15" s="13" t="s">
        <v>0</v>
      </c>
      <c r="C15" s="13" t="s">
        <v>463</v>
      </c>
      <c r="D15" s="13" t="s">
        <v>0</v>
      </c>
      <c r="E15" s="80"/>
      <c r="F15" s="81"/>
      <c r="G15" s="83">
        <f>ROUND(SUM(G16:G19),5)</f>
        <v>20008.42839</v>
      </c>
    </row>
    <row r="16" spans="1:7" ht="15">
      <c r="A16" s="12" t="s">
        <v>0</v>
      </c>
      <c r="B16" s="13" t="s">
        <v>0</v>
      </c>
      <c r="C16" s="13" t="s">
        <v>14</v>
      </c>
      <c r="D16" s="13" t="s">
        <v>15</v>
      </c>
      <c r="E16" s="80">
        <f>0.5181</f>
        <v>0.5181</v>
      </c>
      <c r="F16" s="81">
        <f>ROUND('Gia VL'!R52/1000,5)</f>
        <v>21045.8974</v>
      </c>
      <c r="G16" s="82">
        <f>ROUND(E16*F16,5)</f>
        <v>10903.87944</v>
      </c>
    </row>
    <row r="17" spans="1:7" ht="15">
      <c r="A17" s="12" t="s">
        <v>0</v>
      </c>
      <c r="B17" s="13" t="s">
        <v>0</v>
      </c>
      <c r="C17" s="13" t="s">
        <v>16</v>
      </c>
      <c r="D17" s="13" t="s">
        <v>15</v>
      </c>
      <c r="E17" s="80">
        <f>0.3558</f>
        <v>0.3558</v>
      </c>
      <c r="F17" s="81">
        <f>ROUND('Gia VL'!R47/1000,5)</f>
        <v>21045.8974</v>
      </c>
      <c r="G17" s="82">
        <f>ROUND(E17*F17,5)</f>
        <v>7488.13029</v>
      </c>
    </row>
    <row r="18" spans="1:7" ht="15">
      <c r="A18" s="12" t="s">
        <v>0</v>
      </c>
      <c r="B18" s="13" t="s">
        <v>0</v>
      </c>
      <c r="C18" s="13" t="s">
        <v>17</v>
      </c>
      <c r="D18" s="13" t="s">
        <v>15</v>
      </c>
      <c r="E18" s="80">
        <f>0.0365</f>
        <v>0.0365</v>
      </c>
      <c r="F18" s="81">
        <f>ROUND('Gia VL'!R42/1000,5)</f>
        <v>18181.8181</v>
      </c>
      <c r="G18" s="82">
        <f>ROUND(E18*F18,5)</f>
        <v>663.63636</v>
      </c>
    </row>
    <row r="19" spans="1:7" ht="15">
      <c r="A19" s="12" t="s">
        <v>0</v>
      </c>
      <c r="B19" s="13" t="s">
        <v>0</v>
      </c>
      <c r="C19" s="13" t="s">
        <v>461</v>
      </c>
      <c r="D19" s="13" t="s">
        <v>460</v>
      </c>
      <c r="E19" s="80">
        <f>5</f>
        <v>5</v>
      </c>
      <c r="F19" s="81"/>
      <c r="G19" s="82">
        <f>ROUND(SUM(G16:G18)*E19/100,5)</f>
        <v>952.7823</v>
      </c>
    </row>
    <row r="20" spans="1:7" ht="15.75">
      <c r="A20" s="12" t="s">
        <v>0</v>
      </c>
      <c r="B20" s="13" t="s">
        <v>0</v>
      </c>
      <c r="C20" s="13" t="s">
        <v>457</v>
      </c>
      <c r="D20" s="13" t="s">
        <v>0</v>
      </c>
      <c r="E20" s="80"/>
      <c r="F20" s="81"/>
      <c r="G20" s="83">
        <f>ROUND(SUM(G21:G21),5)</f>
        <v>73178.64081</v>
      </c>
    </row>
    <row r="21" spans="1:7" ht="15">
      <c r="A21" s="12" t="s">
        <v>0</v>
      </c>
      <c r="B21" s="13" t="s">
        <v>0</v>
      </c>
      <c r="C21" s="13" t="s">
        <v>18</v>
      </c>
      <c r="D21" s="13" t="s">
        <v>8</v>
      </c>
      <c r="E21" s="80">
        <f>0.2673</f>
        <v>0.2673</v>
      </c>
      <c r="F21" s="81">
        <f>'Gia NC,CM'!P11</f>
        <v>273769.7</v>
      </c>
      <c r="G21" s="82">
        <f>ROUND(E21*F21,5)</f>
        <v>73178.64081</v>
      </c>
    </row>
    <row r="22" spans="1:7" ht="15.75">
      <c r="A22" s="12" t="s">
        <v>0</v>
      </c>
      <c r="B22" s="13" t="s">
        <v>0</v>
      </c>
      <c r="C22" s="13" t="s">
        <v>456</v>
      </c>
      <c r="D22" s="13" t="s">
        <v>0</v>
      </c>
      <c r="E22" s="80"/>
      <c r="F22" s="81"/>
      <c r="G22" s="83">
        <f>ROUND(SUM(G23:G27),5)</f>
        <v>3841.98133</v>
      </c>
    </row>
    <row r="23" spans="1:7" ht="15">
      <c r="A23" s="12" t="s">
        <v>0</v>
      </c>
      <c r="B23" s="13" t="s">
        <v>0</v>
      </c>
      <c r="C23" s="13" t="s">
        <v>19</v>
      </c>
      <c r="D23" s="13" t="s">
        <v>20</v>
      </c>
      <c r="E23" s="80">
        <f>0.0092</f>
        <v>0.0092</v>
      </c>
      <c r="F23" s="81">
        <f>'Gia NC,CM'!P15</f>
        <v>409418.3</v>
      </c>
      <c r="G23" s="82">
        <f>ROUND(E23*F23,5)</f>
        <v>3766.64836</v>
      </c>
    </row>
    <row r="24" spans="1:7" ht="15">
      <c r="A24" s="12" t="s">
        <v>0</v>
      </c>
      <c r="B24" s="13" t="s">
        <v>0</v>
      </c>
      <c r="C24" s="13" t="s">
        <v>466</v>
      </c>
      <c r="D24" s="13" t="s">
        <v>460</v>
      </c>
      <c r="E24" s="80">
        <f>2</f>
        <v>2</v>
      </c>
      <c r="F24" s="81"/>
      <c r="G24" s="82">
        <f>ROUND(SUM(G23:G23)*E24/100,5)</f>
        <v>75.33297</v>
      </c>
    </row>
    <row r="25" spans="1:7" ht="15">
      <c r="A25" s="12" t="s">
        <v>0</v>
      </c>
      <c r="B25" s="13" t="s">
        <v>0</v>
      </c>
      <c r="C25" s="13" t="s">
        <v>0</v>
      </c>
      <c r="D25" s="13" t="s">
        <v>0</v>
      </c>
      <c r="E25" s="80"/>
      <c r="F25" s="81"/>
      <c r="G25" s="82"/>
    </row>
    <row r="26" spans="1:7" ht="15">
      <c r="A26" s="12" t="s">
        <v>21</v>
      </c>
      <c r="B26" s="13" t="s">
        <v>22</v>
      </c>
      <c r="C26" s="13" t="s">
        <v>23</v>
      </c>
      <c r="D26" s="13" t="s">
        <v>5</v>
      </c>
      <c r="E26" s="80"/>
      <c r="F26" s="81"/>
      <c r="G26" s="82"/>
    </row>
    <row r="27" spans="1:7" ht="15">
      <c r="A27" s="12" t="s">
        <v>0</v>
      </c>
      <c r="B27" s="13" t="s">
        <v>0</v>
      </c>
      <c r="C27" s="13" t="s">
        <v>24</v>
      </c>
      <c r="D27" s="13" t="s">
        <v>0</v>
      </c>
      <c r="E27" s="80"/>
      <c r="F27" s="81"/>
      <c r="G27" s="82"/>
    </row>
    <row r="28" spans="1:7" ht="15.75">
      <c r="A28" s="12" t="s">
        <v>0</v>
      </c>
      <c r="B28" s="13" t="s">
        <v>0</v>
      </c>
      <c r="C28" s="13" t="s">
        <v>463</v>
      </c>
      <c r="D28" s="13" t="s">
        <v>0</v>
      </c>
      <c r="E28" s="80"/>
      <c r="F28" s="81"/>
      <c r="G28" s="83">
        <f>ROUND(SUM(G29:G32),5)</f>
        <v>818506.0376</v>
      </c>
    </row>
    <row r="29" spans="1:7" ht="15">
      <c r="A29" s="12" t="s">
        <v>0</v>
      </c>
      <c r="B29" s="13" t="s">
        <v>0</v>
      </c>
      <c r="C29" s="13" t="s">
        <v>25</v>
      </c>
      <c r="D29" s="13" t="s">
        <v>15</v>
      </c>
      <c r="E29" s="80">
        <f>1.025*193</f>
        <v>197.825</v>
      </c>
      <c r="F29" s="81">
        <f>ROUND('Gia VL'!R55/1000,5)</f>
        <v>1613.636</v>
      </c>
      <c r="G29" s="82">
        <f>ROUND(E29*F29,5)</f>
        <v>319217.5417</v>
      </c>
    </row>
    <row r="30" spans="1:7" ht="15">
      <c r="A30" s="12" t="s">
        <v>0</v>
      </c>
      <c r="B30" s="13" t="s">
        <v>0</v>
      </c>
      <c r="C30" s="13" t="s">
        <v>26</v>
      </c>
      <c r="D30" s="13" t="s">
        <v>27</v>
      </c>
      <c r="E30" s="80">
        <f>1.025*0.559</f>
        <v>0.572975</v>
      </c>
      <c r="F30" s="81">
        <f>'Gia VL'!R20</f>
        <v>381173.3</v>
      </c>
      <c r="G30" s="82">
        <f>ROUND(E30*F30,5)</f>
        <v>218402.77157</v>
      </c>
    </row>
    <row r="31" spans="1:7" ht="15">
      <c r="A31" s="12" t="s">
        <v>0</v>
      </c>
      <c r="B31" s="13" t="s">
        <v>0</v>
      </c>
      <c r="C31" s="13" t="s">
        <v>28</v>
      </c>
      <c r="D31" s="13" t="s">
        <v>27</v>
      </c>
      <c r="E31" s="80">
        <f>1.025*0.906</f>
        <v>0.92865</v>
      </c>
      <c r="F31" s="81">
        <f>'Gia VL'!R65</f>
        <v>300841.2</v>
      </c>
      <c r="G31" s="82">
        <f>ROUND(E31*F31,5)</f>
        <v>279376.18038</v>
      </c>
    </row>
    <row r="32" spans="1:7" ht="15">
      <c r="A32" s="12" t="s">
        <v>0</v>
      </c>
      <c r="B32" s="13" t="s">
        <v>0</v>
      </c>
      <c r="C32" s="13" t="s">
        <v>29</v>
      </c>
      <c r="D32" s="13" t="s">
        <v>27</v>
      </c>
      <c r="E32" s="80">
        <f>1.025*0.162</f>
        <v>0.16605</v>
      </c>
      <c r="F32" s="81">
        <f>'Gia VL'!R39</f>
        <v>9090.9</v>
      </c>
      <c r="G32" s="82">
        <f>ROUND(E32*F32,5)</f>
        <v>1509.54395</v>
      </c>
    </row>
    <row r="33" spans="1:7" ht="15.75">
      <c r="A33" s="12" t="s">
        <v>0</v>
      </c>
      <c r="B33" s="13" t="s">
        <v>0</v>
      </c>
      <c r="C33" s="13" t="s">
        <v>457</v>
      </c>
      <c r="D33" s="13" t="s">
        <v>0</v>
      </c>
      <c r="E33" s="80"/>
      <c r="F33" s="81"/>
      <c r="G33" s="83">
        <f>ROUND(SUM(G34:G34),5)</f>
        <v>246774.421</v>
      </c>
    </row>
    <row r="34" spans="1:7" ht="15">
      <c r="A34" s="12" t="s">
        <v>0</v>
      </c>
      <c r="B34" s="13" t="s">
        <v>0</v>
      </c>
      <c r="C34" s="13" t="s">
        <v>30</v>
      </c>
      <c r="D34" s="13" t="s">
        <v>8</v>
      </c>
      <c r="E34" s="80">
        <f>1.07</f>
        <v>1.07</v>
      </c>
      <c r="F34" s="81">
        <f>'Gia NC,CM'!P9</f>
        <v>230630.3</v>
      </c>
      <c r="G34" s="82">
        <f>ROUND(E34*F34,5)</f>
        <v>246774.421</v>
      </c>
    </row>
    <row r="35" spans="1:7" ht="15.75">
      <c r="A35" s="12" t="s">
        <v>0</v>
      </c>
      <c r="B35" s="13" t="s">
        <v>0</v>
      </c>
      <c r="C35" s="13" t="s">
        <v>456</v>
      </c>
      <c r="D35" s="13" t="s">
        <v>0</v>
      </c>
      <c r="E35" s="80"/>
      <c r="F35" s="81"/>
      <c r="G35" s="83">
        <f>ROUND(SUM(G36:G40),5)</f>
        <v>54409.0095</v>
      </c>
    </row>
    <row r="36" spans="1:7" ht="15">
      <c r="A36" s="12" t="s">
        <v>0</v>
      </c>
      <c r="B36" s="13" t="s">
        <v>0</v>
      </c>
      <c r="C36" s="13" t="s">
        <v>31</v>
      </c>
      <c r="D36" s="13" t="s">
        <v>20</v>
      </c>
      <c r="E36" s="80">
        <f>0.095</f>
        <v>0.095</v>
      </c>
      <c r="F36" s="81">
        <f>'Gia NC,CM'!P18</f>
        <v>318885.3</v>
      </c>
      <c r="G36" s="82">
        <f>ROUND(E36*F36,5)</f>
        <v>30294.1035</v>
      </c>
    </row>
    <row r="37" spans="1:7" ht="15">
      <c r="A37" s="12" t="s">
        <v>0</v>
      </c>
      <c r="B37" s="13" t="s">
        <v>0</v>
      </c>
      <c r="C37" s="13" t="s">
        <v>32</v>
      </c>
      <c r="D37" s="13" t="s">
        <v>20</v>
      </c>
      <c r="E37" s="80">
        <f>0.089</f>
        <v>0.089</v>
      </c>
      <c r="F37" s="81">
        <f>'Gia NC,CM'!P20</f>
        <v>270954</v>
      </c>
      <c r="G37" s="82">
        <f>ROUND(E37*F37,5)</f>
        <v>24114.906</v>
      </c>
    </row>
    <row r="38" spans="1:7" ht="15">
      <c r="A38" s="12" t="s">
        <v>0</v>
      </c>
      <c r="B38" s="13" t="s">
        <v>0</v>
      </c>
      <c r="C38" s="13" t="s">
        <v>0</v>
      </c>
      <c r="D38" s="13" t="s">
        <v>0</v>
      </c>
      <c r="E38" s="80"/>
      <c r="F38" s="81"/>
      <c r="G38" s="82"/>
    </row>
    <row r="39" spans="1:7" ht="15">
      <c r="A39" s="12" t="s">
        <v>33</v>
      </c>
      <c r="B39" s="13" t="s">
        <v>34</v>
      </c>
      <c r="C39" s="13" t="s">
        <v>35</v>
      </c>
      <c r="D39" s="13" t="s">
        <v>36</v>
      </c>
      <c r="E39" s="80"/>
      <c r="F39" s="81"/>
      <c r="G39" s="82"/>
    </row>
    <row r="40" spans="1:7" ht="15">
      <c r="A40" s="12" t="s">
        <v>0</v>
      </c>
      <c r="B40" s="13" t="s">
        <v>0</v>
      </c>
      <c r="C40" s="13" t="s">
        <v>37</v>
      </c>
      <c r="D40" s="13" t="s">
        <v>0</v>
      </c>
      <c r="E40" s="80"/>
      <c r="F40" s="81"/>
      <c r="G40" s="82"/>
    </row>
    <row r="41" spans="1:7" ht="15.75">
      <c r="A41" s="12" t="s">
        <v>0</v>
      </c>
      <c r="B41" s="13" t="s">
        <v>0</v>
      </c>
      <c r="C41" s="13" t="s">
        <v>463</v>
      </c>
      <c r="D41" s="13" t="s">
        <v>0</v>
      </c>
      <c r="E41" s="80"/>
      <c r="F41" s="81"/>
      <c r="G41" s="83">
        <f>ROUND(SUM(G42:G43),5)</f>
        <v>16791090.52234</v>
      </c>
    </row>
    <row r="42" spans="1:7" ht="15">
      <c r="A42" s="12" t="s">
        <v>0</v>
      </c>
      <c r="B42" s="13" t="s">
        <v>0</v>
      </c>
      <c r="C42" s="13" t="s">
        <v>38</v>
      </c>
      <c r="D42" s="13" t="s">
        <v>15</v>
      </c>
      <c r="E42" s="80">
        <f>1005</f>
        <v>1005</v>
      </c>
      <c r="F42" s="81">
        <f>ROUND('Gia VL'!R49/1000,5)</f>
        <v>16445.8974</v>
      </c>
      <c r="G42" s="82">
        <f>ROUND(E42*F42,5)</f>
        <v>16528126.887</v>
      </c>
    </row>
    <row r="43" spans="1:7" ht="15">
      <c r="A43" s="12" t="s">
        <v>0</v>
      </c>
      <c r="B43" s="13" t="s">
        <v>0</v>
      </c>
      <c r="C43" s="13" t="s">
        <v>39</v>
      </c>
      <c r="D43" s="13" t="s">
        <v>15</v>
      </c>
      <c r="E43" s="80">
        <f>16.07</f>
        <v>16.07</v>
      </c>
      <c r="F43" s="81">
        <f>ROUND('Gia VL'!R24/1000,5)</f>
        <v>16363.6363</v>
      </c>
      <c r="G43" s="82">
        <f>ROUND(E43*F43,5)</f>
        <v>262963.63534</v>
      </c>
    </row>
    <row r="44" spans="1:7" ht="15.75">
      <c r="A44" s="12" t="s">
        <v>0</v>
      </c>
      <c r="B44" s="13" t="s">
        <v>0</v>
      </c>
      <c r="C44" s="13" t="s">
        <v>457</v>
      </c>
      <c r="D44" s="13" t="s">
        <v>0</v>
      </c>
      <c r="E44" s="80"/>
      <c r="F44" s="81"/>
      <c r="G44" s="83">
        <f>ROUND(SUM(G45:G45),5)</f>
        <v>2711150</v>
      </c>
    </row>
    <row r="45" spans="1:7" ht="15">
      <c r="A45" s="12" t="s">
        <v>0</v>
      </c>
      <c r="B45" s="13" t="s">
        <v>0</v>
      </c>
      <c r="C45" s="13" t="s">
        <v>40</v>
      </c>
      <c r="D45" s="13" t="s">
        <v>8</v>
      </c>
      <c r="E45" s="80">
        <f>10.75</f>
        <v>10.75</v>
      </c>
      <c r="F45" s="81">
        <f>'Gia NC,CM'!P10</f>
        <v>252200</v>
      </c>
      <c r="G45" s="82">
        <f>ROUND(E45*F45,5)</f>
        <v>2711150</v>
      </c>
    </row>
    <row r="46" spans="1:7" ht="15.75">
      <c r="A46" s="12" t="s">
        <v>0</v>
      </c>
      <c r="B46" s="13" t="s">
        <v>0</v>
      </c>
      <c r="C46" s="13" t="s">
        <v>456</v>
      </c>
      <c r="D46" s="13" t="s">
        <v>0</v>
      </c>
      <c r="E46" s="80"/>
      <c r="F46" s="81"/>
      <c r="G46" s="83">
        <f>ROUND(SUM(G47:G50),5)</f>
        <v>111746.08</v>
      </c>
    </row>
    <row r="47" spans="1:7" ht="15">
      <c r="A47" s="12" t="s">
        <v>0</v>
      </c>
      <c r="B47" s="13" t="s">
        <v>0</v>
      </c>
      <c r="C47" s="13" t="s">
        <v>41</v>
      </c>
      <c r="D47" s="13" t="s">
        <v>20</v>
      </c>
      <c r="E47" s="80">
        <f>0.4</f>
        <v>0.4</v>
      </c>
      <c r="F47" s="81">
        <f>'Gia NC,CM'!P14</f>
        <v>279365.2</v>
      </c>
      <c r="G47" s="82">
        <f>ROUND(E47*F47,5)</f>
        <v>111746.08</v>
      </c>
    </row>
    <row r="48" spans="1:7" ht="15">
      <c r="A48" s="12" t="s">
        <v>0</v>
      </c>
      <c r="B48" s="13" t="s">
        <v>0</v>
      </c>
      <c r="C48" s="13" t="s">
        <v>0</v>
      </c>
      <c r="D48" s="13" t="s">
        <v>0</v>
      </c>
      <c r="E48" s="80"/>
      <c r="F48" s="81"/>
      <c r="G48" s="82"/>
    </row>
    <row r="49" spans="1:7" ht="15">
      <c r="A49" s="12" t="s">
        <v>42</v>
      </c>
      <c r="B49" s="13" t="s">
        <v>43</v>
      </c>
      <c r="C49" s="13" t="s">
        <v>35</v>
      </c>
      <c r="D49" s="13" t="s">
        <v>36</v>
      </c>
      <c r="E49" s="80"/>
      <c r="F49" s="81"/>
      <c r="G49" s="82"/>
    </row>
    <row r="50" spans="1:7" ht="15">
      <c r="A50" s="12" t="s">
        <v>0</v>
      </c>
      <c r="B50" s="13" t="s">
        <v>0</v>
      </c>
      <c r="C50" s="13" t="s">
        <v>44</v>
      </c>
      <c r="D50" s="13" t="s">
        <v>0</v>
      </c>
      <c r="E50" s="80"/>
      <c r="F50" s="81"/>
      <c r="G50" s="82"/>
    </row>
    <row r="51" spans="1:7" ht="15.75">
      <c r="A51" s="12" t="s">
        <v>0</v>
      </c>
      <c r="B51" s="13" t="s">
        <v>0</v>
      </c>
      <c r="C51" s="13" t="s">
        <v>463</v>
      </c>
      <c r="D51" s="13" t="s">
        <v>0</v>
      </c>
      <c r="E51" s="80"/>
      <c r="F51" s="81"/>
      <c r="G51" s="83">
        <f>ROUND(SUM(G52:G54),5)</f>
        <v>16858033.52884</v>
      </c>
    </row>
    <row r="52" spans="1:7" ht="15">
      <c r="A52" s="12" t="s">
        <v>0</v>
      </c>
      <c r="B52" s="13" t="s">
        <v>0</v>
      </c>
      <c r="C52" s="13" t="s">
        <v>45</v>
      </c>
      <c r="D52" s="13" t="s">
        <v>15</v>
      </c>
      <c r="E52" s="80">
        <f>1020</f>
        <v>1020</v>
      </c>
      <c r="F52" s="81">
        <f>ROUND('Gia VL'!R51/1000,5)</f>
        <v>16295.8974</v>
      </c>
      <c r="G52" s="82">
        <f>ROUND(E52*F52,5)</f>
        <v>16621815.348</v>
      </c>
    </row>
    <row r="53" spans="1:7" ht="15">
      <c r="A53" s="12" t="s">
        <v>0</v>
      </c>
      <c r="B53" s="13" t="s">
        <v>0</v>
      </c>
      <c r="C53" s="13" t="s">
        <v>39</v>
      </c>
      <c r="D53" s="13" t="s">
        <v>15</v>
      </c>
      <c r="E53" s="80">
        <f>9.28</f>
        <v>9.28</v>
      </c>
      <c r="F53" s="81">
        <f>ROUND('Gia VL'!R24/1000,5)</f>
        <v>16363.6363</v>
      </c>
      <c r="G53" s="82">
        <f>ROUND(E53*F53,5)</f>
        <v>151854.54486</v>
      </c>
    </row>
    <row r="54" spans="1:7" ht="15">
      <c r="A54" s="12" t="s">
        <v>0</v>
      </c>
      <c r="B54" s="13" t="s">
        <v>0</v>
      </c>
      <c r="C54" s="13" t="s">
        <v>17</v>
      </c>
      <c r="D54" s="13" t="s">
        <v>15</v>
      </c>
      <c r="E54" s="80">
        <f>4.64</f>
        <v>4.64</v>
      </c>
      <c r="F54" s="81">
        <f>ROUND('Gia VL'!R42/1000,5)</f>
        <v>18181.8181</v>
      </c>
      <c r="G54" s="82">
        <f>ROUND(E54*F54,5)</f>
        <v>84363.63598</v>
      </c>
    </row>
    <row r="55" spans="1:7" ht="15.75">
      <c r="A55" s="12" t="s">
        <v>0</v>
      </c>
      <c r="B55" s="13" t="s">
        <v>0</v>
      </c>
      <c r="C55" s="13" t="s">
        <v>457</v>
      </c>
      <c r="D55" s="13" t="s">
        <v>0</v>
      </c>
      <c r="E55" s="80"/>
      <c r="F55" s="81"/>
      <c r="G55" s="83">
        <f>ROUND(SUM(G56:G56),5)</f>
        <v>1934374</v>
      </c>
    </row>
    <row r="56" spans="1:7" ht="15">
      <c r="A56" s="12" t="s">
        <v>0</v>
      </c>
      <c r="B56" s="13" t="s">
        <v>0</v>
      </c>
      <c r="C56" s="13" t="s">
        <v>40</v>
      </c>
      <c r="D56" s="13" t="s">
        <v>8</v>
      </c>
      <c r="E56" s="80">
        <f>7.67</f>
        <v>7.67</v>
      </c>
      <c r="F56" s="81">
        <f>'Gia NC,CM'!P10</f>
        <v>252200</v>
      </c>
      <c r="G56" s="82">
        <f>ROUND(E56*F56,5)</f>
        <v>1934374</v>
      </c>
    </row>
    <row r="57" spans="1:7" ht="15.75">
      <c r="A57" s="12" t="s">
        <v>0</v>
      </c>
      <c r="B57" s="13" t="s">
        <v>0</v>
      </c>
      <c r="C57" s="13" t="s">
        <v>456</v>
      </c>
      <c r="D57" s="13" t="s">
        <v>0</v>
      </c>
      <c r="E57" s="80"/>
      <c r="F57" s="81"/>
      <c r="G57" s="83">
        <f>ROUND(SUM(G58:G62),5)</f>
        <v>547945.36</v>
      </c>
    </row>
    <row r="58" spans="1:7" ht="15">
      <c r="A58" s="12" t="s">
        <v>0</v>
      </c>
      <c r="B58" s="13" t="s">
        <v>0</v>
      </c>
      <c r="C58" s="13" t="s">
        <v>19</v>
      </c>
      <c r="D58" s="13" t="s">
        <v>20</v>
      </c>
      <c r="E58" s="80">
        <f>1.12</f>
        <v>1.12</v>
      </c>
      <c r="F58" s="81">
        <f>'Gia NC,CM'!P15</f>
        <v>409418.3</v>
      </c>
      <c r="G58" s="82">
        <f>ROUND(E58*F58,5)</f>
        <v>458548.496</v>
      </c>
    </row>
    <row r="59" spans="1:7" ht="15">
      <c r="A59" s="12" t="s">
        <v>0</v>
      </c>
      <c r="B59" s="13" t="s">
        <v>0</v>
      </c>
      <c r="C59" s="13" t="s">
        <v>41</v>
      </c>
      <c r="D59" s="13" t="s">
        <v>20</v>
      </c>
      <c r="E59" s="80">
        <f>0.32</f>
        <v>0.32</v>
      </c>
      <c r="F59" s="81">
        <f>'Gia NC,CM'!P14</f>
        <v>279365.2</v>
      </c>
      <c r="G59" s="82">
        <f>ROUND(E59*F59,5)</f>
        <v>89396.864</v>
      </c>
    </row>
    <row r="60" spans="1:7" ht="15">
      <c r="A60" s="12" t="s">
        <v>0</v>
      </c>
      <c r="B60" s="13" t="s">
        <v>0</v>
      </c>
      <c r="C60" s="13" t="s">
        <v>0</v>
      </c>
      <c r="D60" s="13" t="s">
        <v>0</v>
      </c>
      <c r="E60" s="80"/>
      <c r="F60" s="81"/>
      <c r="G60" s="82"/>
    </row>
    <row r="61" spans="1:7" ht="15">
      <c r="A61" s="12" t="s">
        <v>46</v>
      </c>
      <c r="B61" s="13" t="s">
        <v>49</v>
      </c>
      <c r="C61" s="13" t="s">
        <v>50</v>
      </c>
      <c r="D61" s="13" t="s">
        <v>5</v>
      </c>
      <c r="E61" s="80"/>
      <c r="F61" s="81"/>
      <c r="G61" s="82"/>
    </row>
    <row r="62" spans="1:7" ht="15">
      <c r="A62" s="12" t="s">
        <v>0</v>
      </c>
      <c r="B62" s="13" t="s">
        <v>0</v>
      </c>
      <c r="C62" s="13" t="s">
        <v>51</v>
      </c>
      <c r="D62" s="13" t="s">
        <v>0</v>
      </c>
      <c r="E62" s="80"/>
      <c r="F62" s="81"/>
      <c r="G62" s="82"/>
    </row>
    <row r="63" spans="1:7" ht="15.75">
      <c r="A63" s="12" t="s">
        <v>0</v>
      </c>
      <c r="B63" s="13" t="s">
        <v>0</v>
      </c>
      <c r="C63" s="13" t="s">
        <v>463</v>
      </c>
      <c r="D63" s="13" t="s">
        <v>0</v>
      </c>
      <c r="E63" s="80"/>
      <c r="F63" s="81"/>
      <c r="G63" s="83">
        <f>ROUND(SUM(G64:G68),5)</f>
        <v>1051793.04282</v>
      </c>
    </row>
    <row r="64" spans="1:7" ht="15">
      <c r="A64" s="12" t="s">
        <v>0</v>
      </c>
      <c r="B64" s="13" t="s">
        <v>0</v>
      </c>
      <c r="C64" s="13" t="s">
        <v>52</v>
      </c>
      <c r="D64" s="13" t="s">
        <v>15</v>
      </c>
      <c r="E64" s="80">
        <f>1.025*301</f>
        <v>308.525</v>
      </c>
      <c r="F64" s="81">
        <f>ROUND('Gia VL'!R56/1000,5)</f>
        <v>1677.273</v>
      </c>
      <c r="G64" s="82">
        <f>ROUND(E64*F64,5)</f>
        <v>517480.65233</v>
      </c>
    </row>
    <row r="65" spans="1:7" ht="15">
      <c r="A65" s="12" t="s">
        <v>0</v>
      </c>
      <c r="B65" s="13" t="s">
        <v>0</v>
      </c>
      <c r="C65" s="13" t="s">
        <v>26</v>
      </c>
      <c r="D65" s="13" t="s">
        <v>27</v>
      </c>
      <c r="E65" s="80">
        <f>1.025*0.519</f>
        <v>0.531975</v>
      </c>
      <c r="F65" s="81">
        <f>'Gia VL'!R20</f>
        <v>381173.3</v>
      </c>
      <c r="G65" s="82">
        <f>ROUND(E65*F65,5)</f>
        <v>202774.66627</v>
      </c>
    </row>
    <row r="66" spans="1:7" ht="15">
      <c r="A66" s="12" t="s">
        <v>0</v>
      </c>
      <c r="B66" s="13" t="s">
        <v>0</v>
      </c>
      <c r="C66" s="13" t="s">
        <v>53</v>
      </c>
      <c r="D66" s="13" t="s">
        <v>27</v>
      </c>
      <c r="E66" s="80">
        <f>1.025*0.855</f>
        <v>0.8763749999999999</v>
      </c>
      <c r="F66" s="81">
        <f>'Gia VL'!R61</f>
        <v>364477.2</v>
      </c>
      <c r="G66" s="82">
        <f>ROUND(E66*F66,5)</f>
        <v>319418.70615</v>
      </c>
    </row>
    <row r="67" spans="1:7" ht="15">
      <c r="A67" s="12" t="s">
        <v>0</v>
      </c>
      <c r="B67" s="13" t="s">
        <v>0</v>
      </c>
      <c r="C67" s="13" t="s">
        <v>29</v>
      </c>
      <c r="D67" s="13" t="s">
        <v>27</v>
      </c>
      <c r="E67" s="80">
        <f>1.025*0.183</f>
        <v>0.187575</v>
      </c>
      <c r="F67" s="81">
        <f>'Gia VL'!R39</f>
        <v>9090.9</v>
      </c>
      <c r="G67" s="82">
        <f>ROUND(E67*F67,5)</f>
        <v>1705.22557</v>
      </c>
    </row>
    <row r="68" spans="1:7" ht="15">
      <c r="A68" s="12" t="s">
        <v>0</v>
      </c>
      <c r="B68" s="13" t="s">
        <v>0</v>
      </c>
      <c r="C68" s="13" t="s">
        <v>461</v>
      </c>
      <c r="D68" s="13" t="s">
        <v>460</v>
      </c>
      <c r="E68" s="80">
        <f>1</f>
        <v>1</v>
      </c>
      <c r="F68" s="81"/>
      <c r="G68" s="82">
        <f>ROUND(SUM(G64:G67)*E68/100,5)</f>
        <v>10413.7925</v>
      </c>
    </row>
    <row r="69" spans="1:7" ht="15.75">
      <c r="A69" s="12" t="s">
        <v>0</v>
      </c>
      <c r="B69" s="13" t="s">
        <v>0</v>
      </c>
      <c r="C69" s="13" t="s">
        <v>457</v>
      </c>
      <c r="D69" s="13" t="s">
        <v>0</v>
      </c>
      <c r="E69" s="80"/>
      <c r="F69" s="81"/>
      <c r="G69" s="83">
        <f>ROUND(SUM(G70:G70),5)</f>
        <v>283675.269</v>
      </c>
    </row>
    <row r="70" spans="1:7" ht="15">
      <c r="A70" s="12" t="s">
        <v>0</v>
      </c>
      <c r="B70" s="13" t="s">
        <v>0</v>
      </c>
      <c r="C70" s="13" t="s">
        <v>30</v>
      </c>
      <c r="D70" s="13" t="s">
        <v>8</v>
      </c>
      <c r="E70" s="80">
        <f>1.23</f>
        <v>1.23</v>
      </c>
      <c r="F70" s="81">
        <f>'Gia NC,CM'!P9</f>
        <v>230630.3</v>
      </c>
      <c r="G70" s="82">
        <f>ROUND(E70*F70,5)</f>
        <v>283675.269</v>
      </c>
    </row>
    <row r="71" spans="1:7" ht="15.75">
      <c r="A71" s="12" t="s">
        <v>0</v>
      </c>
      <c r="B71" s="13" t="s">
        <v>0</v>
      </c>
      <c r="C71" s="13" t="s">
        <v>456</v>
      </c>
      <c r="D71" s="13" t="s">
        <v>0</v>
      </c>
      <c r="E71" s="80"/>
      <c r="F71" s="81"/>
      <c r="G71" s="83">
        <f>ROUND(SUM(G72:G76),5)</f>
        <v>54756.7503</v>
      </c>
    </row>
    <row r="72" spans="1:7" ht="15">
      <c r="A72" s="12" t="s">
        <v>0</v>
      </c>
      <c r="B72" s="13" t="s">
        <v>0</v>
      </c>
      <c r="C72" s="13" t="s">
        <v>31</v>
      </c>
      <c r="D72" s="13" t="s">
        <v>20</v>
      </c>
      <c r="E72" s="80">
        <f>0.095</f>
        <v>0.095</v>
      </c>
      <c r="F72" s="81">
        <f>'Gia NC,CM'!P18</f>
        <v>318885.3</v>
      </c>
      <c r="G72" s="82">
        <f>ROUND(E72*F72,5)</f>
        <v>30294.1035</v>
      </c>
    </row>
    <row r="73" spans="1:7" ht="15">
      <c r="A73" s="12" t="s">
        <v>0</v>
      </c>
      <c r="B73" s="13" t="s">
        <v>0</v>
      </c>
      <c r="C73" s="13" t="s">
        <v>54</v>
      </c>
      <c r="D73" s="13" t="s">
        <v>20</v>
      </c>
      <c r="E73" s="80">
        <f>0.089</f>
        <v>0.089</v>
      </c>
      <c r="F73" s="81">
        <f>'Gia NC,CM'!P21</f>
        <v>274861.2</v>
      </c>
      <c r="G73" s="82">
        <f>ROUND(E73*F73,5)</f>
        <v>24462.6468</v>
      </c>
    </row>
    <row r="74" spans="1:7" ht="15">
      <c r="A74" s="12" t="s">
        <v>0</v>
      </c>
      <c r="B74" s="13" t="s">
        <v>0</v>
      </c>
      <c r="C74" s="13" t="s">
        <v>0</v>
      </c>
      <c r="D74" s="13" t="s">
        <v>0</v>
      </c>
      <c r="E74" s="80"/>
      <c r="F74" s="81"/>
      <c r="G74" s="82"/>
    </row>
    <row r="75" spans="1:7" ht="15">
      <c r="A75" s="12" t="s">
        <v>48</v>
      </c>
      <c r="B75" s="13" t="s">
        <v>56</v>
      </c>
      <c r="C75" s="13" t="s">
        <v>57</v>
      </c>
      <c r="D75" s="13" t="s">
        <v>5</v>
      </c>
      <c r="E75" s="80"/>
      <c r="F75" s="81"/>
      <c r="G75" s="82"/>
    </row>
    <row r="76" spans="1:7" ht="15">
      <c r="A76" s="12" t="s">
        <v>0</v>
      </c>
      <c r="B76" s="13" t="s">
        <v>0</v>
      </c>
      <c r="C76" s="13" t="s">
        <v>58</v>
      </c>
      <c r="D76" s="13" t="s">
        <v>0</v>
      </c>
      <c r="E76" s="80"/>
      <c r="F76" s="81"/>
      <c r="G76" s="82"/>
    </row>
    <row r="77" spans="1:7" ht="15.75">
      <c r="A77" s="12" t="s">
        <v>0</v>
      </c>
      <c r="B77" s="13" t="s">
        <v>0</v>
      </c>
      <c r="C77" s="13" t="s">
        <v>463</v>
      </c>
      <c r="D77" s="13" t="s">
        <v>0</v>
      </c>
      <c r="E77" s="80"/>
      <c r="F77" s="81"/>
      <c r="G77" s="83">
        <f>ROUND(SUM(G78:G82),5)</f>
        <v>1668706.13307</v>
      </c>
    </row>
    <row r="78" spans="1:7" ht="15">
      <c r="A78" s="12" t="s">
        <v>0</v>
      </c>
      <c r="B78" s="13" t="s">
        <v>0</v>
      </c>
      <c r="C78" s="13" t="s">
        <v>658</v>
      </c>
      <c r="D78" s="13" t="s">
        <v>60</v>
      </c>
      <c r="E78" s="80">
        <f>658</f>
        <v>658</v>
      </c>
      <c r="F78" s="81">
        <f>'Gia VL'!R27</f>
        <v>2086.7</v>
      </c>
      <c r="G78" s="82">
        <f>ROUND(E78*F78,5)</f>
        <v>1373048.6</v>
      </c>
    </row>
    <row r="79" spans="1:7" ht="15">
      <c r="A79" s="12" t="s">
        <v>0</v>
      </c>
      <c r="B79" s="13" t="s">
        <v>0</v>
      </c>
      <c r="C79" s="13" t="s">
        <v>52</v>
      </c>
      <c r="D79" s="13" t="s">
        <v>15</v>
      </c>
      <c r="E79" s="80">
        <f>0.274*264</f>
        <v>72.33600000000001</v>
      </c>
      <c r="F79" s="81">
        <f>ROUND('Gia VL'!R56/1000,5)</f>
        <v>1677.273</v>
      </c>
      <c r="G79" s="82">
        <f>ROUND(E79*F79,5)</f>
        <v>121327.21973</v>
      </c>
    </row>
    <row r="80" spans="1:7" ht="15">
      <c r="A80" s="12" t="s">
        <v>0</v>
      </c>
      <c r="B80" s="13" t="s">
        <v>0</v>
      </c>
      <c r="C80" s="13" t="s">
        <v>61</v>
      </c>
      <c r="D80" s="13" t="s">
        <v>27</v>
      </c>
      <c r="E80" s="80">
        <f>0.274*1.19</f>
        <v>0.32606</v>
      </c>
      <c r="F80" s="81">
        <f>'Gia VL'!R15</f>
        <v>335718.3</v>
      </c>
      <c r="G80" s="82">
        <f>ROUND(E80*F80,5)</f>
        <v>109464.3089</v>
      </c>
    </row>
    <row r="81" spans="1:7" ht="15">
      <c r="A81" s="12" t="s">
        <v>0</v>
      </c>
      <c r="B81" s="13" t="s">
        <v>0</v>
      </c>
      <c r="C81" s="13" t="s">
        <v>29</v>
      </c>
      <c r="D81" s="13" t="s">
        <v>27</v>
      </c>
      <c r="E81" s="80">
        <f>0.274*0.275</f>
        <v>0.07535000000000001</v>
      </c>
      <c r="F81" s="81">
        <f>'Gia VL'!R39</f>
        <v>9090.9</v>
      </c>
      <c r="G81" s="82">
        <f>ROUND(E81*F81,5)</f>
        <v>684.99932</v>
      </c>
    </row>
    <row r="82" spans="1:7" ht="15">
      <c r="A82" s="12" t="s">
        <v>0</v>
      </c>
      <c r="B82" s="13" t="s">
        <v>0</v>
      </c>
      <c r="C82" s="13" t="s">
        <v>461</v>
      </c>
      <c r="D82" s="13" t="s">
        <v>460</v>
      </c>
      <c r="E82" s="80">
        <f>4</f>
        <v>4</v>
      </c>
      <c r="F82" s="81"/>
      <c r="G82" s="82">
        <f>ROUND(SUM(G78:G81)*E82/100,5)</f>
        <v>64181.00512</v>
      </c>
    </row>
    <row r="83" spans="1:7" ht="15.75">
      <c r="A83" s="12" t="s">
        <v>0</v>
      </c>
      <c r="B83" s="13" t="s">
        <v>0</v>
      </c>
      <c r="C83" s="13" t="s">
        <v>457</v>
      </c>
      <c r="D83" s="13" t="s">
        <v>0</v>
      </c>
      <c r="E83" s="80"/>
      <c r="F83" s="81"/>
      <c r="G83" s="83">
        <f>ROUND(SUM(G84:G84),5)</f>
        <v>622934</v>
      </c>
    </row>
    <row r="84" spans="1:7" ht="15">
      <c r="A84" s="12" t="s">
        <v>0</v>
      </c>
      <c r="B84" s="13" t="s">
        <v>0</v>
      </c>
      <c r="C84" s="13" t="s">
        <v>40</v>
      </c>
      <c r="D84" s="13" t="s">
        <v>8</v>
      </c>
      <c r="E84" s="80">
        <f>2.47</f>
        <v>2.47</v>
      </c>
      <c r="F84" s="81">
        <f>'Gia NC,CM'!P10</f>
        <v>252200</v>
      </c>
      <c r="G84" s="82">
        <f>ROUND(E84*F84,5)</f>
        <v>622934</v>
      </c>
    </row>
    <row r="85" spans="1:7" ht="15.75">
      <c r="A85" s="12" t="s">
        <v>0</v>
      </c>
      <c r="B85" s="13" t="s">
        <v>0</v>
      </c>
      <c r="C85" s="13" t="s">
        <v>456</v>
      </c>
      <c r="D85" s="13" t="s">
        <v>0</v>
      </c>
      <c r="E85" s="80"/>
      <c r="F85" s="81"/>
      <c r="G85" s="83">
        <f>ROUND(SUM(G86:G90),5)</f>
        <v>10304.46701</v>
      </c>
    </row>
    <row r="86" spans="1:7" ht="15">
      <c r="A86" s="12" t="s">
        <v>0</v>
      </c>
      <c r="B86" s="13" t="s">
        <v>0</v>
      </c>
      <c r="C86" s="13" t="s">
        <v>62</v>
      </c>
      <c r="D86" s="13" t="s">
        <v>20</v>
      </c>
      <c r="E86" s="80">
        <f>0.035</f>
        <v>0.035</v>
      </c>
      <c r="F86" s="81">
        <f>'Gia NC,CM'!P19</f>
        <v>292948.6</v>
      </c>
      <c r="G86" s="82">
        <f>ROUND(E86*F86,5)</f>
        <v>10253.201</v>
      </c>
    </row>
    <row r="87" spans="1:7" ht="15">
      <c r="A87" s="12" t="s">
        <v>0</v>
      </c>
      <c r="B87" s="13" t="s">
        <v>0</v>
      </c>
      <c r="C87" s="13" t="s">
        <v>466</v>
      </c>
      <c r="D87" s="13" t="s">
        <v>460</v>
      </c>
      <c r="E87" s="80">
        <f>0.5</f>
        <v>0.5</v>
      </c>
      <c r="F87" s="81"/>
      <c r="G87" s="82">
        <f>ROUND(SUM(G86:G86)*E87/100,5)</f>
        <v>51.26601</v>
      </c>
    </row>
    <row r="88" spans="1:7" ht="15">
      <c r="A88" s="12" t="s">
        <v>0</v>
      </c>
      <c r="B88" s="13" t="s">
        <v>0</v>
      </c>
      <c r="C88" s="13" t="s">
        <v>0</v>
      </c>
      <c r="D88" s="13" t="s">
        <v>0</v>
      </c>
      <c r="E88" s="80"/>
      <c r="F88" s="81"/>
      <c r="G88" s="82"/>
    </row>
    <row r="89" spans="1:7" ht="15">
      <c r="A89" s="12" t="s">
        <v>55</v>
      </c>
      <c r="B89" s="13" t="s">
        <v>64</v>
      </c>
      <c r="C89" s="13" t="s">
        <v>65</v>
      </c>
      <c r="D89" s="13" t="s">
        <v>5</v>
      </c>
      <c r="E89" s="80"/>
      <c r="F89" s="81"/>
      <c r="G89" s="82"/>
    </row>
    <row r="90" spans="1:7" ht="15">
      <c r="A90" s="12" t="s">
        <v>0</v>
      </c>
      <c r="B90" s="13" t="s">
        <v>0</v>
      </c>
      <c r="C90" s="13" t="s">
        <v>66</v>
      </c>
      <c r="D90" s="13" t="s">
        <v>0</v>
      </c>
      <c r="E90" s="80"/>
      <c r="F90" s="81"/>
      <c r="G90" s="82"/>
    </row>
    <row r="91" spans="1:7" ht="15.75">
      <c r="A91" s="12" t="s">
        <v>0</v>
      </c>
      <c r="B91" s="13" t="s">
        <v>0</v>
      </c>
      <c r="C91" s="13" t="s">
        <v>463</v>
      </c>
      <c r="D91" s="13" t="s">
        <v>0</v>
      </c>
      <c r="E91" s="80"/>
      <c r="F91" s="81"/>
      <c r="G91" s="83">
        <f>ROUND(SUM(G92:G96),5)</f>
        <v>988453.06141</v>
      </c>
    </row>
    <row r="92" spans="1:7" ht="15">
      <c r="A92" s="12" t="s">
        <v>0</v>
      </c>
      <c r="B92" s="13" t="s">
        <v>0</v>
      </c>
      <c r="C92" s="13" t="s">
        <v>52</v>
      </c>
      <c r="D92" s="13" t="s">
        <v>15</v>
      </c>
      <c r="E92" s="80">
        <f>1.025*259</f>
        <v>265.47499999999997</v>
      </c>
      <c r="F92" s="81">
        <f>ROUND('Gia VL'!R56/1000,5)</f>
        <v>1677.273</v>
      </c>
      <c r="G92" s="82">
        <f>ROUND(E92*F92,5)</f>
        <v>445274.04968</v>
      </c>
    </row>
    <row r="93" spans="1:7" ht="15">
      <c r="A93" s="12" t="s">
        <v>0</v>
      </c>
      <c r="B93" s="13" t="s">
        <v>0</v>
      </c>
      <c r="C93" s="13" t="s">
        <v>26</v>
      </c>
      <c r="D93" s="13" t="s">
        <v>27</v>
      </c>
      <c r="E93" s="80">
        <f>1.025*0.528</f>
        <v>0.5412</v>
      </c>
      <c r="F93" s="81">
        <f>'Gia VL'!R20</f>
        <v>381173.3</v>
      </c>
      <c r="G93" s="82">
        <f>ROUND(E93*F93,5)</f>
        <v>206290.98996</v>
      </c>
    </row>
    <row r="94" spans="1:7" ht="15">
      <c r="A94" s="12" t="s">
        <v>0</v>
      </c>
      <c r="B94" s="13" t="s">
        <v>0</v>
      </c>
      <c r="C94" s="13" t="s">
        <v>53</v>
      </c>
      <c r="D94" s="13" t="s">
        <v>27</v>
      </c>
      <c r="E94" s="80">
        <f>1.025*0.871</f>
        <v>0.8927749999999999</v>
      </c>
      <c r="F94" s="81">
        <f>'Gia VL'!R61</f>
        <v>364477.2</v>
      </c>
      <c r="G94" s="82">
        <f>ROUND(E94*F94,5)</f>
        <v>325396.13223</v>
      </c>
    </row>
    <row r="95" spans="1:7" ht="15">
      <c r="A95" s="12" t="s">
        <v>0</v>
      </c>
      <c r="B95" s="13" t="s">
        <v>0</v>
      </c>
      <c r="C95" s="13" t="s">
        <v>29</v>
      </c>
      <c r="D95" s="13" t="s">
        <v>27</v>
      </c>
      <c r="E95" s="80">
        <f>1.025*0.183</f>
        <v>0.187575</v>
      </c>
      <c r="F95" s="81">
        <f>'Gia VL'!R39</f>
        <v>9090.9</v>
      </c>
      <c r="G95" s="82">
        <f>ROUND(E95*F95,5)</f>
        <v>1705.22557</v>
      </c>
    </row>
    <row r="96" spans="1:7" ht="15">
      <c r="A96" s="12" t="s">
        <v>0</v>
      </c>
      <c r="B96" s="13" t="s">
        <v>0</v>
      </c>
      <c r="C96" s="13" t="s">
        <v>461</v>
      </c>
      <c r="D96" s="13" t="s">
        <v>460</v>
      </c>
      <c r="E96" s="80">
        <f>1</f>
        <v>1</v>
      </c>
      <c r="F96" s="81"/>
      <c r="G96" s="82">
        <f>ROUND(SUM(G92:G95)*E96/100,5)</f>
        <v>9786.66397</v>
      </c>
    </row>
    <row r="97" spans="1:7" ht="15.75">
      <c r="A97" s="12" t="s">
        <v>0</v>
      </c>
      <c r="B97" s="13" t="s">
        <v>0</v>
      </c>
      <c r="C97" s="13" t="s">
        <v>457</v>
      </c>
      <c r="D97" s="13" t="s">
        <v>0</v>
      </c>
      <c r="E97" s="80"/>
      <c r="F97" s="81"/>
      <c r="G97" s="83">
        <f>ROUND(SUM(G98:G98),5)</f>
        <v>615782.901</v>
      </c>
    </row>
    <row r="98" spans="1:7" ht="15">
      <c r="A98" s="12" t="s">
        <v>0</v>
      </c>
      <c r="B98" s="13" t="s">
        <v>0</v>
      </c>
      <c r="C98" s="13" t="s">
        <v>30</v>
      </c>
      <c r="D98" s="13" t="s">
        <v>8</v>
      </c>
      <c r="E98" s="80">
        <f>2.67</f>
        <v>2.67</v>
      </c>
      <c r="F98" s="81">
        <f>'Gia NC,CM'!P9</f>
        <v>230630.3</v>
      </c>
      <c r="G98" s="82">
        <f>ROUND(E98*F98,5)</f>
        <v>615782.901</v>
      </c>
    </row>
    <row r="99" spans="1:7" ht="15.75">
      <c r="A99" s="12" t="s">
        <v>0</v>
      </c>
      <c r="B99" s="13" t="s">
        <v>0</v>
      </c>
      <c r="C99" s="13" t="s">
        <v>456</v>
      </c>
      <c r="D99" s="13" t="s">
        <v>0</v>
      </c>
      <c r="E99" s="80"/>
      <c r="F99" s="81"/>
      <c r="G99" s="83">
        <f>ROUND(SUM(G100:G103),5)</f>
        <v>79769.1195</v>
      </c>
    </row>
    <row r="100" spans="1:7" ht="15">
      <c r="A100" s="12" t="s">
        <v>0</v>
      </c>
      <c r="B100" s="13" t="s">
        <v>0</v>
      </c>
      <c r="C100" s="13" t="s">
        <v>31</v>
      </c>
      <c r="D100" s="13" t="s">
        <v>20</v>
      </c>
      <c r="E100" s="80">
        <f>0.095</f>
        <v>0.095</v>
      </c>
      <c r="F100" s="81">
        <f>'Gia NC,CM'!P18</f>
        <v>318885.3</v>
      </c>
      <c r="G100" s="82">
        <f>ROUND(E100*F100,5)</f>
        <v>30294.1035</v>
      </c>
    </row>
    <row r="101" spans="1:7" ht="15">
      <c r="A101" s="12" t="s">
        <v>0</v>
      </c>
      <c r="B101" s="13" t="s">
        <v>0</v>
      </c>
      <c r="C101" s="13" t="s">
        <v>54</v>
      </c>
      <c r="D101" s="13" t="s">
        <v>20</v>
      </c>
      <c r="E101" s="80">
        <f>0.18</f>
        <v>0.18</v>
      </c>
      <c r="F101" s="81">
        <f>'Gia NC,CM'!P21</f>
        <v>274861.2</v>
      </c>
      <c r="G101" s="82">
        <f>ROUND(E101*F101,5)</f>
        <v>49475.016</v>
      </c>
    </row>
    <row r="102" spans="1:7" ht="15">
      <c r="A102" s="12" t="s">
        <v>0</v>
      </c>
      <c r="B102" s="13" t="s">
        <v>0</v>
      </c>
      <c r="C102" s="13" t="s">
        <v>0</v>
      </c>
      <c r="D102" s="13" t="s">
        <v>0</v>
      </c>
      <c r="E102" s="80"/>
      <c r="F102" s="81"/>
      <c r="G102" s="82"/>
    </row>
    <row r="103" spans="1:7" ht="15">
      <c r="A103" s="12" t="s">
        <v>63</v>
      </c>
      <c r="B103" s="13" t="s">
        <v>68</v>
      </c>
      <c r="C103" s="13" t="s">
        <v>69</v>
      </c>
      <c r="D103" s="13" t="s">
        <v>12</v>
      </c>
      <c r="E103" s="80"/>
      <c r="F103" s="81"/>
      <c r="G103" s="82"/>
    </row>
    <row r="104" spans="1:7" ht="15.75">
      <c r="A104" s="12" t="s">
        <v>0</v>
      </c>
      <c r="B104" s="13" t="s">
        <v>0</v>
      </c>
      <c r="C104" s="13" t="s">
        <v>463</v>
      </c>
      <c r="D104" s="13" t="s">
        <v>0</v>
      </c>
      <c r="E104" s="80"/>
      <c r="F104" s="81"/>
      <c r="G104" s="83">
        <f>ROUND(SUM(G105:G109),5)</f>
        <v>83060.05755</v>
      </c>
    </row>
    <row r="105" spans="1:7" ht="15">
      <c r="A105" s="12" t="s">
        <v>0</v>
      </c>
      <c r="B105" s="13" t="s">
        <v>0</v>
      </c>
      <c r="C105" s="13" t="s">
        <v>70</v>
      </c>
      <c r="D105" s="13" t="s">
        <v>27</v>
      </c>
      <c r="E105" s="80">
        <f>0.00794</f>
        <v>0.00794</v>
      </c>
      <c r="F105" s="81">
        <f>'Gia VL'!R33</f>
        <v>4118521.5</v>
      </c>
      <c r="G105" s="82">
        <f>ROUND(E105*F105,5)</f>
        <v>32701.06071</v>
      </c>
    </row>
    <row r="106" spans="1:7" ht="15">
      <c r="A106" s="12" t="s">
        <v>0</v>
      </c>
      <c r="B106" s="13" t="s">
        <v>0</v>
      </c>
      <c r="C106" s="13" t="s">
        <v>71</v>
      </c>
      <c r="D106" s="13" t="s">
        <v>27</v>
      </c>
      <c r="E106" s="80">
        <f>0.00189</f>
        <v>0.00189</v>
      </c>
      <c r="F106" s="81">
        <f>'Gia VL'!R34</f>
        <v>4118521.5</v>
      </c>
      <c r="G106" s="82">
        <f>ROUND(E106*F106,5)</f>
        <v>7784.00564</v>
      </c>
    </row>
    <row r="107" spans="1:7" ht="15">
      <c r="A107" s="12" t="s">
        <v>0</v>
      </c>
      <c r="B107" s="13" t="s">
        <v>0</v>
      </c>
      <c r="C107" s="13" t="s">
        <v>72</v>
      </c>
      <c r="D107" s="13" t="s">
        <v>27</v>
      </c>
      <c r="E107" s="80">
        <f>0.00957</f>
        <v>0.00957</v>
      </c>
      <c r="F107" s="81">
        <f>'Gia VL'!R29</f>
        <v>4118521.5</v>
      </c>
      <c r="G107" s="82">
        <f>ROUND(E107*F107,5)</f>
        <v>39414.25076</v>
      </c>
    </row>
    <row r="108" spans="1:7" ht="15">
      <c r="A108" s="12" t="s">
        <v>0</v>
      </c>
      <c r="B108" s="13" t="s">
        <v>0</v>
      </c>
      <c r="C108" s="13" t="s">
        <v>73</v>
      </c>
      <c r="D108" s="13" t="s">
        <v>15</v>
      </c>
      <c r="E108" s="80">
        <f>0.1429</f>
        <v>0.1429</v>
      </c>
      <c r="F108" s="81">
        <f>ROUND('Gia VL'!R59/1000,5)</f>
        <v>16363.6363</v>
      </c>
      <c r="G108" s="82">
        <f>ROUND(E108*F108,5)</f>
        <v>2338.36363</v>
      </c>
    </row>
    <row r="109" spans="1:7" ht="15">
      <c r="A109" s="12" t="s">
        <v>0</v>
      </c>
      <c r="B109" s="13" t="s">
        <v>0</v>
      </c>
      <c r="C109" s="13" t="s">
        <v>461</v>
      </c>
      <c r="D109" s="13" t="s">
        <v>460</v>
      </c>
      <c r="E109" s="80">
        <f>1</f>
        <v>1</v>
      </c>
      <c r="F109" s="81"/>
      <c r="G109" s="82">
        <f>ROUND(SUM(G105:G108)*E109/100,5)</f>
        <v>822.37681</v>
      </c>
    </row>
    <row r="110" spans="1:7" ht="15.75">
      <c r="A110" s="12" t="s">
        <v>0</v>
      </c>
      <c r="B110" s="13" t="s">
        <v>0</v>
      </c>
      <c r="C110" s="13" t="s">
        <v>457</v>
      </c>
      <c r="D110" s="13" t="s">
        <v>0</v>
      </c>
      <c r="E110" s="80"/>
      <c r="F110" s="81"/>
      <c r="G110" s="83">
        <f>ROUND(SUM(G111:G114),5)</f>
        <v>69355</v>
      </c>
    </row>
    <row r="111" spans="1:7" ht="15">
      <c r="A111" s="12" t="s">
        <v>0</v>
      </c>
      <c r="B111" s="13" t="s">
        <v>0</v>
      </c>
      <c r="C111" s="13" t="s">
        <v>40</v>
      </c>
      <c r="D111" s="13" t="s">
        <v>8</v>
      </c>
      <c r="E111" s="80">
        <f>0.275</f>
        <v>0.275</v>
      </c>
      <c r="F111" s="81">
        <f>'Gia NC,CM'!P10</f>
        <v>252200</v>
      </c>
      <c r="G111" s="82">
        <f>ROUND(E111*F111,5)</f>
        <v>69355</v>
      </c>
    </row>
    <row r="112" spans="1:7" ht="15">
      <c r="A112" s="12" t="s">
        <v>0</v>
      </c>
      <c r="B112" s="13" t="s">
        <v>0</v>
      </c>
      <c r="C112" s="13" t="s">
        <v>0</v>
      </c>
      <c r="D112" s="13" t="s">
        <v>0</v>
      </c>
      <c r="E112" s="80"/>
      <c r="F112" s="81"/>
      <c r="G112" s="82"/>
    </row>
    <row r="113" spans="1:7" ht="15">
      <c r="A113" s="12" t="s">
        <v>67</v>
      </c>
      <c r="B113" s="13" t="s">
        <v>75</v>
      </c>
      <c r="C113" s="13" t="s">
        <v>76</v>
      </c>
      <c r="D113" s="13" t="s">
        <v>36</v>
      </c>
      <c r="E113" s="80"/>
      <c r="F113" s="81"/>
      <c r="G113" s="82"/>
    </row>
    <row r="114" spans="1:7" ht="15">
      <c r="A114" s="12" t="s">
        <v>0</v>
      </c>
      <c r="B114" s="13" t="s">
        <v>0</v>
      </c>
      <c r="C114" s="13" t="s">
        <v>77</v>
      </c>
      <c r="D114" s="13" t="s">
        <v>0</v>
      </c>
      <c r="E114" s="80"/>
      <c r="F114" s="81"/>
      <c r="G114" s="82"/>
    </row>
    <row r="115" spans="1:7" ht="15.75">
      <c r="A115" s="12" t="s">
        <v>0</v>
      </c>
      <c r="B115" s="13" t="s">
        <v>0</v>
      </c>
      <c r="C115" s="13" t="s">
        <v>463</v>
      </c>
      <c r="D115" s="13" t="s">
        <v>0</v>
      </c>
      <c r="E115" s="80"/>
      <c r="F115" s="81"/>
      <c r="G115" s="83">
        <f>ROUND(SUM(G116:G117),5)</f>
        <v>16791090.52234</v>
      </c>
    </row>
    <row r="116" spans="1:7" ht="15">
      <c r="A116" s="12" t="s">
        <v>0</v>
      </c>
      <c r="B116" s="13" t="s">
        <v>0</v>
      </c>
      <c r="C116" s="13" t="s">
        <v>38</v>
      </c>
      <c r="D116" s="13" t="s">
        <v>15</v>
      </c>
      <c r="E116" s="80">
        <f>1005</f>
        <v>1005</v>
      </c>
      <c r="F116" s="81">
        <f>ROUND('Gia VL'!R49/1000,5)</f>
        <v>16445.8974</v>
      </c>
      <c r="G116" s="82">
        <f>ROUND(E116*F116,5)</f>
        <v>16528126.887</v>
      </c>
    </row>
    <row r="117" spans="1:7" ht="15">
      <c r="A117" s="12" t="s">
        <v>0</v>
      </c>
      <c r="B117" s="13" t="s">
        <v>0</v>
      </c>
      <c r="C117" s="13" t="s">
        <v>39</v>
      </c>
      <c r="D117" s="13" t="s">
        <v>15</v>
      </c>
      <c r="E117" s="80">
        <f>16.07</f>
        <v>16.07</v>
      </c>
      <c r="F117" s="81">
        <f>ROUND('Gia VL'!R24/1000,5)</f>
        <v>16363.6363</v>
      </c>
      <c r="G117" s="82">
        <f>ROUND(E117*F117,5)</f>
        <v>262963.63534</v>
      </c>
    </row>
    <row r="118" spans="1:7" ht="15.75">
      <c r="A118" s="12" t="s">
        <v>0</v>
      </c>
      <c r="B118" s="13" t="s">
        <v>0</v>
      </c>
      <c r="C118" s="13" t="s">
        <v>457</v>
      </c>
      <c r="D118" s="13" t="s">
        <v>0</v>
      </c>
      <c r="E118" s="80"/>
      <c r="F118" s="81"/>
      <c r="G118" s="83">
        <f>ROUND(SUM(G119:G119),5)</f>
        <v>3881358</v>
      </c>
    </row>
    <row r="119" spans="1:7" ht="15">
      <c r="A119" s="12" t="s">
        <v>0</v>
      </c>
      <c r="B119" s="13" t="s">
        <v>0</v>
      </c>
      <c r="C119" s="13" t="s">
        <v>40</v>
      </c>
      <c r="D119" s="13" t="s">
        <v>8</v>
      </c>
      <c r="E119" s="80">
        <f>15.39</f>
        <v>15.39</v>
      </c>
      <c r="F119" s="81">
        <f>'Gia NC,CM'!P10</f>
        <v>252200</v>
      </c>
      <c r="G119" s="82">
        <f>ROUND(E119*F119,5)</f>
        <v>3881358</v>
      </c>
    </row>
    <row r="120" spans="1:7" ht="15.75">
      <c r="A120" s="12" t="s">
        <v>0</v>
      </c>
      <c r="B120" s="13" t="s">
        <v>0</v>
      </c>
      <c r="C120" s="13" t="s">
        <v>456</v>
      </c>
      <c r="D120" s="13" t="s">
        <v>0</v>
      </c>
      <c r="E120" s="80"/>
      <c r="F120" s="81"/>
      <c r="G120" s="83">
        <f>ROUND(SUM(G121:G124),5)</f>
        <v>111746.08</v>
      </c>
    </row>
    <row r="121" spans="1:7" ht="15">
      <c r="A121" s="12" t="s">
        <v>0</v>
      </c>
      <c r="B121" s="13" t="s">
        <v>0</v>
      </c>
      <c r="C121" s="13" t="s">
        <v>41</v>
      </c>
      <c r="D121" s="13" t="s">
        <v>20</v>
      </c>
      <c r="E121" s="80">
        <f>0.4</f>
        <v>0.4</v>
      </c>
      <c r="F121" s="81">
        <f>'Gia NC,CM'!P14</f>
        <v>279365.2</v>
      </c>
      <c r="G121" s="82">
        <f>ROUND(E121*F121,5)</f>
        <v>111746.08</v>
      </c>
    </row>
    <row r="122" spans="1:7" ht="15">
      <c r="A122" s="12" t="s">
        <v>0</v>
      </c>
      <c r="B122" s="13" t="s">
        <v>0</v>
      </c>
      <c r="C122" s="13" t="s">
        <v>0</v>
      </c>
      <c r="D122" s="13" t="s">
        <v>0</v>
      </c>
      <c r="E122" s="80"/>
      <c r="F122" s="81"/>
      <c r="G122" s="82"/>
    </row>
    <row r="123" spans="1:7" ht="15">
      <c r="A123" s="12" t="s">
        <v>74</v>
      </c>
      <c r="B123" s="13" t="s">
        <v>79</v>
      </c>
      <c r="C123" s="13" t="s">
        <v>76</v>
      </c>
      <c r="D123" s="13" t="s">
        <v>36</v>
      </c>
      <c r="E123" s="80"/>
      <c r="F123" s="81"/>
      <c r="G123" s="82"/>
    </row>
    <row r="124" spans="1:7" ht="15">
      <c r="A124" s="12" t="s">
        <v>0</v>
      </c>
      <c r="B124" s="13" t="s">
        <v>0</v>
      </c>
      <c r="C124" s="13" t="s">
        <v>80</v>
      </c>
      <c r="D124" s="13" t="s">
        <v>0</v>
      </c>
      <c r="E124" s="80"/>
      <c r="F124" s="81"/>
      <c r="G124" s="82"/>
    </row>
    <row r="125" spans="1:7" ht="15.75">
      <c r="A125" s="12" t="s">
        <v>0</v>
      </c>
      <c r="B125" s="13" t="s">
        <v>0</v>
      </c>
      <c r="C125" s="13" t="s">
        <v>463</v>
      </c>
      <c r="D125" s="13" t="s">
        <v>0</v>
      </c>
      <c r="E125" s="80"/>
      <c r="F125" s="81"/>
      <c r="G125" s="83">
        <f>ROUND(SUM(G126:G128),5)</f>
        <v>16859124.43793</v>
      </c>
    </row>
    <row r="126" spans="1:7" ht="15">
      <c r="A126" s="12" t="s">
        <v>0</v>
      </c>
      <c r="B126" s="13" t="s">
        <v>0</v>
      </c>
      <c r="C126" s="13" t="s">
        <v>45</v>
      </c>
      <c r="D126" s="13" t="s">
        <v>15</v>
      </c>
      <c r="E126" s="80">
        <f>1020</f>
        <v>1020</v>
      </c>
      <c r="F126" s="81">
        <f>ROUND('Gia VL'!R51/1000,5)</f>
        <v>16295.8974</v>
      </c>
      <c r="G126" s="82">
        <f>ROUND(E126*F126,5)</f>
        <v>16621815.348</v>
      </c>
    </row>
    <row r="127" spans="1:7" ht="15">
      <c r="A127" s="12" t="s">
        <v>0</v>
      </c>
      <c r="B127" s="13" t="s">
        <v>0</v>
      </c>
      <c r="C127" s="13" t="s">
        <v>39</v>
      </c>
      <c r="D127" s="13" t="s">
        <v>15</v>
      </c>
      <c r="E127" s="80">
        <f>9.28</f>
        <v>9.28</v>
      </c>
      <c r="F127" s="81">
        <f>ROUND('Gia VL'!R24/1000,5)</f>
        <v>16363.6363</v>
      </c>
      <c r="G127" s="82">
        <f>ROUND(E127*F127,5)</f>
        <v>151854.54486</v>
      </c>
    </row>
    <row r="128" spans="1:7" ht="15">
      <c r="A128" s="12" t="s">
        <v>0</v>
      </c>
      <c r="B128" s="13" t="s">
        <v>0</v>
      </c>
      <c r="C128" s="13" t="s">
        <v>17</v>
      </c>
      <c r="D128" s="13" t="s">
        <v>15</v>
      </c>
      <c r="E128" s="80">
        <f>4.7</f>
        <v>4.7</v>
      </c>
      <c r="F128" s="81">
        <f>ROUND('Gia VL'!R42/1000,5)</f>
        <v>18181.8181</v>
      </c>
      <c r="G128" s="82">
        <f>ROUND(E128*F128,5)</f>
        <v>85454.54507</v>
      </c>
    </row>
    <row r="129" spans="1:7" ht="15.75">
      <c r="A129" s="12" t="s">
        <v>0</v>
      </c>
      <c r="B129" s="13" t="s">
        <v>0</v>
      </c>
      <c r="C129" s="13" t="s">
        <v>457</v>
      </c>
      <c r="D129" s="13" t="s">
        <v>0</v>
      </c>
      <c r="E129" s="80"/>
      <c r="F129" s="81"/>
      <c r="G129" s="83">
        <f>ROUND(SUM(G130:G130),5)</f>
        <v>2330328</v>
      </c>
    </row>
    <row r="130" spans="1:7" ht="15">
      <c r="A130" s="12" t="s">
        <v>0</v>
      </c>
      <c r="B130" s="13" t="s">
        <v>0</v>
      </c>
      <c r="C130" s="13" t="s">
        <v>40</v>
      </c>
      <c r="D130" s="13" t="s">
        <v>8</v>
      </c>
      <c r="E130" s="80">
        <f>9.24</f>
        <v>9.24</v>
      </c>
      <c r="F130" s="81">
        <f>'Gia NC,CM'!P10</f>
        <v>252200</v>
      </c>
      <c r="G130" s="82">
        <f>ROUND(E130*F130,5)</f>
        <v>2330328</v>
      </c>
    </row>
    <row r="131" spans="1:7" ht="15.75">
      <c r="A131" s="12" t="s">
        <v>0</v>
      </c>
      <c r="B131" s="13" t="s">
        <v>0</v>
      </c>
      <c r="C131" s="13" t="s">
        <v>456</v>
      </c>
      <c r="D131" s="13" t="s">
        <v>0</v>
      </c>
      <c r="E131" s="80"/>
      <c r="F131" s="81"/>
      <c r="G131" s="83">
        <f>ROUND(SUM(G132:G136),5)</f>
        <v>553267.7979</v>
      </c>
    </row>
    <row r="132" spans="1:7" ht="15">
      <c r="A132" s="12" t="s">
        <v>0</v>
      </c>
      <c r="B132" s="13" t="s">
        <v>0</v>
      </c>
      <c r="C132" s="13" t="s">
        <v>19</v>
      </c>
      <c r="D132" s="13" t="s">
        <v>20</v>
      </c>
      <c r="E132" s="80">
        <f>1.133</f>
        <v>1.133</v>
      </c>
      <c r="F132" s="81">
        <f>'Gia NC,CM'!P15</f>
        <v>409418.3</v>
      </c>
      <c r="G132" s="82">
        <f>ROUND(E132*F132,5)</f>
        <v>463870.9339</v>
      </c>
    </row>
    <row r="133" spans="1:7" ht="15">
      <c r="A133" s="12" t="s">
        <v>0</v>
      </c>
      <c r="B133" s="13" t="s">
        <v>0</v>
      </c>
      <c r="C133" s="13" t="s">
        <v>41</v>
      </c>
      <c r="D133" s="13" t="s">
        <v>20</v>
      </c>
      <c r="E133" s="80">
        <f>0.32</f>
        <v>0.32</v>
      </c>
      <c r="F133" s="81">
        <f>'Gia NC,CM'!P14</f>
        <v>279365.2</v>
      </c>
      <c r="G133" s="82">
        <f>ROUND(E133*F133,5)</f>
        <v>89396.864</v>
      </c>
    </row>
    <row r="134" spans="1:7" ht="15">
      <c r="A134" s="12" t="s">
        <v>0</v>
      </c>
      <c r="B134" s="13" t="s">
        <v>0</v>
      </c>
      <c r="C134" s="13" t="s">
        <v>0</v>
      </c>
      <c r="D134" s="13" t="s">
        <v>0</v>
      </c>
      <c r="E134" s="80"/>
      <c r="F134" s="81"/>
      <c r="G134" s="82"/>
    </row>
    <row r="135" spans="1:7" ht="15">
      <c r="A135" s="12" t="s">
        <v>78</v>
      </c>
      <c r="B135" s="13" t="s">
        <v>82</v>
      </c>
      <c r="C135" s="13" t="s">
        <v>83</v>
      </c>
      <c r="D135" s="13" t="s">
        <v>12</v>
      </c>
      <c r="E135" s="80"/>
      <c r="F135" s="81"/>
      <c r="G135" s="82"/>
    </row>
    <row r="136" spans="1:7" ht="15">
      <c r="A136" s="12" t="s">
        <v>0</v>
      </c>
      <c r="B136" s="13" t="s">
        <v>0</v>
      </c>
      <c r="C136" s="13" t="s">
        <v>84</v>
      </c>
      <c r="D136" s="13" t="s">
        <v>0</v>
      </c>
      <c r="E136" s="80"/>
      <c r="F136" s="81"/>
      <c r="G136" s="82"/>
    </row>
    <row r="137" spans="1:7" ht="15.75">
      <c r="A137" s="12" t="s">
        <v>0</v>
      </c>
      <c r="B137" s="13" t="s">
        <v>0</v>
      </c>
      <c r="C137" s="13" t="s">
        <v>463</v>
      </c>
      <c r="D137" s="13" t="s">
        <v>0</v>
      </c>
      <c r="E137" s="80"/>
      <c r="F137" s="81"/>
      <c r="G137" s="83">
        <f>ROUND(SUM(G138:G142),5)</f>
        <v>31318.22142</v>
      </c>
    </row>
    <row r="138" spans="1:7" ht="15">
      <c r="A138" s="12" t="s">
        <v>0</v>
      </c>
      <c r="B138" s="13" t="s">
        <v>0</v>
      </c>
      <c r="C138" s="13" t="s">
        <v>14</v>
      </c>
      <c r="D138" s="13" t="s">
        <v>15</v>
      </c>
      <c r="E138" s="80">
        <f>0.5181</f>
        <v>0.5181</v>
      </c>
      <c r="F138" s="81">
        <f>ROUND('Gia VL'!R52/1000,5)</f>
        <v>21045.8974</v>
      </c>
      <c r="G138" s="82">
        <f>ROUND(E138*F138,5)</f>
        <v>10903.87944</v>
      </c>
    </row>
    <row r="139" spans="1:7" ht="15">
      <c r="A139" s="12" t="s">
        <v>0</v>
      </c>
      <c r="B139" s="13" t="s">
        <v>0</v>
      </c>
      <c r="C139" s="13" t="s">
        <v>16</v>
      </c>
      <c r="D139" s="13" t="s">
        <v>15</v>
      </c>
      <c r="E139" s="80">
        <f>0.4884</f>
        <v>0.4884</v>
      </c>
      <c r="F139" s="81">
        <f>ROUND('Gia VL'!R47/1000,5)</f>
        <v>21045.8974</v>
      </c>
      <c r="G139" s="82">
        <f>ROUND(E139*F139,5)</f>
        <v>10278.81629</v>
      </c>
    </row>
    <row r="140" spans="1:7" ht="15">
      <c r="A140" s="12" t="s">
        <v>0</v>
      </c>
      <c r="B140" s="13" t="s">
        <v>0</v>
      </c>
      <c r="C140" s="13" t="s">
        <v>85</v>
      </c>
      <c r="D140" s="13" t="s">
        <v>15</v>
      </c>
      <c r="E140" s="80">
        <f>0.3813</f>
        <v>0.3813</v>
      </c>
      <c r="F140" s="81">
        <f>ROUND('Gia VL'!R13/1000,5)</f>
        <v>20000</v>
      </c>
      <c r="G140" s="82">
        <f>ROUND(E140*F140,5)</f>
        <v>7626</v>
      </c>
    </row>
    <row r="141" spans="1:7" ht="15">
      <c r="A141" s="12" t="s">
        <v>0</v>
      </c>
      <c r="B141" s="13" t="s">
        <v>0</v>
      </c>
      <c r="C141" s="13" t="s">
        <v>17</v>
      </c>
      <c r="D141" s="13" t="s">
        <v>15</v>
      </c>
      <c r="E141" s="80">
        <f>0.056</f>
        <v>0.056</v>
      </c>
      <c r="F141" s="81">
        <f>ROUND('Gia VL'!R42/1000,5)</f>
        <v>18181.8181</v>
      </c>
      <c r="G141" s="82">
        <f>ROUND(E141*F141,5)</f>
        <v>1018.18181</v>
      </c>
    </row>
    <row r="142" spans="1:7" ht="15">
      <c r="A142" s="12" t="s">
        <v>0</v>
      </c>
      <c r="B142" s="13" t="s">
        <v>0</v>
      </c>
      <c r="C142" s="13" t="s">
        <v>461</v>
      </c>
      <c r="D142" s="13" t="s">
        <v>460</v>
      </c>
      <c r="E142" s="80">
        <f>5</f>
        <v>5</v>
      </c>
      <c r="F142" s="81"/>
      <c r="G142" s="82">
        <f>ROUND(SUM(G138:G141)*E142/100,5)</f>
        <v>1491.34388</v>
      </c>
    </row>
    <row r="143" spans="1:7" ht="15.75">
      <c r="A143" s="12" t="s">
        <v>0</v>
      </c>
      <c r="B143" s="13" t="s">
        <v>0</v>
      </c>
      <c r="C143" s="13" t="s">
        <v>457</v>
      </c>
      <c r="D143" s="13" t="s">
        <v>0</v>
      </c>
      <c r="E143" s="80"/>
      <c r="F143" s="81"/>
      <c r="G143" s="83">
        <f>ROUND(SUM(G144:G144),5)</f>
        <v>81939.27121</v>
      </c>
    </row>
    <row r="144" spans="1:7" ht="15">
      <c r="A144" s="12" t="s">
        <v>0</v>
      </c>
      <c r="B144" s="13" t="s">
        <v>0</v>
      </c>
      <c r="C144" s="13" t="s">
        <v>18</v>
      </c>
      <c r="D144" s="13" t="s">
        <v>8</v>
      </c>
      <c r="E144" s="80">
        <f>0.2993</f>
        <v>0.2993</v>
      </c>
      <c r="F144" s="81">
        <f>'Gia NC,CM'!P11</f>
        <v>273769.7</v>
      </c>
      <c r="G144" s="82">
        <f>ROUND(E144*F144,5)</f>
        <v>81939.27121</v>
      </c>
    </row>
    <row r="145" spans="1:7" ht="15.75">
      <c r="A145" s="12" t="s">
        <v>0</v>
      </c>
      <c r="B145" s="13" t="s">
        <v>0</v>
      </c>
      <c r="C145" s="13" t="s">
        <v>456</v>
      </c>
      <c r="D145" s="13" t="s">
        <v>0</v>
      </c>
      <c r="E145" s="80"/>
      <c r="F145" s="81"/>
      <c r="G145" s="83">
        <f>ROUND(SUM(G146:G150),5)</f>
        <v>6264.09999</v>
      </c>
    </row>
    <row r="146" spans="1:7" ht="15">
      <c r="A146" s="12" t="s">
        <v>0</v>
      </c>
      <c r="B146" s="13" t="s">
        <v>0</v>
      </c>
      <c r="C146" s="13" t="s">
        <v>19</v>
      </c>
      <c r="D146" s="13" t="s">
        <v>20</v>
      </c>
      <c r="E146" s="80">
        <f>0.015</f>
        <v>0.015</v>
      </c>
      <c r="F146" s="81">
        <f>'Gia NC,CM'!P15</f>
        <v>409418.3</v>
      </c>
      <c r="G146" s="82">
        <f>ROUND(E146*F146,5)</f>
        <v>6141.2745</v>
      </c>
    </row>
    <row r="147" spans="1:7" ht="15">
      <c r="A147" s="12" t="s">
        <v>0</v>
      </c>
      <c r="B147" s="13" t="s">
        <v>0</v>
      </c>
      <c r="C147" s="13" t="s">
        <v>466</v>
      </c>
      <c r="D147" s="13" t="s">
        <v>460</v>
      </c>
      <c r="E147" s="80">
        <f>2</f>
        <v>2</v>
      </c>
      <c r="F147" s="81"/>
      <c r="G147" s="82">
        <f>ROUND(SUM(G146:G146)*E147/100,5)</f>
        <v>122.82549</v>
      </c>
    </row>
    <row r="148" spans="1:7" ht="15">
      <c r="A148" s="12" t="s">
        <v>0</v>
      </c>
      <c r="B148" s="13" t="s">
        <v>0</v>
      </c>
      <c r="C148" s="13" t="s">
        <v>0</v>
      </c>
      <c r="D148" s="13" t="s">
        <v>0</v>
      </c>
      <c r="E148" s="80"/>
      <c r="F148" s="81"/>
      <c r="G148" s="82"/>
    </row>
    <row r="149" spans="1:7" ht="15">
      <c r="A149" s="12" t="s">
        <v>81</v>
      </c>
      <c r="B149" s="13" t="s">
        <v>87</v>
      </c>
      <c r="C149" s="13" t="s">
        <v>88</v>
      </c>
      <c r="D149" s="13" t="s">
        <v>36</v>
      </c>
      <c r="E149" s="80"/>
      <c r="F149" s="81"/>
      <c r="G149" s="82"/>
    </row>
    <row r="150" spans="1:7" ht="15">
      <c r="A150" s="12" t="s">
        <v>0</v>
      </c>
      <c r="B150" s="13" t="s">
        <v>0</v>
      </c>
      <c r="C150" s="13" t="s">
        <v>77</v>
      </c>
      <c r="D150" s="13" t="s">
        <v>0</v>
      </c>
      <c r="E150" s="80"/>
      <c r="F150" s="81"/>
      <c r="G150" s="82"/>
    </row>
    <row r="151" spans="1:7" ht="15.75">
      <c r="A151" s="12" t="s">
        <v>0</v>
      </c>
      <c r="B151" s="13" t="s">
        <v>0</v>
      </c>
      <c r="C151" s="13" t="s">
        <v>463</v>
      </c>
      <c r="D151" s="13" t="s">
        <v>0</v>
      </c>
      <c r="E151" s="80"/>
      <c r="F151" s="81"/>
      <c r="G151" s="83">
        <f>ROUND(SUM(G152:G153),5)</f>
        <v>16791090.52234</v>
      </c>
    </row>
    <row r="152" spans="1:7" ht="15">
      <c r="A152" s="12" t="s">
        <v>0</v>
      </c>
      <c r="B152" s="13" t="s">
        <v>0</v>
      </c>
      <c r="C152" s="13" t="s">
        <v>38</v>
      </c>
      <c r="D152" s="13" t="s">
        <v>15</v>
      </c>
      <c r="E152" s="80">
        <f>1005</f>
        <v>1005</v>
      </c>
      <c r="F152" s="81">
        <f>ROUND('Gia VL'!R49/1000,5)</f>
        <v>16445.8974</v>
      </c>
      <c r="G152" s="82">
        <f>ROUND(E152*F152,5)</f>
        <v>16528126.887</v>
      </c>
    </row>
    <row r="153" spans="1:7" ht="15">
      <c r="A153" s="12" t="s">
        <v>0</v>
      </c>
      <c r="B153" s="13" t="s">
        <v>0</v>
      </c>
      <c r="C153" s="13" t="s">
        <v>39</v>
      </c>
      <c r="D153" s="13" t="s">
        <v>15</v>
      </c>
      <c r="E153" s="80">
        <f>16.07</f>
        <v>16.07</v>
      </c>
      <c r="F153" s="81">
        <f>ROUND('Gia VL'!R24/1000,5)</f>
        <v>16363.6363</v>
      </c>
      <c r="G153" s="82">
        <f>ROUND(E153*F153,5)</f>
        <v>262963.63534</v>
      </c>
    </row>
    <row r="154" spans="1:7" ht="15.75">
      <c r="A154" s="12" t="s">
        <v>0</v>
      </c>
      <c r="B154" s="13" t="s">
        <v>0</v>
      </c>
      <c r="C154" s="13" t="s">
        <v>457</v>
      </c>
      <c r="D154" s="13" t="s">
        <v>0</v>
      </c>
      <c r="E154" s="80"/>
      <c r="F154" s="81"/>
      <c r="G154" s="83">
        <f>ROUND(SUM(G155:G155),5)</f>
        <v>3566108</v>
      </c>
    </row>
    <row r="155" spans="1:7" ht="15">
      <c r="A155" s="12" t="s">
        <v>0</v>
      </c>
      <c r="B155" s="13" t="s">
        <v>0</v>
      </c>
      <c r="C155" s="13" t="s">
        <v>40</v>
      </c>
      <c r="D155" s="13" t="s">
        <v>8</v>
      </c>
      <c r="E155" s="80">
        <f>14.14</f>
        <v>14.14</v>
      </c>
      <c r="F155" s="81">
        <f>'Gia NC,CM'!P10</f>
        <v>252200</v>
      </c>
      <c r="G155" s="82">
        <f>ROUND(E155*F155,5)</f>
        <v>3566108</v>
      </c>
    </row>
    <row r="156" spans="1:7" ht="15.75">
      <c r="A156" s="12" t="s">
        <v>0</v>
      </c>
      <c r="B156" s="13" t="s">
        <v>0</v>
      </c>
      <c r="C156" s="13" t="s">
        <v>456</v>
      </c>
      <c r="D156" s="13" t="s">
        <v>0</v>
      </c>
      <c r="E156" s="80"/>
      <c r="F156" s="81"/>
      <c r="G156" s="83">
        <f>ROUND(SUM(G157:G160),5)</f>
        <v>111746.08</v>
      </c>
    </row>
    <row r="157" spans="1:7" ht="15">
      <c r="A157" s="12" t="s">
        <v>0</v>
      </c>
      <c r="B157" s="13" t="s">
        <v>0</v>
      </c>
      <c r="C157" s="13" t="s">
        <v>41</v>
      </c>
      <c r="D157" s="13" t="s">
        <v>20</v>
      </c>
      <c r="E157" s="80">
        <f>0.4</f>
        <v>0.4</v>
      </c>
      <c r="F157" s="81">
        <f>'Gia NC,CM'!P14</f>
        <v>279365.2</v>
      </c>
      <c r="G157" s="82">
        <f>ROUND(E157*F157,5)</f>
        <v>111746.08</v>
      </c>
    </row>
    <row r="158" spans="1:7" ht="15">
      <c r="A158" s="12" t="s">
        <v>0</v>
      </c>
      <c r="B158" s="13" t="s">
        <v>0</v>
      </c>
      <c r="C158" s="13" t="s">
        <v>0</v>
      </c>
      <c r="D158" s="13" t="s">
        <v>0</v>
      </c>
      <c r="E158" s="80"/>
      <c r="F158" s="81"/>
      <c r="G158" s="82"/>
    </row>
    <row r="159" spans="1:7" ht="15">
      <c r="A159" s="12" t="s">
        <v>86</v>
      </c>
      <c r="B159" s="13" t="s">
        <v>90</v>
      </c>
      <c r="C159" s="13" t="s">
        <v>88</v>
      </c>
      <c r="D159" s="13" t="s">
        <v>36</v>
      </c>
      <c r="E159" s="80"/>
      <c r="F159" s="81"/>
      <c r="G159" s="82"/>
    </row>
    <row r="160" spans="1:7" ht="15">
      <c r="A160" s="12" t="s">
        <v>0</v>
      </c>
      <c r="B160" s="13" t="s">
        <v>0</v>
      </c>
      <c r="C160" s="13" t="s">
        <v>80</v>
      </c>
      <c r="D160" s="13" t="s">
        <v>0</v>
      </c>
      <c r="E160" s="80"/>
      <c r="F160" s="81"/>
      <c r="G160" s="82"/>
    </row>
    <row r="161" spans="1:7" ht="15.75">
      <c r="A161" s="12" t="s">
        <v>0</v>
      </c>
      <c r="B161" s="13" t="s">
        <v>0</v>
      </c>
      <c r="C161" s="13" t="s">
        <v>463</v>
      </c>
      <c r="D161" s="13" t="s">
        <v>0</v>
      </c>
      <c r="E161" s="80"/>
      <c r="F161" s="81"/>
      <c r="G161" s="83">
        <f>ROUND(SUM(G162:G164),5)</f>
        <v>16861306.2561</v>
      </c>
    </row>
    <row r="162" spans="1:7" ht="15">
      <c r="A162" s="12" t="s">
        <v>0</v>
      </c>
      <c r="B162" s="13" t="s">
        <v>0</v>
      </c>
      <c r="C162" s="13" t="s">
        <v>45</v>
      </c>
      <c r="D162" s="13" t="s">
        <v>15</v>
      </c>
      <c r="E162" s="80">
        <f>1020</f>
        <v>1020</v>
      </c>
      <c r="F162" s="81">
        <f>ROUND('Gia VL'!R51/1000,5)</f>
        <v>16295.8974</v>
      </c>
      <c r="G162" s="82">
        <f>ROUND(E162*F162,5)</f>
        <v>16621815.348</v>
      </c>
    </row>
    <row r="163" spans="1:7" ht="15">
      <c r="A163" s="12" t="s">
        <v>0</v>
      </c>
      <c r="B163" s="13" t="s">
        <v>0</v>
      </c>
      <c r="C163" s="13" t="s">
        <v>39</v>
      </c>
      <c r="D163" s="13" t="s">
        <v>15</v>
      </c>
      <c r="E163" s="80">
        <f>9.28</f>
        <v>9.28</v>
      </c>
      <c r="F163" s="81">
        <f>ROUND('Gia VL'!R24/1000,5)</f>
        <v>16363.6363</v>
      </c>
      <c r="G163" s="82">
        <f>ROUND(E163*F163,5)</f>
        <v>151854.54486</v>
      </c>
    </row>
    <row r="164" spans="1:7" ht="15">
      <c r="A164" s="12" t="s">
        <v>0</v>
      </c>
      <c r="B164" s="13" t="s">
        <v>0</v>
      </c>
      <c r="C164" s="13" t="s">
        <v>17</v>
      </c>
      <c r="D164" s="13" t="s">
        <v>15</v>
      </c>
      <c r="E164" s="80">
        <f>4.82</f>
        <v>4.82</v>
      </c>
      <c r="F164" s="81">
        <f>ROUND('Gia VL'!R42/1000,5)</f>
        <v>18181.8181</v>
      </c>
      <c r="G164" s="82">
        <f>ROUND(E164*F164,5)</f>
        <v>87636.36324</v>
      </c>
    </row>
    <row r="165" spans="1:7" ht="15.75">
      <c r="A165" s="12" t="s">
        <v>0</v>
      </c>
      <c r="B165" s="13" t="s">
        <v>0</v>
      </c>
      <c r="C165" s="13" t="s">
        <v>457</v>
      </c>
      <c r="D165" s="13" t="s">
        <v>0</v>
      </c>
      <c r="E165" s="80"/>
      <c r="F165" s="81"/>
      <c r="G165" s="83">
        <f>ROUND(SUM(G166:G166),5)</f>
        <v>2325284</v>
      </c>
    </row>
    <row r="166" spans="1:7" ht="15">
      <c r="A166" s="12" t="s">
        <v>0</v>
      </c>
      <c r="B166" s="13" t="s">
        <v>0</v>
      </c>
      <c r="C166" s="13" t="s">
        <v>40</v>
      </c>
      <c r="D166" s="13" t="s">
        <v>8</v>
      </c>
      <c r="E166" s="80">
        <f>9.22</f>
        <v>9.22</v>
      </c>
      <c r="F166" s="81">
        <f>'Gia NC,CM'!P10</f>
        <v>252200</v>
      </c>
      <c r="G166" s="82">
        <f>ROUND(E166*F166,5)</f>
        <v>2325284</v>
      </c>
    </row>
    <row r="167" spans="1:7" ht="15.75">
      <c r="A167" s="12" t="s">
        <v>0</v>
      </c>
      <c r="B167" s="13" t="s">
        <v>0</v>
      </c>
      <c r="C167" s="13" t="s">
        <v>456</v>
      </c>
      <c r="D167" s="13" t="s">
        <v>0</v>
      </c>
      <c r="E167" s="80"/>
      <c r="F167" s="81"/>
      <c r="G167" s="83">
        <f>ROUND(SUM(G168:G172),5)</f>
        <v>564322.092</v>
      </c>
    </row>
    <row r="168" spans="1:7" ht="15">
      <c r="A168" s="12" t="s">
        <v>0</v>
      </c>
      <c r="B168" s="13" t="s">
        <v>0</v>
      </c>
      <c r="C168" s="13" t="s">
        <v>19</v>
      </c>
      <c r="D168" s="13" t="s">
        <v>20</v>
      </c>
      <c r="E168" s="80">
        <f>1.16</f>
        <v>1.16</v>
      </c>
      <c r="F168" s="81">
        <f>'Gia NC,CM'!P15</f>
        <v>409418.3</v>
      </c>
      <c r="G168" s="82">
        <f>ROUND(E168*F168,5)</f>
        <v>474925.228</v>
      </c>
    </row>
    <row r="169" spans="1:7" ht="15">
      <c r="A169" s="12" t="s">
        <v>0</v>
      </c>
      <c r="B169" s="13" t="s">
        <v>0</v>
      </c>
      <c r="C169" s="13" t="s">
        <v>41</v>
      </c>
      <c r="D169" s="13" t="s">
        <v>20</v>
      </c>
      <c r="E169" s="80">
        <f>0.32</f>
        <v>0.32</v>
      </c>
      <c r="F169" s="81">
        <f>'Gia NC,CM'!P14</f>
        <v>279365.2</v>
      </c>
      <c r="G169" s="82">
        <f>ROUND(E169*F169,5)</f>
        <v>89396.864</v>
      </c>
    </row>
    <row r="170" spans="1:7" ht="15">
      <c r="A170" s="12" t="s">
        <v>0</v>
      </c>
      <c r="B170" s="13" t="s">
        <v>0</v>
      </c>
      <c r="C170" s="13" t="s">
        <v>0</v>
      </c>
      <c r="D170" s="13" t="s">
        <v>0</v>
      </c>
      <c r="E170" s="80"/>
      <c r="F170" s="81"/>
      <c r="G170" s="82"/>
    </row>
    <row r="171" spans="1:7" ht="15">
      <c r="A171" s="12" t="s">
        <v>89</v>
      </c>
      <c r="B171" s="13" t="s">
        <v>92</v>
      </c>
      <c r="C171" s="13" t="s">
        <v>93</v>
      </c>
      <c r="D171" s="13" t="s">
        <v>5</v>
      </c>
      <c r="E171" s="80"/>
      <c r="F171" s="81"/>
      <c r="G171" s="82"/>
    </row>
    <row r="172" spans="1:7" ht="15">
      <c r="A172" s="12" t="s">
        <v>0</v>
      </c>
      <c r="B172" s="13" t="s">
        <v>0</v>
      </c>
      <c r="C172" s="13" t="s">
        <v>94</v>
      </c>
      <c r="D172" s="13" t="s">
        <v>0</v>
      </c>
      <c r="E172" s="80"/>
      <c r="F172" s="81"/>
      <c r="G172" s="82"/>
    </row>
    <row r="173" spans="1:7" ht="15.75">
      <c r="A173" s="12" t="s">
        <v>0</v>
      </c>
      <c r="B173" s="13" t="s">
        <v>0</v>
      </c>
      <c r="C173" s="13" t="s">
        <v>463</v>
      </c>
      <c r="D173" s="13" t="s">
        <v>0</v>
      </c>
      <c r="E173" s="80"/>
      <c r="F173" s="81"/>
      <c r="G173" s="83">
        <f>ROUND(SUM(G174:G178),5)</f>
        <v>1093448.21284</v>
      </c>
    </row>
    <row r="174" spans="1:7" ht="15">
      <c r="A174" s="12" t="s">
        <v>0</v>
      </c>
      <c r="B174" s="13" t="s">
        <v>0</v>
      </c>
      <c r="C174" s="13" t="s">
        <v>52</v>
      </c>
      <c r="D174" s="13" t="s">
        <v>15</v>
      </c>
      <c r="E174" s="80">
        <f>1.025*301</f>
        <v>308.525</v>
      </c>
      <c r="F174" s="81">
        <f>ROUND('Gia VL'!R56/1000,5)</f>
        <v>1677.273</v>
      </c>
      <c r="G174" s="82">
        <f>ROUND(E174*F174,5)</f>
        <v>517480.65233</v>
      </c>
    </row>
    <row r="175" spans="1:7" ht="15">
      <c r="A175" s="12" t="s">
        <v>0</v>
      </c>
      <c r="B175" s="13" t="s">
        <v>0</v>
      </c>
      <c r="C175" s="13" t="s">
        <v>26</v>
      </c>
      <c r="D175" s="13" t="s">
        <v>27</v>
      </c>
      <c r="E175" s="80">
        <f>1.025*0.519</f>
        <v>0.531975</v>
      </c>
      <c r="F175" s="81">
        <f>'Gia VL'!R20</f>
        <v>381173.3</v>
      </c>
      <c r="G175" s="82">
        <f>ROUND(E175*F175,5)</f>
        <v>202774.66627</v>
      </c>
    </row>
    <row r="176" spans="1:7" ht="15">
      <c r="A176" s="12" t="s">
        <v>0</v>
      </c>
      <c r="B176" s="13" t="s">
        <v>0</v>
      </c>
      <c r="C176" s="13" t="s">
        <v>53</v>
      </c>
      <c r="D176" s="13" t="s">
        <v>27</v>
      </c>
      <c r="E176" s="80">
        <f>1.025*0.855</f>
        <v>0.8763749999999999</v>
      </c>
      <c r="F176" s="81">
        <f>'Gia VL'!R61</f>
        <v>364477.2</v>
      </c>
      <c r="G176" s="82">
        <f>ROUND(E176*F176,5)</f>
        <v>319418.70615</v>
      </c>
    </row>
    <row r="177" spans="1:7" ht="15">
      <c r="A177" s="12" t="s">
        <v>0</v>
      </c>
      <c r="B177" s="13" t="s">
        <v>0</v>
      </c>
      <c r="C177" s="13" t="s">
        <v>29</v>
      </c>
      <c r="D177" s="13" t="s">
        <v>27</v>
      </c>
      <c r="E177" s="80">
        <f>1.025*0.183</f>
        <v>0.187575</v>
      </c>
      <c r="F177" s="81">
        <f>'Gia VL'!R39</f>
        <v>9090.9</v>
      </c>
      <c r="G177" s="82">
        <f>ROUND(E177*F177,5)</f>
        <v>1705.22557</v>
      </c>
    </row>
    <row r="178" spans="1:7" ht="15">
      <c r="A178" s="12" t="s">
        <v>0</v>
      </c>
      <c r="B178" s="13" t="s">
        <v>0</v>
      </c>
      <c r="C178" s="13" t="s">
        <v>461</v>
      </c>
      <c r="D178" s="13" t="s">
        <v>460</v>
      </c>
      <c r="E178" s="80">
        <f>5</f>
        <v>5</v>
      </c>
      <c r="F178" s="81"/>
      <c r="G178" s="82">
        <f>ROUND(SUM(G174:G177)*E178/100,5)</f>
        <v>52068.96252</v>
      </c>
    </row>
    <row r="179" spans="1:7" ht="15.75">
      <c r="A179" s="12" t="s">
        <v>0</v>
      </c>
      <c r="B179" s="13" t="s">
        <v>0</v>
      </c>
      <c r="C179" s="13" t="s">
        <v>457</v>
      </c>
      <c r="D179" s="13" t="s">
        <v>0</v>
      </c>
      <c r="E179" s="80"/>
      <c r="F179" s="81"/>
      <c r="G179" s="83">
        <f>ROUND(SUM(G180:G180),5)</f>
        <v>849914</v>
      </c>
    </row>
    <row r="180" spans="1:7" ht="15">
      <c r="A180" s="12" t="s">
        <v>0</v>
      </c>
      <c r="B180" s="13" t="s">
        <v>0</v>
      </c>
      <c r="C180" s="13" t="s">
        <v>40</v>
      </c>
      <c r="D180" s="13" t="s">
        <v>8</v>
      </c>
      <c r="E180" s="80">
        <f>3.37</f>
        <v>3.37</v>
      </c>
      <c r="F180" s="81">
        <f>'Gia NC,CM'!P10</f>
        <v>252200</v>
      </c>
      <c r="G180" s="82">
        <f>ROUND(E180*F180,5)</f>
        <v>849914</v>
      </c>
    </row>
    <row r="181" spans="1:7" ht="15.75">
      <c r="A181" s="12" t="s">
        <v>0</v>
      </c>
      <c r="B181" s="13" t="s">
        <v>0</v>
      </c>
      <c r="C181" s="13" t="s">
        <v>456</v>
      </c>
      <c r="D181" s="13" t="s">
        <v>0</v>
      </c>
      <c r="E181" s="80"/>
      <c r="F181" s="81"/>
      <c r="G181" s="83">
        <f>ROUND(SUM(G182:G186),5)</f>
        <v>79769.1195</v>
      </c>
    </row>
    <row r="182" spans="1:7" ht="15">
      <c r="A182" s="12" t="s">
        <v>0</v>
      </c>
      <c r="B182" s="13" t="s">
        <v>0</v>
      </c>
      <c r="C182" s="13" t="s">
        <v>31</v>
      </c>
      <c r="D182" s="13" t="s">
        <v>20</v>
      </c>
      <c r="E182" s="80">
        <f>0.095</f>
        <v>0.095</v>
      </c>
      <c r="F182" s="81">
        <f>'Gia NC,CM'!P18</f>
        <v>318885.3</v>
      </c>
      <c r="G182" s="82">
        <f>ROUND(E182*F182,5)</f>
        <v>30294.1035</v>
      </c>
    </row>
    <row r="183" spans="1:7" ht="15">
      <c r="A183" s="12" t="s">
        <v>0</v>
      </c>
      <c r="B183" s="13" t="s">
        <v>0</v>
      </c>
      <c r="C183" s="13" t="s">
        <v>54</v>
      </c>
      <c r="D183" s="13" t="s">
        <v>20</v>
      </c>
      <c r="E183" s="80">
        <f>0.18</f>
        <v>0.18</v>
      </c>
      <c r="F183" s="81">
        <f>'Gia NC,CM'!P21</f>
        <v>274861.2</v>
      </c>
      <c r="G183" s="82">
        <f>ROUND(E183*F183,5)</f>
        <v>49475.016</v>
      </c>
    </row>
    <row r="184" spans="1:7" ht="15">
      <c r="A184" s="12" t="s">
        <v>0</v>
      </c>
      <c r="B184" s="13" t="s">
        <v>0</v>
      </c>
      <c r="C184" s="13" t="s">
        <v>0</v>
      </c>
      <c r="D184" s="13" t="s">
        <v>0</v>
      </c>
      <c r="E184" s="80"/>
      <c r="F184" s="81"/>
      <c r="G184" s="82"/>
    </row>
    <row r="185" spans="1:7" ht="15">
      <c r="A185" s="12" t="s">
        <v>91</v>
      </c>
      <c r="B185" s="13" t="s">
        <v>96</v>
      </c>
      <c r="C185" s="13" t="s">
        <v>97</v>
      </c>
      <c r="D185" s="13" t="s">
        <v>5</v>
      </c>
      <c r="E185" s="80"/>
      <c r="F185" s="81"/>
      <c r="G185" s="82"/>
    </row>
    <row r="186" spans="1:7" ht="15">
      <c r="A186" s="12" t="s">
        <v>0</v>
      </c>
      <c r="B186" s="13" t="s">
        <v>0</v>
      </c>
      <c r="C186" s="13" t="s">
        <v>98</v>
      </c>
      <c r="D186" s="13" t="s">
        <v>0</v>
      </c>
      <c r="E186" s="80"/>
      <c r="F186" s="81"/>
      <c r="G186" s="82"/>
    </row>
    <row r="187" spans="1:7" ht="15.75">
      <c r="A187" s="12" t="s">
        <v>0</v>
      </c>
      <c r="B187" s="13" t="s">
        <v>0</v>
      </c>
      <c r="C187" s="13" t="s">
        <v>457</v>
      </c>
      <c r="D187" s="13" t="s">
        <v>0</v>
      </c>
      <c r="E187" s="80"/>
      <c r="F187" s="81"/>
      <c r="G187" s="83">
        <f>ROUND(SUM(G188:G188),5)</f>
        <v>13528.81448</v>
      </c>
    </row>
    <row r="188" spans="1:7" ht="15">
      <c r="A188" s="12" t="s">
        <v>0</v>
      </c>
      <c r="B188" s="13" t="s">
        <v>0</v>
      </c>
      <c r="C188" s="13" t="s">
        <v>7</v>
      </c>
      <c r="D188" s="13" t="s">
        <v>8</v>
      </c>
      <c r="E188" s="80">
        <f>0.0619</f>
        <v>0.0619</v>
      </c>
      <c r="F188" s="81">
        <f>'Gia NC,CM'!P8</f>
        <v>218559.2</v>
      </c>
      <c r="G188" s="82">
        <f>ROUND(E188*F188,5)</f>
        <v>13528.81448</v>
      </c>
    </row>
    <row r="189" spans="1:7" ht="15.75">
      <c r="A189" s="12" t="s">
        <v>0</v>
      </c>
      <c r="B189" s="13" t="s">
        <v>0</v>
      </c>
      <c r="C189" s="13" t="s">
        <v>456</v>
      </c>
      <c r="D189" s="13" t="s">
        <v>0</v>
      </c>
      <c r="E189" s="80"/>
      <c r="F189" s="81"/>
      <c r="G189" s="83">
        <f>ROUND(SUM(G190:G193),5)</f>
        <v>14471.5457</v>
      </c>
    </row>
    <row r="190" spans="1:7" ht="15">
      <c r="A190" s="12" t="s">
        <v>0</v>
      </c>
      <c r="B190" s="13" t="s">
        <v>0</v>
      </c>
      <c r="C190" s="13" t="s">
        <v>99</v>
      </c>
      <c r="D190" s="13" t="s">
        <v>20</v>
      </c>
      <c r="E190" s="80">
        <f>0.03845</f>
        <v>0.03845</v>
      </c>
      <c r="F190" s="81">
        <f>'Gia NC,CM'!P22</f>
        <v>376373.1</v>
      </c>
      <c r="G190" s="82">
        <f>ROUND(E190*F190,5)</f>
        <v>14471.5457</v>
      </c>
    </row>
    <row r="191" spans="1:7" ht="15">
      <c r="A191" s="12" t="s">
        <v>0</v>
      </c>
      <c r="B191" s="13" t="s">
        <v>0</v>
      </c>
      <c r="C191" s="13" t="s">
        <v>0</v>
      </c>
      <c r="D191" s="13" t="s">
        <v>0</v>
      </c>
      <c r="E191" s="80"/>
      <c r="F191" s="81"/>
      <c r="G191" s="82"/>
    </row>
    <row r="192" spans="1:7" ht="15">
      <c r="A192" s="12" t="s">
        <v>95</v>
      </c>
      <c r="B192" s="13" t="s">
        <v>101</v>
      </c>
      <c r="C192" s="13" t="s">
        <v>102</v>
      </c>
      <c r="D192" s="13" t="s">
        <v>5</v>
      </c>
      <c r="E192" s="80"/>
      <c r="F192" s="81"/>
      <c r="G192" s="82"/>
    </row>
    <row r="193" spans="1:7" ht="15">
      <c r="A193" s="12" t="s">
        <v>0</v>
      </c>
      <c r="B193" s="13" t="s">
        <v>0</v>
      </c>
      <c r="C193" s="13" t="s">
        <v>103</v>
      </c>
      <c r="D193" s="13" t="s">
        <v>0</v>
      </c>
      <c r="E193" s="80"/>
      <c r="F193" s="81"/>
      <c r="G193" s="82"/>
    </row>
    <row r="194" spans="1:7" ht="15.75">
      <c r="A194" s="12" t="s">
        <v>0</v>
      </c>
      <c r="B194" s="13" t="s">
        <v>0</v>
      </c>
      <c r="C194" s="13" t="s">
        <v>463</v>
      </c>
      <c r="D194" s="13" t="s">
        <v>0</v>
      </c>
      <c r="E194" s="80"/>
      <c r="F194" s="81"/>
      <c r="G194" s="83">
        <f>ROUND(SUM(G195:G195),5)</f>
        <v>222844.224</v>
      </c>
    </row>
    <row r="195" spans="1:7" ht="15">
      <c r="A195" s="12" t="s">
        <v>0</v>
      </c>
      <c r="B195" s="13" t="s">
        <v>0</v>
      </c>
      <c r="C195" s="13" t="s">
        <v>104</v>
      </c>
      <c r="D195" s="13" t="s">
        <v>27</v>
      </c>
      <c r="E195" s="80">
        <f>1.22</f>
        <v>1.22</v>
      </c>
      <c r="F195" s="81">
        <f>'Gia VL'!R9</f>
        <v>182659.2</v>
      </c>
      <c r="G195" s="82">
        <f>ROUND(E195*F195,5)</f>
        <v>222844.224</v>
      </c>
    </row>
    <row r="196" spans="1:7" ht="15.75">
      <c r="A196" s="12" t="s">
        <v>0</v>
      </c>
      <c r="B196" s="13" t="s">
        <v>0</v>
      </c>
      <c r="C196" s="13" t="s">
        <v>457</v>
      </c>
      <c r="D196" s="13" t="s">
        <v>0</v>
      </c>
      <c r="E196" s="80"/>
      <c r="F196" s="81"/>
      <c r="G196" s="83">
        <f>ROUND(SUM(G197:G197),5)</f>
        <v>9135.77456</v>
      </c>
    </row>
    <row r="197" spans="1:7" ht="15">
      <c r="A197" s="12" t="s">
        <v>0</v>
      </c>
      <c r="B197" s="13" t="s">
        <v>0</v>
      </c>
      <c r="C197" s="13" t="s">
        <v>7</v>
      </c>
      <c r="D197" s="13" t="s">
        <v>8</v>
      </c>
      <c r="E197" s="80">
        <f>0.0418</f>
        <v>0.0418</v>
      </c>
      <c r="F197" s="81">
        <f>'Gia NC,CM'!P8</f>
        <v>218559.2</v>
      </c>
      <c r="G197" s="82">
        <f>ROUND(E197*F197,5)</f>
        <v>9135.77456</v>
      </c>
    </row>
    <row r="198" spans="1:7" ht="15.75">
      <c r="A198" s="12" t="s">
        <v>0</v>
      </c>
      <c r="B198" s="13" t="s">
        <v>0</v>
      </c>
      <c r="C198" s="13" t="s">
        <v>456</v>
      </c>
      <c r="D198" s="13" t="s">
        <v>0</v>
      </c>
      <c r="E198" s="80"/>
      <c r="F198" s="81"/>
      <c r="G198" s="83">
        <f>ROUND(SUM(G199:G203),5)</f>
        <v>7800.82178</v>
      </c>
    </row>
    <row r="199" spans="1:7" ht="15">
      <c r="A199" s="12" t="s">
        <v>0</v>
      </c>
      <c r="B199" s="13" t="s">
        <v>0</v>
      </c>
      <c r="C199" s="13" t="s">
        <v>99</v>
      </c>
      <c r="D199" s="13" t="s">
        <v>20</v>
      </c>
      <c r="E199" s="80">
        <f>0.02042</f>
        <v>0.02042</v>
      </c>
      <c r="F199" s="81">
        <f>'Gia NC,CM'!P22</f>
        <v>376373.1</v>
      </c>
      <c r="G199" s="82">
        <f>ROUND(E199*F199,5)</f>
        <v>7685.5387</v>
      </c>
    </row>
    <row r="200" spans="1:7" ht="15">
      <c r="A200" s="12" t="s">
        <v>0</v>
      </c>
      <c r="B200" s="13" t="s">
        <v>0</v>
      </c>
      <c r="C200" s="13" t="s">
        <v>466</v>
      </c>
      <c r="D200" s="13" t="s">
        <v>460</v>
      </c>
      <c r="E200" s="80">
        <f>1.5</f>
        <v>1.5</v>
      </c>
      <c r="F200" s="81"/>
      <c r="G200" s="82">
        <f>ROUND(SUM(G199:G199)*E200/100,5)</f>
        <v>115.28308</v>
      </c>
    </row>
    <row r="201" spans="1:7" ht="15">
      <c r="A201" s="12" t="s">
        <v>0</v>
      </c>
      <c r="B201" s="13" t="s">
        <v>0</v>
      </c>
      <c r="C201" s="13" t="s">
        <v>0</v>
      </c>
      <c r="D201" s="13" t="s">
        <v>0</v>
      </c>
      <c r="E201" s="80"/>
      <c r="F201" s="81"/>
      <c r="G201" s="82"/>
    </row>
    <row r="202" spans="1:7" ht="15">
      <c r="A202" s="12" t="s">
        <v>100</v>
      </c>
      <c r="B202" s="13" t="s">
        <v>106</v>
      </c>
      <c r="C202" s="13" t="s">
        <v>107</v>
      </c>
      <c r="D202" s="13" t="s">
        <v>5</v>
      </c>
      <c r="E202" s="80"/>
      <c r="F202" s="81"/>
      <c r="G202" s="82"/>
    </row>
    <row r="203" spans="1:7" ht="15">
      <c r="A203" s="12" t="s">
        <v>0</v>
      </c>
      <c r="B203" s="13" t="s">
        <v>0</v>
      </c>
      <c r="C203" s="13" t="s">
        <v>108</v>
      </c>
      <c r="D203" s="13" t="s">
        <v>0</v>
      </c>
      <c r="E203" s="80"/>
      <c r="F203" s="81"/>
      <c r="G203" s="82"/>
    </row>
    <row r="204" spans="1:7" ht="15.75">
      <c r="A204" s="12" t="s">
        <v>0</v>
      </c>
      <c r="B204" s="13" t="s">
        <v>0</v>
      </c>
      <c r="C204" s="13" t="s">
        <v>463</v>
      </c>
      <c r="D204" s="13" t="s">
        <v>0</v>
      </c>
      <c r="E204" s="80"/>
      <c r="F204" s="81"/>
      <c r="G204" s="83">
        <f>ROUND(SUM(G205:G209),5)</f>
        <v>988453.06141</v>
      </c>
    </row>
    <row r="205" spans="1:7" ht="15">
      <c r="A205" s="12" t="s">
        <v>0</v>
      </c>
      <c r="B205" s="13" t="s">
        <v>0</v>
      </c>
      <c r="C205" s="13" t="s">
        <v>52</v>
      </c>
      <c r="D205" s="13" t="s">
        <v>15</v>
      </c>
      <c r="E205" s="80">
        <f>1.025*259</f>
        <v>265.47499999999997</v>
      </c>
      <c r="F205" s="81">
        <f>ROUND('Gia VL'!R56/1000,5)</f>
        <v>1677.273</v>
      </c>
      <c r="G205" s="82">
        <f>ROUND(E205*F205,5)</f>
        <v>445274.04968</v>
      </c>
    </row>
    <row r="206" spans="1:7" ht="15">
      <c r="A206" s="12" t="s">
        <v>0</v>
      </c>
      <c r="B206" s="13" t="s">
        <v>0</v>
      </c>
      <c r="C206" s="13" t="s">
        <v>26</v>
      </c>
      <c r="D206" s="13" t="s">
        <v>27</v>
      </c>
      <c r="E206" s="80">
        <f>1.025*0.528</f>
        <v>0.5412</v>
      </c>
      <c r="F206" s="81">
        <f>'Gia VL'!R20</f>
        <v>381173.3</v>
      </c>
      <c r="G206" s="82">
        <f>ROUND(E206*F206,5)</f>
        <v>206290.98996</v>
      </c>
    </row>
    <row r="207" spans="1:7" ht="15">
      <c r="A207" s="12" t="s">
        <v>0</v>
      </c>
      <c r="B207" s="13" t="s">
        <v>0</v>
      </c>
      <c r="C207" s="13" t="s">
        <v>53</v>
      </c>
      <c r="D207" s="13" t="s">
        <v>27</v>
      </c>
      <c r="E207" s="80">
        <f>1.025*0.871</f>
        <v>0.8927749999999999</v>
      </c>
      <c r="F207" s="81">
        <f>'Gia VL'!R61</f>
        <v>364477.2</v>
      </c>
      <c r="G207" s="82">
        <f>ROUND(E207*F207,5)</f>
        <v>325396.13223</v>
      </c>
    </row>
    <row r="208" spans="1:7" ht="15">
      <c r="A208" s="12" t="s">
        <v>0</v>
      </c>
      <c r="B208" s="13" t="s">
        <v>0</v>
      </c>
      <c r="C208" s="13" t="s">
        <v>29</v>
      </c>
      <c r="D208" s="13" t="s">
        <v>27</v>
      </c>
      <c r="E208" s="80">
        <f>1.025*0.183</f>
        <v>0.187575</v>
      </c>
      <c r="F208" s="81">
        <f>'Gia VL'!R39</f>
        <v>9090.9</v>
      </c>
      <c r="G208" s="82">
        <f>ROUND(E208*F208,5)</f>
        <v>1705.22557</v>
      </c>
    </row>
    <row r="209" spans="1:7" ht="15">
      <c r="A209" s="12" t="s">
        <v>0</v>
      </c>
      <c r="B209" s="13" t="s">
        <v>0</v>
      </c>
      <c r="C209" s="13" t="s">
        <v>461</v>
      </c>
      <c r="D209" s="13" t="s">
        <v>460</v>
      </c>
      <c r="E209" s="80">
        <f>1</f>
        <v>1</v>
      </c>
      <c r="F209" s="81"/>
      <c r="G209" s="82">
        <f>ROUND(SUM(G205:G208)*E209/100,5)</f>
        <v>9786.66397</v>
      </c>
    </row>
    <row r="210" spans="1:7" ht="15.75">
      <c r="A210" s="12" t="s">
        <v>0</v>
      </c>
      <c r="B210" s="13" t="s">
        <v>0</v>
      </c>
      <c r="C210" s="13" t="s">
        <v>457</v>
      </c>
      <c r="D210" s="13" t="s">
        <v>0</v>
      </c>
      <c r="E210" s="80"/>
      <c r="F210" s="81"/>
      <c r="G210" s="83">
        <f>ROUND(SUM(G211:G211),5)</f>
        <v>670852</v>
      </c>
    </row>
    <row r="211" spans="1:7" ht="15">
      <c r="A211" s="12" t="s">
        <v>0</v>
      </c>
      <c r="B211" s="13" t="s">
        <v>0</v>
      </c>
      <c r="C211" s="13" t="s">
        <v>40</v>
      </c>
      <c r="D211" s="13" t="s">
        <v>8</v>
      </c>
      <c r="E211" s="80">
        <f>2.66</f>
        <v>2.66</v>
      </c>
      <c r="F211" s="81">
        <f>'Gia NC,CM'!P10</f>
        <v>252200</v>
      </c>
      <c r="G211" s="82">
        <f>ROUND(E211*F211,5)</f>
        <v>670852</v>
      </c>
    </row>
    <row r="212" spans="1:7" ht="15.75">
      <c r="A212" s="12" t="s">
        <v>0</v>
      </c>
      <c r="B212" s="13" t="s">
        <v>0</v>
      </c>
      <c r="C212" s="13" t="s">
        <v>456</v>
      </c>
      <c r="D212" s="13" t="s">
        <v>0</v>
      </c>
      <c r="E212" s="80"/>
      <c r="F212" s="81"/>
      <c r="G212" s="83">
        <f>ROUND(SUM(G213:G217),5)</f>
        <v>54756.7503</v>
      </c>
    </row>
    <row r="213" spans="1:7" ht="15">
      <c r="A213" s="12" t="s">
        <v>0</v>
      </c>
      <c r="B213" s="13" t="s">
        <v>0</v>
      </c>
      <c r="C213" s="13" t="s">
        <v>31</v>
      </c>
      <c r="D213" s="13" t="s">
        <v>20</v>
      </c>
      <c r="E213" s="80">
        <f>0.095</f>
        <v>0.095</v>
      </c>
      <c r="F213" s="81">
        <f>'Gia NC,CM'!P18</f>
        <v>318885.3</v>
      </c>
      <c r="G213" s="82">
        <f>ROUND(E213*F213,5)</f>
        <v>30294.1035</v>
      </c>
    </row>
    <row r="214" spans="1:7" ht="15">
      <c r="A214" s="12" t="s">
        <v>0</v>
      </c>
      <c r="B214" s="13" t="s">
        <v>0</v>
      </c>
      <c r="C214" s="13" t="s">
        <v>54</v>
      </c>
      <c r="D214" s="13" t="s">
        <v>20</v>
      </c>
      <c r="E214" s="80">
        <f>0.089</f>
        <v>0.089</v>
      </c>
      <c r="F214" s="81">
        <f>'Gia NC,CM'!P21</f>
        <v>274861.2</v>
      </c>
      <c r="G214" s="82">
        <f>ROUND(E214*F214,5)</f>
        <v>24462.6468</v>
      </c>
    </row>
    <row r="215" spans="1:7" ht="15">
      <c r="A215" s="12" t="s">
        <v>0</v>
      </c>
      <c r="B215" s="13" t="s">
        <v>0</v>
      </c>
      <c r="C215" s="13" t="s">
        <v>0</v>
      </c>
      <c r="D215" s="13" t="s">
        <v>0</v>
      </c>
      <c r="E215" s="80"/>
      <c r="F215" s="81"/>
      <c r="G215" s="82"/>
    </row>
    <row r="216" spans="1:7" ht="15">
      <c r="A216" s="12" t="s">
        <v>105</v>
      </c>
      <c r="B216" s="13" t="s">
        <v>110</v>
      </c>
      <c r="C216" s="13" t="s">
        <v>111</v>
      </c>
      <c r="D216" s="13" t="s">
        <v>36</v>
      </c>
      <c r="E216" s="80"/>
      <c r="F216" s="81"/>
      <c r="G216" s="82"/>
    </row>
    <row r="217" spans="1:7" ht="15">
      <c r="A217" s="12" t="s">
        <v>0</v>
      </c>
      <c r="B217" s="13" t="s">
        <v>0</v>
      </c>
      <c r="C217" s="13" t="s">
        <v>77</v>
      </c>
      <c r="D217" s="13" t="s">
        <v>0</v>
      </c>
      <c r="E217" s="80"/>
      <c r="F217" s="81"/>
      <c r="G217" s="82"/>
    </row>
    <row r="218" spans="1:7" ht="15.75">
      <c r="A218" s="12" t="s">
        <v>0</v>
      </c>
      <c r="B218" s="13" t="s">
        <v>0</v>
      </c>
      <c r="C218" s="13" t="s">
        <v>463</v>
      </c>
      <c r="D218" s="13" t="s">
        <v>0</v>
      </c>
      <c r="E218" s="80"/>
      <c r="F218" s="81"/>
      <c r="G218" s="83">
        <f>ROUND(SUM(G219:G220),5)</f>
        <v>16791090.52234</v>
      </c>
    </row>
    <row r="219" spans="1:7" ht="15">
      <c r="A219" s="12" t="s">
        <v>0</v>
      </c>
      <c r="B219" s="13" t="s">
        <v>0</v>
      </c>
      <c r="C219" s="13" t="s">
        <v>38</v>
      </c>
      <c r="D219" s="13" t="s">
        <v>15</v>
      </c>
      <c r="E219" s="80">
        <f>1005</f>
        <v>1005</v>
      </c>
      <c r="F219" s="81">
        <f>ROUND('Gia VL'!R49/1000,5)</f>
        <v>16445.8974</v>
      </c>
      <c r="G219" s="82">
        <f>ROUND(E219*F219,5)</f>
        <v>16528126.887</v>
      </c>
    </row>
    <row r="220" spans="1:7" ht="15">
      <c r="A220" s="12" t="s">
        <v>0</v>
      </c>
      <c r="B220" s="13" t="s">
        <v>0</v>
      </c>
      <c r="C220" s="13" t="s">
        <v>39</v>
      </c>
      <c r="D220" s="13" t="s">
        <v>15</v>
      </c>
      <c r="E220" s="80">
        <f>16.07</f>
        <v>16.07</v>
      </c>
      <c r="F220" s="81">
        <f>ROUND('Gia VL'!R24/1000,5)</f>
        <v>16363.6363</v>
      </c>
      <c r="G220" s="82">
        <f>ROUND(E220*F220,5)</f>
        <v>262963.63534</v>
      </c>
    </row>
    <row r="221" spans="1:7" ht="15.75">
      <c r="A221" s="12" t="s">
        <v>0</v>
      </c>
      <c r="B221" s="13" t="s">
        <v>0</v>
      </c>
      <c r="C221" s="13" t="s">
        <v>457</v>
      </c>
      <c r="D221" s="13" t="s">
        <v>0</v>
      </c>
      <c r="E221" s="80"/>
      <c r="F221" s="81"/>
      <c r="G221" s="83">
        <f>ROUND(SUM(G222:G222),5)</f>
        <v>4655612</v>
      </c>
    </row>
    <row r="222" spans="1:7" ht="15">
      <c r="A222" s="12" t="s">
        <v>0</v>
      </c>
      <c r="B222" s="13" t="s">
        <v>0</v>
      </c>
      <c r="C222" s="13" t="s">
        <v>40</v>
      </c>
      <c r="D222" s="13" t="s">
        <v>8</v>
      </c>
      <c r="E222" s="80">
        <f>18.46</f>
        <v>18.46</v>
      </c>
      <c r="F222" s="81">
        <f>'Gia NC,CM'!P10</f>
        <v>252200</v>
      </c>
      <c r="G222" s="82">
        <f>ROUND(E222*F222,5)</f>
        <v>4655612</v>
      </c>
    </row>
    <row r="223" spans="1:7" ht="15.75">
      <c r="A223" s="12" t="s">
        <v>0</v>
      </c>
      <c r="B223" s="13" t="s">
        <v>0</v>
      </c>
      <c r="C223" s="13" t="s">
        <v>456</v>
      </c>
      <c r="D223" s="13" t="s">
        <v>0</v>
      </c>
      <c r="E223" s="80"/>
      <c r="F223" s="81"/>
      <c r="G223" s="83">
        <f>ROUND(SUM(G224:G226),5)</f>
        <v>111746.08</v>
      </c>
    </row>
    <row r="224" spans="1:7" ht="15">
      <c r="A224" s="12" t="s">
        <v>0</v>
      </c>
      <c r="B224" s="13" t="s">
        <v>0</v>
      </c>
      <c r="C224" s="13" t="s">
        <v>41</v>
      </c>
      <c r="D224" s="13" t="s">
        <v>20</v>
      </c>
      <c r="E224" s="80">
        <f>0.4</f>
        <v>0.4</v>
      </c>
      <c r="F224" s="81">
        <f>'Gia NC,CM'!P14</f>
        <v>279365.2</v>
      </c>
      <c r="G224" s="82">
        <f>ROUND(E224*F224,5)</f>
        <v>111746.08</v>
      </c>
    </row>
    <row r="225" spans="1:7" ht="15">
      <c r="A225" s="12" t="s">
        <v>0</v>
      </c>
      <c r="B225" s="13" t="s">
        <v>0</v>
      </c>
      <c r="C225" s="13" t="s">
        <v>0</v>
      </c>
      <c r="D225" s="13" t="s">
        <v>0</v>
      </c>
      <c r="E225" s="80"/>
      <c r="F225" s="81"/>
      <c r="G225" s="82"/>
    </row>
    <row r="226" spans="1:7" ht="15">
      <c r="A226" s="12" t="s">
        <v>109</v>
      </c>
      <c r="B226" s="13" t="s">
        <v>113</v>
      </c>
      <c r="C226" s="13" t="s">
        <v>114</v>
      </c>
      <c r="D226" s="13" t="s">
        <v>12</v>
      </c>
      <c r="E226" s="80"/>
      <c r="F226" s="81"/>
      <c r="G226" s="82"/>
    </row>
    <row r="227" spans="1:7" ht="15.75">
      <c r="A227" s="12" t="s">
        <v>0</v>
      </c>
      <c r="B227" s="13" t="s">
        <v>0</v>
      </c>
      <c r="C227" s="13" t="s">
        <v>463</v>
      </c>
      <c r="D227" s="13" t="s">
        <v>0</v>
      </c>
      <c r="E227" s="80"/>
      <c r="F227" s="81"/>
      <c r="G227" s="83">
        <f>ROUND(SUM(G228:G232),5)</f>
        <v>66804.22914</v>
      </c>
    </row>
    <row r="228" spans="1:7" ht="15">
      <c r="A228" s="12" t="s">
        <v>0</v>
      </c>
      <c r="B228" s="13" t="s">
        <v>0</v>
      </c>
      <c r="C228" s="13" t="s">
        <v>70</v>
      </c>
      <c r="D228" s="13" t="s">
        <v>27</v>
      </c>
      <c r="E228" s="80">
        <f>0.00794</f>
        <v>0.00794</v>
      </c>
      <c r="F228" s="81">
        <f>'Gia VL'!R33</f>
        <v>4118521.5</v>
      </c>
      <c r="G228" s="82">
        <f>ROUND(E228*F228,5)</f>
        <v>32701.06071</v>
      </c>
    </row>
    <row r="229" spans="1:7" ht="15">
      <c r="A229" s="12" t="s">
        <v>0</v>
      </c>
      <c r="B229" s="13" t="s">
        <v>0</v>
      </c>
      <c r="C229" s="13" t="s">
        <v>71</v>
      </c>
      <c r="D229" s="13" t="s">
        <v>27</v>
      </c>
      <c r="E229" s="80">
        <f>0.00112</f>
        <v>0.00112</v>
      </c>
      <c r="F229" s="81">
        <f>'Gia VL'!R34</f>
        <v>4118521.5</v>
      </c>
      <c r="G229" s="82">
        <f>ROUND(E229*F229,5)</f>
        <v>4612.74408</v>
      </c>
    </row>
    <row r="230" spans="1:7" ht="15">
      <c r="A230" s="12" t="s">
        <v>0</v>
      </c>
      <c r="B230" s="13" t="s">
        <v>0</v>
      </c>
      <c r="C230" s="13" t="s">
        <v>72</v>
      </c>
      <c r="D230" s="13" t="s">
        <v>27</v>
      </c>
      <c r="E230" s="80">
        <f>0.00668</f>
        <v>0.00668</v>
      </c>
      <c r="F230" s="81">
        <f>'Gia VL'!R29</f>
        <v>4118521.5</v>
      </c>
      <c r="G230" s="82">
        <f>ROUND(E230*F230,5)</f>
        <v>27511.72362</v>
      </c>
    </row>
    <row r="231" spans="1:7" ht="15">
      <c r="A231" s="12" t="s">
        <v>0</v>
      </c>
      <c r="B231" s="13" t="s">
        <v>0</v>
      </c>
      <c r="C231" s="13" t="s">
        <v>73</v>
      </c>
      <c r="D231" s="13" t="s">
        <v>15</v>
      </c>
      <c r="E231" s="80">
        <f>0.0805</f>
        <v>0.0805</v>
      </c>
      <c r="F231" s="81">
        <f>ROUND('Gia VL'!R59/1000,5)</f>
        <v>16363.6363</v>
      </c>
      <c r="G231" s="82">
        <f>ROUND(E231*F231,5)</f>
        <v>1317.27272</v>
      </c>
    </row>
    <row r="232" spans="1:7" ht="15">
      <c r="A232" s="12" t="s">
        <v>0</v>
      </c>
      <c r="B232" s="13" t="s">
        <v>0</v>
      </c>
      <c r="C232" s="13" t="s">
        <v>461</v>
      </c>
      <c r="D232" s="13" t="s">
        <v>460</v>
      </c>
      <c r="E232" s="80">
        <f>1</f>
        <v>1</v>
      </c>
      <c r="F232" s="81"/>
      <c r="G232" s="82">
        <f>ROUND(SUM(G228:G231)*E232/100,5)</f>
        <v>661.42801</v>
      </c>
    </row>
    <row r="233" spans="1:7" ht="15.75">
      <c r="A233" s="12" t="s">
        <v>0</v>
      </c>
      <c r="B233" s="13" t="s">
        <v>0</v>
      </c>
      <c r="C233" s="13" t="s">
        <v>457</v>
      </c>
      <c r="D233" s="13" t="s">
        <v>0</v>
      </c>
      <c r="E233" s="80"/>
      <c r="F233" s="81"/>
      <c r="G233" s="83">
        <f>ROUND(SUM(G234:G237),5)</f>
        <v>71801.34</v>
      </c>
    </row>
    <row r="234" spans="1:7" ht="15">
      <c r="A234" s="12" t="s">
        <v>0</v>
      </c>
      <c r="B234" s="13" t="s">
        <v>0</v>
      </c>
      <c r="C234" s="13" t="s">
        <v>40</v>
      </c>
      <c r="D234" s="13" t="s">
        <v>8</v>
      </c>
      <c r="E234" s="80">
        <f>0.2847</f>
        <v>0.2847</v>
      </c>
      <c r="F234" s="81">
        <f>'Gia NC,CM'!P10</f>
        <v>252200</v>
      </c>
      <c r="G234" s="82">
        <f>ROUND(E234*F234,5)</f>
        <v>71801.34</v>
      </c>
    </row>
    <row r="235" spans="1:7" ht="15">
      <c r="A235" s="12" t="s">
        <v>0</v>
      </c>
      <c r="B235" s="13" t="s">
        <v>0</v>
      </c>
      <c r="C235" s="13" t="s">
        <v>0</v>
      </c>
      <c r="D235" s="13" t="s">
        <v>0</v>
      </c>
      <c r="E235" s="80"/>
      <c r="F235" s="81"/>
      <c r="G235" s="82"/>
    </row>
    <row r="236" spans="1:7" ht="15">
      <c r="A236" s="12" t="s">
        <v>112</v>
      </c>
      <c r="B236" s="13" t="s">
        <v>116</v>
      </c>
      <c r="C236" s="13" t="s">
        <v>117</v>
      </c>
      <c r="D236" s="13" t="s">
        <v>5</v>
      </c>
      <c r="E236" s="80"/>
      <c r="F236" s="81"/>
      <c r="G236" s="82"/>
    </row>
    <row r="237" spans="1:7" ht="15">
      <c r="A237" s="12" t="s">
        <v>0</v>
      </c>
      <c r="B237" s="13" t="s">
        <v>0</v>
      </c>
      <c r="C237" s="13" t="s">
        <v>118</v>
      </c>
      <c r="D237" s="13" t="s">
        <v>0</v>
      </c>
      <c r="E237" s="80"/>
      <c r="F237" s="81"/>
      <c r="G237" s="82"/>
    </row>
    <row r="238" spans="1:7" ht="15.75">
      <c r="A238" s="12" t="s">
        <v>0</v>
      </c>
      <c r="B238" s="13" t="s">
        <v>0</v>
      </c>
      <c r="C238" s="13" t="s">
        <v>463</v>
      </c>
      <c r="D238" s="13" t="s">
        <v>0</v>
      </c>
      <c r="E238" s="80"/>
      <c r="F238" s="81"/>
      <c r="G238" s="83">
        <f>ROUND(SUM(G239:G243),5)</f>
        <v>988453.06141</v>
      </c>
    </row>
    <row r="239" spans="1:7" ht="15">
      <c r="A239" s="12" t="s">
        <v>0</v>
      </c>
      <c r="B239" s="13" t="s">
        <v>0</v>
      </c>
      <c r="C239" s="13" t="s">
        <v>52</v>
      </c>
      <c r="D239" s="13" t="s">
        <v>15</v>
      </c>
      <c r="E239" s="80">
        <f>1.025*259</f>
        <v>265.47499999999997</v>
      </c>
      <c r="F239" s="81">
        <f>ROUND('Gia VL'!R56/1000,5)</f>
        <v>1677.273</v>
      </c>
      <c r="G239" s="82">
        <f>ROUND(E239*F239,5)</f>
        <v>445274.04968</v>
      </c>
    </row>
    <row r="240" spans="1:7" ht="15">
      <c r="A240" s="12" t="s">
        <v>0</v>
      </c>
      <c r="B240" s="13" t="s">
        <v>0</v>
      </c>
      <c r="C240" s="13" t="s">
        <v>26</v>
      </c>
      <c r="D240" s="13" t="s">
        <v>27</v>
      </c>
      <c r="E240" s="80">
        <f>1.025*0.528</f>
        <v>0.5412</v>
      </c>
      <c r="F240" s="81">
        <f>'Gia VL'!R20</f>
        <v>381173.3</v>
      </c>
      <c r="G240" s="82">
        <f>ROUND(E240*F240,5)</f>
        <v>206290.98996</v>
      </c>
    </row>
    <row r="241" spans="1:7" ht="15">
      <c r="A241" s="12" t="s">
        <v>0</v>
      </c>
      <c r="B241" s="13" t="s">
        <v>0</v>
      </c>
      <c r="C241" s="13" t="s">
        <v>53</v>
      </c>
      <c r="D241" s="13" t="s">
        <v>27</v>
      </c>
      <c r="E241" s="80">
        <f>1.025*0.871</f>
        <v>0.8927749999999999</v>
      </c>
      <c r="F241" s="81">
        <f>'Gia VL'!R61</f>
        <v>364477.2</v>
      </c>
      <c r="G241" s="82">
        <f>ROUND(E241*F241,5)</f>
        <v>325396.13223</v>
      </c>
    </row>
    <row r="242" spans="1:7" ht="15">
      <c r="A242" s="12" t="s">
        <v>0</v>
      </c>
      <c r="B242" s="13" t="s">
        <v>0</v>
      </c>
      <c r="C242" s="13" t="s">
        <v>29</v>
      </c>
      <c r="D242" s="13" t="s">
        <v>27</v>
      </c>
      <c r="E242" s="80">
        <f>1.025*0.183</f>
        <v>0.187575</v>
      </c>
      <c r="F242" s="81">
        <f>'Gia VL'!R39</f>
        <v>9090.9</v>
      </c>
      <c r="G242" s="82">
        <f>ROUND(E242*F242,5)</f>
        <v>1705.22557</v>
      </c>
    </row>
    <row r="243" spans="1:7" ht="15">
      <c r="A243" s="12" t="s">
        <v>0</v>
      </c>
      <c r="B243" s="13" t="s">
        <v>0</v>
      </c>
      <c r="C243" s="13" t="s">
        <v>461</v>
      </c>
      <c r="D243" s="13" t="s">
        <v>460</v>
      </c>
      <c r="E243" s="80">
        <f>1</f>
        <v>1</v>
      </c>
      <c r="F243" s="81"/>
      <c r="G243" s="82">
        <f>ROUND(SUM(G239:G242)*E243/100,5)</f>
        <v>9786.66397</v>
      </c>
    </row>
    <row r="244" spans="1:7" ht="15.75">
      <c r="A244" s="12" t="s">
        <v>0</v>
      </c>
      <c r="B244" s="13" t="s">
        <v>0</v>
      </c>
      <c r="C244" s="13" t="s">
        <v>457</v>
      </c>
      <c r="D244" s="13" t="s">
        <v>0</v>
      </c>
      <c r="E244" s="80"/>
      <c r="F244" s="81"/>
      <c r="G244" s="83">
        <f>ROUND(SUM(G245:G245),5)</f>
        <v>274450.057</v>
      </c>
    </row>
    <row r="245" spans="1:7" ht="15">
      <c r="A245" s="12" t="s">
        <v>0</v>
      </c>
      <c r="B245" s="13" t="s">
        <v>0</v>
      </c>
      <c r="C245" s="13" t="s">
        <v>30</v>
      </c>
      <c r="D245" s="13" t="s">
        <v>8</v>
      </c>
      <c r="E245" s="80">
        <f>1.19</f>
        <v>1.19</v>
      </c>
      <c r="F245" s="81">
        <f>'Gia NC,CM'!P9</f>
        <v>230630.3</v>
      </c>
      <c r="G245" s="82">
        <f>ROUND(E245*F245,5)</f>
        <v>274450.057</v>
      </c>
    </row>
    <row r="246" spans="1:7" ht="15.75">
      <c r="A246" s="12" t="s">
        <v>0</v>
      </c>
      <c r="B246" s="13" t="s">
        <v>0</v>
      </c>
      <c r="C246" s="13" t="s">
        <v>456</v>
      </c>
      <c r="D246" s="13" t="s">
        <v>0</v>
      </c>
      <c r="E246" s="80"/>
      <c r="F246" s="81"/>
      <c r="G246" s="83">
        <f>ROUND(SUM(G247:G251),5)</f>
        <v>54409.0095</v>
      </c>
    </row>
    <row r="247" spans="1:7" ht="15">
      <c r="A247" s="12" t="s">
        <v>0</v>
      </c>
      <c r="B247" s="13" t="s">
        <v>0</v>
      </c>
      <c r="C247" s="13" t="s">
        <v>31</v>
      </c>
      <c r="D247" s="13" t="s">
        <v>20</v>
      </c>
      <c r="E247" s="80">
        <f>0.095</f>
        <v>0.095</v>
      </c>
      <c r="F247" s="81">
        <f>'Gia NC,CM'!P18</f>
        <v>318885.3</v>
      </c>
      <c r="G247" s="82">
        <f>ROUND(E247*F247,5)</f>
        <v>30294.1035</v>
      </c>
    </row>
    <row r="248" spans="1:7" ht="15">
      <c r="A248" s="12" t="s">
        <v>0</v>
      </c>
      <c r="B248" s="13" t="s">
        <v>0</v>
      </c>
      <c r="C248" s="13" t="s">
        <v>32</v>
      </c>
      <c r="D248" s="13" t="s">
        <v>20</v>
      </c>
      <c r="E248" s="80">
        <f>0.089</f>
        <v>0.089</v>
      </c>
      <c r="F248" s="81">
        <f>'Gia NC,CM'!P20</f>
        <v>270954</v>
      </c>
      <c r="G248" s="82">
        <f>ROUND(E248*F248,5)</f>
        <v>24114.906</v>
      </c>
    </row>
    <row r="249" spans="1:7" ht="15">
      <c r="A249" s="12" t="s">
        <v>0</v>
      </c>
      <c r="B249" s="13" t="s">
        <v>0</v>
      </c>
      <c r="C249" s="13" t="s">
        <v>0</v>
      </c>
      <c r="D249" s="13" t="s">
        <v>0</v>
      </c>
      <c r="E249" s="80"/>
      <c r="F249" s="81"/>
      <c r="G249" s="82"/>
    </row>
    <row r="250" spans="1:7" ht="15">
      <c r="A250" s="12" t="s">
        <v>115</v>
      </c>
      <c r="B250" s="13" t="s">
        <v>120</v>
      </c>
      <c r="C250" s="13" t="s">
        <v>121</v>
      </c>
      <c r="D250" s="13" t="s">
        <v>36</v>
      </c>
      <c r="E250" s="80"/>
      <c r="F250" s="81"/>
      <c r="G250" s="82"/>
    </row>
    <row r="251" spans="1:7" ht="15">
      <c r="A251" s="12" t="s">
        <v>0</v>
      </c>
      <c r="B251" s="13" t="s">
        <v>0</v>
      </c>
      <c r="C251" s="13" t="s">
        <v>122</v>
      </c>
      <c r="D251" s="13" t="s">
        <v>0</v>
      </c>
      <c r="E251" s="80"/>
      <c r="F251" s="81"/>
      <c r="G251" s="82"/>
    </row>
    <row r="252" spans="1:7" ht="15.75">
      <c r="A252" s="12" t="s">
        <v>0</v>
      </c>
      <c r="B252" s="13" t="s">
        <v>0</v>
      </c>
      <c r="C252" s="13" t="s">
        <v>463</v>
      </c>
      <c r="D252" s="13" t="s">
        <v>0</v>
      </c>
      <c r="E252" s="80"/>
      <c r="F252" s="81"/>
      <c r="G252" s="83">
        <f>ROUND(SUM(G253:G258),5)</f>
        <v>22433977.91993</v>
      </c>
    </row>
    <row r="253" spans="1:7" ht="15">
      <c r="A253" s="12" t="s">
        <v>0</v>
      </c>
      <c r="B253" s="13" t="s">
        <v>0</v>
      </c>
      <c r="C253" s="13" t="s">
        <v>16</v>
      </c>
      <c r="D253" s="13" t="s">
        <v>15</v>
      </c>
      <c r="E253" s="80">
        <f>802</f>
        <v>802</v>
      </c>
      <c r="F253" s="81">
        <f>ROUND('Gia VL'!R47/1000,5)</f>
        <v>21045.8974</v>
      </c>
      <c r="G253" s="82">
        <f>ROUND(E253*F253,5)</f>
        <v>16878809.7148</v>
      </c>
    </row>
    <row r="254" spans="1:7" ht="15">
      <c r="A254" s="12" t="s">
        <v>0</v>
      </c>
      <c r="B254" s="13" t="s">
        <v>0</v>
      </c>
      <c r="C254" s="13" t="s">
        <v>14</v>
      </c>
      <c r="D254" s="13" t="s">
        <v>15</v>
      </c>
      <c r="E254" s="80">
        <f>230</f>
        <v>230</v>
      </c>
      <c r="F254" s="81">
        <f>ROUND('Gia VL'!R52/1000,5)</f>
        <v>21045.8974</v>
      </c>
      <c r="G254" s="82">
        <f>ROUND(E254*F254,5)</f>
        <v>4840556.402</v>
      </c>
    </row>
    <row r="255" spans="1:7" ht="15">
      <c r="A255" s="12" t="s">
        <v>0</v>
      </c>
      <c r="B255" s="13" t="s">
        <v>0</v>
      </c>
      <c r="C255" s="13" t="s">
        <v>123</v>
      </c>
      <c r="D255" s="13" t="s">
        <v>124</v>
      </c>
      <c r="E255" s="80">
        <f>2.82</f>
        <v>2.82</v>
      </c>
      <c r="F255" s="81">
        <f>'Gia VL'!R58</f>
        <v>59090.9</v>
      </c>
      <c r="G255" s="82">
        <f>ROUND(E255*F255,5)</f>
        <v>166636.338</v>
      </c>
    </row>
    <row r="256" spans="1:7" ht="15">
      <c r="A256" s="12" t="s">
        <v>0</v>
      </c>
      <c r="B256" s="13" t="s">
        <v>0</v>
      </c>
      <c r="C256" s="13" t="s">
        <v>125</v>
      </c>
      <c r="D256" s="13" t="s">
        <v>15</v>
      </c>
      <c r="E256" s="80">
        <f>5.64</f>
        <v>5.64</v>
      </c>
      <c r="F256" s="81">
        <f>ROUND('Gia VL'!R36/1000,5)</f>
        <v>27272.7272</v>
      </c>
      <c r="G256" s="82">
        <f>ROUND(E256*F256,5)</f>
        <v>153818.18141</v>
      </c>
    </row>
    <row r="257" spans="1:7" ht="15">
      <c r="A257" s="12" t="s">
        <v>0</v>
      </c>
      <c r="B257" s="13" t="s">
        <v>0</v>
      </c>
      <c r="C257" s="13" t="s">
        <v>17</v>
      </c>
      <c r="D257" s="13" t="s">
        <v>15</v>
      </c>
      <c r="E257" s="80">
        <f>15.54</f>
        <v>15.54</v>
      </c>
      <c r="F257" s="81">
        <f>ROUND('Gia VL'!R42/1000,5)</f>
        <v>18181.8181</v>
      </c>
      <c r="G257" s="82">
        <f>ROUND(E257*F257,5)</f>
        <v>282545.45327</v>
      </c>
    </row>
    <row r="258" spans="1:7" ht="15">
      <c r="A258" s="12" t="s">
        <v>0</v>
      </c>
      <c r="B258" s="13" t="s">
        <v>0</v>
      </c>
      <c r="C258" s="13" t="s">
        <v>461</v>
      </c>
      <c r="D258" s="13" t="s">
        <v>460</v>
      </c>
      <c r="E258" s="80">
        <f>0.5</f>
        <v>0.5</v>
      </c>
      <c r="F258" s="81"/>
      <c r="G258" s="82">
        <f>ROUND(SUM(G253:G257)*E258/100,5)</f>
        <v>111611.83045</v>
      </c>
    </row>
    <row r="259" spans="1:7" ht="15.75">
      <c r="A259" s="12" t="s">
        <v>0</v>
      </c>
      <c r="B259" s="13" t="s">
        <v>0</v>
      </c>
      <c r="C259" s="13" t="s">
        <v>457</v>
      </c>
      <c r="D259" s="13" t="s">
        <v>0</v>
      </c>
      <c r="E259" s="80"/>
      <c r="F259" s="81"/>
      <c r="G259" s="83">
        <f>ROUND(SUM(G260:G260),5)</f>
        <v>8144648.575</v>
      </c>
    </row>
    <row r="260" spans="1:7" ht="15">
      <c r="A260" s="12" t="s">
        <v>0</v>
      </c>
      <c r="B260" s="13" t="s">
        <v>0</v>
      </c>
      <c r="C260" s="13" t="s">
        <v>18</v>
      </c>
      <c r="D260" s="13" t="s">
        <v>8</v>
      </c>
      <c r="E260" s="80">
        <f>29.75</f>
        <v>29.75</v>
      </c>
      <c r="F260" s="81">
        <f>'Gia NC,CM'!P11</f>
        <v>273769.7</v>
      </c>
      <c r="G260" s="82">
        <f>ROUND(E260*F260,5)</f>
        <v>8144648.575</v>
      </c>
    </row>
    <row r="261" spans="1:7" ht="15.75">
      <c r="A261" s="12" t="s">
        <v>0</v>
      </c>
      <c r="B261" s="13" t="s">
        <v>0</v>
      </c>
      <c r="C261" s="13" t="s">
        <v>456</v>
      </c>
      <c r="D261" s="13" t="s">
        <v>0</v>
      </c>
      <c r="E261" s="80"/>
      <c r="F261" s="81"/>
      <c r="G261" s="83">
        <f>ROUND(SUM(G262:G268),5)</f>
        <v>3190144.04965</v>
      </c>
    </row>
    <row r="262" spans="1:7" ht="15">
      <c r="A262" s="12" t="s">
        <v>0</v>
      </c>
      <c r="B262" s="13" t="s">
        <v>0</v>
      </c>
      <c r="C262" s="13" t="s">
        <v>19</v>
      </c>
      <c r="D262" s="13" t="s">
        <v>20</v>
      </c>
      <c r="E262" s="80">
        <f>3.7</f>
        <v>3.7</v>
      </c>
      <c r="F262" s="81">
        <f>'Gia NC,CM'!P15</f>
        <v>409418.3</v>
      </c>
      <c r="G262" s="82">
        <f>ROUND(E262*F262,5)</f>
        <v>1514847.71</v>
      </c>
    </row>
    <row r="263" spans="1:7" ht="15">
      <c r="A263" s="12" t="s">
        <v>0</v>
      </c>
      <c r="B263" s="13" t="s">
        <v>0</v>
      </c>
      <c r="C263" s="13" t="s">
        <v>126</v>
      </c>
      <c r="D263" s="13" t="s">
        <v>20</v>
      </c>
      <c r="E263" s="80">
        <f>2.739</f>
        <v>2.739</v>
      </c>
      <c r="F263" s="81">
        <f>'Gia NC,CM'!P16</f>
        <v>67928.6</v>
      </c>
      <c r="G263" s="82">
        <f>ROUND(E263*F263,5)</f>
        <v>186056.4354</v>
      </c>
    </row>
    <row r="264" spans="1:7" ht="15">
      <c r="A264" s="12" t="s">
        <v>0</v>
      </c>
      <c r="B264" s="13" t="s">
        <v>0</v>
      </c>
      <c r="C264" s="13" t="s">
        <v>127</v>
      </c>
      <c r="D264" s="13" t="s">
        <v>20</v>
      </c>
      <c r="E264" s="80">
        <f>0.722</f>
        <v>0.722</v>
      </c>
      <c r="F264" s="81">
        <f>'Gia NC,CM'!P12</f>
        <v>2018911.8</v>
      </c>
      <c r="G264" s="82">
        <f>ROUND(E264*F264,5)</f>
        <v>1457654.3196</v>
      </c>
    </row>
    <row r="265" spans="1:7" ht="15">
      <c r="A265" s="12" t="s">
        <v>0</v>
      </c>
      <c r="B265" s="13" t="s">
        <v>0</v>
      </c>
      <c r="C265" s="13" t="s">
        <v>466</v>
      </c>
      <c r="D265" s="13" t="s">
        <v>460</v>
      </c>
      <c r="E265" s="80">
        <f>1</f>
        <v>1</v>
      </c>
      <c r="F265" s="81"/>
      <c r="G265" s="82">
        <f>ROUND(SUM(G262:G264)*E265/100,5)</f>
        <v>31585.58465</v>
      </c>
    </row>
    <row r="266" spans="1:7" ht="15">
      <c r="A266" s="12" t="s">
        <v>0</v>
      </c>
      <c r="B266" s="13" t="s">
        <v>0</v>
      </c>
      <c r="C266" s="13" t="s">
        <v>0</v>
      </c>
      <c r="D266" s="13" t="s">
        <v>0</v>
      </c>
      <c r="E266" s="80"/>
      <c r="F266" s="81"/>
      <c r="G266" s="82"/>
    </row>
    <row r="267" spans="1:7" ht="15">
      <c r="A267" s="12" t="s">
        <v>119</v>
      </c>
      <c r="B267" s="13" t="s">
        <v>129</v>
      </c>
      <c r="C267" s="13" t="s">
        <v>130</v>
      </c>
      <c r="D267" s="13" t="s">
        <v>131</v>
      </c>
      <c r="E267" s="80"/>
      <c r="F267" s="81"/>
      <c r="G267" s="82"/>
    </row>
    <row r="268" spans="1:7" ht="15">
      <c r="A268" s="12" t="s">
        <v>0</v>
      </c>
      <c r="B268" s="13" t="s">
        <v>0</v>
      </c>
      <c r="C268" s="13" t="s">
        <v>132</v>
      </c>
      <c r="D268" s="13" t="s">
        <v>0</v>
      </c>
      <c r="E268" s="80"/>
      <c r="F268" s="81"/>
      <c r="G268" s="82"/>
    </row>
    <row r="269" spans="1:7" ht="15">
      <c r="A269" s="12" t="s">
        <v>0</v>
      </c>
      <c r="B269" s="13" t="s">
        <v>0</v>
      </c>
      <c r="C269" s="13" t="s">
        <v>465</v>
      </c>
      <c r="D269" s="13" t="s">
        <v>0</v>
      </c>
      <c r="E269" s="80"/>
      <c r="F269" s="81"/>
      <c r="G269" s="82">
        <f>ROUND(SUM(G270:G272),5)</f>
        <v>32218.82534</v>
      </c>
    </row>
    <row r="270" spans="1:7" ht="15">
      <c r="A270" s="12" t="s">
        <v>0</v>
      </c>
      <c r="B270" s="13" t="s">
        <v>0</v>
      </c>
      <c r="C270" s="13" t="s">
        <v>133</v>
      </c>
      <c r="D270" s="13" t="s">
        <v>15</v>
      </c>
      <c r="E270" s="80">
        <f>0.113</f>
        <v>0.113</v>
      </c>
      <c r="F270" s="81">
        <f>ROUND('Gia VL'!R44/1000,5)</f>
        <v>130078.9033</v>
      </c>
      <c r="G270" s="82">
        <f>ROUND(E270*F270,5)</f>
        <v>14698.91607</v>
      </c>
    </row>
    <row r="271" spans="1:7" ht="15">
      <c r="A271" s="12" t="s">
        <v>0</v>
      </c>
      <c r="B271" s="13" t="s">
        <v>0</v>
      </c>
      <c r="C271" s="13" t="s">
        <v>134</v>
      </c>
      <c r="D271" s="13" t="s">
        <v>15</v>
      </c>
      <c r="E271" s="80">
        <f>0.21</f>
        <v>0.21</v>
      </c>
      <c r="F271" s="81">
        <f>ROUND('Gia VL'!R45/1000,5)</f>
        <v>81909.1</v>
      </c>
      <c r="G271" s="82">
        <f>ROUND(E271*F271,5)</f>
        <v>17200.911</v>
      </c>
    </row>
    <row r="272" spans="1:7" ht="15">
      <c r="A272" s="12" t="s">
        <v>0</v>
      </c>
      <c r="B272" s="13" t="s">
        <v>0</v>
      </c>
      <c r="C272" s="13" t="s">
        <v>461</v>
      </c>
      <c r="D272" s="13" t="s">
        <v>460</v>
      </c>
      <c r="E272" s="80">
        <f>1</f>
        <v>1</v>
      </c>
      <c r="F272" s="81"/>
      <c r="G272" s="82">
        <f>ROUND(SUM(G270:G271)*E272/100,5)</f>
        <v>318.99827</v>
      </c>
    </row>
    <row r="273" spans="1:7" ht="15">
      <c r="A273" s="12" t="s">
        <v>0</v>
      </c>
      <c r="B273" s="13" t="s">
        <v>0</v>
      </c>
      <c r="C273" s="13" t="s">
        <v>464</v>
      </c>
      <c r="D273" s="13" t="s">
        <v>0</v>
      </c>
      <c r="E273" s="80"/>
      <c r="F273" s="81"/>
      <c r="G273" s="82">
        <f>ROUND(SUM(G274:G276),5)</f>
        <v>23706.8</v>
      </c>
    </row>
    <row r="274" spans="1:7" ht="15">
      <c r="A274" s="12" t="s">
        <v>0</v>
      </c>
      <c r="B274" s="13" t="s">
        <v>0</v>
      </c>
      <c r="C274" s="13" t="s">
        <v>40</v>
      </c>
      <c r="D274" s="13" t="s">
        <v>8</v>
      </c>
      <c r="E274" s="80">
        <f>0.094</f>
        <v>0.094</v>
      </c>
      <c r="F274" s="81">
        <f>'Gia NC,CM'!P10</f>
        <v>252200</v>
      </c>
      <c r="G274" s="82">
        <f>ROUND(E274*F274,5)</f>
        <v>23706.8</v>
      </c>
    </row>
    <row r="275" spans="1:7" ht="15">
      <c r="A275" s="12" t="s">
        <v>0</v>
      </c>
      <c r="B275" s="13" t="s">
        <v>0</v>
      </c>
      <c r="C275" s="13" t="s">
        <v>0</v>
      </c>
      <c r="D275" s="13" t="s">
        <v>0</v>
      </c>
      <c r="E275" s="80"/>
      <c r="F275" s="81"/>
      <c r="G275" s="82"/>
    </row>
    <row r="276" spans="1:7" ht="15">
      <c r="A276" s="12" t="s">
        <v>128</v>
      </c>
      <c r="B276" s="13" t="s">
        <v>136</v>
      </c>
      <c r="C276" s="13" t="s">
        <v>137</v>
      </c>
      <c r="D276" s="13" t="s">
        <v>36</v>
      </c>
      <c r="E276" s="80"/>
      <c r="F276" s="81"/>
      <c r="G276" s="82"/>
    </row>
    <row r="277" spans="1:7" ht="15.75">
      <c r="A277" s="12" t="s">
        <v>0</v>
      </c>
      <c r="B277" s="13" t="s">
        <v>0</v>
      </c>
      <c r="C277" s="13" t="s">
        <v>463</v>
      </c>
      <c r="D277" s="13" t="s">
        <v>0</v>
      </c>
      <c r="E277" s="80"/>
      <c r="F277" s="81"/>
      <c r="G277" s="83">
        <f>ROUND(SUM(G278:G281),5)</f>
        <v>440222.43114</v>
      </c>
    </row>
    <row r="278" spans="1:7" ht="15">
      <c r="A278" s="12" t="s">
        <v>0</v>
      </c>
      <c r="B278" s="13" t="s">
        <v>0</v>
      </c>
      <c r="C278" s="13" t="s">
        <v>138</v>
      </c>
      <c r="D278" s="13" t="s">
        <v>139</v>
      </c>
      <c r="E278" s="80">
        <f>48</f>
        <v>48</v>
      </c>
      <c r="F278" s="81">
        <f>'Gia VL'!R8</f>
        <v>6742</v>
      </c>
      <c r="G278" s="82">
        <f>ROUND(E278*F278,5)</f>
        <v>323616</v>
      </c>
    </row>
    <row r="279" spans="1:7" ht="15">
      <c r="A279" s="12" t="s">
        <v>0</v>
      </c>
      <c r="B279" s="13" t="s">
        <v>0</v>
      </c>
      <c r="C279" s="13" t="s">
        <v>17</v>
      </c>
      <c r="D279" s="13" t="s">
        <v>15</v>
      </c>
      <c r="E279" s="80">
        <f>6</f>
        <v>6</v>
      </c>
      <c r="F279" s="81">
        <f>ROUND('Gia VL'!R42/1000,5)</f>
        <v>18181.8181</v>
      </c>
      <c r="G279" s="82">
        <f>ROUND(E279*F279,5)</f>
        <v>109090.9086</v>
      </c>
    </row>
    <row r="280" spans="1:7" ht="15">
      <c r="A280" s="12" t="s">
        <v>0</v>
      </c>
      <c r="B280" s="13" t="s">
        <v>0</v>
      </c>
      <c r="C280" s="13" t="s">
        <v>16</v>
      </c>
      <c r="D280" s="13" t="s">
        <v>15</v>
      </c>
      <c r="E280" s="80">
        <f>0.15</f>
        <v>0.15</v>
      </c>
      <c r="F280" s="81">
        <f>ROUND('Gia VL'!R47/1000,5)</f>
        <v>21045.8974</v>
      </c>
      <c r="G280" s="82">
        <f>ROUND(E280*F280,5)</f>
        <v>3156.88461</v>
      </c>
    </row>
    <row r="281" spans="1:7" ht="15">
      <c r="A281" s="12" t="s">
        <v>0</v>
      </c>
      <c r="B281" s="13" t="s">
        <v>0</v>
      </c>
      <c r="C281" s="13" t="s">
        <v>461</v>
      </c>
      <c r="D281" s="13" t="s">
        <v>460</v>
      </c>
      <c r="E281" s="80">
        <f>1</f>
        <v>1</v>
      </c>
      <c r="F281" s="81"/>
      <c r="G281" s="82">
        <f>ROUND(SUM(G278:G280)*E281/100,5)</f>
        <v>4358.63793</v>
      </c>
    </row>
    <row r="282" spans="1:7" ht="15.75">
      <c r="A282" s="12" t="s">
        <v>0</v>
      </c>
      <c r="B282" s="13" t="s">
        <v>0</v>
      </c>
      <c r="C282" s="13" t="s">
        <v>457</v>
      </c>
      <c r="D282" s="13" t="s">
        <v>0</v>
      </c>
      <c r="E282" s="80"/>
      <c r="F282" s="81"/>
      <c r="G282" s="83">
        <f>ROUND(SUM(G283:G283),5)</f>
        <v>747391.281</v>
      </c>
    </row>
    <row r="283" spans="1:7" ht="15">
      <c r="A283" s="12" t="s">
        <v>0</v>
      </c>
      <c r="B283" s="13" t="s">
        <v>0</v>
      </c>
      <c r="C283" s="13" t="s">
        <v>18</v>
      </c>
      <c r="D283" s="13" t="s">
        <v>8</v>
      </c>
      <c r="E283" s="80">
        <f>2.73</f>
        <v>2.73</v>
      </c>
      <c r="F283" s="81">
        <f>'Gia NC,CM'!P11</f>
        <v>273769.7</v>
      </c>
      <c r="G283" s="82">
        <f>ROUND(E283*F283,5)</f>
        <v>747391.281</v>
      </c>
    </row>
    <row r="284" spans="1:7" ht="15.75">
      <c r="A284" s="12" t="s">
        <v>0</v>
      </c>
      <c r="B284" s="13" t="s">
        <v>0</v>
      </c>
      <c r="C284" s="13" t="s">
        <v>456</v>
      </c>
      <c r="D284" s="13" t="s">
        <v>0</v>
      </c>
      <c r="E284" s="80"/>
      <c r="F284" s="81"/>
      <c r="G284" s="83">
        <f>ROUND(SUM(G285:G288),5)</f>
        <v>818836.6</v>
      </c>
    </row>
    <row r="285" spans="1:7" ht="15">
      <c r="A285" s="12" t="s">
        <v>0</v>
      </c>
      <c r="B285" s="13" t="s">
        <v>0</v>
      </c>
      <c r="C285" s="13" t="s">
        <v>19</v>
      </c>
      <c r="D285" s="13" t="s">
        <v>20</v>
      </c>
      <c r="E285" s="80">
        <f>2</f>
        <v>2</v>
      </c>
      <c r="F285" s="81">
        <f>'Gia NC,CM'!P15</f>
        <v>409418.3</v>
      </c>
      <c r="G285" s="82">
        <f>ROUND(E285*F285,5)</f>
        <v>818836.6</v>
      </c>
    </row>
    <row r="286" spans="1:7" ht="15">
      <c r="A286" s="12" t="s">
        <v>0</v>
      </c>
      <c r="B286" s="13" t="s">
        <v>0</v>
      </c>
      <c r="C286" s="13" t="s">
        <v>0</v>
      </c>
      <c r="D286" s="13" t="s">
        <v>0</v>
      </c>
      <c r="E286" s="80"/>
      <c r="F286" s="81"/>
      <c r="G286" s="82"/>
    </row>
    <row r="287" spans="1:7" ht="15">
      <c r="A287" s="12" t="s">
        <v>135</v>
      </c>
      <c r="B287" s="13" t="s">
        <v>141</v>
      </c>
      <c r="C287" s="13" t="s">
        <v>142</v>
      </c>
      <c r="D287" s="13" t="s">
        <v>12</v>
      </c>
      <c r="E287" s="80"/>
      <c r="F287" s="81"/>
      <c r="G287" s="82"/>
    </row>
    <row r="288" spans="1:7" ht="15">
      <c r="A288" s="12" t="s">
        <v>0</v>
      </c>
      <c r="B288" s="13" t="s">
        <v>0</v>
      </c>
      <c r="C288" s="13" t="s">
        <v>143</v>
      </c>
      <c r="D288" s="13" t="s">
        <v>0</v>
      </c>
      <c r="E288" s="80"/>
      <c r="F288" s="81"/>
      <c r="G288" s="82"/>
    </row>
    <row r="289" spans="1:7" ht="15.75">
      <c r="A289" s="12" t="s">
        <v>0</v>
      </c>
      <c r="B289" s="13" t="s">
        <v>0</v>
      </c>
      <c r="C289" s="13" t="s">
        <v>463</v>
      </c>
      <c r="D289" s="13" t="s">
        <v>0</v>
      </c>
      <c r="E289" s="80"/>
      <c r="F289" s="81"/>
      <c r="G289" s="83">
        <f>ROUND(SUM(G290:G292),5)</f>
        <v>149926.5</v>
      </c>
    </row>
    <row r="290" spans="1:7" ht="15">
      <c r="A290" s="12" t="s">
        <v>0</v>
      </c>
      <c r="B290" s="13" t="s">
        <v>0</v>
      </c>
      <c r="C290" s="13" t="s">
        <v>144</v>
      </c>
      <c r="D290" s="13" t="s">
        <v>145</v>
      </c>
      <c r="E290" s="80">
        <f>1.185</f>
        <v>1.185</v>
      </c>
      <c r="F290" s="81">
        <f>'Gia VL'!R54</f>
        <v>120000</v>
      </c>
      <c r="G290" s="82">
        <f>ROUND(E290*F290,5)</f>
        <v>142200</v>
      </c>
    </row>
    <row r="291" spans="1:7" ht="15">
      <c r="A291" s="12" t="s">
        <v>0</v>
      </c>
      <c r="B291" s="13" t="s">
        <v>0</v>
      </c>
      <c r="C291" s="13" t="s">
        <v>146</v>
      </c>
      <c r="D291" s="13" t="s">
        <v>139</v>
      </c>
      <c r="E291" s="80">
        <f>4</f>
        <v>4</v>
      </c>
      <c r="F291" s="81">
        <f>'Gia VL'!R37</f>
        <v>909</v>
      </c>
      <c r="G291" s="82">
        <f>ROUND(E291*F291,5)</f>
        <v>3636</v>
      </c>
    </row>
    <row r="292" spans="1:7" ht="15">
      <c r="A292" s="12" t="s">
        <v>0</v>
      </c>
      <c r="B292" s="13" t="s">
        <v>0</v>
      </c>
      <c r="C292" s="13" t="s">
        <v>147</v>
      </c>
      <c r="D292" s="13" t="s">
        <v>139</v>
      </c>
      <c r="E292" s="80">
        <f>4.5</f>
        <v>4.5</v>
      </c>
      <c r="F292" s="81">
        <f>'Gia VL'!R60</f>
        <v>909</v>
      </c>
      <c r="G292" s="82">
        <f>ROUND(E292*F292,5)</f>
        <v>4090.5</v>
      </c>
    </row>
    <row r="293" spans="1:7" ht="15.75">
      <c r="A293" s="12" t="s">
        <v>0</v>
      </c>
      <c r="B293" s="13" t="s">
        <v>0</v>
      </c>
      <c r="C293" s="13" t="s">
        <v>457</v>
      </c>
      <c r="D293" s="13" t="s">
        <v>0</v>
      </c>
      <c r="E293" s="80"/>
      <c r="F293" s="81"/>
      <c r="G293" s="83">
        <f>ROUND(SUM(G294:G297),5)</f>
        <v>11349</v>
      </c>
    </row>
    <row r="294" spans="1:7" ht="15">
      <c r="A294" s="12" t="s">
        <v>0</v>
      </c>
      <c r="B294" s="13" t="s">
        <v>0</v>
      </c>
      <c r="C294" s="13" t="s">
        <v>40</v>
      </c>
      <c r="D294" s="13" t="s">
        <v>8</v>
      </c>
      <c r="E294" s="80">
        <f>0.045</f>
        <v>0.045</v>
      </c>
      <c r="F294" s="81">
        <f>'Gia NC,CM'!P10</f>
        <v>252200</v>
      </c>
      <c r="G294" s="82">
        <f>ROUND(E294*F294,5)</f>
        <v>11349</v>
      </c>
    </row>
    <row r="295" spans="1:7" ht="15">
      <c r="A295" s="12" t="s">
        <v>0</v>
      </c>
      <c r="B295" s="13" t="s">
        <v>0</v>
      </c>
      <c r="C295" s="13" t="s">
        <v>0</v>
      </c>
      <c r="D295" s="13" t="s">
        <v>0</v>
      </c>
      <c r="E295" s="80"/>
      <c r="F295" s="81"/>
      <c r="G295" s="82"/>
    </row>
    <row r="296" spans="1:7" ht="15">
      <c r="A296" s="12" t="s">
        <v>140</v>
      </c>
      <c r="B296" s="13" t="s">
        <v>149</v>
      </c>
      <c r="C296" s="13" t="s">
        <v>150</v>
      </c>
      <c r="D296" s="13" t="s">
        <v>12</v>
      </c>
      <c r="E296" s="80"/>
      <c r="F296" s="81"/>
      <c r="G296" s="82"/>
    </row>
    <row r="297" spans="1:7" ht="15">
      <c r="A297" s="12" t="s">
        <v>0</v>
      </c>
      <c r="B297" s="13" t="s">
        <v>0</v>
      </c>
      <c r="C297" s="13" t="s">
        <v>151</v>
      </c>
      <c r="D297" s="13" t="s">
        <v>0</v>
      </c>
      <c r="E297" s="80"/>
      <c r="F297" s="81"/>
      <c r="G297" s="82"/>
    </row>
    <row r="298" spans="1:7" ht="15.75">
      <c r="A298" s="12" t="s">
        <v>0</v>
      </c>
      <c r="B298" s="13" t="s">
        <v>0</v>
      </c>
      <c r="C298" s="13" t="s">
        <v>463</v>
      </c>
      <c r="D298" s="13" t="s">
        <v>0</v>
      </c>
      <c r="E298" s="80"/>
      <c r="F298" s="81"/>
      <c r="G298" s="83">
        <f>ROUND(SUM(G299:G300),5)</f>
        <v>176458.8</v>
      </c>
    </row>
    <row r="299" spans="1:7" ht="15">
      <c r="A299" s="12" t="s">
        <v>0</v>
      </c>
      <c r="B299" s="13" t="s">
        <v>0</v>
      </c>
      <c r="C299" s="13" t="s">
        <v>152</v>
      </c>
      <c r="D299" s="13" t="s">
        <v>145</v>
      </c>
      <c r="E299" s="80">
        <f>1.335</f>
        <v>1.335</v>
      </c>
      <c r="F299" s="81">
        <f>'Gia VL'!R53</f>
        <v>130000</v>
      </c>
      <c r="G299" s="82">
        <f>ROUND(E299*F299,5)</f>
        <v>173550</v>
      </c>
    </row>
    <row r="300" spans="1:7" ht="15">
      <c r="A300" s="12" t="s">
        <v>0</v>
      </c>
      <c r="B300" s="13" t="s">
        <v>0</v>
      </c>
      <c r="C300" s="13" t="s">
        <v>147</v>
      </c>
      <c r="D300" s="13" t="s">
        <v>139</v>
      </c>
      <c r="E300" s="80">
        <f>3.2</f>
        <v>3.2</v>
      </c>
      <c r="F300" s="81">
        <f>'Gia VL'!R60</f>
        <v>909</v>
      </c>
      <c r="G300" s="82">
        <f>ROUND(E300*F300,5)</f>
        <v>2908.8</v>
      </c>
    </row>
    <row r="301" spans="1:7" ht="15.75">
      <c r="A301" s="12" t="s">
        <v>0</v>
      </c>
      <c r="B301" s="13" t="s">
        <v>0</v>
      </c>
      <c r="C301" s="13" t="s">
        <v>457</v>
      </c>
      <c r="D301" s="13" t="s">
        <v>0</v>
      </c>
      <c r="E301" s="80"/>
      <c r="F301" s="81"/>
      <c r="G301" s="83">
        <f>ROUND(SUM(G302:G305),5)</f>
        <v>16140.8</v>
      </c>
    </row>
    <row r="302" spans="1:7" ht="15">
      <c r="A302" s="12" t="s">
        <v>0</v>
      </c>
      <c r="B302" s="13" t="s">
        <v>0</v>
      </c>
      <c r="C302" s="13" t="s">
        <v>40</v>
      </c>
      <c r="D302" s="13" t="s">
        <v>8</v>
      </c>
      <c r="E302" s="80">
        <f>0.064</f>
        <v>0.064</v>
      </c>
      <c r="F302" s="81">
        <f>'Gia NC,CM'!P10</f>
        <v>252200</v>
      </c>
      <c r="G302" s="82">
        <f>ROUND(E302*F302,5)</f>
        <v>16140.8</v>
      </c>
    </row>
    <row r="303" spans="1:7" ht="15">
      <c r="A303" s="12" t="s">
        <v>0</v>
      </c>
      <c r="B303" s="13" t="s">
        <v>0</v>
      </c>
      <c r="C303" s="13" t="s">
        <v>0</v>
      </c>
      <c r="D303" s="13" t="s">
        <v>0</v>
      </c>
      <c r="E303" s="80"/>
      <c r="F303" s="81"/>
      <c r="G303" s="82"/>
    </row>
    <row r="304" spans="1:7" ht="15">
      <c r="A304" s="12" t="s">
        <v>148</v>
      </c>
      <c r="B304" s="13" t="s">
        <v>154</v>
      </c>
      <c r="C304" s="13" t="s">
        <v>155</v>
      </c>
      <c r="D304" s="13" t="s">
        <v>12</v>
      </c>
      <c r="E304" s="80"/>
      <c r="F304" s="81"/>
      <c r="G304" s="82"/>
    </row>
    <row r="305" spans="1:7" ht="15">
      <c r="A305" s="12" t="s">
        <v>0</v>
      </c>
      <c r="B305" s="13" t="s">
        <v>0</v>
      </c>
      <c r="C305" s="13" t="s">
        <v>659</v>
      </c>
      <c r="D305" s="13" t="s">
        <v>0</v>
      </c>
      <c r="E305" s="80"/>
      <c r="F305" s="81"/>
      <c r="G305" s="82"/>
    </row>
    <row r="306" spans="1:7" ht="15.75">
      <c r="A306" s="12" t="s">
        <v>0</v>
      </c>
      <c r="B306" s="13" t="s">
        <v>0</v>
      </c>
      <c r="C306" s="13" t="s">
        <v>463</v>
      </c>
      <c r="D306" s="13" t="s">
        <v>0</v>
      </c>
      <c r="E306" s="80"/>
      <c r="F306" s="81"/>
      <c r="G306" s="83">
        <f>ROUND(SUM(G307:G313),5)</f>
        <v>247062.65199</v>
      </c>
    </row>
    <row r="307" spans="1:7" ht="15">
      <c r="A307" s="12" t="s">
        <v>0</v>
      </c>
      <c r="B307" s="13" t="s">
        <v>0</v>
      </c>
      <c r="C307" s="13" t="s">
        <v>656</v>
      </c>
      <c r="D307" s="13" t="s">
        <v>145</v>
      </c>
      <c r="E307" s="80">
        <f>1.01</f>
        <v>1.01</v>
      </c>
      <c r="F307" s="81">
        <f>'Gia VL'!R26</f>
        <v>221000</v>
      </c>
      <c r="G307" s="82">
        <f aca="true" t="shared" si="0" ref="G307:G312">ROUND(E307*F307,5)</f>
        <v>223210</v>
      </c>
    </row>
    <row r="308" spans="1:7" ht="15">
      <c r="A308" s="12" t="s">
        <v>0</v>
      </c>
      <c r="B308" s="13" t="s">
        <v>0</v>
      </c>
      <c r="C308" s="13" t="s">
        <v>52</v>
      </c>
      <c r="D308" s="13" t="s">
        <v>15</v>
      </c>
      <c r="E308" s="80">
        <f>0.025*264</f>
        <v>6.6000000000000005</v>
      </c>
      <c r="F308" s="81">
        <f>ROUND('Gia VL'!R56/1000,5)</f>
        <v>1677.273</v>
      </c>
      <c r="G308" s="82">
        <f t="shared" si="0"/>
        <v>11070.0018</v>
      </c>
    </row>
    <row r="309" spans="1:7" ht="15">
      <c r="A309" s="12" t="s">
        <v>0</v>
      </c>
      <c r="B309" s="13" t="s">
        <v>0</v>
      </c>
      <c r="C309" s="13" t="s">
        <v>158</v>
      </c>
      <c r="D309" s="13" t="s">
        <v>27</v>
      </c>
      <c r="E309" s="80">
        <f>0.025*1.19</f>
        <v>0.02975</v>
      </c>
      <c r="F309" s="81">
        <f>'Gia VL'!R19</f>
        <v>335718.3</v>
      </c>
      <c r="G309" s="82">
        <f t="shared" si="0"/>
        <v>9987.61943</v>
      </c>
    </row>
    <row r="310" spans="1:7" ht="15">
      <c r="A310" s="12" t="s">
        <v>0</v>
      </c>
      <c r="B310" s="13" t="s">
        <v>0</v>
      </c>
      <c r="C310" s="13" t="s">
        <v>29</v>
      </c>
      <c r="D310" s="13" t="s">
        <v>27</v>
      </c>
      <c r="E310" s="80">
        <f>0.025*0.275</f>
        <v>0.006875000000000001</v>
      </c>
      <c r="F310" s="81">
        <f>'Gia VL'!R39</f>
        <v>9090.9</v>
      </c>
      <c r="G310" s="82">
        <f t="shared" si="0"/>
        <v>62.49994</v>
      </c>
    </row>
    <row r="311" spans="1:7" ht="15">
      <c r="A311" s="12" t="s">
        <v>0</v>
      </c>
      <c r="B311" s="13" t="s">
        <v>0</v>
      </c>
      <c r="C311" s="13" t="s">
        <v>25</v>
      </c>
      <c r="D311" s="13" t="s">
        <v>15</v>
      </c>
      <c r="E311" s="80">
        <f>0.65</f>
        <v>0.65</v>
      </c>
      <c r="F311" s="81">
        <f>ROUND('Gia VL'!R55/1000,5)</f>
        <v>1613.636</v>
      </c>
      <c r="G311" s="82">
        <f t="shared" si="0"/>
        <v>1048.8634</v>
      </c>
    </row>
    <row r="312" spans="1:7" ht="15">
      <c r="A312" s="12" t="s">
        <v>0</v>
      </c>
      <c r="B312" s="13" t="s">
        <v>0</v>
      </c>
      <c r="C312" s="13" t="s">
        <v>159</v>
      </c>
      <c r="D312" s="13" t="s">
        <v>15</v>
      </c>
      <c r="E312" s="80">
        <f>0.1</f>
        <v>0.1</v>
      </c>
      <c r="F312" s="81">
        <f>ROUND('Gia VL'!R57/1000,5)</f>
        <v>4545</v>
      </c>
      <c r="G312" s="82">
        <f t="shared" si="0"/>
        <v>454.5</v>
      </c>
    </row>
    <row r="313" spans="1:7" ht="15">
      <c r="A313" s="12" t="s">
        <v>0</v>
      </c>
      <c r="B313" s="13" t="s">
        <v>0</v>
      </c>
      <c r="C313" s="13" t="s">
        <v>461</v>
      </c>
      <c r="D313" s="13" t="s">
        <v>460</v>
      </c>
      <c r="E313" s="80">
        <f>0.5</f>
        <v>0.5</v>
      </c>
      <c r="F313" s="81"/>
      <c r="G313" s="82">
        <f>ROUND(SUM(G307:G312)*E313/100,5)</f>
        <v>1229.16742</v>
      </c>
    </row>
    <row r="314" spans="1:7" ht="15.75">
      <c r="A314" s="12" t="s">
        <v>0</v>
      </c>
      <c r="B314" s="13" t="s">
        <v>0</v>
      </c>
      <c r="C314" s="13" t="s">
        <v>457</v>
      </c>
      <c r="D314" s="13" t="s">
        <v>0</v>
      </c>
      <c r="E314" s="80"/>
      <c r="F314" s="81"/>
      <c r="G314" s="83">
        <f>ROUND(SUM(G315:G315),5)</f>
        <v>38327.758</v>
      </c>
    </row>
    <row r="315" spans="1:7" ht="15">
      <c r="A315" s="12" t="s">
        <v>0</v>
      </c>
      <c r="B315" s="13" t="s">
        <v>0</v>
      </c>
      <c r="C315" s="13" t="s">
        <v>18</v>
      </c>
      <c r="D315" s="13" t="s">
        <v>8</v>
      </c>
      <c r="E315" s="80">
        <f>0.14</f>
        <v>0.14</v>
      </c>
      <c r="F315" s="81">
        <f>'Gia NC,CM'!P11</f>
        <v>273769.7</v>
      </c>
      <c r="G315" s="82">
        <f>ROUND(E315*F315,5)</f>
        <v>38327.758</v>
      </c>
    </row>
    <row r="316" spans="1:7" ht="15.75">
      <c r="A316" s="12" t="s">
        <v>0</v>
      </c>
      <c r="B316" s="13" t="s">
        <v>0</v>
      </c>
      <c r="C316" s="13" t="s">
        <v>456</v>
      </c>
      <c r="D316" s="13" t="s">
        <v>0</v>
      </c>
      <c r="E316" s="80"/>
      <c r="F316" s="81"/>
      <c r="G316" s="83">
        <f>ROUND(SUM(G317:G320),5)</f>
        <v>1112.692</v>
      </c>
    </row>
    <row r="317" spans="1:7" ht="15">
      <c r="A317" s="12" t="s">
        <v>0</v>
      </c>
      <c r="B317" s="13" t="s">
        <v>0</v>
      </c>
      <c r="C317" s="13" t="s">
        <v>160</v>
      </c>
      <c r="D317" s="13" t="s">
        <v>20</v>
      </c>
      <c r="E317" s="80">
        <f>0.04</f>
        <v>0.04</v>
      </c>
      <c r="F317" s="81">
        <f>'Gia NC,CM'!P13</f>
        <v>27817.3</v>
      </c>
      <c r="G317" s="82">
        <f>ROUND(E317*F317,5)</f>
        <v>1112.692</v>
      </c>
    </row>
    <row r="318" spans="1:7" ht="15">
      <c r="A318" s="12" t="s">
        <v>0</v>
      </c>
      <c r="B318" s="13" t="s">
        <v>0</v>
      </c>
      <c r="C318" s="13" t="s">
        <v>0</v>
      </c>
      <c r="D318" s="13" t="s">
        <v>0</v>
      </c>
      <c r="E318" s="80"/>
      <c r="F318" s="81"/>
      <c r="G318" s="82"/>
    </row>
    <row r="319" spans="1:7" ht="15">
      <c r="A319" s="12" t="s">
        <v>153</v>
      </c>
      <c r="B319" s="13" t="s">
        <v>162</v>
      </c>
      <c r="C319" s="13" t="s">
        <v>163</v>
      </c>
      <c r="D319" s="13" t="s">
        <v>12</v>
      </c>
      <c r="E319" s="80"/>
      <c r="F319" s="81"/>
      <c r="G319" s="82"/>
    </row>
    <row r="320" spans="1:7" ht="15">
      <c r="A320" s="12" t="s">
        <v>0</v>
      </c>
      <c r="B320" s="13" t="s">
        <v>0</v>
      </c>
      <c r="C320" s="13" t="s">
        <v>660</v>
      </c>
      <c r="D320" s="13" t="s">
        <v>0</v>
      </c>
      <c r="E320" s="80"/>
      <c r="F320" s="81"/>
      <c r="G320" s="82"/>
    </row>
    <row r="321" spans="1:7" ht="15.75">
      <c r="A321" s="12" t="s">
        <v>0</v>
      </c>
      <c r="B321" s="13" t="s">
        <v>0</v>
      </c>
      <c r="C321" s="13" t="s">
        <v>463</v>
      </c>
      <c r="D321" s="13" t="s">
        <v>0</v>
      </c>
      <c r="E321" s="80"/>
      <c r="F321" s="81"/>
      <c r="G321" s="83">
        <f>ROUND(SUM(G322:G328),5)</f>
        <v>262315.62441</v>
      </c>
    </row>
    <row r="322" spans="1:7" ht="15">
      <c r="A322" s="12" t="s">
        <v>0</v>
      </c>
      <c r="B322" s="13" t="s">
        <v>0</v>
      </c>
      <c r="C322" s="13" t="s">
        <v>655</v>
      </c>
      <c r="D322" s="13" t="s">
        <v>145</v>
      </c>
      <c r="E322" s="80">
        <f>1.01</f>
        <v>1.01</v>
      </c>
      <c r="F322" s="81">
        <f>'Gia VL'!R28</f>
        <v>244400</v>
      </c>
      <c r="G322" s="82">
        <f aca="true" t="shared" si="1" ref="G322:G327">ROUND(E322*F322,5)</f>
        <v>246844</v>
      </c>
    </row>
    <row r="323" spans="1:7" ht="15">
      <c r="A323" s="12" t="s">
        <v>0</v>
      </c>
      <c r="B323" s="13" t="s">
        <v>0</v>
      </c>
      <c r="C323" s="13" t="s">
        <v>52</v>
      </c>
      <c r="D323" s="13" t="s">
        <v>15</v>
      </c>
      <c r="E323" s="80">
        <f>0.013*264</f>
        <v>3.432</v>
      </c>
      <c r="F323" s="81">
        <f>ROUND('Gia VL'!R56/1000,5)</f>
        <v>1677.273</v>
      </c>
      <c r="G323" s="82">
        <f t="shared" si="1"/>
        <v>5756.40094</v>
      </c>
    </row>
    <row r="324" spans="1:7" ht="15">
      <c r="A324" s="12" t="s">
        <v>0</v>
      </c>
      <c r="B324" s="13" t="s">
        <v>0</v>
      </c>
      <c r="C324" s="13" t="s">
        <v>158</v>
      </c>
      <c r="D324" s="13" t="s">
        <v>27</v>
      </c>
      <c r="E324" s="80">
        <f>0.013*1.19</f>
        <v>0.01547</v>
      </c>
      <c r="F324" s="81">
        <f>'Gia VL'!R19</f>
        <v>335718.3</v>
      </c>
      <c r="G324" s="82">
        <f t="shared" si="1"/>
        <v>5193.5621</v>
      </c>
    </row>
    <row r="325" spans="1:7" ht="15">
      <c r="A325" s="12" t="s">
        <v>0</v>
      </c>
      <c r="B325" s="13" t="s">
        <v>0</v>
      </c>
      <c r="C325" s="13" t="s">
        <v>29</v>
      </c>
      <c r="D325" s="13" t="s">
        <v>27</v>
      </c>
      <c r="E325" s="80">
        <f>0.013*0.275</f>
        <v>0.003575</v>
      </c>
      <c r="F325" s="81">
        <f>'Gia VL'!R39</f>
        <v>9090.9</v>
      </c>
      <c r="G325" s="82">
        <f t="shared" si="1"/>
        <v>32.49997</v>
      </c>
    </row>
    <row r="326" spans="1:7" ht="15">
      <c r="A326" s="12" t="s">
        <v>0</v>
      </c>
      <c r="B326" s="13" t="s">
        <v>0</v>
      </c>
      <c r="C326" s="13" t="s">
        <v>25</v>
      </c>
      <c r="D326" s="13" t="s">
        <v>15</v>
      </c>
      <c r="E326" s="80">
        <f>0.75</f>
        <v>0.75</v>
      </c>
      <c r="F326" s="81">
        <f>ROUND('Gia VL'!R55/1000,5)</f>
        <v>1613.636</v>
      </c>
      <c r="G326" s="82">
        <f t="shared" si="1"/>
        <v>1210.227</v>
      </c>
    </row>
    <row r="327" spans="1:7" ht="15">
      <c r="A327" s="12" t="s">
        <v>0</v>
      </c>
      <c r="B327" s="13" t="s">
        <v>0</v>
      </c>
      <c r="C327" s="13" t="s">
        <v>159</v>
      </c>
      <c r="D327" s="13" t="s">
        <v>15</v>
      </c>
      <c r="E327" s="80">
        <f>0.15</f>
        <v>0.15</v>
      </c>
      <c r="F327" s="81">
        <f>ROUND('Gia VL'!R57/1000,5)</f>
        <v>4545</v>
      </c>
      <c r="G327" s="82">
        <f t="shared" si="1"/>
        <v>681.75</v>
      </c>
    </row>
    <row r="328" spans="1:7" ht="15">
      <c r="A328" s="12" t="s">
        <v>0</v>
      </c>
      <c r="B328" s="13" t="s">
        <v>0</v>
      </c>
      <c r="C328" s="13" t="s">
        <v>461</v>
      </c>
      <c r="D328" s="13" t="s">
        <v>460</v>
      </c>
      <c r="E328" s="80">
        <f>1</f>
        <v>1</v>
      </c>
      <c r="F328" s="81"/>
      <c r="G328" s="82">
        <f>ROUND(SUM(G322:G327)*E328/100,5)</f>
        <v>2597.1844</v>
      </c>
    </row>
    <row r="329" spans="1:7" ht="15.75">
      <c r="A329" s="12" t="s">
        <v>0</v>
      </c>
      <c r="B329" s="13" t="s">
        <v>0</v>
      </c>
      <c r="C329" s="13" t="s">
        <v>457</v>
      </c>
      <c r="D329" s="13" t="s">
        <v>0</v>
      </c>
      <c r="E329" s="80"/>
      <c r="F329" s="81"/>
      <c r="G329" s="83">
        <f>ROUND(SUM(G330:G330),5)</f>
        <v>106770.183</v>
      </c>
    </row>
    <row r="330" spans="1:7" ht="15">
      <c r="A330" s="12" t="s">
        <v>0</v>
      </c>
      <c r="B330" s="13" t="s">
        <v>0</v>
      </c>
      <c r="C330" s="13" t="s">
        <v>18</v>
      </c>
      <c r="D330" s="13" t="s">
        <v>8</v>
      </c>
      <c r="E330" s="80">
        <f>0.39</f>
        <v>0.39</v>
      </c>
      <c r="F330" s="81">
        <f>'Gia NC,CM'!P11</f>
        <v>273769.7</v>
      </c>
      <c r="G330" s="82">
        <f>ROUND(E330*F330,5)</f>
        <v>106770.183</v>
      </c>
    </row>
    <row r="331" spans="1:7" ht="15.75">
      <c r="A331" s="12" t="s">
        <v>0</v>
      </c>
      <c r="B331" s="13" t="s">
        <v>0</v>
      </c>
      <c r="C331" s="13" t="s">
        <v>456</v>
      </c>
      <c r="D331" s="13" t="s">
        <v>0</v>
      </c>
      <c r="E331" s="80"/>
      <c r="F331" s="81"/>
      <c r="G331" s="83">
        <f>ROUND(SUM(G332:G335),5)</f>
        <v>5563.46</v>
      </c>
    </row>
    <row r="332" spans="1:7" ht="15">
      <c r="A332" s="12" t="s">
        <v>0</v>
      </c>
      <c r="B332" s="13" t="s">
        <v>0</v>
      </c>
      <c r="C332" s="13" t="s">
        <v>160</v>
      </c>
      <c r="D332" s="13" t="s">
        <v>20</v>
      </c>
      <c r="E332" s="80">
        <f>0.2</f>
        <v>0.2</v>
      </c>
      <c r="F332" s="81">
        <f>'Gia NC,CM'!P13</f>
        <v>27817.3</v>
      </c>
      <c r="G332" s="82">
        <f>ROUND(E332*F332,5)</f>
        <v>5563.46</v>
      </c>
    </row>
    <row r="333" spans="1:7" ht="15">
      <c r="A333" s="12" t="s">
        <v>0</v>
      </c>
      <c r="B333" s="13" t="s">
        <v>0</v>
      </c>
      <c r="C333" s="13" t="s">
        <v>0</v>
      </c>
      <c r="D333" s="13" t="s">
        <v>0</v>
      </c>
      <c r="E333" s="80"/>
      <c r="F333" s="81"/>
      <c r="G333" s="82"/>
    </row>
    <row r="334" spans="1:7" ht="15">
      <c r="A334" s="12" t="s">
        <v>161</v>
      </c>
      <c r="B334" s="13" t="s">
        <v>167</v>
      </c>
      <c r="C334" s="13" t="s">
        <v>168</v>
      </c>
      <c r="D334" s="13" t="s">
        <v>169</v>
      </c>
      <c r="E334" s="80"/>
      <c r="F334" s="81"/>
      <c r="G334" s="82"/>
    </row>
    <row r="335" spans="1:7" ht="15">
      <c r="A335" s="12" t="s">
        <v>0</v>
      </c>
      <c r="B335" s="13" t="s">
        <v>0</v>
      </c>
      <c r="C335" s="13" t="s">
        <v>170</v>
      </c>
      <c r="D335" s="13" t="s">
        <v>0</v>
      </c>
      <c r="E335" s="80"/>
      <c r="F335" s="81"/>
      <c r="G335" s="82"/>
    </row>
    <row r="336" spans="1:7" ht="15.75">
      <c r="A336" s="12" t="s">
        <v>0</v>
      </c>
      <c r="B336" s="13" t="s">
        <v>0</v>
      </c>
      <c r="C336" s="13" t="s">
        <v>463</v>
      </c>
      <c r="D336" s="13" t="s">
        <v>0</v>
      </c>
      <c r="E336" s="80"/>
      <c r="F336" s="81"/>
      <c r="G336" s="83">
        <f>ROUND(SUM(G337:G341),5)</f>
        <v>4482.2777</v>
      </c>
    </row>
    <row r="337" spans="1:7" ht="15">
      <c r="A337" s="12" t="s">
        <v>0</v>
      </c>
      <c r="B337" s="13" t="s">
        <v>0</v>
      </c>
      <c r="C337" s="13" t="s">
        <v>70</v>
      </c>
      <c r="D337" s="13" t="s">
        <v>27</v>
      </c>
      <c r="E337" s="80">
        <f>0.00035</f>
        <v>0.00035</v>
      </c>
      <c r="F337" s="81">
        <f>'Gia VL'!R33</f>
        <v>4118521.5</v>
      </c>
      <c r="G337" s="82">
        <f>ROUND(E337*F337,5)</f>
        <v>1441.48253</v>
      </c>
    </row>
    <row r="338" spans="1:7" ht="15">
      <c r="A338" s="12" t="s">
        <v>0</v>
      </c>
      <c r="B338" s="13" t="s">
        <v>0</v>
      </c>
      <c r="C338" s="13" t="s">
        <v>171</v>
      </c>
      <c r="D338" s="13" t="s">
        <v>15</v>
      </c>
      <c r="E338" s="80">
        <f>0.095</f>
        <v>0.095</v>
      </c>
      <c r="F338" s="81">
        <f>ROUND('Gia VL'!R25/1000,5)</f>
        <v>18500</v>
      </c>
      <c r="G338" s="82">
        <f>ROUND(E338*F338,5)</f>
        <v>1757.5</v>
      </c>
    </row>
    <row r="339" spans="1:7" ht="15">
      <c r="A339" s="12" t="s">
        <v>0</v>
      </c>
      <c r="B339" s="13" t="s">
        <v>0</v>
      </c>
      <c r="C339" s="13" t="s">
        <v>172</v>
      </c>
      <c r="D339" s="13" t="s">
        <v>15</v>
      </c>
      <c r="E339" s="80">
        <f>0.015</f>
        <v>0.015</v>
      </c>
      <c r="F339" s="81">
        <f>ROUND('Gia VL'!R50/1000,5)</f>
        <v>16295.8974</v>
      </c>
      <c r="G339" s="82">
        <f>ROUND(E339*F339,5)</f>
        <v>244.43846</v>
      </c>
    </row>
    <row r="340" spans="1:7" ht="15">
      <c r="A340" s="12" t="s">
        <v>0</v>
      </c>
      <c r="B340" s="13" t="s">
        <v>0</v>
      </c>
      <c r="C340" s="13" t="s">
        <v>16</v>
      </c>
      <c r="D340" s="13" t="s">
        <v>15</v>
      </c>
      <c r="E340" s="80">
        <f>0.03</f>
        <v>0.03</v>
      </c>
      <c r="F340" s="81">
        <f>ROUND('Gia VL'!R47/1000,5)</f>
        <v>21045.8974</v>
      </c>
      <c r="G340" s="82">
        <f>ROUND(E340*F340,5)</f>
        <v>631.37692</v>
      </c>
    </row>
    <row r="341" spans="1:7" ht="15">
      <c r="A341" s="12" t="s">
        <v>0</v>
      </c>
      <c r="B341" s="13" t="s">
        <v>0</v>
      </c>
      <c r="C341" s="13" t="s">
        <v>461</v>
      </c>
      <c r="D341" s="13" t="s">
        <v>460</v>
      </c>
      <c r="E341" s="80">
        <f>10</f>
        <v>10</v>
      </c>
      <c r="F341" s="81"/>
      <c r="G341" s="82">
        <f>ROUND(SUM(G337:G340)*E341/100,5)</f>
        <v>407.47979</v>
      </c>
    </row>
    <row r="342" spans="1:7" ht="15.75">
      <c r="A342" s="12" t="s">
        <v>0</v>
      </c>
      <c r="B342" s="13" t="s">
        <v>0</v>
      </c>
      <c r="C342" s="13" t="s">
        <v>457</v>
      </c>
      <c r="D342" s="13" t="s">
        <v>0</v>
      </c>
      <c r="E342" s="80"/>
      <c r="F342" s="81"/>
      <c r="G342" s="83">
        <f>ROUND(SUM(G343:G346),5)</f>
        <v>13871</v>
      </c>
    </row>
    <row r="343" spans="1:7" ht="15">
      <c r="A343" s="12" t="s">
        <v>0</v>
      </c>
      <c r="B343" s="13" t="s">
        <v>0</v>
      </c>
      <c r="C343" s="13" t="s">
        <v>40</v>
      </c>
      <c r="D343" s="13" t="s">
        <v>8</v>
      </c>
      <c r="E343" s="80">
        <f>0.055</f>
        <v>0.055</v>
      </c>
      <c r="F343" s="81">
        <f>'Gia NC,CM'!P10</f>
        <v>252200</v>
      </c>
      <c r="G343" s="82">
        <f>ROUND(E343*F343,5)</f>
        <v>13871</v>
      </c>
    </row>
    <row r="344" spans="1:7" ht="15">
      <c r="A344" s="12" t="s">
        <v>0</v>
      </c>
      <c r="B344" s="13" t="s">
        <v>0</v>
      </c>
      <c r="C344" s="13" t="s">
        <v>0</v>
      </c>
      <c r="D344" s="13" t="s">
        <v>0</v>
      </c>
      <c r="E344" s="80"/>
      <c r="F344" s="81"/>
      <c r="G344" s="82"/>
    </row>
    <row r="345" spans="1:7" ht="15">
      <c r="A345" s="12" t="s">
        <v>166</v>
      </c>
      <c r="B345" s="13" t="s">
        <v>174</v>
      </c>
      <c r="C345" s="13" t="s">
        <v>175</v>
      </c>
      <c r="D345" s="13" t="s">
        <v>131</v>
      </c>
      <c r="E345" s="80"/>
      <c r="F345" s="81"/>
      <c r="G345" s="82"/>
    </row>
    <row r="346" spans="1:7" ht="15">
      <c r="A346" s="12" t="s">
        <v>0</v>
      </c>
      <c r="B346" s="13" t="s">
        <v>0</v>
      </c>
      <c r="C346" s="13" t="s">
        <v>176</v>
      </c>
      <c r="D346" s="13" t="s">
        <v>0</v>
      </c>
      <c r="E346" s="80"/>
      <c r="F346" s="81"/>
      <c r="G346" s="82"/>
    </row>
    <row r="347" spans="1:7" ht="15.75">
      <c r="A347" s="12" t="s">
        <v>0</v>
      </c>
      <c r="B347" s="13" t="s">
        <v>0</v>
      </c>
      <c r="C347" s="13" t="s">
        <v>463</v>
      </c>
      <c r="D347" s="13" t="s">
        <v>0</v>
      </c>
      <c r="E347" s="80"/>
      <c r="F347" s="81"/>
      <c r="G347" s="83">
        <f>ROUND(SUM(G348:G350),5)</f>
        <v>45662.86023</v>
      </c>
    </row>
    <row r="348" spans="1:7" ht="15">
      <c r="A348" s="12" t="s">
        <v>0</v>
      </c>
      <c r="B348" s="13" t="s">
        <v>0</v>
      </c>
      <c r="C348" s="13" t="s">
        <v>177</v>
      </c>
      <c r="D348" s="13" t="s">
        <v>178</v>
      </c>
      <c r="E348" s="80">
        <f>0.15</f>
        <v>0.15</v>
      </c>
      <c r="F348" s="81">
        <f>'Gia VL'!R43</f>
        <v>149389.9</v>
      </c>
      <c r="G348" s="82">
        <f>ROUND(E348*F348,5)</f>
        <v>22408.485</v>
      </c>
    </row>
    <row r="349" spans="1:7" ht="15">
      <c r="A349" s="12" t="s">
        <v>0</v>
      </c>
      <c r="B349" s="13" t="s">
        <v>0</v>
      </c>
      <c r="C349" s="13" t="s">
        <v>179</v>
      </c>
      <c r="D349" s="13" t="s">
        <v>178</v>
      </c>
      <c r="E349" s="80">
        <f>0.237</f>
        <v>0.237</v>
      </c>
      <c r="F349" s="81">
        <f>'Gia VL'!R46</f>
        <v>96212.1</v>
      </c>
      <c r="G349" s="82">
        <f>ROUND(E349*F349,5)</f>
        <v>22802.2677</v>
      </c>
    </row>
    <row r="350" spans="1:7" ht="15">
      <c r="A350" s="12" t="s">
        <v>0</v>
      </c>
      <c r="B350" s="13" t="s">
        <v>0</v>
      </c>
      <c r="C350" s="13" t="s">
        <v>461</v>
      </c>
      <c r="D350" s="13" t="s">
        <v>460</v>
      </c>
      <c r="E350" s="80">
        <f>1</f>
        <v>1</v>
      </c>
      <c r="F350" s="81"/>
      <c r="G350" s="82">
        <f>ROUND(SUM(G348:G349)*E350/100,5)</f>
        <v>452.10753</v>
      </c>
    </row>
    <row r="351" spans="1:7" ht="15.75">
      <c r="A351" s="12" t="s">
        <v>0</v>
      </c>
      <c r="B351" s="13" t="s">
        <v>0</v>
      </c>
      <c r="C351" s="13" t="s">
        <v>457</v>
      </c>
      <c r="D351" s="13" t="s">
        <v>0</v>
      </c>
      <c r="E351" s="80"/>
      <c r="F351" s="81"/>
      <c r="G351" s="83">
        <f>ROUND(SUM(G352:G355),5)</f>
        <v>18410.6</v>
      </c>
    </row>
    <row r="352" spans="1:7" ht="15">
      <c r="A352" s="12" t="s">
        <v>0</v>
      </c>
      <c r="B352" s="13" t="s">
        <v>0</v>
      </c>
      <c r="C352" s="13" t="s">
        <v>40</v>
      </c>
      <c r="D352" s="13" t="s">
        <v>8</v>
      </c>
      <c r="E352" s="80">
        <f>0.073</f>
        <v>0.073</v>
      </c>
      <c r="F352" s="81">
        <f>'Gia NC,CM'!P10</f>
        <v>252200</v>
      </c>
      <c r="G352" s="82">
        <f>ROUND(E352*F352,5)</f>
        <v>18410.6</v>
      </c>
    </row>
    <row r="353" spans="1:7" ht="15">
      <c r="A353" s="12" t="s">
        <v>0</v>
      </c>
      <c r="B353" s="13" t="s">
        <v>0</v>
      </c>
      <c r="C353" s="13" t="s">
        <v>0</v>
      </c>
      <c r="D353" s="13" t="s">
        <v>0</v>
      </c>
      <c r="E353" s="80"/>
      <c r="F353" s="81"/>
      <c r="G353" s="82"/>
    </row>
    <row r="354" spans="1:7" ht="15">
      <c r="A354" s="12" t="s">
        <v>173</v>
      </c>
      <c r="B354" s="13" t="s">
        <v>181</v>
      </c>
      <c r="C354" s="13" t="s">
        <v>182</v>
      </c>
      <c r="D354" s="13" t="s">
        <v>12</v>
      </c>
      <c r="E354" s="80"/>
      <c r="F354" s="81"/>
      <c r="G354" s="82"/>
    </row>
    <row r="355" spans="1:7" ht="15">
      <c r="A355" s="12" t="s">
        <v>0</v>
      </c>
      <c r="B355" s="13" t="s">
        <v>0</v>
      </c>
      <c r="C355" s="13" t="s">
        <v>183</v>
      </c>
      <c r="D355" s="13" t="s">
        <v>0</v>
      </c>
      <c r="E355" s="80"/>
      <c r="F355" s="81"/>
      <c r="G355" s="82"/>
    </row>
    <row r="356" spans="1:7" ht="15.75">
      <c r="A356" s="12" t="s">
        <v>0</v>
      </c>
      <c r="B356" s="13" t="s">
        <v>0</v>
      </c>
      <c r="C356" s="13" t="s">
        <v>462</v>
      </c>
      <c r="D356" s="13" t="s">
        <v>0</v>
      </c>
      <c r="E356" s="80"/>
      <c r="F356" s="81"/>
      <c r="G356" s="83">
        <f>ROUND(SUM(G357:G360),5)</f>
        <v>14433.4908</v>
      </c>
    </row>
    <row r="357" spans="1:7" ht="15">
      <c r="A357" s="12" t="s">
        <v>0</v>
      </c>
      <c r="B357" s="13" t="s">
        <v>0</v>
      </c>
      <c r="C357" s="13" t="s">
        <v>52</v>
      </c>
      <c r="D357" s="13" t="s">
        <v>15</v>
      </c>
      <c r="E357" s="80">
        <f>0.017*264</f>
        <v>4.488</v>
      </c>
      <c r="F357" s="81">
        <f>ROUND('Gia VL'!R56/1000,5)</f>
        <v>1677.273</v>
      </c>
      <c r="G357" s="82">
        <f>ROUND(E357*F357,5)</f>
        <v>7527.60122</v>
      </c>
    </row>
    <row r="358" spans="1:7" ht="15">
      <c r="A358" s="12" t="s">
        <v>0</v>
      </c>
      <c r="B358" s="13" t="s">
        <v>0</v>
      </c>
      <c r="C358" s="13" t="s">
        <v>158</v>
      </c>
      <c r="D358" s="13" t="s">
        <v>27</v>
      </c>
      <c r="E358" s="80">
        <f>0.017*1.19</f>
        <v>0.02023</v>
      </c>
      <c r="F358" s="81">
        <f>'Gia VL'!R19</f>
        <v>335718.3</v>
      </c>
      <c r="G358" s="82">
        <f>ROUND(E358*F358,5)</f>
        <v>6791.58121</v>
      </c>
    </row>
    <row r="359" spans="1:7" ht="15">
      <c r="A359" s="12" t="s">
        <v>0</v>
      </c>
      <c r="B359" s="13" t="s">
        <v>0</v>
      </c>
      <c r="C359" s="13" t="s">
        <v>29</v>
      </c>
      <c r="D359" s="13" t="s">
        <v>27</v>
      </c>
      <c r="E359" s="80">
        <f>0.017*0.275</f>
        <v>0.004675</v>
      </c>
      <c r="F359" s="81">
        <f>'Gia VL'!R39</f>
        <v>9090.9</v>
      </c>
      <c r="G359" s="82">
        <f>ROUND(E359*F359,5)</f>
        <v>42.49996</v>
      </c>
    </row>
    <row r="360" spans="1:7" ht="15">
      <c r="A360" s="12" t="s">
        <v>0</v>
      </c>
      <c r="B360" s="13" t="s">
        <v>0</v>
      </c>
      <c r="C360" s="13" t="s">
        <v>461</v>
      </c>
      <c r="D360" s="13" t="s">
        <v>460</v>
      </c>
      <c r="E360" s="80">
        <f>0.5</f>
        <v>0.5</v>
      </c>
      <c r="F360" s="81"/>
      <c r="G360" s="82">
        <f>ROUND(SUM(G357:G359)*E360/100,5)</f>
        <v>71.80841</v>
      </c>
    </row>
    <row r="361" spans="1:7" ht="15.75">
      <c r="A361" s="12" t="s">
        <v>0</v>
      </c>
      <c r="B361" s="13" t="s">
        <v>0</v>
      </c>
      <c r="C361" s="13" t="s">
        <v>459</v>
      </c>
      <c r="D361" s="13" t="s">
        <v>0</v>
      </c>
      <c r="E361" s="80"/>
      <c r="F361" s="81"/>
      <c r="G361" s="83">
        <f>ROUND(SUM(G362:G365),5)</f>
        <v>75660</v>
      </c>
    </row>
    <row r="362" spans="1:7" ht="15">
      <c r="A362" s="12" t="s">
        <v>0</v>
      </c>
      <c r="B362" s="13" t="s">
        <v>0</v>
      </c>
      <c r="C362" s="13" t="s">
        <v>40</v>
      </c>
      <c r="D362" s="13" t="s">
        <v>8</v>
      </c>
      <c r="E362" s="80">
        <f>0.3</f>
        <v>0.3</v>
      </c>
      <c r="F362" s="81">
        <f>'Gia NC,CM'!P10</f>
        <v>252200</v>
      </c>
      <c r="G362" s="82">
        <f>ROUND(E362*F362,5)</f>
        <v>75660</v>
      </c>
    </row>
    <row r="363" spans="1:7" ht="15">
      <c r="A363" s="12" t="s">
        <v>0</v>
      </c>
      <c r="B363" s="13" t="s">
        <v>0</v>
      </c>
      <c r="C363" s="13" t="s">
        <v>0</v>
      </c>
      <c r="D363" s="13" t="s">
        <v>0</v>
      </c>
      <c r="E363" s="80"/>
      <c r="F363" s="81"/>
      <c r="G363" s="82"/>
    </row>
    <row r="364" spans="1:7" ht="15">
      <c r="A364" s="12" t="s">
        <v>180</v>
      </c>
      <c r="B364" s="13" t="s">
        <v>185</v>
      </c>
      <c r="C364" s="13" t="s">
        <v>186</v>
      </c>
      <c r="D364" s="13" t="s">
        <v>12</v>
      </c>
      <c r="E364" s="80"/>
      <c r="F364" s="81"/>
      <c r="G364" s="82"/>
    </row>
    <row r="365" spans="1:7" ht="15">
      <c r="A365" s="12" t="s">
        <v>0</v>
      </c>
      <c r="B365" s="13" t="s">
        <v>0</v>
      </c>
      <c r="C365" s="13" t="s">
        <v>183</v>
      </c>
      <c r="D365" s="13" t="s">
        <v>0</v>
      </c>
      <c r="E365" s="80"/>
      <c r="F365" s="81"/>
      <c r="G365" s="82"/>
    </row>
    <row r="366" spans="1:7" ht="15.75">
      <c r="A366" s="12" t="s">
        <v>0</v>
      </c>
      <c r="B366" s="13" t="s">
        <v>0</v>
      </c>
      <c r="C366" s="13" t="s">
        <v>462</v>
      </c>
      <c r="D366" s="13" t="s">
        <v>0</v>
      </c>
      <c r="E366" s="80"/>
      <c r="F366" s="81"/>
      <c r="G366" s="83">
        <f>ROUND(SUM(G367:G370),5)</f>
        <v>14433.4908</v>
      </c>
    </row>
    <row r="367" spans="1:7" ht="15">
      <c r="A367" s="12" t="s">
        <v>0</v>
      </c>
      <c r="B367" s="13" t="s">
        <v>0</v>
      </c>
      <c r="C367" s="13" t="s">
        <v>52</v>
      </c>
      <c r="D367" s="13" t="s">
        <v>15</v>
      </c>
      <c r="E367" s="80">
        <f>0.017*264</f>
        <v>4.488</v>
      </c>
      <c r="F367" s="81">
        <f>ROUND('Gia VL'!R56/1000,5)</f>
        <v>1677.273</v>
      </c>
      <c r="G367" s="82">
        <f>ROUND(E367*F367,5)</f>
        <v>7527.60122</v>
      </c>
    </row>
    <row r="368" spans="1:7" ht="15">
      <c r="A368" s="12" t="s">
        <v>0</v>
      </c>
      <c r="B368" s="13" t="s">
        <v>0</v>
      </c>
      <c r="C368" s="13" t="s">
        <v>158</v>
      </c>
      <c r="D368" s="13" t="s">
        <v>27</v>
      </c>
      <c r="E368" s="80">
        <f>0.017*1.19</f>
        <v>0.02023</v>
      </c>
      <c r="F368" s="81">
        <f>'Gia VL'!R19</f>
        <v>335718.3</v>
      </c>
      <c r="G368" s="82">
        <f>ROUND(E368*F368,5)</f>
        <v>6791.58121</v>
      </c>
    </row>
    <row r="369" spans="1:7" ht="15">
      <c r="A369" s="12" t="s">
        <v>0</v>
      </c>
      <c r="B369" s="13" t="s">
        <v>0</v>
      </c>
      <c r="C369" s="13" t="s">
        <v>29</v>
      </c>
      <c r="D369" s="13" t="s">
        <v>27</v>
      </c>
      <c r="E369" s="80">
        <f>0.017*0.275</f>
        <v>0.004675</v>
      </c>
      <c r="F369" s="81">
        <f>'Gia VL'!R39</f>
        <v>9090.9</v>
      </c>
      <c r="G369" s="82">
        <f>ROUND(E369*F369,5)</f>
        <v>42.49996</v>
      </c>
    </row>
    <row r="370" spans="1:7" ht="15">
      <c r="A370" s="12" t="s">
        <v>0</v>
      </c>
      <c r="B370" s="13" t="s">
        <v>0</v>
      </c>
      <c r="C370" s="13" t="s">
        <v>461</v>
      </c>
      <c r="D370" s="13" t="s">
        <v>460</v>
      </c>
      <c r="E370" s="80">
        <f>0.5</f>
        <v>0.5</v>
      </c>
      <c r="F370" s="81"/>
      <c r="G370" s="82">
        <f>ROUND(SUM(G367:G369)*E370/100,5)</f>
        <v>71.80841</v>
      </c>
    </row>
    <row r="371" spans="1:7" ht="15.75">
      <c r="A371" s="12" t="s">
        <v>0</v>
      </c>
      <c r="B371" s="13" t="s">
        <v>0</v>
      </c>
      <c r="C371" s="13" t="s">
        <v>459</v>
      </c>
      <c r="D371" s="13" t="s">
        <v>0</v>
      </c>
      <c r="E371" s="80"/>
      <c r="F371" s="81"/>
      <c r="G371" s="83">
        <f>ROUND(SUM(G372:G375),5)</f>
        <v>58006</v>
      </c>
    </row>
    <row r="372" spans="1:7" ht="15">
      <c r="A372" s="12" t="s">
        <v>0</v>
      </c>
      <c r="B372" s="13" t="s">
        <v>0</v>
      </c>
      <c r="C372" s="13" t="s">
        <v>40</v>
      </c>
      <c r="D372" s="13" t="s">
        <v>8</v>
      </c>
      <c r="E372" s="80">
        <f>0.23</f>
        <v>0.23</v>
      </c>
      <c r="F372" s="81">
        <f>'Gia NC,CM'!P10</f>
        <v>252200</v>
      </c>
      <c r="G372" s="82">
        <f>ROUND(E372*F372,5)</f>
        <v>58006</v>
      </c>
    </row>
    <row r="373" spans="1:7" ht="15">
      <c r="A373" s="12" t="s">
        <v>0</v>
      </c>
      <c r="B373" s="13" t="s">
        <v>0</v>
      </c>
      <c r="C373" s="13" t="s">
        <v>0</v>
      </c>
      <c r="D373" s="13" t="s">
        <v>0</v>
      </c>
      <c r="E373" s="80"/>
      <c r="F373" s="81"/>
      <c r="G373" s="82"/>
    </row>
    <row r="374" spans="1:7" ht="15">
      <c r="A374" s="12" t="s">
        <v>184</v>
      </c>
      <c r="B374" s="13" t="s">
        <v>188</v>
      </c>
      <c r="C374" s="13" t="s">
        <v>189</v>
      </c>
      <c r="D374" s="13" t="s">
        <v>12</v>
      </c>
      <c r="E374" s="80"/>
      <c r="F374" s="81"/>
      <c r="G374" s="82"/>
    </row>
    <row r="375" spans="1:7" ht="15">
      <c r="A375" s="12" t="s">
        <v>0</v>
      </c>
      <c r="B375" s="13" t="s">
        <v>0</v>
      </c>
      <c r="C375" s="13" t="s">
        <v>190</v>
      </c>
      <c r="D375" s="13" t="s">
        <v>0</v>
      </c>
      <c r="E375" s="80"/>
      <c r="F375" s="81"/>
      <c r="G375" s="82"/>
    </row>
    <row r="376" spans="1:7" ht="15.75">
      <c r="A376" s="12" t="s">
        <v>0</v>
      </c>
      <c r="B376" s="13" t="s">
        <v>0</v>
      </c>
      <c r="C376" s="13" t="s">
        <v>462</v>
      </c>
      <c r="D376" s="13" t="s">
        <v>0</v>
      </c>
      <c r="E376" s="80"/>
      <c r="F376" s="81"/>
      <c r="G376" s="83">
        <f>ROUND(SUM(G377:G379),5)</f>
        <v>2100000</v>
      </c>
    </row>
    <row r="377" spans="1:7" ht="15">
      <c r="A377" s="12" t="s">
        <v>0</v>
      </c>
      <c r="B377" s="13" t="s">
        <v>0</v>
      </c>
      <c r="C377" s="13" t="s">
        <v>191</v>
      </c>
      <c r="D377" s="13" t="s">
        <v>12</v>
      </c>
      <c r="E377" s="80">
        <f>1</f>
        <v>1</v>
      </c>
      <c r="F377" s="81">
        <f>'Gia VL'!R22</f>
        <v>2100000</v>
      </c>
      <c r="G377" s="82">
        <f>ROUND(E377*F377,5)</f>
        <v>2100000</v>
      </c>
    </row>
    <row r="378" spans="1:7" ht="15">
      <c r="A378" s="12" t="s">
        <v>0</v>
      </c>
      <c r="B378" s="13" t="s">
        <v>0</v>
      </c>
      <c r="C378" s="13" t="s">
        <v>0</v>
      </c>
      <c r="D378" s="13" t="s">
        <v>0</v>
      </c>
      <c r="E378" s="80"/>
      <c r="F378" s="81"/>
      <c r="G378" s="82"/>
    </row>
    <row r="379" spans="1:7" ht="15">
      <c r="A379" s="12" t="s">
        <v>187</v>
      </c>
      <c r="B379" s="13" t="s">
        <v>193</v>
      </c>
      <c r="C379" s="13" t="s">
        <v>194</v>
      </c>
      <c r="D379" s="13" t="s">
        <v>195</v>
      </c>
      <c r="E379" s="80"/>
      <c r="F379" s="81"/>
      <c r="G379" s="82"/>
    </row>
    <row r="380" spans="1:7" ht="15.75">
      <c r="A380" s="12" t="s">
        <v>0</v>
      </c>
      <c r="B380" s="13" t="s">
        <v>0</v>
      </c>
      <c r="C380" s="13" t="s">
        <v>462</v>
      </c>
      <c r="D380" s="13" t="s">
        <v>0</v>
      </c>
      <c r="E380" s="80"/>
      <c r="F380" s="81"/>
      <c r="G380" s="83">
        <f>ROUND(SUM(G381:G384),5)</f>
        <v>2100000</v>
      </c>
    </row>
    <row r="381" spans="1:7" ht="15">
      <c r="A381" s="12" t="s">
        <v>0</v>
      </c>
      <c r="B381" s="13" t="s">
        <v>0</v>
      </c>
      <c r="C381" s="13" t="s">
        <v>196</v>
      </c>
      <c r="D381" s="13" t="s">
        <v>195</v>
      </c>
      <c r="E381" s="80">
        <f>1</f>
        <v>1</v>
      </c>
      <c r="F381" s="81">
        <f>'Gia VL'!R41</f>
        <v>2100000</v>
      </c>
      <c r="G381" s="82">
        <f>ROUND(E381*F381,5)</f>
        <v>2100000</v>
      </c>
    </row>
    <row r="382" spans="1:7" ht="15">
      <c r="A382" s="12" t="s">
        <v>0</v>
      </c>
      <c r="B382" s="13" t="s">
        <v>0</v>
      </c>
      <c r="C382" s="13" t="s">
        <v>0</v>
      </c>
      <c r="D382" s="13" t="s">
        <v>0</v>
      </c>
      <c r="E382" s="80"/>
      <c r="F382" s="81"/>
      <c r="G382" s="82"/>
    </row>
    <row r="383" spans="1:7" ht="15">
      <c r="A383" s="12" t="s">
        <v>192</v>
      </c>
      <c r="B383" s="13" t="s">
        <v>198</v>
      </c>
      <c r="C383" s="13" t="s">
        <v>199</v>
      </c>
      <c r="D383" s="13" t="s">
        <v>12</v>
      </c>
      <c r="E383" s="80"/>
      <c r="F383" s="81"/>
      <c r="G383" s="82"/>
    </row>
    <row r="384" spans="1:7" ht="15">
      <c r="A384" s="12" t="s">
        <v>0</v>
      </c>
      <c r="B384" s="13" t="s">
        <v>0</v>
      </c>
      <c r="C384" s="13" t="s">
        <v>190</v>
      </c>
      <c r="D384" s="13" t="s">
        <v>0</v>
      </c>
      <c r="E384" s="80"/>
      <c r="F384" s="81"/>
      <c r="G384" s="82"/>
    </row>
    <row r="385" spans="1:7" ht="15.75">
      <c r="A385" s="12" t="s">
        <v>0</v>
      </c>
      <c r="B385" s="13" t="s">
        <v>0</v>
      </c>
      <c r="C385" s="13" t="s">
        <v>462</v>
      </c>
      <c r="D385" s="13" t="s">
        <v>0</v>
      </c>
      <c r="E385" s="80"/>
      <c r="F385" s="81"/>
      <c r="G385" s="83">
        <f>ROUND(SUM(G386:G388),5)</f>
        <v>2100000</v>
      </c>
    </row>
    <row r="386" spans="1:7" ht="15">
      <c r="A386" s="12" t="s">
        <v>0</v>
      </c>
      <c r="B386" s="13" t="s">
        <v>0</v>
      </c>
      <c r="C386" s="13" t="s">
        <v>200</v>
      </c>
      <c r="D386" s="13" t="s">
        <v>12</v>
      </c>
      <c r="E386" s="80">
        <f>1</f>
        <v>1</v>
      </c>
      <c r="F386" s="81">
        <f>'Gia VL'!R21</f>
        <v>2100000</v>
      </c>
      <c r="G386" s="82">
        <f>ROUND(E386*F386,5)</f>
        <v>2100000</v>
      </c>
    </row>
    <row r="387" spans="1:7" ht="15">
      <c r="A387" s="12" t="s">
        <v>0</v>
      </c>
      <c r="B387" s="13" t="s">
        <v>0</v>
      </c>
      <c r="C387" s="13" t="s">
        <v>0</v>
      </c>
      <c r="D387" s="13" t="s">
        <v>0</v>
      </c>
      <c r="E387" s="80"/>
      <c r="F387" s="81"/>
      <c r="G387" s="82"/>
    </row>
    <row r="388" spans="1:7" ht="15">
      <c r="A388" s="12" t="s">
        <v>197</v>
      </c>
      <c r="B388" s="13" t="s">
        <v>202</v>
      </c>
      <c r="C388" s="13" t="s">
        <v>203</v>
      </c>
      <c r="D388" s="13" t="s">
        <v>195</v>
      </c>
      <c r="E388" s="80"/>
      <c r="F388" s="81"/>
      <c r="G388" s="82"/>
    </row>
    <row r="389" spans="1:7" ht="15.75">
      <c r="A389" s="12" t="s">
        <v>0</v>
      </c>
      <c r="B389" s="13" t="s">
        <v>0</v>
      </c>
      <c r="C389" s="13" t="s">
        <v>462</v>
      </c>
      <c r="D389" s="13" t="s">
        <v>0</v>
      </c>
      <c r="E389" s="80"/>
      <c r="F389" s="81"/>
      <c r="G389" s="83">
        <f>ROUND(SUM(G390:G393),5)</f>
        <v>1500000</v>
      </c>
    </row>
    <row r="390" spans="1:7" ht="15">
      <c r="A390" s="12" t="s">
        <v>0</v>
      </c>
      <c r="B390" s="13" t="s">
        <v>0</v>
      </c>
      <c r="C390" s="13" t="s">
        <v>204</v>
      </c>
      <c r="D390" s="13" t="s">
        <v>195</v>
      </c>
      <c r="E390" s="80">
        <f>1</f>
        <v>1</v>
      </c>
      <c r="F390" s="81">
        <f>'Gia VL'!R40</f>
        <v>1500000</v>
      </c>
      <c r="G390" s="82">
        <f>ROUND(E390*F390,5)</f>
        <v>1500000</v>
      </c>
    </row>
    <row r="391" spans="1:7" ht="15">
      <c r="A391" s="12" t="s">
        <v>0</v>
      </c>
      <c r="B391" s="13" t="s">
        <v>0</v>
      </c>
      <c r="C391" s="13" t="s">
        <v>0</v>
      </c>
      <c r="D391" s="13" t="s">
        <v>0</v>
      </c>
      <c r="E391" s="80"/>
      <c r="F391" s="81"/>
      <c r="G391" s="82"/>
    </row>
    <row r="392" spans="1:7" ht="15">
      <c r="A392" s="12" t="s">
        <v>201</v>
      </c>
      <c r="B392" s="13" t="s">
        <v>206</v>
      </c>
      <c r="C392" s="13" t="s">
        <v>207</v>
      </c>
      <c r="D392" s="13" t="s">
        <v>208</v>
      </c>
      <c r="E392" s="80"/>
      <c r="F392" s="81"/>
      <c r="G392" s="82"/>
    </row>
    <row r="393" spans="1:7" ht="15">
      <c r="A393" s="12" t="s">
        <v>0</v>
      </c>
      <c r="B393" s="13" t="s">
        <v>0</v>
      </c>
      <c r="C393" s="13" t="s">
        <v>209</v>
      </c>
      <c r="D393" s="13" t="s">
        <v>0</v>
      </c>
      <c r="E393" s="80"/>
      <c r="F393" s="81"/>
      <c r="G393" s="82"/>
    </row>
    <row r="394" spans="1:7" ht="15.75">
      <c r="A394" s="12" t="s">
        <v>0</v>
      </c>
      <c r="B394" s="13" t="s">
        <v>0</v>
      </c>
      <c r="C394" s="13" t="s">
        <v>462</v>
      </c>
      <c r="D394" s="13" t="s">
        <v>0</v>
      </c>
      <c r="E394" s="80"/>
      <c r="F394" s="81"/>
      <c r="G394" s="83">
        <f>ROUND(SUM(G395:G396),5)</f>
        <v>274077.64</v>
      </c>
    </row>
    <row r="395" spans="1:7" ht="15">
      <c r="A395" s="12" t="s">
        <v>0</v>
      </c>
      <c r="B395" s="13" t="s">
        <v>0</v>
      </c>
      <c r="C395" s="13" t="s">
        <v>210</v>
      </c>
      <c r="D395" s="13" t="s">
        <v>195</v>
      </c>
      <c r="E395" s="80">
        <f>1</f>
        <v>1</v>
      </c>
      <c r="F395" s="81">
        <f>'Gia VL'!R66</f>
        <v>271364</v>
      </c>
      <c r="G395" s="82">
        <f>ROUND(E395*F395,5)</f>
        <v>271364</v>
      </c>
    </row>
    <row r="396" spans="1:7" ht="15">
      <c r="A396" s="12" t="s">
        <v>0</v>
      </c>
      <c r="B396" s="13" t="s">
        <v>0</v>
      </c>
      <c r="C396" s="13" t="s">
        <v>461</v>
      </c>
      <c r="D396" s="13" t="s">
        <v>460</v>
      </c>
      <c r="E396" s="80">
        <f>1</f>
        <v>1</v>
      </c>
      <c r="F396" s="81"/>
      <c r="G396" s="82">
        <f>ROUND(SUM(G395:G395)*E396/100,5)</f>
        <v>2713.64</v>
      </c>
    </row>
    <row r="397" spans="1:7" ht="15.75">
      <c r="A397" s="12" t="s">
        <v>0</v>
      </c>
      <c r="B397" s="13" t="s">
        <v>0</v>
      </c>
      <c r="C397" s="13" t="s">
        <v>459</v>
      </c>
      <c r="D397" s="13" t="s">
        <v>0</v>
      </c>
      <c r="E397" s="80"/>
      <c r="F397" s="81"/>
      <c r="G397" s="83">
        <f>ROUND(SUM(G398:G401),5)</f>
        <v>47918</v>
      </c>
    </row>
    <row r="398" spans="1:7" ht="15">
      <c r="A398" s="12" t="s">
        <v>0</v>
      </c>
      <c r="B398" s="13" t="s">
        <v>0</v>
      </c>
      <c r="C398" s="13" t="s">
        <v>40</v>
      </c>
      <c r="D398" s="13" t="s">
        <v>8</v>
      </c>
      <c r="E398" s="80">
        <f>0.19</f>
        <v>0.19</v>
      </c>
      <c r="F398" s="81">
        <f>'Gia NC,CM'!P10</f>
        <v>252200</v>
      </c>
      <c r="G398" s="82">
        <f>ROUND(E398*F398,5)</f>
        <v>47918</v>
      </c>
    </row>
    <row r="399" spans="1:7" ht="15">
      <c r="A399" s="12" t="s">
        <v>0</v>
      </c>
      <c r="B399" s="13" t="s">
        <v>0</v>
      </c>
      <c r="C399" s="13" t="s">
        <v>0</v>
      </c>
      <c r="D399" s="13" t="s">
        <v>0</v>
      </c>
      <c r="E399" s="80"/>
      <c r="F399" s="81"/>
      <c r="G399" s="82"/>
    </row>
    <row r="400" spans="1:7" ht="15">
      <c r="A400" s="12" t="s">
        <v>205</v>
      </c>
      <c r="B400" s="13" t="s">
        <v>212</v>
      </c>
      <c r="C400" s="13" t="s">
        <v>213</v>
      </c>
      <c r="D400" s="13" t="s">
        <v>139</v>
      </c>
      <c r="E400" s="80"/>
      <c r="F400" s="81"/>
      <c r="G400" s="82"/>
    </row>
    <row r="401" spans="1:7" ht="15">
      <c r="A401" s="12" t="s">
        <v>0</v>
      </c>
      <c r="B401" s="13" t="s">
        <v>0</v>
      </c>
      <c r="C401" s="13" t="s">
        <v>214</v>
      </c>
      <c r="D401" s="13" t="s">
        <v>0</v>
      </c>
      <c r="E401" s="80"/>
      <c r="F401" s="81"/>
      <c r="G401" s="82"/>
    </row>
    <row r="402" spans="1:7" ht="15.75">
      <c r="A402" s="12" t="s">
        <v>0</v>
      </c>
      <c r="B402" s="13" t="s">
        <v>0</v>
      </c>
      <c r="C402" s="13" t="s">
        <v>462</v>
      </c>
      <c r="D402" s="13" t="s">
        <v>0</v>
      </c>
      <c r="E402" s="80"/>
      <c r="F402" s="81"/>
      <c r="G402" s="83">
        <f>ROUND(SUM(G403:G406),5)</f>
        <v>32753.754</v>
      </c>
    </row>
    <row r="403" spans="1:7" ht="15">
      <c r="A403" s="12" t="s">
        <v>0</v>
      </c>
      <c r="B403" s="13" t="s">
        <v>0</v>
      </c>
      <c r="C403" s="13" t="s">
        <v>215</v>
      </c>
      <c r="D403" s="13" t="s">
        <v>139</v>
      </c>
      <c r="E403" s="80">
        <f>2</f>
        <v>2</v>
      </c>
      <c r="F403" s="81">
        <f>'Gia VL'!R14</f>
        <v>9272.7</v>
      </c>
      <c r="G403" s="82">
        <f>ROUND(E403*F403,5)</f>
        <v>18545.4</v>
      </c>
    </row>
    <row r="404" spans="1:7" ht="15">
      <c r="A404" s="12" t="s">
        <v>0</v>
      </c>
      <c r="B404" s="13" t="s">
        <v>0</v>
      </c>
      <c r="C404" s="13" t="s">
        <v>216</v>
      </c>
      <c r="D404" s="13" t="s">
        <v>139</v>
      </c>
      <c r="E404" s="80">
        <f>1</f>
        <v>1</v>
      </c>
      <c r="F404" s="81">
        <f>'Gia VL'!R35</f>
        <v>3863.6</v>
      </c>
      <c r="G404" s="82">
        <f>ROUND(E404*F404,5)</f>
        <v>3863.6</v>
      </c>
    </row>
    <row r="405" spans="1:7" ht="15">
      <c r="A405" s="12" t="s">
        <v>0</v>
      </c>
      <c r="B405" s="13" t="s">
        <v>0</v>
      </c>
      <c r="C405" s="13" t="s">
        <v>217</v>
      </c>
      <c r="D405" s="13" t="s">
        <v>139</v>
      </c>
      <c r="E405" s="80">
        <f>1</f>
        <v>1</v>
      </c>
      <c r="F405" s="81">
        <f>'Gia VL'!R38</f>
        <v>10181.8</v>
      </c>
      <c r="G405" s="82">
        <f>ROUND(E405*F405,5)</f>
        <v>10181.8</v>
      </c>
    </row>
    <row r="406" spans="1:7" ht="15">
      <c r="A406" s="12" t="s">
        <v>0</v>
      </c>
      <c r="B406" s="13" t="s">
        <v>0</v>
      </c>
      <c r="C406" s="13" t="s">
        <v>461</v>
      </c>
      <c r="D406" s="13" t="s">
        <v>460</v>
      </c>
      <c r="E406" s="80">
        <f>0.5</f>
        <v>0.5</v>
      </c>
      <c r="F406" s="81"/>
      <c r="G406" s="82">
        <f>ROUND(SUM(G403:G405)*E406/100,5)</f>
        <v>162.954</v>
      </c>
    </row>
    <row r="407" spans="1:7" ht="15.75">
      <c r="A407" s="12" t="s">
        <v>0</v>
      </c>
      <c r="B407" s="13" t="s">
        <v>0</v>
      </c>
      <c r="C407" s="13" t="s">
        <v>459</v>
      </c>
      <c r="D407" s="13" t="s">
        <v>0</v>
      </c>
      <c r="E407" s="80"/>
      <c r="F407" s="81"/>
      <c r="G407" s="83">
        <f>ROUND(SUM(G408:G411),5)</f>
        <v>22193.6</v>
      </c>
    </row>
    <row r="408" spans="1:7" ht="15">
      <c r="A408" s="12" t="s">
        <v>0</v>
      </c>
      <c r="B408" s="13" t="s">
        <v>0</v>
      </c>
      <c r="C408" s="13" t="s">
        <v>40</v>
      </c>
      <c r="D408" s="13" t="s">
        <v>8</v>
      </c>
      <c r="E408" s="80">
        <f>0.088</f>
        <v>0.088</v>
      </c>
      <c r="F408" s="81">
        <f>'Gia NC,CM'!P10</f>
        <v>252200</v>
      </c>
      <c r="G408" s="82">
        <f>ROUND(E408*F408,5)</f>
        <v>22193.6</v>
      </c>
    </row>
    <row r="409" spans="1:7" ht="15">
      <c r="A409" s="12" t="s">
        <v>0</v>
      </c>
      <c r="B409" s="13" t="s">
        <v>0</v>
      </c>
      <c r="C409" s="13" t="s">
        <v>0</v>
      </c>
      <c r="D409" s="13" t="s">
        <v>0</v>
      </c>
      <c r="E409" s="80"/>
      <c r="F409" s="81"/>
      <c r="G409" s="82"/>
    </row>
    <row r="410" spans="1:7" ht="15">
      <c r="A410" s="12" t="s">
        <v>211</v>
      </c>
      <c r="B410" s="13" t="s">
        <v>219</v>
      </c>
      <c r="C410" s="13" t="s">
        <v>220</v>
      </c>
      <c r="D410" s="13" t="s">
        <v>221</v>
      </c>
      <c r="E410" s="80"/>
      <c r="F410" s="81"/>
      <c r="G410" s="82"/>
    </row>
    <row r="411" spans="1:7" ht="15">
      <c r="A411" s="12" t="s">
        <v>0</v>
      </c>
      <c r="B411" s="13" t="s">
        <v>0</v>
      </c>
      <c r="C411" s="13" t="s">
        <v>222</v>
      </c>
      <c r="D411" s="13" t="s">
        <v>0</v>
      </c>
      <c r="E411" s="80"/>
      <c r="F411" s="81"/>
      <c r="G411" s="82"/>
    </row>
    <row r="412" spans="1:7" ht="15.75">
      <c r="A412" s="12" t="s">
        <v>0</v>
      </c>
      <c r="B412" s="13" t="s">
        <v>0</v>
      </c>
      <c r="C412" s="13" t="s">
        <v>462</v>
      </c>
      <c r="D412" s="13" t="s">
        <v>0</v>
      </c>
      <c r="E412" s="80"/>
      <c r="F412" s="81"/>
      <c r="G412" s="83">
        <f>ROUND(SUM(G413:G414),5)</f>
        <v>6187.7044</v>
      </c>
    </row>
    <row r="413" spans="1:7" ht="15">
      <c r="A413" s="12" t="s">
        <v>0</v>
      </c>
      <c r="B413" s="13" t="s">
        <v>0</v>
      </c>
      <c r="C413" s="13" t="s">
        <v>223</v>
      </c>
      <c r="D413" s="13" t="s">
        <v>224</v>
      </c>
      <c r="E413" s="80">
        <f>1.01</f>
        <v>1.01</v>
      </c>
      <c r="F413" s="81">
        <f>'Gia VL'!R23</f>
        <v>5948</v>
      </c>
      <c r="G413" s="82">
        <f>ROUND(E413*F413,5)</f>
        <v>6007.48</v>
      </c>
    </row>
    <row r="414" spans="1:7" ht="15">
      <c r="A414" s="12" t="s">
        <v>0</v>
      </c>
      <c r="B414" s="13" t="s">
        <v>0</v>
      </c>
      <c r="C414" s="13" t="s">
        <v>461</v>
      </c>
      <c r="D414" s="13" t="s">
        <v>460</v>
      </c>
      <c r="E414" s="80">
        <f>3</f>
        <v>3</v>
      </c>
      <c r="F414" s="81"/>
      <c r="G414" s="82">
        <f>ROUND(SUM(G413:G413)*E414/100,5)</f>
        <v>180.2244</v>
      </c>
    </row>
    <row r="415" spans="1:7" ht="15.75">
      <c r="A415" s="12" t="s">
        <v>0</v>
      </c>
      <c r="B415" s="13" t="s">
        <v>0</v>
      </c>
      <c r="C415" s="13" t="s">
        <v>459</v>
      </c>
      <c r="D415" s="13" t="s">
        <v>0</v>
      </c>
      <c r="E415" s="80"/>
      <c r="F415" s="81"/>
      <c r="G415" s="83">
        <f>ROUND(SUM(G416:G419),5)</f>
        <v>6052.8</v>
      </c>
    </row>
    <row r="416" spans="1:7" ht="15">
      <c r="A416" s="12" t="s">
        <v>0</v>
      </c>
      <c r="B416" s="13" t="s">
        <v>0</v>
      </c>
      <c r="C416" s="13" t="s">
        <v>40</v>
      </c>
      <c r="D416" s="13" t="s">
        <v>8</v>
      </c>
      <c r="E416" s="80">
        <f>0.024</f>
        <v>0.024</v>
      </c>
      <c r="F416" s="81">
        <f>'Gia NC,CM'!P10</f>
        <v>252200</v>
      </c>
      <c r="G416" s="82">
        <f>ROUND(E416*F416,5)</f>
        <v>6052.8</v>
      </c>
    </row>
    <row r="417" spans="1:7" ht="15">
      <c r="A417" s="12" t="s">
        <v>0</v>
      </c>
      <c r="B417" s="13" t="s">
        <v>0</v>
      </c>
      <c r="C417" s="13" t="s">
        <v>0</v>
      </c>
      <c r="D417" s="13" t="s">
        <v>0</v>
      </c>
      <c r="E417" s="80"/>
      <c r="F417" s="81"/>
      <c r="G417" s="82"/>
    </row>
    <row r="418" spans="1:7" ht="15">
      <c r="A418" s="12" t="s">
        <v>218</v>
      </c>
      <c r="B418" s="13" t="s">
        <v>226</v>
      </c>
      <c r="C418" s="13" t="s">
        <v>227</v>
      </c>
      <c r="D418" s="13" t="s">
        <v>228</v>
      </c>
      <c r="E418" s="80"/>
      <c r="F418" s="81"/>
      <c r="G418" s="82"/>
    </row>
    <row r="419" spans="1:7" ht="15">
      <c r="A419" s="12" t="s">
        <v>0</v>
      </c>
      <c r="B419" s="13" t="s">
        <v>0</v>
      </c>
      <c r="C419" s="13" t="s">
        <v>229</v>
      </c>
      <c r="D419" s="13" t="s">
        <v>0</v>
      </c>
      <c r="E419" s="80"/>
      <c r="F419" s="81"/>
      <c r="G419" s="82"/>
    </row>
    <row r="420" spans="1:7" ht="15.75">
      <c r="A420" s="12" t="s">
        <v>0</v>
      </c>
      <c r="B420" s="13" t="s">
        <v>0</v>
      </c>
      <c r="C420" s="13" t="s">
        <v>462</v>
      </c>
      <c r="D420" s="13" t="s">
        <v>0</v>
      </c>
      <c r="E420" s="80"/>
      <c r="F420" s="81"/>
      <c r="G420" s="83">
        <f>ROUND(SUM(G421:G422),5)</f>
        <v>7600.887</v>
      </c>
    </row>
    <row r="421" spans="1:7" ht="15">
      <c r="A421" s="12" t="s">
        <v>0</v>
      </c>
      <c r="B421" s="13" t="s">
        <v>0</v>
      </c>
      <c r="C421" s="13" t="s">
        <v>230</v>
      </c>
      <c r="D421" s="13" t="s">
        <v>224</v>
      </c>
      <c r="E421" s="80">
        <f>1.02</f>
        <v>1.02</v>
      </c>
      <c r="F421" s="81">
        <f>'Gia VL'!R67</f>
        <v>7097</v>
      </c>
      <c r="G421" s="82">
        <f>ROUND(E421*F421,5)</f>
        <v>7238.94</v>
      </c>
    </row>
    <row r="422" spans="1:7" ht="15">
      <c r="A422" s="12" t="s">
        <v>0</v>
      </c>
      <c r="B422" s="13" t="s">
        <v>0</v>
      </c>
      <c r="C422" s="13" t="s">
        <v>461</v>
      </c>
      <c r="D422" s="13" t="s">
        <v>460</v>
      </c>
      <c r="E422" s="80">
        <f>5</f>
        <v>5</v>
      </c>
      <c r="F422" s="81"/>
      <c r="G422" s="82">
        <f>ROUND(SUM(G421:G421)*E422/100,5)</f>
        <v>361.947</v>
      </c>
    </row>
    <row r="423" spans="1:7" ht="15.75">
      <c r="A423" s="12" t="s">
        <v>0</v>
      </c>
      <c r="B423" s="13" t="s">
        <v>0</v>
      </c>
      <c r="C423" s="13" t="s">
        <v>459</v>
      </c>
      <c r="D423" s="13" t="s">
        <v>0</v>
      </c>
      <c r="E423" s="80"/>
      <c r="F423" s="81"/>
      <c r="G423" s="83">
        <f>ROUND(SUM(G424:G424),5)</f>
        <v>8574.8</v>
      </c>
    </row>
    <row r="424" spans="1:7" ht="15">
      <c r="A424" s="12" t="s">
        <v>0</v>
      </c>
      <c r="B424" s="13" t="s">
        <v>0</v>
      </c>
      <c r="C424" s="13" t="s">
        <v>40</v>
      </c>
      <c r="D424" s="13" t="s">
        <v>8</v>
      </c>
      <c r="E424" s="80">
        <f>0.034</f>
        <v>0.034</v>
      </c>
      <c r="F424" s="81">
        <f>'Gia NC,CM'!P10</f>
        <v>252200</v>
      </c>
      <c r="G424" s="82">
        <f>ROUND(E424*F424,5)</f>
        <v>8574.8</v>
      </c>
    </row>
    <row r="425" spans="1:7" ht="15.75">
      <c r="A425" s="12" t="s">
        <v>0</v>
      </c>
      <c r="B425" s="13" t="s">
        <v>0</v>
      </c>
      <c r="C425" s="13" t="s">
        <v>458</v>
      </c>
      <c r="D425" s="13" t="s">
        <v>0</v>
      </c>
      <c r="E425" s="80"/>
      <c r="F425" s="81"/>
      <c r="G425" s="83">
        <f>ROUND(SUM(G426:G429),5)</f>
        <v>150.419</v>
      </c>
    </row>
    <row r="426" spans="1:7" ht="15">
      <c r="A426" s="12" t="s">
        <v>0</v>
      </c>
      <c r="B426" s="13" t="s">
        <v>0</v>
      </c>
      <c r="C426" s="13" t="s">
        <v>231</v>
      </c>
      <c r="D426" s="13" t="s">
        <v>20</v>
      </c>
      <c r="E426" s="80">
        <f>0.01</f>
        <v>0.01</v>
      </c>
      <c r="F426" s="81">
        <f>'Gia NC,CM'!P17</f>
        <v>15041.9</v>
      </c>
      <c r="G426" s="82">
        <f>ROUND(E426*F426,5)</f>
        <v>150.419</v>
      </c>
    </row>
    <row r="427" spans="1:7" ht="15">
      <c r="A427" s="12" t="s">
        <v>0</v>
      </c>
      <c r="B427" s="13" t="s">
        <v>0</v>
      </c>
      <c r="C427" s="13" t="s">
        <v>0</v>
      </c>
      <c r="D427" s="13" t="s">
        <v>0</v>
      </c>
      <c r="E427" s="80"/>
      <c r="F427" s="81"/>
      <c r="G427" s="82"/>
    </row>
    <row r="428" spans="1:7" ht="15">
      <c r="A428" s="12" t="s">
        <v>225</v>
      </c>
      <c r="B428" s="13" t="s">
        <v>234</v>
      </c>
      <c r="C428" s="13" t="s">
        <v>235</v>
      </c>
      <c r="D428" s="13" t="s">
        <v>236</v>
      </c>
      <c r="E428" s="80"/>
      <c r="F428" s="81"/>
      <c r="G428" s="82"/>
    </row>
    <row r="429" spans="1:7" ht="15">
      <c r="A429" s="12" t="s">
        <v>0</v>
      </c>
      <c r="B429" s="13" t="s">
        <v>0</v>
      </c>
      <c r="C429" s="13" t="s">
        <v>237</v>
      </c>
      <c r="D429" s="13" t="s">
        <v>0</v>
      </c>
      <c r="E429" s="80"/>
      <c r="F429" s="81"/>
      <c r="G429" s="82"/>
    </row>
    <row r="430" spans="1:7" ht="15.75">
      <c r="A430" s="12" t="s">
        <v>0</v>
      </c>
      <c r="B430" s="13" t="s">
        <v>0</v>
      </c>
      <c r="C430" s="13" t="s">
        <v>457</v>
      </c>
      <c r="D430" s="13" t="s">
        <v>0</v>
      </c>
      <c r="E430" s="80"/>
      <c r="F430" s="81"/>
      <c r="G430" s="83">
        <f>ROUND(SUM(G431:G434),5)</f>
        <v>67753.352</v>
      </c>
    </row>
    <row r="431" spans="1:7" ht="15">
      <c r="A431" s="12" t="s">
        <v>0</v>
      </c>
      <c r="B431" s="13" t="s">
        <v>0</v>
      </c>
      <c r="C431" s="13" t="s">
        <v>7</v>
      </c>
      <c r="D431" s="13" t="s">
        <v>8</v>
      </c>
      <c r="E431" s="80">
        <f>0.31</f>
        <v>0.31</v>
      </c>
      <c r="F431" s="81">
        <f>'Gia NC,CM'!P8</f>
        <v>218559.2</v>
      </c>
      <c r="G431" s="82">
        <f>ROUND(E431*F431,5)</f>
        <v>67753.352</v>
      </c>
    </row>
    <row r="432" spans="1:7" ht="15">
      <c r="A432" s="12" t="s">
        <v>0</v>
      </c>
      <c r="B432" s="13" t="s">
        <v>0</v>
      </c>
      <c r="C432" s="13" t="s">
        <v>0</v>
      </c>
      <c r="D432" s="13" t="s">
        <v>0</v>
      </c>
      <c r="E432" s="80"/>
      <c r="F432" s="81"/>
      <c r="G432" s="82"/>
    </row>
    <row r="433" spans="1:7" ht="15">
      <c r="A433" s="12" t="s">
        <v>233</v>
      </c>
      <c r="B433" s="13" t="s">
        <v>239</v>
      </c>
      <c r="C433" s="13" t="s">
        <v>235</v>
      </c>
      <c r="D433" s="13" t="s">
        <v>27</v>
      </c>
      <c r="E433" s="80"/>
      <c r="F433" s="81"/>
      <c r="G433" s="82"/>
    </row>
    <row r="434" spans="1:7" ht="15">
      <c r="A434" s="12" t="s">
        <v>0</v>
      </c>
      <c r="B434" s="13" t="s">
        <v>0</v>
      </c>
      <c r="C434" s="13" t="s">
        <v>240</v>
      </c>
      <c r="D434" s="13" t="s">
        <v>0</v>
      </c>
      <c r="E434" s="80"/>
      <c r="F434" s="81"/>
      <c r="G434" s="82"/>
    </row>
    <row r="435" spans="1:7" ht="15.75">
      <c r="A435" s="12" t="s">
        <v>0</v>
      </c>
      <c r="B435" s="13" t="s">
        <v>0</v>
      </c>
      <c r="C435" s="13" t="s">
        <v>457</v>
      </c>
      <c r="D435" s="13" t="s">
        <v>0</v>
      </c>
      <c r="E435" s="80"/>
      <c r="F435" s="81"/>
      <c r="G435" s="83">
        <f>ROUND(SUM(G436:G439),5)</f>
        <v>19670.328</v>
      </c>
    </row>
    <row r="436" spans="1:7" ht="15">
      <c r="A436" s="12" t="s">
        <v>0</v>
      </c>
      <c r="B436" s="13" t="s">
        <v>0</v>
      </c>
      <c r="C436" s="13" t="s">
        <v>7</v>
      </c>
      <c r="D436" s="13" t="s">
        <v>8</v>
      </c>
      <c r="E436" s="80">
        <f>0.09</f>
        <v>0.09</v>
      </c>
      <c r="F436" s="81">
        <f>'Gia NC,CM'!P8</f>
        <v>218559.2</v>
      </c>
      <c r="G436" s="82">
        <f>ROUND(E436*F436,5)</f>
        <v>19670.328</v>
      </c>
    </row>
    <row r="437" spans="1:7" ht="15">
      <c r="A437" s="12" t="s">
        <v>0</v>
      </c>
      <c r="B437" s="13" t="s">
        <v>0</v>
      </c>
      <c r="C437" s="13" t="s">
        <v>0</v>
      </c>
      <c r="D437" s="13" t="s">
        <v>0</v>
      </c>
      <c r="E437" s="80"/>
      <c r="F437" s="81"/>
      <c r="G437" s="82"/>
    </row>
    <row r="438" spans="1:7" ht="15">
      <c r="A438" s="12" t="s">
        <v>238</v>
      </c>
      <c r="B438" s="13" t="s">
        <v>242</v>
      </c>
      <c r="C438" s="13" t="s">
        <v>235</v>
      </c>
      <c r="D438" s="13" t="s">
        <v>243</v>
      </c>
      <c r="E438" s="80"/>
      <c r="F438" s="81"/>
      <c r="G438" s="82"/>
    </row>
    <row r="439" spans="1:7" ht="15">
      <c r="A439" s="12" t="s">
        <v>0</v>
      </c>
      <c r="B439" s="13" t="s">
        <v>0</v>
      </c>
      <c r="C439" s="13" t="s">
        <v>244</v>
      </c>
      <c r="D439" s="13" t="s">
        <v>0</v>
      </c>
      <c r="E439" s="80"/>
      <c r="F439" s="81"/>
      <c r="G439" s="82"/>
    </row>
    <row r="440" spans="1:7" ht="15.75">
      <c r="A440" s="12" t="s">
        <v>0</v>
      </c>
      <c r="B440" s="13" t="s">
        <v>0</v>
      </c>
      <c r="C440" s="13" t="s">
        <v>457</v>
      </c>
      <c r="D440" s="13" t="s">
        <v>0</v>
      </c>
      <c r="E440" s="80"/>
      <c r="F440" s="81"/>
      <c r="G440" s="83">
        <f>ROUND(SUM(G441:G444),5)</f>
        <v>45897.432</v>
      </c>
    </row>
    <row r="441" spans="1:7" ht="15">
      <c r="A441" s="12" t="s">
        <v>0</v>
      </c>
      <c r="B441" s="13" t="s">
        <v>0</v>
      </c>
      <c r="C441" s="13" t="s">
        <v>7</v>
      </c>
      <c r="D441" s="13" t="s">
        <v>8</v>
      </c>
      <c r="E441" s="80">
        <f>0.21</f>
        <v>0.21</v>
      </c>
      <c r="F441" s="81">
        <f>'Gia NC,CM'!P8</f>
        <v>218559.2</v>
      </c>
      <c r="G441" s="82">
        <f>ROUND(E441*F441,5)</f>
        <v>45897.432</v>
      </c>
    </row>
    <row r="442" spans="1:7" ht="15">
      <c r="A442" s="12" t="s">
        <v>0</v>
      </c>
      <c r="B442" s="13" t="s">
        <v>0</v>
      </c>
      <c r="C442" s="13" t="s">
        <v>0</v>
      </c>
      <c r="D442" s="13" t="s">
        <v>0</v>
      </c>
      <c r="E442" s="80"/>
      <c r="F442" s="81"/>
      <c r="G442" s="82"/>
    </row>
    <row r="443" spans="1:7" ht="15">
      <c r="A443" s="12" t="s">
        <v>241</v>
      </c>
      <c r="B443" s="13" t="s">
        <v>246</v>
      </c>
      <c r="C443" s="13" t="s">
        <v>247</v>
      </c>
      <c r="D443" s="13" t="s">
        <v>248</v>
      </c>
      <c r="E443" s="80"/>
      <c r="F443" s="81"/>
      <c r="G443" s="82"/>
    </row>
    <row r="444" spans="1:7" ht="15">
      <c r="A444" s="12" t="s">
        <v>0</v>
      </c>
      <c r="B444" s="13" t="s">
        <v>0</v>
      </c>
      <c r="C444" s="13" t="s">
        <v>249</v>
      </c>
      <c r="D444" s="13" t="s">
        <v>0</v>
      </c>
      <c r="E444" s="80"/>
      <c r="F444" s="81"/>
      <c r="G444" s="82"/>
    </row>
    <row r="445" spans="1:7" ht="15.75">
      <c r="A445" s="12" t="s">
        <v>0</v>
      </c>
      <c r="B445" s="13" t="s">
        <v>0</v>
      </c>
      <c r="C445" s="13" t="s">
        <v>456</v>
      </c>
      <c r="D445" s="13" t="s">
        <v>0</v>
      </c>
      <c r="E445" s="80"/>
      <c r="F445" s="81"/>
      <c r="G445" s="83">
        <f>ROUND(SUM(G446:G449),5)</f>
        <v>47008.4634</v>
      </c>
    </row>
    <row r="446" spans="1:7" ht="15">
      <c r="A446" s="12" t="s">
        <v>0</v>
      </c>
      <c r="B446" s="13" t="s">
        <v>0</v>
      </c>
      <c r="C446" s="13" t="s">
        <v>250</v>
      </c>
      <c r="D446" s="13" t="s">
        <v>20</v>
      </c>
      <c r="E446" s="80">
        <f>0.027</f>
        <v>0.027</v>
      </c>
      <c r="F446" s="81">
        <f>'Gia NC,CM'!P23</f>
        <v>1741054.2</v>
      </c>
      <c r="G446" s="82">
        <f>ROUND(E446*F446,5)</f>
        <v>47008.4634</v>
      </c>
    </row>
    <row r="447" spans="1:7" ht="15">
      <c r="A447" s="12" t="s">
        <v>0</v>
      </c>
      <c r="B447" s="13" t="s">
        <v>0</v>
      </c>
      <c r="C447" s="13" t="s">
        <v>0</v>
      </c>
      <c r="D447" s="13" t="s">
        <v>0</v>
      </c>
      <c r="E447" s="80"/>
      <c r="F447" s="81"/>
      <c r="G447" s="82"/>
    </row>
    <row r="448" spans="1:7" ht="15">
      <c r="A448" s="12" t="s">
        <v>245</v>
      </c>
      <c r="B448" s="13" t="s">
        <v>252</v>
      </c>
      <c r="C448" s="13" t="s">
        <v>247</v>
      </c>
      <c r="D448" s="13" t="s">
        <v>248</v>
      </c>
      <c r="E448" s="80"/>
      <c r="F448" s="81"/>
      <c r="G448" s="82"/>
    </row>
    <row r="449" spans="1:7" ht="15">
      <c r="A449" s="12" t="s">
        <v>0</v>
      </c>
      <c r="B449" s="13" t="s">
        <v>0</v>
      </c>
      <c r="C449" s="13" t="s">
        <v>253</v>
      </c>
      <c r="D449" s="13" t="s">
        <v>0</v>
      </c>
      <c r="E449" s="80"/>
      <c r="F449" s="81"/>
      <c r="G449" s="82"/>
    </row>
    <row r="450" spans="1:7" ht="15.75">
      <c r="A450" s="12" t="s">
        <v>0</v>
      </c>
      <c r="B450" s="13" t="s">
        <v>0</v>
      </c>
      <c r="C450" s="13" t="s">
        <v>456</v>
      </c>
      <c r="D450" s="13" t="s">
        <v>0</v>
      </c>
      <c r="E450" s="80"/>
      <c r="F450" s="81"/>
      <c r="G450" s="83">
        <f>ROUND(SUM(G451:G454),5)</f>
        <v>33080.0298</v>
      </c>
    </row>
    <row r="451" spans="1:7" ht="15">
      <c r="A451" s="12" t="s">
        <v>0</v>
      </c>
      <c r="B451" s="13" t="s">
        <v>0</v>
      </c>
      <c r="C451" s="13" t="s">
        <v>250</v>
      </c>
      <c r="D451" s="13" t="s">
        <v>20</v>
      </c>
      <c r="E451" s="80">
        <f>0.019</f>
        <v>0.019</v>
      </c>
      <c r="F451" s="81">
        <f>'Gia NC,CM'!P23</f>
        <v>1741054.2</v>
      </c>
      <c r="G451" s="82">
        <f>ROUND(E451*F451,5)</f>
        <v>33080.0298</v>
      </c>
    </row>
    <row r="452" spans="1:7" ht="15">
      <c r="A452" s="12" t="s">
        <v>0</v>
      </c>
      <c r="B452" s="13" t="s">
        <v>0</v>
      </c>
      <c r="C452" s="13" t="s">
        <v>0</v>
      </c>
      <c r="D452" s="13" t="s">
        <v>0</v>
      </c>
      <c r="E452" s="80"/>
      <c r="F452" s="81"/>
      <c r="G452" s="82"/>
    </row>
    <row r="453" spans="1:7" ht="15">
      <c r="A453" s="12" t="s">
        <v>251</v>
      </c>
      <c r="B453" s="13" t="s">
        <v>255</v>
      </c>
      <c r="C453" s="13" t="s">
        <v>247</v>
      </c>
      <c r="D453" s="13" t="s">
        <v>248</v>
      </c>
      <c r="E453" s="80"/>
      <c r="F453" s="81"/>
      <c r="G453" s="82"/>
    </row>
    <row r="454" spans="1:7" ht="15">
      <c r="A454" s="12" t="s">
        <v>0</v>
      </c>
      <c r="B454" s="13" t="s">
        <v>0</v>
      </c>
      <c r="C454" s="13" t="s">
        <v>256</v>
      </c>
      <c r="D454" s="13" t="s">
        <v>0</v>
      </c>
      <c r="E454" s="80"/>
      <c r="F454" s="81"/>
      <c r="G454" s="82"/>
    </row>
    <row r="455" spans="1:7" ht="15.75">
      <c r="A455" s="12" t="s">
        <v>0</v>
      </c>
      <c r="B455" s="13" t="s">
        <v>0</v>
      </c>
      <c r="C455" s="13" t="s">
        <v>456</v>
      </c>
      <c r="D455" s="13" t="s">
        <v>0</v>
      </c>
      <c r="E455" s="80"/>
      <c r="F455" s="81"/>
      <c r="G455" s="83">
        <f>ROUND(SUM(G456:G459),5)</f>
        <v>24374.7588</v>
      </c>
    </row>
    <row r="456" spans="1:7" ht="15">
      <c r="A456" s="12" t="s">
        <v>0</v>
      </c>
      <c r="B456" s="13" t="s">
        <v>0</v>
      </c>
      <c r="C456" s="13" t="s">
        <v>250</v>
      </c>
      <c r="D456" s="13" t="s">
        <v>20</v>
      </c>
      <c r="E456" s="80">
        <f>0.014</f>
        <v>0.014</v>
      </c>
      <c r="F456" s="81">
        <f>'Gia NC,CM'!P23</f>
        <v>1741054.2</v>
      </c>
      <c r="G456" s="82">
        <f>ROUND(E456*F456,5)</f>
        <v>24374.7588</v>
      </c>
    </row>
    <row r="457" spans="1:7" ht="15">
      <c r="A457" s="12" t="s">
        <v>0</v>
      </c>
      <c r="B457" s="13" t="s">
        <v>0</v>
      </c>
      <c r="C457" s="13" t="s">
        <v>0</v>
      </c>
      <c r="D457" s="13" t="s">
        <v>0</v>
      </c>
      <c r="E457" s="80"/>
      <c r="F457" s="81"/>
      <c r="G457" s="82"/>
    </row>
    <row r="458" spans="1:7" ht="15">
      <c r="A458" s="12" t="s">
        <v>254</v>
      </c>
      <c r="B458" s="13" t="s">
        <v>258</v>
      </c>
      <c r="C458" s="13" t="s">
        <v>259</v>
      </c>
      <c r="D458" s="13" t="s">
        <v>248</v>
      </c>
      <c r="E458" s="80"/>
      <c r="F458" s="81"/>
      <c r="G458" s="82"/>
    </row>
    <row r="459" spans="1:7" ht="15">
      <c r="A459" s="12" t="s">
        <v>0</v>
      </c>
      <c r="B459" s="13" t="s">
        <v>0</v>
      </c>
      <c r="C459" s="13" t="s">
        <v>249</v>
      </c>
      <c r="D459" s="13" t="s">
        <v>0</v>
      </c>
      <c r="E459" s="80"/>
      <c r="F459" s="81"/>
      <c r="G459" s="82"/>
    </row>
    <row r="460" spans="1:7" ht="15.75">
      <c r="A460" s="12" t="s">
        <v>0</v>
      </c>
      <c r="B460" s="13" t="s">
        <v>0</v>
      </c>
      <c r="C460" s="13" t="s">
        <v>456</v>
      </c>
      <c r="D460" s="13" t="s">
        <v>0</v>
      </c>
      <c r="E460" s="80"/>
      <c r="F460" s="81"/>
      <c r="G460" s="83">
        <f>ROUND(SUM(G461:G464),5)</f>
        <v>96778.5368</v>
      </c>
    </row>
    <row r="461" spans="1:7" ht="15">
      <c r="A461" s="12" t="s">
        <v>0</v>
      </c>
      <c r="B461" s="13" t="s">
        <v>0</v>
      </c>
      <c r="C461" s="13" t="s">
        <v>260</v>
      </c>
      <c r="D461" s="13" t="s">
        <v>20</v>
      </c>
      <c r="E461" s="80">
        <f>0.076</f>
        <v>0.076</v>
      </c>
      <c r="F461" s="81">
        <f>'Gia NC,CM'!P24</f>
        <v>1273401.8</v>
      </c>
      <c r="G461" s="82">
        <f>ROUND(E461*F461,5)</f>
        <v>96778.5368</v>
      </c>
    </row>
    <row r="462" spans="1:7" ht="15">
      <c r="A462" s="12" t="s">
        <v>0</v>
      </c>
      <c r="B462" s="13" t="s">
        <v>0</v>
      </c>
      <c r="C462" s="13" t="s">
        <v>0</v>
      </c>
      <c r="D462" s="13" t="s">
        <v>0</v>
      </c>
      <c r="E462" s="80"/>
      <c r="F462" s="81"/>
      <c r="G462" s="82"/>
    </row>
    <row r="463" spans="1:7" ht="15">
      <c r="A463" s="12" t="s">
        <v>257</v>
      </c>
      <c r="B463" s="13" t="s">
        <v>262</v>
      </c>
      <c r="C463" s="13" t="s">
        <v>259</v>
      </c>
      <c r="D463" s="13" t="s">
        <v>263</v>
      </c>
      <c r="E463" s="80"/>
      <c r="F463" s="81"/>
      <c r="G463" s="82"/>
    </row>
    <row r="464" spans="1:7" ht="15">
      <c r="A464" s="12" t="s">
        <v>0</v>
      </c>
      <c r="B464" s="13" t="s">
        <v>0</v>
      </c>
      <c r="C464" s="13" t="s">
        <v>253</v>
      </c>
      <c r="D464" s="13" t="s">
        <v>0</v>
      </c>
      <c r="E464" s="80"/>
      <c r="F464" s="81"/>
      <c r="G464" s="82"/>
    </row>
    <row r="465" spans="1:7" ht="15.75">
      <c r="A465" s="12" t="s">
        <v>0</v>
      </c>
      <c r="B465" s="13" t="s">
        <v>0</v>
      </c>
      <c r="C465" s="13" t="s">
        <v>456</v>
      </c>
      <c r="D465" s="13" t="s">
        <v>0</v>
      </c>
      <c r="E465" s="80"/>
      <c r="F465" s="81"/>
      <c r="G465" s="83">
        <f>ROUND(SUM(G466:G469),5)</f>
        <v>70037.099</v>
      </c>
    </row>
    <row r="466" spans="1:7" ht="15">
      <c r="A466" s="12" t="s">
        <v>0</v>
      </c>
      <c r="B466" s="13" t="s">
        <v>0</v>
      </c>
      <c r="C466" s="13" t="s">
        <v>260</v>
      </c>
      <c r="D466" s="13" t="s">
        <v>20</v>
      </c>
      <c r="E466" s="80">
        <f>0.055</f>
        <v>0.055</v>
      </c>
      <c r="F466" s="81">
        <f>'Gia NC,CM'!P24</f>
        <v>1273401.8</v>
      </c>
      <c r="G466" s="82">
        <f>ROUND(E466*F466,5)</f>
        <v>70037.099</v>
      </c>
    </row>
    <row r="467" spans="1:7" ht="15">
      <c r="A467" s="12" t="s">
        <v>0</v>
      </c>
      <c r="B467" s="13" t="s">
        <v>0</v>
      </c>
      <c r="C467" s="13" t="s">
        <v>0</v>
      </c>
      <c r="D467" s="13" t="s">
        <v>0</v>
      </c>
      <c r="E467" s="80"/>
      <c r="F467" s="81"/>
      <c r="G467" s="82"/>
    </row>
    <row r="468" spans="1:7" ht="15">
      <c r="A468" s="12" t="s">
        <v>261</v>
      </c>
      <c r="B468" s="13" t="s">
        <v>265</v>
      </c>
      <c r="C468" s="13" t="s">
        <v>259</v>
      </c>
      <c r="D468" s="13" t="s">
        <v>263</v>
      </c>
      <c r="E468" s="80"/>
      <c r="F468" s="81"/>
      <c r="G468" s="82"/>
    </row>
    <row r="469" spans="1:7" ht="15">
      <c r="A469" s="12" t="s">
        <v>0</v>
      </c>
      <c r="B469" s="13" t="s">
        <v>0</v>
      </c>
      <c r="C469" s="13" t="s">
        <v>256</v>
      </c>
      <c r="D469" s="13" t="s">
        <v>0</v>
      </c>
      <c r="E469" s="80"/>
      <c r="F469" s="81"/>
      <c r="G469" s="82"/>
    </row>
    <row r="470" spans="1:7" ht="15.75">
      <c r="A470" s="12" t="s">
        <v>0</v>
      </c>
      <c r="B470" s="13" t="s">
        <v>0</v>
      </c>
      <c r="C470" s="13" t="s">
        <v>456</v>
      </c>
      <c r="D470" s="13" t="s">
        <v>0</v>
      </c>
      <c r="E470" s="80"/>
      <c r="F470" s="81"/>
      <c r="G470" s="83">
        <f>ROUND(SUM(G471:G474),5)</f>
        <v>47115.8666</v>
      </c>
    </row>
    <row r="471" spans="1:7" ht="15">
      <c r="A471" s="12" t="s">
        <v>0</v>
      </c>
      <c r="B471" s="13" t="s">
        <v>0</v>
      </c>
      <c r="C471" s="13" t="s">
        <v>260</v>
      </c>
      <c r="D471" s="13" t="s">
        <v>20</v>
      </c>
      <c r="E471" s="80">
        <f>0.037</f>
        <v>0.037</v>
      </c>
      <c r="F471" s="81">
        <f>'Gia NC,CM'!P24</f>
        <v>1273401.8</v>
      </c>
      <c r="G471" s="82">
        <f>ROUND(E471*F471,5)</f>
        <v>47115.8666</v>
      </c>
    </row>
    <row r="472" spans="1:7" ht="15">
      <c r="A472" s="12" t="s">
        <v>0</v>
      </c>
      <c r="B472" s="13" t="s">
        <v>0</v>
      </c>
      <c r="C472" s="13" t="s">
        <v>0</v>
      </c>
      <c r="D472" s="13" t="s">
        <v>0</v>
      </c>
      <c r="E472" s="80"/>
      <c r="F472" s="81"/>
      <c r="G472" s="82"/>
    </row>
    <row r="473" spans="1:7" ht="15">
      <c r="A473" s="12" t="s">
        <v>264</v>
      </c>
      <c r="B473" s="13" t="s">
        <v>267</v>
      </c>
      <c r="C473" s="13" t="s">
        <v>268</v>
      </c>
      <c r="D473" s="13" t="s">
        <v>263</v>
      </c>
      <c r="E473" s="80"/>
      <c r="F473" s="81"/>
      <c r="G473" s="82"/>
    </row>
    <row r="474" spans="1:7" ht="15">
      <c r="A474" s="12" t="s">
        <v>0</v>
      </c>
      <c r="B474" s="13" t="s">
        <v>0</v>
      </c>
      <c r="C474" s="13" t="s">
        <v>249</v>
      </c>
      <c r="D474" s="13" t="s">
        <v>0</v>
      </c>
      <c r="E474" s="80"/>
      <c r="F474" s="81"/>
      <c r="G474" s="82"/>
    </row>
    <row r="475" spans="1:7" ht="15.75">
      <c r="A475" s="12" t="s">
        <v>0</v>
      </c>
      <c r="B475" s="13" t="s">
        <v>0</v>
      </c>
      <c r="C475" s="13" t="s">
        <v>456</v>
      </c>
      <c r="D475" s="13" t="s">
        <v>0</v>
      </c>
      <c r="E475" s="80"/>
      <c r="F475" s="81"/>
      <c r="G475" s="83">
        <f>ROUND(SUM(G476:G479),5)</f>
        <v>52231.626</v>
      </c>
    </row>
    <row r="476" spans="1:7" ht="15">
      <c r="A476" s="12" t="s">
        <v>0</v>
      </c>
      <c r="B476" s="13" t="s">
        <v>0</v>
      </c>
      <c r="C476" s="13" t="s">
        <v>250</v>
      </c>
      <c r="D476" s="13" t="s">
        <v>20</v>
      </c>
      <c r="E476" s="80">
        <f>0.03</f>
        <v>0.03</v>
      </c>
      <c r="F476" s="81">
        <f>'Gia NC,CM'!P23</f>
        <v>1741054.2</v>
      </c>
      <c r="G476" s="82">
        <f>ROUND(E476*F476,5)</f>
        <v>52231.626</v>
      </c>
    </row>
    <row r="477" spans="1:7" ht="15">
      <c r="A477" s="12" t="s">
        <v>0</v>
      </c>
      <c r="B477" s="13" t="s">
        <v>0</v>
      </c>
      <c r="C477" s="13" t="s">
        <v>0</v>
      </c>
      <c r="D477" s="13" t="s">
        <v>0</v>
      </c>
      <c r="E477" s="80"/>
      <c r="F477" s="81"/>
      <c r="G477" s="82"/>
    </row>
    <row r="478" spans="1:7" ht="15">
      <c r="A478" s="12" t="s">
        <v>266</v>
      </c>
      <c r="B478" s="13" t="s">
        <v>270</v>
      </c>
      <c r="C478" s="13" t="s">
        <v>268</v>
      </c>
      <c r="D478" s="13" t="s">
        <v>248</v>
      </c>
      <c r="E478" s="80"/>
      <c r="F478" s="81"/>
      <c r="G478" s="82"/>
    </row>
    <row r="479" spans="1:7" ht="15">
      <c r="A479" s="12" t="s">
        <v>0</v>
      </c>
      <c r="B479" s="13" t="s">
        <v>0</v>
      </c>
      <c r="C479" s="13" t="s">
        <v>253</v>
      </c>
      <c r="D479" s="13" t="s">
        <v>0</v>
      </c>
      <c r="E479" s="80"/>
      <c r="F479" s="81"/>
      <c r="G479" s="82"/>
    </row>
    <row r="480" spans="1:7" ht="15.75">
      <c r="A480" s="12" t="s">
        <v>0</v>
      </c>
      <c r="B480" s="13" t="s">
        <v>0</v>
      </c>
      <c r="C480" s="13" t="s">
        <v>456</v>
      </c>
      <c r="D480" s="13" t="s">
        <v>0</v>
      </c>
      <c r="E480" s="80"/>
      <c r="F480" s="81"/>
      <c r="G480" s="83">
        <f>ROUND(SUM(G481:G484),5)</f>
        <v>36562.1382</v>
      </c>
    </row>
    <row r="481" spans="1:7" ht="15">
      <c r="A481" s="12" t="s">
        <v>0</v>
      </c>
      <c r="B481" s="13" t="s">
        <v>0</v>
      </c>
      <c r="C481" s="13" t="s">
        <v>250</v>
      </c>
      <c r="D481" s="13" t="s">
        <v>20</v>
      </c>
      <c r="E481" s="80">
        <f>0.021</f>
        <v>0.021</v>
      </c>
      <c r="F481" s="81">
        <f>'Gia NC,CM'!P23</f>
        <v>1741054.2</v>
      </c>
      <c r="G481" s="82">
        <f>ROUND(E481*F481,5)</f>
        <v>36562.1382</v>
      </c>
    </row>
    <row r="482" spans="1:7" ht="15">
      <c r="A482" s="12" t="s">
        <v>0</v>
      </c>
      <c r="B482" s="13" t="s">
        <v>0</v>
      </c>
      <c r="C482" s="13" t="s">
        <v>0</v>
      </c>
      <c r="D482" s="13" t="s">
        <v>0</v>
      </c>
      <c r="E482" s="80"/>
      <c r="F482" s="81"/>
      <c r="G482" s="82"/>
    </row>
    <row r="483" spans="1:7" ht="15">
      <c r="A483" s="12" t="s">
        <v>269</v>
      </c>
      <c r="B483" s="13" t="s">
        <v>272</v>
      </c>
      <c r="C483" s="13" t="s">
        <v>268</v>
      </c>
      <c r="D483" s="13" t="s">
        <v>248</v>
      </c>
      <c r="E483" s="80"/>
      <c r="F483" s="81"/>
      <c r="G483" s="82"/>
    </row>
    <row r="484" spans="1:7" ht="15">
      <c r="A484" s="12" t="s">
        <v>0</v>
      </c>
      <c r="B484" s="13" t="s">
        <v>0</v>
      </c>
      <c r="C484" s="13" t="s">
        <v>256</v>
      </c>
      <c r="D484" s="13" t="s">
        <v>0</v>
      </c>
      <c r="E484" s="80"/>
      <c r="F484" s="81"/>
      <c r="G484" s="82"/>
    </row>
    <row r="485" spans="1:7" ht="15.75">
      <c r="A485" s="12" t="s">
        <v>0</v>
      </c>
      <c r="B485" s="13" t="s">
        <v>0</v>
      </c>
      <c r="C485" s="13" t="s">
        <v>456</v>
      </c>
      <c r="D485" s="13" t="s">
        <v>0</v>
      </c>
      <c r="E485" s="80"/>
      <c r="F485" s="81"/>
      <c r="G485" s="83">
        <f>ROUND(SUM(G486:G489),5)</f>
        <v>26115.813</v>
      </c>
    </row>
    <row r="486" spans="1:7" ht="15">
      <c r="A486" s="12" t="s">
        <v>0</v>
      </c>
      <c r="B486" s="13" t="s">
        <v>0</v>
      </c>
      <c r="C486" s="13" t="s">
        <v>250</v>
      </c>
      <c r="D486" s="13" t="s">
        <v>20</v>
      </c>
      <c r="E486" s="80">
        <f>0.015</f>
        <v>0.015</v>
      </c>
      <c r="F486" s="81">
        <f>'Gia NC,CM'!P23</f>
        <v>1741054.2</v>
      </c>
      <c r="G486" s="82">
        <f>ROUND(E486*F486,5)</f>
        <v>26115.813</v>
      </c>
    </row>
    <row r="487" spans="1:7" ht="15">
      <c r="A487" s="12" t="s">
        <v>0</v>
      </c>
      <c r="B487" s="13" t="s">
        <v>0</v>
      </c>
      <c r="C487" s="13" t="s">
        <v>0</v>
      </c>
      <c r="D487" s="13" t="s">
        <v>0</v>
      </c>
      <c r="E487" s="80"/>
      <c r="F487" s="81"/>
      <c r="G487" s="82"/>
    </row>
    <row r="488" spans="1:7" ht="15">
      <c r="A488" s="12" t="s">
        <v>271</v>
      </c>
      <c r="B488" s="13" t="s">
        <v>274</v>
      </c>
      <c r="C488" s="13" t="s">
        <v>275</v>
      </c>
      <c r="D488" s="13" t="s">
        <v>248</v>
      </c>
      <c r="E488" s="80"/>
      <c r="F488" s="81"/>
      <c r="G488" s="82"/>
    </row>
    <row r="489" spans="1:7" ht="15">
      <c r="A489" s="12" t="s">
        <v>0</v>
      </c>
      <c r="B489" s="13" t="s">
        <v>0</v>
      </c>
      <c r="C489" s="13" t="s">
        <v>249</v>
      </c>
      <c r="D489" s="13" t="s">
        <v>0</v>
      </c>
      <c r="E489" s="80"/>
      <c r="F489" s="81"/>
      <c r="G489" s="82"/>
    </row>
    <row r="490" spans="1:7" ht="15.75">
      <c r="A490" s="12" t="s">
        <v>0</v>
      </c>
      <c r="B490" s="13" t="s">
        <v>0</v>
      </c>
      <c r="C490" s="13" t="s">
        <v>456</v>
      </c>
      <c r="D490" s="13" t="s">
        <v>0</v>
      </c>
      <c r="E490" s="80"/>
      <c r="F490" s="81"/>
      <c r="G490" s="83">
        <f>ROUND(SUM(G491:G494),5)</f>
        <v>137527.3944</v>
      </c>
    </row>
    <row r="491" spans="1:7" ht="15">
      <c r="A491" s="12" t="s">
        <v>0</v>
      </c>
      <c r="B491" s="13" t="s">
        <v>0</v>
      </c>
      <c r="C491" s="13" t="s">
        <v>260</v>
      </c>
      <c r="D491" s="13" t="s">
        <v>20</v>
      </c>
      <c r="E491" s="80">
        <f>0.108</f>
        <v>0.108</v>
      </c>
      <c r="F491" s="81">
        <f>'Gia NC,CM'!P24</f>
        <v>1273401.8</v>
      </c>
      <c r="G491" s="82">
        <f>ROUND(E491*F491,5)</f>
        <v>137527.3944</v>
      </c>
    </row>
    <row r="492" spans="1:7" ht="15">
      <c r="A492" s="12" t="s">
        <v>0</v>
      </c>
      <c r="B492" s="13" t="s">
        <v>0</v>
      </c>
      <c r="C492" s="13" t="s">
        <v>0</v>
      </c>
      <c r="D492" s="13" t="s">
        <v>0</v>
      </c>
      <c r="E492" s="80"/>
      <c r="F492" s="81"/>
      <c r="G492" s="82"/>
    </row>
    <row r="493" spans="1:7" ht="15">
      <c r="A493" s="12" t="s">
        <v>273</v>
      </c>
      <c r="B493" s="13" t="s">
        <v>277</v>
      </c>
      <c r="C493" s="13" t="s">
        <v>275</v>
      </c>
      <c r="D493" s="13" t="s">
        <v>263</v>
      </c>
      <c r="E493" s="80"/>
      <c r="F493" s="81"/>
      <c r="G493" s="82"/>
    </row>
    <row r="494" spans="1:7" ht="15">
      <c r="A494" s="12" t="s">
        <v>0</v>
      </c>
      <c r="B494" s="13" t="s">
        <v>0</v>
      </c>
      <c r="C494" s="13" t="s">
        <v>253</v>
      </c>
      <c r="D494" s="13" t="s">
        <v>0</v>
      </c>
      <c r="E494" s="80"/>
      <c r="F494" s="81"/>
      <c r="G494" s="82"/>
    </row>
    <row r="495" spans="1:7" ht="15.75">
      <c r="A495" s="12" t="s">
        <v>0</v>
      </c>
      <c r="B495" s="13" t="s">
        <v>0</v>
      </c>
      <c r="C495" s="13" t="s">
        <v>456</v>
      </c>
      <c r="D495" s="13" t="s">
        <v>0</v>
      </c>
      <c r="E495" s="80"/>
      <c r="F495" s="81"/>
      <c r="G495" s="83">
        <f>ROUND(SUM(G496:G499),5)</f>
        <v>99325.3404</v>
      </c>
    </row>
    <row r="496" spans="1:7" ht="15">
      <c r="A496" s="12" t="s">
        <v>0</v>
      </c>
      <c r="B496" s="13" t="s">
        <v>0</v>
      </c>
      <c r="C496" s="13" t="s">
        <v>260</v>
      </c>
      <c r="D496" s="13" t="s">
        <v>20</v>
      </c>
      <c r="E496" s="80">
        <f>0.078</f>
        <v>0.078</v>
      </c>
      <c r="F496" s="81">
        <f>'Gia NC,CM'!P24</f>
        <v>1273401.8</v>
      </c>
      <c r="G496" s="82">
        <f>ROUND(E496*F496,5)</f>
        <v>99325.3404</v>
      </c>
    </row>
    <row r="497" spans="1:7" ht="15">
      <c r="A497" s="12" t="s">
        <v>0</v>
      </c>
      <c r="B497" s="13" t="s">
        <v>0</v>
      </c>
      <c r="C497" s="13" t="s">
        <v>0</v>
      </c>
      <c r="D497" s="13" t="s">
        <v>0</v>
      </c>
      <c r="E497" s="80"/>
      <c r="F497" s="81"/>
      <c r="G497" s="82"/>
    </row>
    <row r="498" spans="1:7" ht="15">
      <c r="A498" s="12" t="s">
        <v>276</v>
      </c>
      <c r="B498" s="13" t="s">
        <v>279</v>
      </c>
      <c r="C498" s="13" t="s">
        <v>275</v>
      </c>
      <c r="D498" s="13" t="s">
        <v>263</v>
      </c>
      <c r="E498" s="80"/>
      <c r="F498" s="81"/>
      <c r="G498" s="82"/>
    </row>
    <row r="499" spans="1:7" ht="15">
      <c r="A499" s="12" t="s">
        <v>0</v>
      </c>
      <c r="B499" s="13" t="s">
        <v>0</v>
      </c>
      <c r="C499" s="13" t="s">
        <v>256</v>
      </c>
      <c r="D499" s="13" t="s">
        <v>0</v>
      </c>
      <c r="E499" s="80"/>
      <c r="F499" s="81"/>
      <c r="G499" s="82"/>
    </row>
    <row r="500" spans="1:7" ht="15.75">
      <c r="A500" s="12" t="s">
        <v>0</v>
      </c>
      <c r="B500" s="13" t="s">
        <v>0</v>
      </c>
      <c r="C500" s="13" t="s">
        <v>456</v>
      </c>
      <c r="D500" s="13" t="s">
        <v>0</v>
      </c>
      <c r="E500" s="80"/>
      <c r="F500" s="81"/>
      <c r="G500" s="83">
        <f>ROUND(SUM(G501:G504),5)</f>
        <v>67490.2954</v>
      </c>
    </row>
    <row r="501" spans="1:7" ht="15">
      <c r="A501" s="12" t="s">
        <v>0</v>
      </c>
      <c r="B501" s="13" t="s">
        <v>0</v>
      </c>
      <c r="C501" s="13" t="s">
        <v>260</v>
      </c>
      <c r="D501" s="13" t="s">
        <v>20</v>
      </c>
      <c r="E501" s="80">
        <f>0.053</f>
        <v>0.053</v>
      </c>
      <c r="F501" s="81">
        <f>'Gia NC,CM'!P24</f>
        <v>1273401.8</v>
      </c>
      <c r="G501" s="82">
        <f>ROUND(E501*F501,5)</f>
        <v>67490.2954</v>
      </c>
    </row>
    <row r="502" spans="1:7" ht="15">
      <c r="A502" s="12" t="s">
        <v>0</v>
      </c>
      <c r="B502" s="13" t="s">
        <v>0</v>
      </c>
      <c r="C502" s="13" t="s">
        <v>0</v>
      </c>
      <c r="D502" s="13" t="s">
        <v>0</v>
      </c>
      <c r="E502" s="80"/>
      <c r="F502" s="81"/>
      <c r="G502" s="82"/>
    </row>
    <row r="503" spans="1:7" ht="15">
      <c r="A503" s="12" t="s">
        <v>278</v>
      </c>
      <c r="B503" s="13" t="s">
        <v>281</v>
      </c>
      <c r="C503" s="13" t="s">
        <v>282</v>
      </c>
      <c r="D503" s="13" t="s">
        <v>263</v>
      </c>
      <c r="E503" s="80"/>
      <c r="F503" s="81"/>
      <c r="G503" s="82"/>
    </row>
    <row r="504" spans="1:7" ht="15">
      <c r="A504" s="12" t="s">
        <v>0</v>
      </c>
      <c r="B504" s="13" t="s">
        <v>0</v>
      </c>
      <c r="C504" s="13" t="s">
        <v>249</v>
      </c>
      <c r="D504" s="13" t="s">
        <v>0</v>
      </c>
      <c r="E504" s="80"/>
      <c r="F504" s="81"/>
      <c r="G504" s="82"/>
    </row>
    <row r="505" spans="1:7" ht="15.75">
      <c r="A505" s="12" t="s">
        <v>0</v>
      </c>
      <c r="B505" s="13" t="s">
        <v>0</v>
      </c>
      <c r="C505" s="13" t="s">
        <v>456</v>
      </c>
      <c r="D505" s="13" t="s">
        <v>0</v>
      </c>
      <c r="E505" s="80"/>
      <c r="F505" s="81"/>
      <c r="G505" s="83">
        <f>ROUND(SUM(G506:G509),5)</f>
        <v>59195.8428</v>
      </c>
    </row>
    <row r="506" spans="1:7" ht="15">
      <c r="A506" s="12" t="s">
        <v>0</v>
      </c>
      <c r="B506" s="13" t="s">
        <v>0</v>
      </c>
      <c r="C506" s="13" t="s">
        <v>250</v>
      </c>
      <c r="D506" s="13" t="s">
        <v>20</v>
      </c>
      <c r="E506" s="80">
        <f>0.034</f>
        <v>0.034</v>
      </c>
      <c r="F506" s="81">
        <f>'Gia NC,CM'!P23</f>
        <v>1741054.2</v>
      </c>
      <c r="G506" s="82">
        <f>ROUND(E506*F506,5)</f>
        <v>59195.8428</v>
      </c>
    </row>
    <row r="507" spans="1:7" ht="15">
      <c r="A507" s="12" t="s">
        <v>0</v>
      </c>
      <c r="B507" s="13" t="s">
        <v>0</v>
      </c>
      <c r="C507" s="13" t="s">
        <v>0</v>
      </c>
      <c r="D507" s="13" t="s">
        <v>0</v>
      </c>
      <c r="E507" s="80"/>
      <c r="F507" s="81"/>
      <c r="G507" s="82"/>
    </row>
    <row r="508" spans="1:7" ht="15">
      <c r="A508" s="12" t="s">
        <v>280</v>
      </c>
      <c r="B508" s="13" t="s">
        <v>284</v>
      </c>
      <c r="C508" s="13" t="s">
        <v>282</v>
      </c>
      <c r="D508" s="13" t="s">
        <v>248</v>
      </c>
      <c r="E508" s="80"/>
      <c r="F508" s="81"/>
      <c r="G508" s="82"/>
    </row>
    <row r="509" spans="1:7" ht="15">
      <c r="A509" s="12" t="s">
        <v>0</v>
      </c>
      <c r="B509" s="13" t="s">
        <v>0</v>
      </c>
      <c r="C509" s="13" t="s">
        <v>253</v>
      </c>
      <c r="D509" s="13" t="s">
        <v>0</v>
      </c>
      <c r="E509" s="80"/>
      <c r="F509" s="81"/>
      <c r="G509" s="82"/>
    </row>
    <row r="510" spans="1:7" ht="15.75">
      <c r="A510" s="12" t="s">
        <v>0</v>
      </c>
      <c r="B510" s="13" t="s">
        <v>0</v>
      </c>
      <c r="C510" s="13" t="s">
        <v>456</v>
      </c>
      <c r="D510" s="13" t="s">
        <v>0</v>
      </c>
      <c r="E510" s="80"/>
      <c r="F510" s="81"/>
      <c r="G510" s="83">
        <f>ROUND(SUM(G511:G514),5)</f>
        <v>43526.355</v>
      </c>
    </row>
    <row r="511" spans="1:7" ht="15">
      <c r="A511" s="12" t="s">
        <v>0</v>
      </c>
      <c r="B511" s="13" t="s">
        <v>0</v>
      </c>
      <c r="C511" s="13" t="s">
        <v>250</v>
      </c>
      <c r="D511" s="13" t="s">
        <v>20</v>
      </c>
      <c r="E511" s="80">
        <f>0.025</f>
        <v>0.025</v>
      </c>
      <c r="F511" s="81">
        <f>'Gia NC,CM'!P23</f>
        <v>1741054.2</v>
      </c>
      <c r="G511" s="82">
        <f>ROUND(E511*F511,5)</f>
        <v>43526.355</v>
      </c>
    </row>
    <row r="512" spans="1:7" ht="15">
      <c r="A512" s="12" t="s">
        <v>0</v>
      </c>
      <c r="B512" s="13" t="s">
        <v>0</v>
      </c>
      <c r="C512" s="13" t="s">
        <v>0</v>
      </c>
      <c r="D512" s="13" t="s">
        <v>0</v>
      </c>
      <c r="E512" s="80"/>
      <c r="F512" s="81"/>
      <c r="G512" s="82"/>
    </row>
    <row r="513" spans="1:7" ht="15">
      <c r="A513" s="12" t="s">
        <v>283</v>
      </c>
      <c r="B513" s="13" t="s">
        <v>286</v>
      </c>
      <c r="C513" s="13" t="s">
        <v>282</v>
      </c>
      <c r="D513" s="13" t="s">
        <v>248</v>
      </c>
      <c r="E513" s="80"/>
      <c r="F513" s="81"/>
      <c r="G513" s="82"/>
    </row>
    <row r="514" spans="1:7" ht="15">
      <c r="A514" s="12" t="s">
        <v>0</v>
      </c>
      <c r="B514" s="13" t="s">
        <v>0</v>
      </c>
      <c r="C514" s="13" t="s">
        <v>256</v>
      </c>
      <c r="D514" s="13" t="s">
        <v>0</v>
      </c>
      <c r="E514" s="80"/>
      <c r="F514" s="81"/>
      <c r="G514" s="82"/>
    </row>
    <row r="515" spans="1:7" ht="15.75">
      <c r="A515" s="12" t="s">
        <v>0</v>
      </c>
      <c r="B515" s="13" t="s">
        <v>0</v>
      </c>
      <c r="C515" s="13" t="s">
        <v>456</v>
      </c>
      <c r="D515" s="13" t="s">
        <v>0</v>
      </c>
      <c r="E515" s="80"/>
      <c r="F515" s="81"/>
      <c r="G515" s="83">
        <f>ROUND(SUM(G516:G519),5)</f>
        <v>31338.9756</v>
      </c>
    </row>
    <row r="516" spans="1:7" ht="15">
      <c r="A516" s="12" t="s">
        <v>0</v>
      </c>
      <c r="B516" s="13" t="s">
        <v>0</v>
      </c>
      <c r="C516" s="13" t="s">
        <v>250</v>
      </c>
      <c r="D516" s="13" t="s">
        <v>20</v>
      </c>
      <c r="E516" s="80">
        <f>0.018</f>
        <v>0.018</v>
      </c>
      <c r="F516" s="81">
        <f>'Gia NC,CM'!P23</f>
        <v>1741054.2</v>
      </c>
      <c r="G516" s="82">
        <f>ROUND(E516*F516,5)</f>
        <v>31338.9756</v>
      </c>
    </row>
    <row r="517" spans="1:7" ht="15">
      <c r="A517" s="12" t="s">
        <v>0</v>
      </c>
      <c r="B517" s="13" t="s">
        <v>0</v>
      </c>
      <c r="C517" s="13" t="s">
        <v>0</v>
      </c>
      <c r="D517" s="13" t="s">
        <v>0</v>
      </c>
      <c r="E517" s="80"/>
      <c r="F517" s="81"/>
      <c r="G517" s="82"/>
    </row>
    <row r="518" spans="1:7" ht="15">
      <c r="A518" s="12" t="s">
        <v>285</v>
      </c>
      <c r="B518" s="13" t="s">
        <v>288</v>
      </c>
      <c r="C518" s="13" t="s">
        <v>289</v>
      </c>
      <c r="D518" s="13" t="s">
        <v>248</v>
      </c>
      <c r="E518" s="80"/>
      <c r="F518" s="81"/>
      <c r="G518" s="82"/>
    </row>
    <row r="519" spans="1:7" ht="15">
      <c r="A519" s="12" t="s">
        <v>0</v>
      </c>
      <c r="B519" s="13" t="s">
        <v>0</v>
      </c>
      <c r="C519" s="13" t="s">
        <v>249</v>
      </c>
      <c r="D519" s="13" t="s">
        <v>0</v>
      </c>
      <c r="E519" s="80"/>
      <c r="F519" s="81"/>
      <c r="G519" s="82"/>
    </row>
    <row r="520" spans="1:7" ht="15.75">
      <c r="A520" s="12" t="s">
        <v>0</v>
      </c>
      <c r="B520" s="13" t="s">
        <v>0</v>
      </c>
      <c r="C520" s="13" t="s">
        <v>456</v>
      </c>
      <c r="D520" s="13" t="s">
        <v>0</v>
      </c>
      <c r="E520" s="80"/>
      <c r="F520" s="81"/>
      <c r="G520" s="83">
        <f>ROUND(SUM(G521:G524),5)</f>
        <v>28014.8396</v>
      </c>
    </row>
    <row r="521" spans="1:7" ht="15">
      <c r="A521" s="12" t="s">
        <v>0</v>
      </c>
      <c r="B521" s="13" t="s">
        <v>0</v>
      </c>
      <c r="C521" s="13" t="s">
        <v>260</v>
      </c>
      <c r="D521" s="13" t="s">
        <v>20</v>
      </c>
      <c r="E521" s="80">
        <f>0.022</f>
        <v>0.022</v>
      </c>
      <c r="F521" s="81">
        <f>'Gia NC,CM'!P24</f>
        <v>1273401.8</v>
      </c>
      <c r="G521" s="82">
        <f>ROUND(E521*F521,5)</f>
        <v>28014.8396</v>
      </c>
    </row>
    <row r="522" spans="1:7" ht="15">
      <c r="A522" s="12" t="s">
        <v>0</v>
      </c>
      <c r="B522" s="13" t="s">
        <v>0</v>
      </c>
      <c r="C522" s="13" t="s">
        <v>0</v>
      </c>
      <c r="D522" s="13" t="s">
        <v>0</v>
      </c>
      <c r="E522" s="80"/>
      <c r="F522" s="81"/>
      <c r="G522" s="82"/>
    </row>
    <row r="523" spans="1:7" ht="15">
      <c r="A523" s="12" t="s">
        <v>287</v>
      </c>
      <c r="B523" s="13" t="s">
        <v>291</v>
      </c>
      <c r="C523" s="13" t="s">
        <v>289</v>
      </c>
      <c r="D523" s="13" t="s">
        <v>263</v>
      </c>
      <c r="E523" s="80"/>
      <c r="F523" s="81"/>
      <c r="G523" s="82"/>
    </row>
    <row r="524" spans="1:7" ht="15">
      <c r="A524" s="12" t="s">
        <v>0</v>
      </c>
      <c r="B524" s="13" t="s">
        <v>0</v>
      </c>
      <c r="C524" s="13" t="s">
        <v>253</v>
      </c>
      <c r="D524" s="13" t="s">
        <v>0</v>
      </c>
      <c r="E524" s="80"/>
      <c r="F524" s="81"/>
      <c r="G524" s="82"/>
    </row>
    <row r="525" spans="1:7" ht="15.75">
      <c r="A525" s="12" t="s">
        <v>0</v>
      </c>
      <c r="B525" s="13" t="s">
        <v>0</v>
      </c>
      <c r="C525" s="13" t="s">
        <v>456</v>
      </c>
      <c r="D525" s="13" t="s">
        <v>0</v>
      </c>
      <c r="E525" s="80"/>
      <c r="F525" s="81"/>
      <c r="G525" s="83">
        <f>ROUND(SUM(G526:G529),5)</f>
        <v>20374.4288</v>
      </c>
    </row>
    <row r="526" spans="1:7" ht="15">
      <c r="A526" s="12" t="s">
        <v>0</v>
      </c>
      <c r="B526" s="13" t="s">
        <v>0</v>
      </c>
      <c r="C526" s="13" t="s">
        <v>260</v>
      </c>
      <c r="D526" s="13" t="s">
        <v>20</v>
      </c>
      <c r="E526" s="80">
        <f>0.016</f>
        <v>0.016</v>
      </c>
      <c r="F526" s="81">
        <f>'Gia NC,CM'!P24</f>
        <v>1273401.8</v>
      </c>
      <c r="G526" s="82">
        <f>ROUND(E526*F526,5)</f>
        <v>20374.4288</v>
      </c>
    </row>
    <row r="527" spans="1:7" ht="15">
      <c r="A527" s="12" t="s">
        <v>0</v>
      </c>
      <c r="B527" s="13" t="s">
        <v>0</v>
      </c>
      <c r="C527" s="13" t="s">
        <v>0</v>
      </c>
      <c r="D527" s="13" t="s">
        <v>0</v>
      </c>
      <c r="E527" s="80"/>
      <c r="F527" s="81"/>
      <c r="G527" s="82"/>
    </row>
    <row r="528" spans="1:7" ht="15">
      <c r="A528" s="12" t="s">
        <v>290</v>
      </c>
      <c r="B528" s="13" t="s">
        <v>293</v>
      </c>
      <c r="C528" s="13" t="s">
        <v>289</v>
      </c>
      <c r="D528" s="13" t="s">
        <v>263</v>
      </c>
      <c r="E528" s="80"/>
      <c r="F528" s="81"/>
      <c r="G528" s="82"/>
    </row>
    <row r="529" spans="1:7" ht="15">
      <c r="A529" s="12" t="s">
        <v>0</v>
      </c>
      <c r="B529" s="13" t="s">
        <v>0</v>
      </c>
      <c r="C529" s="13" t="s">
        <v>256</v>
      </c>
      <c r="D529" s="13" t="s">
        <v>0</v>
      </c>
      <c r="E529" s="80"/>
      <c r="F529" s="81"/>
      <c r="G529" s="82"/>
    </row>
    <row r="530" spans="1:7" ht="15.75">
      <c r="A530" s="12" t="s">
        <v>0</v>
      </c>
      <c r="B530" s="13" t="s">
        <v>0</v>
      </c>
      <c r="C530" s="13" t="s">
        <v>456</v>
      </c>
      <c r="D530" s="13" t="s">
        <v>0</v>
      </c>
      <c r="E530" s="80"/>
      <c r="F530" s="81"/>
      <c r="G530" s="83">
        <f>ROUND(SUM(G531:G534),5)</f>
        <v>14007.4198</v>
      </c>
    </row>
    <row r="531" spans="1:7" ht="15">
      <c r="A531" s="12" t="s">
        <v>0</v>
      </c>
      <c r="B531" s="13" t="s">
        <v>0</v>
      </c>
      <c r="C531" s="13" t="s">
        <v>260</v>
      </c>
      <c r="D531" s="13" t="s">
        <v>20</v>
      </c>
      <c r="E531" s="80">
        <f>0.011</f>
        <v>0.011</v>
      </c>
      <c r="F531" s="81">
        <f>'Gia NC,CM'!P24</f>
        <v>1273401.8</v>
      </c>
      <c r="G531" s="82">
        <f>ROUND(E531*F531,5)</f>
        <v>14007.4198</v>
      </c>
    </row>
    <row r="532" spans="1:7" ht="15">
      <c r="A532" s="12" t="s">
        <v>0</v>
      </c>
      <c r="B532" s="13" t="s">
        <v>0</v>
      </c>
      <c r="C532" s="13" t="s">
        <v>0</v>
      </c>
      <c r="D532" s="13" t="s">
        <v>0</v>
      </c>
      <c r="E532" s="80"/>
      <c r="F532" s="81"/>
      <c r="G532" s="82"/>
    </row>
    <row r="533" spans="1:7" ht="15">
      <c r="A533" s="12" t="s">
        <v>292</v>
      </c>
      <c r="B533" s="13" t="s">
        <v>295</v>
      </c>
      <c r="C533" s="13" t="s">
        <v>296</v>
      </c>
      <c r="D533" s="13" t="s">
        <v>263</v>
      </c>
      <c r="E533" s="80"/>
      <c r="F533" s="81"/>
      <c r="G533" s="82"/>
    </row>
    <row r="534" spans="1:7" ht="15">
      <c r="A534" s="12" t="s">
        <v>0</v>
      </c>
      <c r="B534" s="13" t="s">
        <v>0</v>
      </c>
      <c r="C534" s="13" t="s">
        <v>249</v>
      </c>
      <c r="D534" s="13" t="s">
        <v>0</v>
      </c>
      <c r="E534" s="80"/>
      <c r="F534" s="81"/>
      <c r="G534" s="82"/>
    </row>
    <row r="535" spans="1:7" ht="15.75">
      <c r="A535" s="12" t="s">
        <v>0</v>
      </c>
      <c r="B535" s="13" t="s">
        <v>0</v>
      </c>
      <c r="C535" s="13" t="s">
        <v>456</v>
      </c>
      <c r="D535" s="13" t="s">
        <v>0</v>
      </c>
      <c r="E535" s="80"/>
      <c r="F535" s="81"/>
      <c r="G535" s="83">
        <f>ROUND(SUM(G536:G539),5)</f>
        <v>30561.6432</v>
      </c>
    </row>
    <row r="536" spans="1:7" ht="15">
      <c r="A536" s="12" t="s">
        <v>0</v>
      </c>
      <c r="B536" s="13" t="s">
        <v>0</v>
      </c>
      <c r="C536" s="13" t="s">
        <v>260</v>
      </c>
      <c r="D536" s="13" t="s">
        <v>20</v>
      </c>
      <c r="E536" s="80">
        <f>0.024</f>
        <v>0.024</v>
      </c>
      <c r="F536" s="81">
        <f>'Gia NC,CM'!P24</f>
        <v>1273401.8</v>
      </c>
      <c r="G536" s="82">
        <f>ROUND(E536*F536,5)</f>
        <v>30561.6432</v>
      </c>
    </row>
    <row r="537" spans="1:7" ht="15">
      <c r="A537" s="12" t="s">
        <v>0</v>
      </c>
      <c r="B537" s="13" t="s">
        <v>0</v>
      </c>
      <c r="C537" s="13" t="s">
        <v>0</v>
      </c>
      <c r="D537" s="13" t="s">
        <v>0</v>
      </c>
      <c r="E537" s="80"/>
      <c r="F537" s="81"/>
      <c r="G537" s="82"/>
    </row>
    <row r="538" spans="1:7" ht="15">
      <c r="A538" s="12" t="s">
        <v>294</v>
      </c>
      <c r="B538" s="13" t="s">
        <v>298</v>
      </c>
      <c r="C538" s="13" t="s">
        <v>296</v>
      </c>
      <c r="D538" s="13" t="s">
        <v>263</v>
      </c>
      <c r="E538" s="80"/>
      <c r="F538" s="81"/>
      <c r="G538" s="82"/>
    </row>
    <row r="539" spans="1:7" ht="15">
      <c r="A539" s="12" t="s">
        <v>0</v>
      </c>
      <c r="B539" s="13" t="s">
        <v>0</v>
      </c>
      <c r="C539" s="13" t="s">
        <v>253</v>
      </c>
      <c r="D539" s="13" t="s">
        <v>0</v>
      </c>
      <c r="E539" s="80"/>
      <c r="F539" s="81"/>
      <c r="G539" s="82"/>
    </row>
    <row r="540" spans="1:7" ht="15.75">
      <c r="A540" s="12" t="s">
        <v>0</v>
      </c>
      <c r="B540" s="13" t="s">
        <v>0</v>
      </c>
      <c r="C540" s="13" t="s">
        <v>456</v>
      </c>
      <c r="D540" s="13" t="s">
        <v>0</v>
      </c>
      <c r="E540" s="80"/>
      <c r="F540" s="81"/>
      <c r="G540" s="83">
        <f>ROUND(SUM(G541:G544),5)</f>
        <v>22921.2324</v>
      </c>
    </row>
    <row r="541" spans="1:7" ht="15">
      <c r="A541" s="12" t="s">
        <v>0</v>
      </c>
      <c r="B541" s="13" t="s">
        <v>0</v>
      </c>
      <c r="C541" s="13" t="s">
        <v>260</v>
      </c>
      <c r="D541" s="13" t="s">
        <v>20</v>
      </c>
      <c r="E541" s="80">
        <f>0.018</f>
        <v>0.018</v>
      </c>
      <c r="F541" s="81">
        <f>'Gia NC,CM'!P24</f>
        <v>1273401.8</v>
      </c>
      <c r="G541" s="82">
        <f>ROUND(E541*F541,5)</f>
        <v>22921.2324</v>
      </c>
    </row>
    <row r="542" spans="1:7" ht="15">
      <c r="A542" s="12" t="s">
        <v>0</v>
      </c>
      <c r="B542" s="13" t="s">
        <v>0</v>
      </c>
      <c r="C542" s="13" t="s">
        <v>0</v>
      </c>
      <c r="D542" s="13" t="s">
        <v>0</v>
      </c>
      <c r="E542" s="80"/>
      <c r="F542" s="81"/>
      <c r="G542" s="82"/>
    </row>
    <row r="543" spans="1:7" ht="15">
      <c r="A543" s="12" t="s">
        <v>297</v>
      </c>
      <c r="B543" s="13" t="s">
        <v>300</v>
      </c>
      <c r="C543" s="13" t="s">
        <v>296</v>
      </c>
      <c r="D543" s="13" t="s">
        <v>263</v>
      </c>
      <c r="E543" s="80"/>
      <c r="F543" s="81"/>
      <c r="G543" s="82"/>
    </row>
    <row r="544" spans="1:7" ht="15">
      <c r="A544" s="12" t="s">
        <v>0</v>
      </c>
      <c r="B544" s="13" t="s">
        <v>0</v>
      </c>
      <c r="C544" s="13" t="s">
        <v>256</v>
      </c>
      <c r="D544" s="13" t="s">
        <v>0</v>
      </c>
      <c r="E544" s="80"/>
      <c r="F544" s="81"/>
      <c r="G544" s="82"/>
    </row>
    <row r="545" spans="1:7" ht="15.75">
      <c r="A545" s="12" t="s">
        <v>0</v>
      </c>
      <c r="B545" s="13" t="s">
        <v>0</v>
      </c>
      <c r="C545" s="13" t="s">
        <v>456</v>
      </c>
      <c r="D545" s="13" t="s">
        <v>0</v>
      </c>
      <c r="E545" s="80"/>
      <c r="F545" s="81"/>
      <c r="G545" s="83">
        <f>ROUND(SUM(G546:G550),5)</f>
        <v>14007.4198</v>
      </c>
    </row>
    <row r="546" spans="1:7" ht="15">
      <c r="A546" s="12" t="s">
        <v>0</v>
      </c>
      <c r="B546" s="13" t="s">
        <v>0</v>
      </c>
      <c r="C546" s="13" t="s">
        <v>260</v>
      </c>
      <c r="D546" s="13" t="s">
        <v>20</v>
      </c>
      <c r="E546" s="80">
        <f>0.011</f>
        <v>0.011</v>
      </c>
      <c r="F546" s="81">
        <f>'Gia NC,CM'!P24</f>
        <v>1273401.8</v>
      </c>
      <c r="G546" s="82">
        <f>ROUND(E546*F546,5)</f>
        <v>14007.4198</v>
      </c>
    </row>
    <row r="547" spans="1:7" ht="15">
      <c r="A547" s="12" t="s">
        <v>0</v>
      </c>
      <c r="B547" s="13" t="s">
        <v>0</v>
      </c>
      <c r="C547" s="13" t="s">
        <v>0</v>
      </c>
      <c r="D547" s="13" t="s">
        <v>0</v>
      </c>
      <c r="E547" s="80"/>
      <c r="F547" s="81"/>
      <c r="G547" s="82"/>
    </row>
    <row r="548" spans="1:7" ht="15">
      <c r="A548" s="12" t="s">
        <v>0</v>
      </c>
      <c r="B548" s="13" t="s">
        <v>0</v>
      </c>
      <c r="C548" s="13" t="s">
        <v>0</v>
      </c>
      <c r="D548" s="13" t="s">
        <v>0</v>
      </c>
      <c r="E548" s="80"/>
      <c r="F548" s="81"/>
      <c r="G548" s="82"/>
    </row>
    <row r="549" spans="1:7" ht="15">
      <c r="A549" s="12" t="s">
        <v>0</v>
      </c>
      <c r="B549" s="13" t="s">
        <v>0</v>
      </c>
      <c r="C549" s="13" t="s">
        <v>0</v>
      </c>
      <c r="D549" s="13" t="s">
        <v>0</v>
      </c>
      <c r="E549" s="80"/>
      <c r="F549" s="81"/>
      <c r="G549" s="82"/>
    </row>
    <row r="550" spans="1:7" ht="15.75" thickBot="1">
      <c r="A550" s="16" t="s">
        <v>0</v>
      </c>
      <c r="B550" s="17" t="s">
        <v>0</v>
      </c>
      <c r="C550" s="17" t="s">
        <v>0</v>
      </c>
      <c r="D550" s="17" t="s">
        <v>0</v>
      </c>
      <c r="E550" s="84"/>
      <c r="F550" s="85"/>
      <c r="G550" s="86"/>
    </row>
  </sheetData>
  <sheetProtection/>
  <mergeCells count="4">
    <mergeCell ref="A1:G1"/>
    <mergeCell ref="A3:G3"/>
    <mergeCell ref="A4:G4"/>
    <mergeCell ref="A5:G5"/>
  </mergeCells>
  <printOptions horizontalCentered="1"/>
  <pageMargins left="0.75" right="0.5" top="0.75" bottom="0.7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showGridLines="0" showZeros="0" zoomScalePageLayoutView="0" workbookViewId="0" topLeftCell="A1">
      <selection activeCell="P7" sqref="P7"/>
    </sheetView>
  </sheetViews>
  <sheetFormatPr defaultColWidth="8.796875" defaultRowHeight="15"/>
  <cols>
    <col min="1" max="1" width="7.59765625" style="96" customWidth="1"/>
    <col min="2" max="2" width="19.59765625" style="96" customWidth="1"/>
    <col min="3" max="3" width="4.09765625" style="96" customWidth="1"/>
    <col min="4" max="4" width="4.09765625" style="97" customWidth="1"/>
    <col min="5" max="5" width="4.59765625" style="98" customWidth="1"/>
    <col min="6" max="7" width="4.09765625" style="98" customWidth="1"/>
    <col min="8" max="8" width="11.09765625" style="96" customWidth="1"/>
    <col min="9" max="9" width="11.59765625" style="96" customWidth="1"/>
    <col min="10" max="10" width="9.09765625" style="99" customWidth="1"/>
    <col min="11" max="15" width="8.59765625" style="99" customWidth="1"/>
    <col min="16" max="16" width="9.09765625" style="99" customWidth="1"/>
    <col min="17" max="16384" width="9" style="96" customWidth="1"/>
  </cols>
  <sheetData>
    <row r="1" spans="1:16" ht="22.5" customHeight="1">
      <c r="A1" s="199" t="s">
        <v>590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2" spans="1:16" ht="12.75">
      <c r="A2" s="118"/>
      <c r="B2" s="118"/>
      <c r="C2" s="118"/>
      <c r="D2" s="119"/>
      <c r="E2" s="120"/>
      <c r="F2" s="120"/>
      <c r="G2" s="120"/>
      <c r="H2" s="118"/>
      <c r="I2" s="118"/>
      <c r="J2" s="121"/>
      <c r="K2" s="121"/>
      <c r="L2" s="121"/>
      <c r="M2" s="121"/>
      <c r="N2" s="121"/>
      <c r="O2" s="121"/>
      <c r="P2" s="121"/>
    </row>
    <row r="3" spans="1:16" s="39" customFormat="1" ht="15" customHeight="1">
      <c r="A3" s="194" t="s">
        <v>565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</row>
    <row r="4" spans="1:16" s="39" customFormat="1" ht="15" customHeight="1">
      <c r="A4" s="194" t="s">
        <v>566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</row>
    <row r="5" spans="1:16" s="39" customFormat="1" ht="15" customHeight="1">
      <c r="A5" s="194" t="s">
        <v>567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</row>
    <row r="6" spans="1:16" ht="13.5" thickBot="1">
      <c r="A6" s="118"/>
      <c r="B6" s="118"/>
      <c r="C6" s="118"/>
      <c r="D6" s="119"/>
      <c r="E6" s="120"/>
      <c r="F6" s="120"/>
      <c r="G6" s="120"/>
      <c r="H6" s="118"/>
      <c r="I6" s="118"/>
      <c r="J6" s="121"/>
      <c r="K6" s="121"/>
      <c r="L6" s="121"/>
      <c r="M6" s="121"/>
      <c r="N6" s="121"/>
      <c r="O6" s="121"/>
      <c r="P6" s="121"/>
    </row>
    <row r="7" spans="1:16" ht="45" customHeight="1">
      <c r="A7" s="122" t="s">
        <v>591</v>
      </c>
      <c r="B7" s="123" t="s">
        <v>592</v>
      </c>
      <c r="C7" s="123" t="s">
        <v>593</v>
      </c>
      <c r="D7" s="124" t="s">
        <v>594</v>
      </c>
      <c r="E7" s="125" t="s">
        <v>595</v>
      </c>
      <c r="F7" s="125" t="s">
        <v>596</v>
      </c>
      <c r="G7" s="125" t="s">
        <v>597</v>
      </c>
      <c r="H7" s="123" t="s">
        <v>598</v>
      </c>
      <c r="I7" s="123" t="s">
        <v>599</v>
      </c>
      <c r="J7" s="126" t="s">
        <v>600</v>
      </c>
      <c r="K7" s="126" t="s">
        <v>601</v>
      </c>
      <c r="L7" s="126" t="s">
        <v>602</v>
      </c>
      <c r="M7" s="126" t="s">
        <v>603</v>
      </c>
      <c r="N7" s="126" t="s">
        <v>604</v>
      </c>
      <c r="O7" s="126" t="s">
        <v>605</v>
      </c>
      <c r="P7" s="127" t="s">
        <v>606</v>
      </c>
    </row>
    <row r="8" spans="1:16" ht="12.75">
      <c r="A8" s="112" t="s">
        <v>0</v>
      </c>
      <c r="B8" s="113" t="s">
        <v>7</v>
      </c>
      <c r="C8" s="113" t="s">
        <v>8</v>
      </c>
      <c r="D8" s="114">
        <v>0</v>
      </c>
      <c r="E8" s="115">
        <v>0</v>
      </c>
      <c r="F8" s="115">
        <v>0</v>
      </c>
      <c r="G8" s="115">
        <v>0</v>
      </c>
      <c r="H8" s="113" t="s">
        <v>0</v>
      </c>
      <c r="I8" s="113" t="s">
        <v>499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7">
        <f>ROUND(218559.2,1)</f>
        <v>218559.2</v>
      </c>
    </row>
    <row r="9" spans="1:16" ht="12.75">
      <c r="A9" s="100" t="s">
        <v>0</v>
      </c>
      <c r="B9" s="101" t="s">
        <v>30</v>
      </c>
      <c r="C9" s="101" t="s">
        <v>8</v>
      </c>
      <c r="D9" s="102">
        <v>0</v>
      </c>
      <c r="E9" s="103">
        <v>0</v>
      </c>
      <c r="F9" s="103">
        <v>0</v>
      </c>
      <c r="G9" s="103">
        <v>0</v>
      </c>
      <c r="H9" s="101" t="s">
        <v>0</v>
      </c>
      <c r="I9" s="101" t="s">
        <v>498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5">
        <f>ROUND(230630.3,1)</f>
        <v>230630.3</v>
      </c>
    </row>
    <row r="10" spans="1:16" ht="12.75">
      <c r="A10" s="100" t="s">
        <v>0</v>
      </c>
      <c r="B10" s="101" t="s">
        <v>40</v>
      </c>
      <c r="C10" s="101" t="s">
        <v>8</v>
      </c>
      <c r="D10" s="102">
        <v>0</v>
      </c>
      <c r="E10" s="103">
        <v>0</v>
      </c>
      <c r="F10" s="103">
        <v>0</v>
      </c>
      <c r="G10" s="103">
        <v>0</v>
      </c>
      <c r="H10" s="101" t="s">
        <v>0</v>
      </c>
      <c r="I10" s="101" t="s">
        <v>497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5">
        <f>ROUND(252200,1)</f>
        <v>252200</v>
      </c>
    </row>
    <row r="11" spans="1:16" ht="12.75">
      <c r="A11" s="100" t="s">
        <v>0</v>
      </c>
      <c r="B11" s="101" t="s">
        <v>18</v>
      </c>
      <c r="C11" s="101" t="s">
        <v>8</v>
      </c>
      <c r="D11" s="102">
        <v>0</v>
      </c>
      <c r="E11" s="103">
        <v>0</v>
      </c>
      <c r="F11" s="103">
        <v>0</v>
      </c>
      <c r="G11" s="103">
        <v>0</v>
      </c>
      <c r="H11" s="101" t="s">
        <v>0</v>
      </c>
      <c r="I11" s="101" t="s">
        <v>496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5">
        <f>ROUND(273769.7,1)</f>
        <v>273769.7</v>
      </c>
    </row>
    <row r="12" spans="1:16" ht="12.75">
      <c r="A12" s="100" t="s">
        <v>495</v>
      </c>
      <c r="B12" s="101" t="s">
        <v>127</v>
      </c>
      <c r="C12" s="101" t="s">
        <v>20</v>
      </c>
      <c r="D12" s="102">
        <v>250</v>
      </c>
      <c r="E12" s="103">
        <v>9</v>
      </c>
      <c r="F12" s="103">
        <v>4.5</v>
      </c>
      <c r="G12" s="103">
        <v>5</v>
      </c>
      <c r="H12" s="101" t="s">
        <v>494</v>
      </c>
      <c r="I12" s="101" t="s">
        <v>493</v>
      </c>
      <c r="J12" s="104">
        <v>1085398</v>
      </c>
      <c r="K12" s="104">
        <f>J12*(1-0.1)*E12/D12*10</f>
        <v>351668.95200000005</v>
      </c>
      <c r="L12" s="104">
        <f aca="true" t="shared" si="0" ref="L12:L24">J12*F12/D12*10</f>
        <v>195371.64</v>
      </c>
      <c r="M12" s="104">
        <f>36*16776*1.03</f>
        <v>622054.08</v>
      </c>
      <c r="N12" s="104">
        <f>(1*290812.5+1*341925)*1</f>
        <v>632737.5</v>
      </c>
      <c r="O12" s="104">
        <f aca="true" t="shared" si="1" ref="O12:O24">J12*G12/D12*10</f>
        <v>217079.59999999998</v>
      </c>
      <c r="P12" s="105">
        <f aca="true" t="shared" si="2" ref="P12:P24">ROUND(K12+L12+M12+N12+O12,1)</f>
        <v>2018911.8</v>
      </c>
    </row>
    <row r="13" spans="1:16" ht="12.75">
      <c r="A13" s="100" t="s">
        <v>492</v>
      </c>
      <c r="B13" s="101" t="s">
        <v>160</v>
      </c>
      <c r="C13" s="101" t="s">
        <v>20</v>
      </c>
      <c r="D13" s="102">
        <v>90</v>
      </c>
      <c r="E13" s="103">
        <v>14</v>
      </c>
      <c r="F13" s="103">
        <v>7</v>
      </c>
      <c r="G13" s="103">
        <v>4</v>
      </c>
      <c r="H13" s="101" t="s">
        <v>491</v>
      </c>
      <c r="I13" s="101" t="s">
        <v>0</v>
      </c>
      <c r="J13" s="104">
        <v>7900</v>
      </c>
      <c r="K13" s="104">
        <f>J13*E13/D13*10</f>
        <v>12288.888888888889</v>
      </c>
      <c r="L13" s="104">
        <f t="shared" si="0"/>
        <v>6144.444444444444</v>
      </c>
      <c r="M13" s="104">
        <f>3*1864.4*1.05</f>
        <v>5872.860000000001</v>
      </c>
      <c r="N13" s="104"/>
      <c r="O13" s="104">
        <f t="shared" si="1"/>
        <v>3511.111111111111</v>
      </c>
      <c r="P13" s="105">
        <f t="shared" si="2"/>
        <v>27817.3</v>
      </c>
    </row>
    <row r="14" spans="1:16" ht="12.75">
      <c r="A14" s="100" t="s">
        <v>490</v>
      </c>
      <c r="B14" s="101" t="s">
        <v>41</v>
      </c>
      <c r="C14" s="101" t="s">
        <v>20</v>
      </c>
      <c r="D14" s="102">
        <v>240</v>
      </c>
      <c r="E14" s="103">
        <v>14</v>
      </c>
      <c r="F14" s="103">
        <v>4.1</v>
      </c>
      <c r="G14" s="103">
        <v>4</v>
      </c>
      <c r="H14" s="101" t="s">
        <v>485</v>
      </c>
      <c r="I14" s="101" t="s">
        <v>472</v>
      </c>
      <c r="J14" s="104">
        <v>18200</v>
      </c>
      <c r="K14" s="104">
        <f>J14*E14/D14*10</f>
        <v>10616.666666666668</v>
      </c>
      <c r="L14" s="104">
        <f t="shared" si="0"/>
        <v>3109.166666666667</v>
      </c>
      <c r="M14" s="104">
        <f>9*1864.4*1.05</f>
        <v>17618.58</v>
      </c>
      <c r="N14" s="104">
        <f>(1*244987.5)*1</f>
        <v>244987.5</v>
      </c>
      <c r="O14" s="104">
        <f t="shared" si="1"/>
        <v>3033.333333333333</v>
      </c>
      <c r="P14" s="105">
        <f t="shared" si="2"/>
        <v>279365.2</v>
      </c>
    </row>
    <row r="15" spans="1:16" ht="12.75">
      <c r="A15" s="100" t="s">
        <v>489</v>
      </c>
      <c r="B15" s="101" t="s">
        <v>19</v>
      </c>
      <c r="C15" s="101" t="s">
        <v>20</v>
      </c>
      <c r="D15" s="102">
        <v>200</v>
      </c>
      <c r="E15" s="103">
        <v>21</v>
      </c>
      <c r="F15" s="103">
        <v>4.8</v>
      </c>
      <c r="G15" s="103">
        <v>5</v>
      </c>
      <c r="H15" s="101" t="s">
        <v>488</v>
      </c>
      <c r="I15" s="101" t="s">
        <v>487</v>
      </c>
      <c r="J15" s="104">
        <v>16000</v>
      </c>
      <c r="K15" s="104">
        <f>J15*E15/D15*10</f>
        <v>16800</v>
      </c>
      <c r="L15" s="104">
        <f t="shared" si="0"/>
        <v>3840</v>
      </c>
      <c r="M15" s="104">
        <f>48*1864.4*1.05</f>
        <v>93965.76000000001</v>
      </c>
      <c r="N15" s="104">
        <f>(1*290812.5)*1</f>
        <v>290812.5</v>
      </c>
      <c r="O15" s="104">
        <f t="shared" si="1"/>
        <v>4000</v>
      </c>
      <c r="P15" s="105">
        <f t="shared" si="2"/>
        <v>409418.3</v>
      </c>
    </row>
    <row r="16" spans="1:16" ht="12.75">
      <c r="A16" s="100" t="s">
        <v>486</v>
      </c>
      <c r="B16" s="101" t="s">
        <v>126</v>
      </c>
      <c r="C16" s="101" t="s">
        <v>20</v>
      </c>
      <c r="D16" s="102">
        <v>220</v>
      </c>
      <c r="E16" s="103">
        <v>12.5</v>
      </c>
      <c r="F16" s="103">
        <v>4.1</v>
      </c>
      <c r="G16" s="103">
        <v>4</v>
      </c>
      <c r="H16" s="101" t="s">
        <v>485</v>
      </c>
      <c r="I16" s="101" t="s">
        <v>0</v>
      </c>
      <c r="J16" s="104">
        <v>57200</v>
      </c>
      <c r="K16" s="104">
        <f>J16*(1-0.1)*E16/D16*10</f>
        <v>29250</v>
      </c>
      <c r="L16" s="104">
        <f t="shared" si="0"/>
        <v>10659.999999999998</v>
      </c>
      <c r="M16" s="104">
        <f>9*1864.4*1.05</f>
        <v>17618.58</v>
      </c>
      <c r="N16" s="104"/>
      <c r="O16" s="104">
        <f t="shared" si="1"/>
        <v>10400</v>
      </c>
      <c r="P16" s="105">
        <f t="shared" si="2"/>
        <v>67928.6</v>
      </c>
    </row>
    <row r="17" spans="1:16" ht="12.75">
      <c r="A17" s="100" t="s">
        <v>484</v>
      </c>
      <c r="B17" s="101" t="s">
        <v>231</v>
      </c>
      <c r="C17" s="101" t="s">
        <v>20</v>
      </c>
      <c r="D17" s="102">
        <v>150</v>
      </c>
      <c r="E17" s="103">
        <v>30</v>
      </c>
      <c r="F17" s="103">
        <v>7.5</v>
      </c>
      <c r="G17" s="103">
        <v>4</v>
      </c>
      <c r="H17" s="101" t="s">
        <v>483</v>
      </c>
      <c r="I17" s="101" t="s">
        <v>0</v>
      </c>
      <c r="J17" s="104">
        <v>4800</v>
      </c>
      <c r="K17" s="104">
        <f>J17*E17/D17*10</f>
        <v>9600</v>
      </c>
      <c r="L17" s="104">
        <f t="shared" si="0"/>
        <v>2400</v>
      </c>
      <c r="M17" s="104">
        <f>0.9*1864.4*1.05</f>
        <v>1761.8580000000002</v>
      </c>
      <c r="N17" s="104"/>
      <c r="O17" s="104">
        <f t="shared" si="1"/>
        <v>1280</v>
      </c>
      <c r="P17" s="105">
        <f t="shared" si="2"/>
        <v>15041.9</v>
      </c>
    </row>
    <row r="18" spans="1:16" ht="12.75">
      <c r="A18" s="100" t="s">
        <v>482</v>
      </c>
      <c r="B18" s="101" t="s">
        <v>31</v>
      </c>
      <c r="C18" s="101" t="s">
        <v>20</v>
      </c>
      <c r="D18" s="102">
        <v>165</v>
      </c>
      <c r="E18" s="103">
        <v>19</v>
      </c>
      <c r="F18" s="103">
        <v>6.5</v>
      </c>
      <c r="G18" s="103">
        <v>5</v>
      </c>
      <c r="H18" s="101" t="s">
        <v>481</v>
      </c>
      <c r="I18" s="101" t="s">
        <v>472</v>
      </c>
      <c r="J18" s="104">
        <v>30210</v>
      </c>
      <c r="K18" s="104">
        <f>J18*(1-0.1)*E18/D18*10</f>
        <v>31308.545454545456</v>
      </c>
      <c r="L18" s="104">
        <f t="shared" si="0"/>
        <v>11900.90909090909</v>
      </c>
      <c r="M18" s="104">
        <f>11*1864.4*1.05</f>
        <v>21533.820000000003</v>
      </c>
      <c r="N18" s="104">
        <f>(1*244987.5)*1</f>
        <v>244987.5</v>
      </c>
      <c r="O18" s="104">
        <f t="shared" si="1"/>
        <v>9154.545454545456</v>
      </c>
      <c r="P18" s="105">
        <f t="shared" si="2"/>
        <v>318885.3</v>
      </c>
    </row>
    <row r="19" spans="1:16" ht="12.75">
      <c r="A19" s="100" t="s">
        <v>480</v>
      </c>
      <c r="B19" s="101" t="s">
        <v>62</v>
      </c>
      <c r="C19" s="101" t="s">
        <v>20</v>
      </c>
      <c r="D19" s="102">
        <v>170</v>
      </c>
      <c r="E19" s="103">
        <v>19</v>
      </c>
      <c r="F19" s="103">
        <v>6.8</v>
      </c>
      <c r="G19" s="103">
        <v>5</v>
      </c>
      <c r="H19" s="101" t="s">
        <v>479</v>
      </c>
      <c r="I19" s="101" t="s">
        <v>472</v>
      </c>
      <c r="J19" s="104">
        <v>17828</v>
      </c>
      <c r="K19" s="104">
        <f>J19*E19/D19*10</f>
        <v>19925.41176470588</v>
      </c>
      <c r="L19" s="104">
        <f t="shared" si="0"/>
        <v>7131.2</v>
      </c>
      <c r="M19" s="104">
        <f>8*1864.4*1.05</f>
        <v>15660.960000000001</v>
      </c>
      <c r="N19" s="104">
        <f>(1*244987.5)*1</f>
        <v>244987.5</v>
      </c>
      <c r="O19" s="104">
        <f t="shared" si="1"/>
        <v>5243.529411764706</v>
      </c>
      <c r="P19" s="105">
        <f t="shared" si="2"/>
        <v>292948.6</v>
      </c>
    </row>
    <row r="20" spans="1:16" ht="12.75">
      <c r="A20" s="100" t="s">
        <v>478</v>
      </c>
      <c r="B20" s="101" t="s">
        <v>32</v>
      </c>
      <c r="C20" s="101" t="s">
        <v>20</v>
      </c>
      <c r="D20" s="102">
        <v>150</v>
      </c>
      <c r="E20" s="103">
        <v>25</v>
      </c>
      <c r="F20" s="103">
        <v>8.8</v>
      </c>
      <c r="G20" s="103">
        <v>4</v>
      </c>
      <c r="H20" s="101" t="s">
        <v>477</v>
      </c>
      <c r="I20" s="101" t="s">
        <v>472</v>
      </c>
      <c r="J20" s="104">
        <v>6420</v>
      </c>
      <c r="K20" s="104">
        <f>J20*E20/D20*10</f>
        <v>10700</v>
      </c>
      <c r="L20" s="104">
        <f t="shared" si="0"/>
        <v>3766.4000000000005</v>
      </c>
      <c r="M20" s="104">
        <f>5*1864.4*1.05</f>
        <v>9788.1</v>
      </c>
      <c r="N20" s="104">
        <f>(1*244987.5)*1</f>
        <v>244987.5</v>
      </c>
      <c r="O20" s="104">
        <f t="shared" si="1"/>
        <v>1712</v>
      </c>
      <c r="P20" s="105">
        <f t="shared" si="2"/>
        <v>270954</v>
      </c>
    </row>
    <row r="21" spans="1:16" ht="12.75">
      <c r="A21" s="100" t="s">
        <v>476</v>
      </c>
      <c r="B21" s="101" t="s">
        <v>54</v>
      </c>
      <c r="C21" s="101" t="s">
        <v>20</v>
      </c>
      <c r="D21" s="102">
        <v>150</v>
      </c>
      <c r="E21" s="103">
        <v>20</v>
      </c>
      <c r="F21" s="103">
        <v>8.8</v>
      </c>
      <c r="G21" s="103">
        <v>4</v>
      </c>
      <c r="H21" s="101" t="s">
        <v>475</v>
      </c>
      <c r="I21" s="101" t="s">
        <v>472</v>
      </c>
      <c r="J21" s="104">
        <v>7395</v>
      </c>
      <c r="K21" s="104">
        <f>J21*E21/D21*10</f>
        <v>9860</v>
      </c>
      <c r="L21" s="104">
        <f t="shared" si="0"/>
        <v>4338.400000000001</v>
      </c>
      <c r="M21" s="104">
        <f>7*1864.4*1.05</f>
        <v>13703.340000000002</v>
      </c>
      <c r="N21" s="104">
        <f>(1*244987.5)*1</f>
        <v>244987.5</v>
      </c>
      <c r="O21" s="104">
        <f t="shared" si="1"/>
        <v>1972</v>
      </c>
      <c r="P21" s="105">
        <f t="shared" si="2"/>
        <v>274861.2</v>
      </c>
    </row>
    <row r="22" spans="1:16" ht="12.75">
      <c r="A22" s="100" t="s">
        <v>474</v>
      </c>
      <c r="B22" s="101" t="s">
        <v>99</v>
      </c>
      <c r="C22" s="101" t="s">
        <v>20</v>
      </c>
      <c r="D22" s="102">
        <v>200</v>
      </c>
      <c r="E22" s="103">
        <v>20</v>
      </c>
      <c r="F22" s="103">
        <v>5.4</v>
      </c>
      <c r="G22" s="103">
        <v>4</v>
      </c>
      <c r="H22" s="101" t="s">
        <v>473</v>
      </c>
      <c r="I22" s="101" t="s">
        <v>472</v>
      </c>
      <c r="J22" s="104">
        <v>35771</v>
      </c>
      <c r="K22" s="104">
        <f>J22*(1-0.1)*E22/D22*10</f>
        <v>32193.899999999998</v>
      </c>
      <c r="L22" s="104">
        <f t="shared" si="0"/>
        <v>9658.170000000002</v>
      </c>
      <c r="M22" s="104">
        <f>4*20191*1.02</f>
        <v>82379.28</v>
      </c>
      <c r="N22" s="104">
        <f>(1*244987.5)*1</f>
        <v>244987.5</v>
      </c>
      <c r="O22" s="104">
        <f t="shared" si="1"/>
        <v>7154.2</v>
      </c>
      <c r="P22" s="105">
        <f t="shared" si="2"/>
        <v>376373.1</v>
      </c>
    </row>
    <row r="23" spans="1:16" ht="12.75">
      <c r="A23" s="100" t="s">
        <v>471</v>
      </c>
      <c r="B23" s="101" t="s">
        <v>250</v>
      </c>
      <c r="C23" s="101" t="s">
        <v>20</v>
      </c>
      <c r="D23" s="102">
        <v>260</v>
      </c>
      <c r="E23" s="103">
        <v>17</v>
      </c>
      <c r="F23" s="103">
        <v>7.3</v>
      </c>
      <c r="G23" s="103">
        <v>6</v>
      </c>
      <c r="H23" s="101" t="s">
        <v>470</v>
      </c>
      <c r="I23" s="101" t="s">
        <v>467</v>
      </c>
      <c r="J23" s="104">
        <v>616643</v>
      </c>
      <c r="K23" s="104">
        <f>J23*(1-0.1)*E23/D23*10</f>
        <v>362870.68846153846</v>
      </c>
      <c r="L23" s="104">
        <f t="shared" si="0"/>
        <v>173134.38076923075</v>
      </c>
      <c r="M23" s="104">
        <f>46*16776*1.03</f>
        <v>794846.88</v>
      </c>
      <c r="N23" s="104">
        <f>(1*267900)*1</f>
        <v>267900</v>
      </c>
      <c r="O23" s="104">
        <f t="shared" si="1"/>
        <v>142302.23076923078</v>
      </c>
      <c r="P23" s="105">
        <f t="shared" si="2"/>
        <v>1741054.2</v>
      </c>
    </row>
    <row r="24" spans="1:16" ht="13.5" thickBot="1">
      <c r="A24" s="106" t="s">
        <v>469</v>
      </c>
      <c r="B24" s="107" t="s">
        <v>260</v>
      </c>
      <c r="C24" s="107" t="s">
        <v>20</v>
      </c>
      <c r="D24" s="108">
        <v>250</v>
      </c>
      <c r="E24" s="109">
        <v>17</v>
      </c>
      <c r="F24" s="109">
        <v>6.2</v>
      </c>
      <c r="G24" s="109">
        <v>6</v>
      </c>
      <c r="H24" s="107" t="s">
        <v>468</v>
      </c>
      <c r="I24" s="107" t="s">
        <v>467</v>
      </c>
      <c r="J24" s="110">
        <v>427131</v>
      </c>
      <c r="K24" s="110">
        <f>J24*(1-0.1)*E24/D24*10</f>
        <v>261404.17200000002</v>
      </c>
      <c r="L24" s="110">
        <f t="shared" si="0"/>
        <v>105928.48800000001</v>
      </c>
      <c r="M24" s="110">
        <f>31*16776*1.03</f>
        <v>535657.68</v>
      </c>
      <c r="N24" s="110">
        <f>(1*267900)*1</f>
        <v>267900</v>
      </c>
      <c r="O24" s="110">
        <f t="shared" si="1"/>
        <v>102511.44</v>
      </c>
      <c r="P24" s="111">
        <f t="shared" si="2"/>
        <v>1273401.8</v>
      </c>
    </row>
  </sheetData>
  <sheetProtection/>
  <mergeCells count="4">
    <mergeCell ref="A1:P1"/>
    <mergeCell ref="A3:P3"/>
    <mergeCell ref="A4:P4"/>
    <mergeCell ref="A5:P5"/>
  </mergeCells>
  <printOptions horizontalCentered="1"/>
  <pageMargins left="0.42" right="0.4" top="0.7" bottom="0.7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7"/>
  <sheetViews>
    <sheetView showGridLines="0" showZeros="0" zoomScalePageLayoutView="0" workbookViewId="0" topLeftCell="A1">
      <selection activeCell="B28" sqref="B28"/>
    </sheetView>
  </sheetViews>
  <sheetFormatPr defaultColWidth="8.796875" defaultRowHeight="15"/>
  <cols>
    <col min="1" max="1" width="3.59765625" style="41" customWidth="1"/>
    <col min="2" max="2" width="32.5" style="41" bestFit="1" customWidth="1"/>
    <col min="3" max="3" width="4.09765625" style="41" customWidth="1"/>
    <col min="4" max="4" width="8.8984375" style="41" bestFit="1" customWidth="1"/>
    <col min="5" max="5" width="8.19921875" style="41" bestFit="1" customWidth="1"/>
    <col min="6" max="9" width="3.5" style="135" customWidth="1"/>
    <col min="10" max="10" width="7" style="42" customWidth="1"/>
    <col min="11" max="14" width="4.3984375" style="138" customWidth="1"/>
    <col min="15" max="15" width="7.5" style="42" bestFit="1" customWidth="1"/>
    <col min="16" max="16" width="6.8984375" style="42" bestFit="1" customWidth="1"/>
    <col min="17" max="18" width="10.69921875" style="42" bestFit="1" customWidth="1"/>
    <col min="19" max="19" width="12" style="41" customWidth="1"/>
    <col min="20" max="16384" width="9" style="41" customWidth="1"/>
  </cols>
  <sheetData>
    <row r="1" spans="1:18" ht="21" customHeight="1">
      <c r="A1" s="199" t="s">
        <v>607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</row>
    <row r="2" spans="1:18" ht="14.25">
      <c r="A2" s="44"/>
      <c r="B2" s="44"/>
      <c r="C2" s="44"/>
      <c r="D2" s="44"/>
      <c r="E2" s="44"/>
      <c r="F2" s="148"/>
      <c r="G2" s="148"/>
      <c r="H2" s="148"/>
      <c r="I2" s="148"/>
      <c r="J2" s="45"/>
      <c r="K2" s="149"/>
      <c r="L2" s="149"/>
      <c r="M2" s="149"/>
      <c r="N2" s="149"/>
      <c r="O2" s="45"/>
      <c r="P2" s="45"/>
      <c r="Q2" s="45"/>
      <c r="R2" s="45"/>
    </row>
    <row r="3" spans="1:18" s="39" customFormat="1" ht="16.5" customHeight="1">
      <c r="A3" s="194" t="s">
        <v>565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 s="39" customFormat="1" ht="16.5" customHeight="1">
      <c r="A4" s="194" t="s">
        <v>566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</row>
    <row r="5" spans="1:18" s="39" customFormat="1" ht="16.5" customHeight="1">
      <c r="A5" s="194" t="s">
        <v>567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</row>
    <row r="6" spans="1:18" ht="15" thickBot="1">
      <c r="A6" s="44"/>
      <c r="B6" s="44"/>
      <c r="C6" s="44"/>
      <c r="D6" s="44"/>
      <c r="E6" s="44"/>
      <c r="F6" s="148"/>
      <c r="G6" s="148"/>
      <c r="H6" s="148"/>
      <c r="I6" s="148"/>
      <c r="J6" s="45"/>
      <c r="K6" s="149"/>
      <c r="L6" s="149"/>
      <c r="M6" s="149"/>
      <c r="N6" s="149"/>
      <c r="O6" s="45"/>
      <c r="P6" s="45"/>
      <c r="Q6" s="45"/>
      <c r="R6" s="45"/>
    </row>
    <row r="7" spans="1:18" ht="45" customHeight="1">
      <c r="A7" s="153" t="s">
        <v>359</v>
      </c>
      <c r="B7" s="154" t="s">
        <v>608</v>
      </c>
      <c r="C7" s="155" t="s">
        <v>580</v>
      </c>
      <c r="D7" s="154" t="s">
        <v>609</v>
      </c>
      <c r="E7" s="154" t="s">
        <v>610</v>
      </c>
      <c r="F7" s="150" t="s">
        <v>611</v>
      </c>
      <c r="G7" s="150" t="s">
        <v>612</v>
      </c>
      <c r="H7" s="150" t="s">
        <v>613</v>
      </c>
      <c r="I7" s="150" t="s">
        <v>614</v>
      </c>
      <c r="J7" s="151" t="s">
        <v>615</v>
      </c>
      <c r="K7" s="152" t="s">
        <v>616</v>
      </c>
      <c r="L7" s="152" t="s">
        <v>617</v>
      </c>
      <c r="M7" s="152" t="s">
        <v>618</v>
      </c>
      <c r="N7" s="152" t="s">
        <v>640</v>
      </c>
      <c r="O7" s="156" t="s">
        <v>619</v>
      </c>
      <c r="P7" s="156" t="s">
        <v>620</v>
      </c>
      <c r="Q7" s="157" t="s">
        <v>621</v>
      </c>
      <c r="R7" s="158" t="s">
        <v>622</v>
      </c>
    </row>
    <row r="8" spans="1:19" ht="14.25">
      <c r="A8" s="141" t="s">
        <v>454</v>
      </c>
      <c r="B8" s="142" t="s">
        <v>558</v>
      </c>
      <c r="C8" s="142" t="s">
        <v>139</v>
      </c>
      <c r="D8" s="142" t="s">
        <v>0</v>
      </c>
      <c r="E8" s="142" t="s">
        <v>0</v>
      </c>
      <c r="F8" s="143" t="s">
        <v>9</v>
      </c>
      <c r="G8" s="143" t="s">
        <v>0</v>
      </c>
      <c r="H8" s="143"/>
      <c r="I8" s="143" t="s">
        <v>500</v>
      </c>
      <c r="J8" s="144"/>
      <c r="K8" s="145"/>
      <c r="L8" s="145"/>
      <c r="M8" s="145"/>
      <c r="N8" s="145"/>
      <c r="O8" s="146"/>
      <c r="P8" s="146"/>
      <c r="Q8" s="146">
        <v>6742</v>
      </c>
      <c r="R8" s="147">
        <f>O8+P8+Q8</f>
        <v>6742</v>
      </c>
      <c r="S8" s="41" t="s">
        <v>0</v>
      </c>
    </row>
    <row r="9" spans="1:19" ht="14.25">
      <c r="A9" s="49" t="s">
        <v>450</v>
      </c>
      <c r="B9" s="50" t="s">
        <v>557</v>
      </c>
      <c r="C9" s="50" t="s">
        <v>27</v>
      </c>
      <c r="D9" s="50" t="s">
        <v>0</v>
      </c>
      <c r="E9" s="50" t="s">
        <v>0</v>
      </c>
      <c r="F9" s="136" t="s">
        <v>21</v>
      </c>
      <c r="G9" s="136" t="s">
        <v>0</v>
      </c>
      <c r="H9" s="136"/>
      <c r="I9" s="136" t="s">
        <v>500</v>
      </c>
      <c r="J9" s="51"/>
      <c r="K9" s="139"/>
      <c r="L9" s="139"/>
      <c r="M9" s="139"/>
      <c r="N9" s="139"/>
      <c r="O9" s="130">
        <f>SUM(O10:O12)</f>
        <v>73568.2</v>
      </c>
      <c r="P9" s="130"/>
      <c r="Q9" s="130">
        <v>109091</v>
      </c>
      <c r="R9" s="131">
        <f>O9+P9+Q9</f>
        <v>182659.2</v>
      </c>
      <c r="S9" s="41" t="s">
        <v>0</v>
      </c>
    </row>
    <row r="10" spans="1:18" ht="14.25">
      <c r="A10" s="49" t="s">
        <v>0</v>
      </c>
      <c r="B10" s="50" t="s">
        <v>507</v>
      </c>
      <c r="C10" s="50" t="s">
        <v>0</v>
      </c>
      <c r="D10" s="50" t="s">
        <v>506</v>
      </c>
      <c r="E10" s="50" t="s">
        <v>0</v>
      </c>
      <c r="F10" s="136" t="s">
        <v>0</v>
      </c>
      <c r="G10" s="136">
        <v>4</v>
      </c>
      <c r="H10" s="136">
        <v>1</v>
      </c>
      <c r="I10" s="136" t="s">
        <v>0</v>
      </c>
      <c r="J10" s="51">
        <f>('Phan tich don gia'!G505)/10</f>
        <v>5919.58428</v>
      </c>
      <c r="K10" s="139">
        <v>1</v>
      </c>
      <c r="L10" s="139">
        <v>1</v>
      </c>
      <c r="M10" s="139">
        <v>1</v>
      </c>
      <c r="N10" s="139">
        <v>1.35</v>
      </c>
      <c r="O10" s="51">
        <f>ROUND(J10*K10*L10*M10*H10*N10,1)</f>
        <v>7991.4</v>
      </c>
      <c r="P10" s="130"/>
      <c r="Q10" s="130"/>
      <c r="R10" s="131"/>
    </row>
    <row r="11" spans="1:18" ht="14.25">
      <c r="A11" s="49" t="s">
        <v>0</v>
      </c>
      <c r="B11" s="50" t="s">
        <v>505</v>
      </c>
      <c r="C11" s="50" t="s">
        <v>0</v>
      </c>
      <c r="D11" s="50" t="s">
        <v>0</v>
      </c>
      <c r="E11" s="50" t="s">
        <v>0</v>
      </c>
      <c r="F11" s="136" t="s">
        <v>0</v>
      </c>
      <c r="G11" s="136">
        <v>4</v>
      </c>
      <c r="H11" s="136">
        <v>9</v>
      </c>
      <c r="I11" s="136" t="s">
        <v>0</v>
      </c>
      <c r="J11" s="51">
        <f>('Phan tich don gia'!G510)/10</f>
        <v>4352.6355</v>
      </c>
      <c r="K11" s="139">
        <v>1</v>
      </c>
      <c r="L11" s="139">
        <v>1</v>
      </c>
      <c r="M11" s="139">
        <v>1</v>
      </c>
      <c r="N11" s="139">
        <v>1.35</v>
      </c>
      <c r="O11" s="51">
        <f>ROUND(J11*K11*L11*M11*H11*N11,1)</f>
        <v>52884.5</v>
      </c>
      <c r="P11" s="130"/>
      <c r="Q11" s="130"/>
      <c r="R11" s="131"/>
    </row>
    <row r="12" spans="1:18" ht="14.25">
      <c r="A12" s="49" t="s">
        <v>0</v>
      </c>
      <c r="B12" s="50" t="s">
        <v>504</v>
      </c>
      <c r="C12" s="50" t="s">
        <v>0</v>
      </c>
      <c r="D12" s="50" t="s">
        <v>0</v>
      </c>
      <c r="E12" s="50" t="s">
        <v>503</v>
      </c>
      <c r="F12" s="136" t="s">
        <v>0</v>
      </c>
      <c r="G12" s="136">
        <v>4</v>
      </c>
      <c r="H12" s="136">
        <v>3</v>
      </c>
      <c r="I12" s="136" t="s">
        <v>0</v>
      </c>
      <c r="J12" s="51">
        <f>('Phan tich don gia'!G515)/10</f>
        <v>3133.8975600000003</v>
      </c>
      <c r="K12" s="139">
        <v>1</v>
      </c>
      <c r="L12" s="139">
        <v>1</v>
      </c>
      <c r="M12" s="139">
        <v>1</v>
      </c>
      <c r="N12" s="139">
        <v>1.35</v>
      </c>
      <c r="O12" s="51">
        <f>ROUND(J12*K12*L12*M12*H12*N12,1)</f>
        <v>12692.3</v>
      </c>
      <c r="P12" s="130"/>
      <c r="Q12" s="130"/>
      <c r="R12" s="131"/>
    </row>
    <row r="13" spans="1:19" ht="14.25">
      <c r="A13" s="49" t="s">
        <v>453</v>
      </c>
      <c r="B13" s="50" t="s">
        <v>556</v>
      </c>
      <c r="C13" s="50" t="s">
        <v>36</v>
      </c>
      <c r="D13" s="50" t="s">
        <v>0</v>
      </c>
      <c r="E13" s="50" t="s">
        <v>0</v>
      </c>
      <c r="F13" s="136" t="s">
        <v>9</v>
      </c>
      <c r="G13" s="136" t="s">
        <v>0</v>
      </c>
      <c r="H13" s="136"/>
      <c r="I13" s="136" t="s">
        <v>500</v>
      </c>
      <c r="J13" s="51"/>
      <c r="K13" s="139"/>
      <c r="L13" s="139"/>
      <c r="M13" s="139"/>
      <c r="N13" s="139"/>
      <c r="O13" s="130"/>
      <c r="P13" s="130"/>
      <c r="Q13" s="130">
        <v>20000000</v>
      </c>
      <c r="R13" s="131">
        <f>O13+P13+Q13</f>
        <v>20000000</v>
      </c>
      <c r="S13" s="41" t="s">
        <v>0</v>
      </c>
    </row>
    <row r="14" spans="1:19" ht="14.25">
      <c r="A14" s="49" t="s">
        <v>452</v>
      </c>
      <c r="B14" s="50" t="s">
        <v>555</v>
      </c>
      <c r="C14" s="50" t="s">
        <v>139</v>
      </c>
      <c r="D14" s="50" t="s">
        <v>0</v>
      </c>
      <c r="E14" s="50" t="s">
        <v>0</v>
      </c>
      <c r="F14" s="136" t="s">
        <v>0</v>
      </c>
      <c r="G14" s="136" t="s">
        <v>0</v>
      </c>
      <c r="H14" s="136"/>
      <c r="I14" s="136" t="s">
        <v>500</v>
      </c>
      <c r="J14" s="51"/>
      <c r="K14" s="139"/>
      <c r="L14" s="139"/>
      <c r="M14" s="139"/>
      <c r="N14" s="139"/>
      <c r="O14" s="130"/>
      <c r="P14" s="130"/>
      <c r="Q14" s="130">
        <v>9272.7</v>
      </c>
      <c r="R14" s="131">
        <f>O14+P14+Q14</f>
        <v>9272.7</v>
      </c>
      <c r="S14" s="41" t="s">
        <v>0</v>
      </c>
    </row>
    <row r="15" spans="1:19" ht="14.25">
      <c r="A15" s="49" t="s">
        <v>451</v>
      </c>
      <c r="B15" s="50" t="s">
        <v>554</v>
      </c>
      <c r="C15" s="50" t="s">
        <v>27</v>
      </c>
      <c r="D15" s="50" t="s">
        <v>0</v>
      </c>
      <c r="E15" s="50" t="s">
        <v>0</v>
      </c>
      <c r="F15" s="136" t="s">
        <v>2</v>
      </c>
      <c r="G15" s="136" t="s">
        <v>0</v>
      </c>
      <c r="H15" s="136"/>
      <c r="I15" s="136" t="s">
        <v>551</v>
      </c>
      <c r="J15" s="51"/>
      <c r="K15" s="139"/>
      <c r="L15" s="139"/>
      <c r="M15" s="139"/>
      <c r="N15" s="139"/>
      <c r="O15" s="130">
        <f>SUM(O16:O18)</f>
        <v>62991.299999999996</v>
      </c>
      <c r="P15" s="130"/>
      <c r="Q15" s="130">
        <v>272727</v>
      </c>
      <c r="R15" s="131">
        <f>O15+P15+Q15</f>
        <v>335718.3</v>
      </c>
      <c r="S15" s="41" t="s">
        <v>0</v>
      </c>
    </row>
    <row r="16" spans="1:19" ht="14.25">
      <c r="A16" s="49" t="s">
        <v>0</v>
      </c>
      <c r="B16" s="50" t="s">
        <v>550</v>
      </c>
      <c r="C16" s="50" t="s">
        <v>0</v>
      </c>
      <c r="D16" s="50" t="s">
        <v>506</v>
      </c>
      <c r="E16" s="50" t="s">
        <v>0</v>
      </c>
      <c r="F16" s="136" t="s">
        <v>0</v>
      </c>
      <c r="G16" s="136">
        <v>4</v>
      </c>
      <c r="H16" s="136">
        <v>1</v>
      </c>
      <c r="I16" s="136" t="s">
        <v>0</v>
      </c>
      <c r="J16" s="51">
        <f>('Phan tich don gia'!G445)/10</f>
        <v>4700.84634</v>
      </c>
      <c r="K16" s="139">
        <v>1</v>
      </c>
      <c r="L16" s="139">
        <v>1</v>
      </c>
      <c r="M16" s="139">
        <v>1</v>
      </c>
      <c r="N16" s="139">
        <v>1.35</v>
      </c>
      <c r="O16" s="51">
        <f>ROUND(J16*K16*L16*M16*H16*N16,1)</f>
        <v>6346.1</v>
      </c>
      <c r="P16" s="51"/>
      <c r="Q16" s="51"/>
      <c r="R16" s="132">
        <v>0</v>
      </c>
      <c r="S16" s="41" t="s">
        <v>0</v>
      </c>
    </row>
    <row r="17" spans="1:19" ht="14.25">
      <c r="A17" s="49" t="s">
        <v>0</v>
      </c>
      <c r="B17" s="50" t="s">
        <v>549</v>
      </c>
      <c r="C17" s="50" t="s">
        <v>0</v>
      </c>
      <c r="D17" s="50" t="s">
        <v>0</v>
      </c>
      <c r="E17" s="50" t="s">
        <v>0</v>
      </c>
      <c r="F17" s="136" t="s">
        <v>0</v>
      </c>
      <c r="G17" s="136">
        <v>4</v>
      </c>
      <c r="H17" s="136">
        <v>9</v>
      </c>
      <c r="I17" s="136" t="s">
        <v>0</v>
      </c>
      <c r="J17" s="51">
        <f>('Phan tich don gia'!G450)/10</f>
        <v>3308.0029799999998</v>
      </c>
      <c r="K17" s="139">
        <v>1</v>
      </c>
      <c r="L17" s="139">
        <v>1</v>
      </c>
      <c r="M17" s="139">
        <v>1</v>
      </c>
      <c r="N17" s="139">
        <v>1.35</v>
      </c>
      <c r="O17" s="51">
        <f>ROUND(J17*K17*L17*M17*H17*N17,1)</f>
        <v>40192.2</v>
      </c>
      <c r="P17" s="51"/>
      <c r="Q17" s="51"/>
      <c r="R17" s="132">
        <v>0</v>
      </c>
      <c r="S17" s="41" t="s">
        <v>0</v>
      </c>
    </row>
    <row r="18" spans="1:19" ht="14.25">
      <c r="A18" s="49" t="s">
        <v>0</v>
      </c>
      <c r="B18" s="50" t="s">
        <v>548</v>
      </c>
      <c r="C18" s="50" t="s">
        <v>0</v>
      </c>
      <c r="D18" s="50" t="s">
        <v>0</v>
      </c>
      <c r="E18" s="50" t="s">
        <v>503</v>
      </c>
      <c r="F18" s="136" t="s">
        <v>0</v>
      </c>
      <c r="G18" s="136">
        <v>4</v>
      </c>
      <c r="H18" s="136">
        <v>5</v>
      </c>
      <c r="I18" s="136" t="s">
        <v>0</v>
      </c>
      <c r="J18" s="51">
        <f>('Phan tich don gia'!G455)/10</f>
        <v>2437.47588</v>
      </c>
      <c r="K18" s="139">
        <v>1</v>
      </c>
      <c r="L18" s="139">
        <v>1</v>
      </c>
      <c r="M18" s="139">
        <v>1</v>
      </c>
      <c r="N18" s="139">
        <v>1.35</v>
      </c>
      <c r="O18" s="51">
        <f>ROUND(J18*K18*L18*M18*H18*N18,1)</f>
        <v>16453</v>
      </c>
      <c r="P18" s="51"/>
      <c r="Q18" s="51"/>
      <c r="R18" s="132">
        <v>0</v>
      </c>
      <c r="S18" s="41" t="s">
        <v>0</v>
      </c>
    </row>
    <row r="19" spans="1:19" ht="14.25">
      <c r="A19" s="49" t="s">
        <v>449</v>
      </c>
      <c r="B19" s="50" t="s">
        <v>553</v>
      </c>
      <c r="C19" s="50" t="s">
        <v>27</v>
      </c>
      <c r="D19" s="50" t="s">
        <v>0</v>
      </c>
      <c r="E19" s="50" t="s">
        <v>0</v>
      </c>
      <c r="F19" s="136" t="s">
        <v>2</v>
      </c>
      <c r="G19" s="136" t="s">
        <v>0</v>
      </c>
      <c r="H19" s="136"/>
      <c r="I19" s="136" t="s">
        <v>551</v>
      </c>
      <c r="J19" s="51"/>
      <c r="K19" s="139"/>
      <c r="L19" s="139"/>
      <c r="M19" s="139"/>
      <c r="N19" s="139"/>
      <c r="O19" s="130">
        <f>O15</f>
        <v>62991.299999999996</v>
      </c>
      <c r="P19" s="130"/>
      <c r="Q19" s="130">
        <v>272727</v>
      </c>
      <c r="R19" s="131">
        <f>O19+P19+Q19</f>
        <v>335718.3</v>
      </c>
      <c r="S19" s="41" t="s">
        <v>0</v>
      </c>
    </row>
    <row r="20" spans="1:19" ht="14.25">
      <c r="A20" s="49" t="s">
        <v>448</v>
      </c>
      <c r="B20" s="50" t="s">
        <v>552</v>
      </c>
      <c r="C20" s="50" t="s">
        <v>27</v>
      </c>
      <c r="D20" s="50" t="s">
        <v>0</v>
      </c>
      <c r="E20" s="50" t="s">
        <v>0</v>
      </c>
      <c r="F20" s="136" t="s">
        <v>2</v>
      </c>
      <c r="G20" s="136" t="s">
        <v>0</v>
      </c>
      <c r="H20" s="136"/>
      <c r="I20" s="136" t="s">
        <v>551</v>
      </c>
      <c r="J20" s="51"/>
      <c r="K20" s="139"/>
      <c r="L20" s="139"/>
      <c r="M20" s="139"/>
      <c r="N20" s="139"/>
      <c r="O20" s="130">
        <f>O15</f>
        <v>62991.299999999996</v>
      </c>
      <c r="P20" s="130"/>
      <c r="Q20" s="130">
        <v>318182</v>
      </c>
      <c r="R20" s="131">
        <f>O20+P20+Q20</f>
        <v>381173.3</v>
      </c>
      <c r="S20" s="41" t="s">
        <v>0</v>
      </c>
    </row>
    <row r="21" spans="1:19" ht="14.25">
      <c r="A21" s="49" t="s">
        <v>447</v>
      </c>
      <c r="B21" s="50" t="s">
        <v>547</v>
      </c>
      <c r="C21" s="50" t="s">
        <v>12</v>
      </c>
      <c r="D21" s="50" t="s">
        <v>0</v>
      </c>
      <c r="E21" s="50" t="s">
        <v>0</v>
      </c>
      <c r="F21" s="136" t="s">
        <v>0</v>
      </c>
      <c r="G21" s="136" t="s">
        <v>0</v>
      </c>
      <c r="H21" s="136"/>
      <c r="I21" s="136" t="s">
        <v>500</v>
      </c>
      <c r="J21" s="51"/>
      <c r="K21" s="139"/>
      <c r="L21" s="139"/>
      <c r="M21" s="139"/>
      <c r="N21" s="139"/>
      <c r="O21" s="130"/>
      <c r="P21" s="130"/>
      <c r="Q21" s="130">
        <v>2100000</v>
      </c>
      <c r="R21" s="131">
        <f aca="true" t="shared" si="0" ref="R21:R29">O21+P21+Q21</f>
        <v>2100000</v>
      </c>
      <c r="S21" s="41" t="s">
        <v>0</v>
      </c>
    </row>
    <row r="22" spans="1:19" ht="14.25">
      <c r="A22" s="49" t="s">
        <v>446</v>
      </c>
      <c r="B22" s="50" t="s">
        <v>546</v>
      </c>
      <c r="C22" s="50" t="s">
        <v>12</v>
      </c>
      <c r="D22" s="50" t="s">
        <v>0</v>
      </c>
      <c r="E22" s="50" t="s">
        <v>0</v>
      </c>
      <c r="F22" s="136" t="s">
        <v>0</v>
      </c>
      <c r="G22" s="136" t="s">
        <v>0</v>
      </c>
      <c r="H22" s="136"/>
      <c r="I22" s="136" t="s">
        <v>500</v>
      </c>
      <c r="J22" s="51"/>
      <c r="K22" s="139"/>
      <c r="L22" s="139"/>
      <c r="M22" s="139"/>
      <c r="N22" s="139"/>
      <c r="O22" s="130"/>
      <c r="P22" s="130"/>
      <c r="Q22" s="130">
        <v>2100000</v>
      </c>
      <c r="R22" s="131">
        <f t="shared" si="0"/>
        <v>2100000</v>
      </c>
      <c r="S22" s="41" t="s">
        <v>0</v>
      </c>
    </row>
    <row r="23" spans="1:19" ht="14.25">
      <c r="A23" s="49" t="s">
        <v>445</v>
      </c>
      <c r="B23" s="50" t="s">
        <v>545</v>
      </c>
      <c r="C23" s="50" t="s">
        <v>224</v>
      </c>
      <c r="D23" s="50" t="s">
        <v>0</v>
      </c>
      <c r="E23" s="50" t="s">
        <v>0</v>
      </c>
      <c r="F23" s="136" t="s">
        <v>0</v>
      </c>
      <c r="G23" s="136" t="s">
        <v>0</v>
      </c>
      <c r="H23" s="136"/>
      <c r="I23" s="136" t="s">
        <v>500</v>
      </c>
      <c r="J23" s="51"/>
      <c r="K23" s="139"/>
      <c r="L23" s="139"/>
      <c r="M23" s="139"/>
      <c r="N23" s="139"/>
      <c r="O23" s="130"/>
      <c r="P23" s="130"/>
      <c r="Q23" s="130">
        <v>5948</v>
      </c>
      <c r="R23" s="131">
        <f t="shared" si="0"/>
        <v>5948</v>
      </c>
      <c r="S23" s="41" t="s">
        <v>0</v>
      </c>
    </row>
    <row r="24" spans="1:19" ht="14.25">
      <c r="A24" s="49" t="s">
        <v>444</v>
      </c>
      <c r="B24" s="50" t="s">
        <v>544</v>
      </c>
      <c r="C24" s="50" t="s">
        <v>36</v>
      </c>
      <c r="D24" s="50" t="s">
        <v>0</v>
      </c>
      <c r="E24" s="50" t="s">
        <v>0</v>
      </c>
      <c r="F24" s="136" t="s">
        <v>9</v>
      </c>
      <c r="G24" s="136" t="s">
        <v>0</v>
      </c>
      <c r="H24" s="136"/>
      <c r="I24" s="136" t="s">
        <v>500</v>
      </c>
      <c r="J24" s="51"/>
      <c r="K24" s="139"/>
      <c r="L24" s="139"/>
      <c r="M24" s="139"/>
      <c r="N24" s="139"/>
      <c r="O24" s="130"/>
      <c r="P24" s="130"/>
      <c r="Q24" s="130">
        <v>16363636.3</v>
      </c>
      <c r="R24" s="131">
        <f t="shared" si="0"/>
        <v>16363636.3</v>
      </c>
      <c r="S24" s="41" t="s">
        <v>0</v>
      </c>
    </row>
    <row r="25" spans="1:19" ht="14.25">
      <c r="A25" s="49" t="s">
        <v>443</v>
      </c>
      <c r="B25" s="50" t="s">
        <v>543</v>
      </c>
      <c r="C25" s="50" t="s">
        <v>36</v>
      </c>
      <c r="D25" s="50" t="s">
        <v>0</v>
      </c>
      <c r="E25" s="50" t="s">
        <v>0</v>
      </c>
      <c r="F25" s="136" t="s">
        <v>9</v>
      </c>
      <c r="G25" s="136" t="s">
        <v>0</v>
      </c>
      <c r="H25" s="136"/>
      <c r="I25" s="136" t="s">
        <v>500</v>
      </c>
      <c r="J25" s="51"/>
      <c r="K25" s="139"/>
      <c r="L25" s="139"/>
      <c r="M25" s="139"/>
      <c r="N25" s="139"/>
      <c r="O25" s="130"/>
      <c r="P25" s="130"/>
      <c r="Q25" s="130">
        <v>18500000</v>
      </c>
      <c r="R25" s="131">
        <f t="shared" si="0"/>
        <v>18500000</v>
      </c>
      <c r="S25" s="41" t="s">
        <v>0</v>
      </c>
    </row>
    <row r="26" spans="1:19" ht="14.25">
      <c r="A26" s="49" t="s">
        <v>442</v>
      </c>
      <c r="B26" s="192" t="s">
        <v>653</v>
      </c>
      <c r="C26" s="50" t="s">
        <v>145</v>
      </c>
      <c r="D26" s="50" t="s">
        <v>0</v>
      </c>
      <c r="E26" s="50" t="s">
        <v>0</v>
      </c>
      <c r="F26" s="136" t="s">
        <v>0</v>
      </c>
      <c r="G26" s="136" t="s">
        <v>0</v>
      </c>
      <c r="H26" s="136"/>
      <c r="I26" s="136" t="s">
        <v>500</v>
      </c>
      <c r="J26" s="51"/>
      <c r="K26" s="139"/>
      <c r="L26" s="139"/>
      <c r="M26" s="139"/>
      <c r="N26" s="139"/>
      <c r="O26" s="130"/>
      <c r="P26" s="130"/>
      <c r="Q26" s="130">
        <v>221000</v>
      </c>
      <c r="R26" s="131">
        <f t="shared" si="0"/>
        <v>221000</v>
      </c>
      <c r="S26" s="41" t="s">
        <v>0</v>
      </c>
    </row>
    <row r="27" spans="1:19" ht="14.25">
      <c r="A27" s="49" t="s">
        <v>441</v>
      </c>
      <c r="B27" s="192" t="s">
        <v>657</v>
      </c>
      <c r="C27" s="50" t="s">
        <v>60</v>
      </c>
      <c r="D27" s="50" t="s">
        <v>0</v>
      </c>
      <c r="E27" s="50" t="s">
        <v>0</v>
      </c>
      <c r="F27" s="136" t="s">
        <v>0</v>
      </c>
      <c r="G27" s="136" t="s">
        <v>0</v>
      </c>
      <c r="H27" s="136"/>
      <c r="I27" s="136" t="s">
        <v>500</v>
      </c>
      <c r="J27" s="51"/>
      <c r="K27" s="139"/>
      <c r="L27" s="139"/>
      <c r="M27" s="139"/>
      <c r="N27" s="139"/>
      <c r="O27" s="130"/>
      <c r="P27" s="130"/>
      <c r="Q27" s="130">
        <v>2086.7</v>
      </c>
      <c r="R27" s="131">
        <f t="shared" si="0"/>
        <v>2086.7</v>
      </c>
      <c r="S27" s="41" t="s">
        <v>0</v>
      </c>
    </row>
    <row r="28" spans="1:19" ht="14.25">
      <c r="A28" s="49" t="s">
        <v>440</v>
      </c>
      <c r="B28" s="192" t="s">
        <v>654</v>
      </c>
      <c r="C28" s="50" t="s">
        <v>145</v>
      </c>
      <c r="D28" s="50" t="s">
        <v>0</v>
      </c>
      <c r="E28" s="50" t="s">
        <v>0</v>
      </c>
      <c r="F28" s="136" t="s">
        <v>0</v>
      </c>
      <c r="G28" s="136" t="s">
        <v>0</v>
      </c>
      <c r="H28" s="136"/>
      <c r="I28" s="136" t="s">
        <v>500</v>
      </c>
      <c r="J28" s="51"/>
      <c r="K28" s="139"/>
      <c r="L28" s="139"/>
      <c r="M28" s="139"/>
      <c r="N28" s="139"/>
      <c r="O28" s="130"/>
      <c r="P28" s="130"/>
      <c r="Q28" s="130">
        <v>244400</v>
      </c>
      <c r="R28" s="131">
        <f t="shared" si="0"/>
        <v>244400</v>
      </c>
      <c r="S28" s="41" t="s">
        <v>0</v>
      </c>
    </row>
    <row r="29" spans="1:19" ht="14.25">
      <c r="A29" s="49" t="s">
        <v>439</v>
      </c>
      <c r="B29" s="50" t="s">
        <v>542</v>
      </c>
      <c r="C29" s="50" t="s">
        <v>27</v>
      </c>
      <c r="D29" s="50" t="s">
        <v>0</v>
      </c>
      <c r="E29" s="50" t="s">
        <v>0</v>
      </c>
      <c r="F29" s="136" t="s">
        <v>9</v>
      </c>
      <c r="G29" s="136" t="s">
        <v>0</v>
      </c>
      <c r="H29" s="136"/>
      <c r="I29" s="136" t="s">
        <v>539</v>
      </c>
      <c r="J29" s="51"/>
      <c r="K29" s="139"/>
      <c r="L29" s="139"/>
      <c r="M29" s="139"/>
      <c r="N29" s="139"/>
      <c r="O29" s="130">
        <f>SUM(O31:O32)</f>
        <v>7942.200000000001</v>
      </c>
      <c r="P29" s="130">
        <f>O30</f>
        <v>19670.3</v>
      </c>
      <c r="Q29" s="130">
        <v>4090909</v>
      </c>
      <c r="R29" s="131">
        <f t="shared" si="0"/>
        <v>4118521.5</v>
      </c>
      <c r="S29" s="41" t="s">
        <v>0</v>
      </c>
    </row>
    <row r="30" spans="1:19" ht="14.25">
      <c r="A30" s="49" t="s">
        <v>0</v>
      </c>
      <c r="B30" s="50" t="s">
        <v>538</v>
      </c>
      <c r="C30" s="50" t="s">
        <v>0</v>
      </c>
      <c r="D30" s="50" t="s">
        <v>0</v>
      </c>
      <c r="E30" s="50" t="s">
        <v>0</v>
      </c>
      <c r="F30" s="136" t="s">
        <v>0</v>
      </c>
      <c r="G30" s="136" t="s">
        <v>0</v>
      </c>
      <c r="H30" s="136"/>
      <c r="I30" s="136" t="s">
        <v>0</v>
      </c>
      <c r="J30" s="51">
        <f>('Phan tich don gia'!G435)</f>
        <v>19670.328</v>
      </c>
      <c r="K30" s="139"/>
      <c r="L30" s="139"/>
      <c r="M30" s="139"/>
      <c r="N30" s="139"/>
      <c r="O30" s="51">
        <f>ROUND(J30,1)</f>
        <v>19670.3</v>
      </c>
      <c r="P30" s="51"/>
      <c r="Q30" s="51"/>
      <c r="R30" s="132">
        <v>0</v>
      </c>
      <c r="S30" s="41" t="s">
        <v>0</v>
      </c>
    </row>
    <row r="31" spans="1:19" ht="14.25">
      <c r="A31" s="49" t="s">
        <v>0</v>
      </c>
      <c r="B31" s="50" t="s">
        <v>537</v>
      </c>
      <c r="C31" s="50" t="s">
        <v>0</v>
      </c>
      <c r="D31" s="50" t="s">
        <v>536</v>
      </c>
      <c r="E31" s="50" t="s">
        <v>0</v>
      </c>
      <c r="F31" s="136" t="s">
        <v>0</v>
      </c>
      <c r="G31" s="136">
        <v>4</v>
      </c>
      <c r="H31" s="136">
        <v>1</v>
      </c>
      <c r="I31" s="136" t="s">
        <v>0</v>
      </c>
      <c r="J31" s="51">
        <f>('Phan tich don gia'!G535)/10</f>
        <v>3056.16432</v>
      </c>
      <c r="K31" s="139">
        <v>1</v>
      </c>
      <c r="L31" s="139">
        <v>0.77</v>
      </c>
      <c r="M31" s="139">
        <v>1</v>
      </c>
      <c r="N31" s="139">
        <v>1.35</v>
      </c>
      <c r="O31" s="51">
        <f>ROUND(J31*K31*L31*M31*H31*N31,1)</f>
        <v>3176.9</v>
      </c>
      <c r="P31" s="51"/>
      <c r="Q31" s="51"/>
      <c r="R31" s="132">
        <v>0</v>
      </c>
      <c r="S31" s="41" t="s">
        <v>0</v>
      </c>
    </row>
    <row r="32" spans="1:19" ht="14.25">
      <c r="A32" s="49" t="s">
        <v>0</v>
      </c>
      <c r="B32" s="50" t="s">
        <v>535</v>
      </c>
      <c r="C32" s="50" t="s">
        <v>0</v>
      </c>
      <c r="D32" s="50" t="s">
        <v>0</v>
      </c>
      <c r="E32" s="50" t="s">
        <v>503</v>
      </c>
      <c r="F32" s="136" t="s">
        <v>0</v>
      </c>
      <c r="G32" s="136">
        <v>4</v>
      </c>
      <c r="H32" s="136">
        <v>2</v>
      </c>
      <c r="I32" s="136" t="s">
        <v>0</v>
      </c>
      <c r="J32" s="51">
        <f>('Phan tich don gia'!G540)/10</f>
        <v>2292.12324</v>
      </c>
      <c r="K32" s="139">
        <v>1</v>
      </c>
      <c r="L32" s="139">
        <v>0.77</v>
      </c>
      <c r="M32" s="139">
        <v>1</v>
      </c>
      <c r="N32" s="139">
        <v>1.35</v>
      </c>
      <c r="O32" s="51">
        <f>ROUND(J32*K32*L32*M32*H32*N32,1)</f>
        <v>4765.3</v>
      </c>
      <c r="P32" s="51"/>
      <c r="Q32" s="51"/>
      <c r="R32" s="132">
        <v>0</v>
      </c>
      <c r="S32" s="41" t="s">
        <v>0</v>
      </c>
    </row>
    <row r="33" spans="1:19" ht="14.25">
      <c r="A33" s="49" t="s">
        <v>438</v>
      </c>
      <c r="B33" s="50" t="s">
        <v>541</v>
      </c>
      <c r="C33" s="50" t="s">
        <v>27</v>
      </c>
      <c r="D33" s="50" t="s">
        <v>0</v>
      </c>
      <c r="E33" s="50" t="s">
        <v>0</v>
      </c>
      <c r="F33" s="136" t="s">
        <v>9</v>
      </c>
      <c r="G33" s="136" t="s">
        <v>0</v>
      </c>
      <c r="H33" s="136"/>
      <c r="I33" s="136" t="s">
        <v>539</v>
      </c>
      <c r="J33" s="51"/>
      <c r="K33" s="139"/>
      <c r="L33" s="139"/>
      <c r="M33" s="139"/>
      <c r="N33" s="139"/>
      <c r="O33" s="130">
        <f>O29</f>
        <v>7942.200000000001</v>
      </c>
      <c r="P33" s="130">
        <f>P29</f>
        <v>19670.3</v>
      </c>
      <c r="Q33" s="130">
        <v>4090909</v>
      </c>
      <c r="R33" s="131">
        <f>O33+P33+Q33</f>
        <v>4118521.5</v>
      </c>
      <c r="S33" s="41" t="s">
        <v>0</v>
      </c>
    </row>
    <row r="34" spans="1:19" ht="14.25">
      <c r="A34" s="49" t="s">
        <v>437</v>
      </c>
      <c r="B34" s="50" t="s">
        <v>540</v>
      </c>
      <c r="C34" s="50" t="s">
        <v>27</v>
      </c>
      <c r="D34" s="50" t="s">
        <v>0</v>
      </c>
      <c r="E34" s="50" t="s">
        <v>0</v>
      </c>
      <c r="F34" s="136" t="s">
        <v>9</v>
      </c>
      <c r="G34" s="136" t="s">
        <v>0</v>
      </c>
      <c r="H34" s="136"/>
      <c r="I34" s="136" t="s">
        <v>539</v>
      </c>
      <c r="J34" s="51"/>
      <c r="K34" s="139"/>
      <c r="L34" s="139"/>
      <c r="M34" s="139"/>
      <c r="N34" s="139"/>
      <c r="O34" s="130">
        <f>O29</f>
        <v>7942.200000000001</v>
      </c>
      <c r="P34" s="130">
        <f>P29</f>
        <v>19670.3</v>
      </c>
      <c r="Q34" s="130">
        <v>4090909</v>
      </c>
      <c r="R34" s="131">
        <f>O34+P34+Q34</f>
        <v>4118521.5</v>
      </c>
      <c r="S34" s="41" t="s">
        <v>0</v>
      </c>
    </row>
    <row r="35" spans="1:19" ht="14.25">
      <c r="A35" s="49" t="s">
        <v>436</v>
      </c>
      <c r="B35" s="50" t="s">
        <v>534</v>
      </c>
      <c r="C35" s="50" t="s">
        <v>139</v>
      </c>
      <c r="D35" s="50" t="s">
        <v>0</v>
      </c>
      <c r="E35" s="50" t="s">
        <v>0</v>
      </c>
      <c r="F35" s="136" t="s">
        <v>0</v>
      </c>
      <c r="G35" s="136" t="s">
        <v>0</v>
      </c>
      <c r="H35" s="136"/>
      <c r="I35" s="136" t="s">
        <v>500</v>
      </c>
      <c r="J35" s="51"/>
      <c r="K35" s="139"/>
      <c r="L35" s="139"/>
      <c r="M35" s="139"/>
      <c r="N35" s="139"/>
      <c r="O35" s="130"/>
      <c r="P35" s="130"/>
      <c r="Q35" s="130">
        <v>3863.6</v>
      </c>
      <c r="R35" s="131">
        <f aca="true" t="shared" si="1" ref="R35:R47">O35+P35+Q35</f>
        <v>3863.6</v>
      </c>
      <c r="S35" s="41" t="s">
        <v>0</v>
      </c>
    </row>
    <row r="36" spans="1:19" ht="14.25">
      <c r="A36" s="49" t="s">
        <v>435</v>
      </c>
      <c r="B36" s="50" t="s">
        <v>533</v>
      </c>
      <c r="C36" s="50" t="s">
        <v>36</v>
      </c>
      <c r="D36" s="50" t="s">
        <v>0</v>
      </c>
      <c r="E36" s="50" t="s">
        <v>0</v>
      </c>
      <c r="F36" s="136" t="s">
        <v>0</v>
      </c>
      <c r="G36" s="136" t="s">
        <v>0</v>
      </c>
      <c r="H36" s="136"/>
      <c r="I36" s="136" t="s">
        <v>500</v>
      </c>
      <c r="J36" s="51"/>
      <c r="K36" s="139"/>
      <c r="L36" s="139"/>
      <c r="M36" s="139"/>
      <c r="N36" s="139"/>
      <c r="O36" s="130"/>
      <c r="P36" s="130"/>
      <c r="Q36" s="130">
        <v>27272727.2</v>
      </c>
      <c r="R36" s="131">
        <f t="shared" si="1"/>
        <v>27272727.2</v>
      </c>
      <c r="S36" s="41" t="s">
        <v>0</v>
      </c>
    </row>
    <row r="37" spans="1:19" ht="14.25">
      <c r="A37" s="49" t="s">
        <v>434</v>
      </c>
      <c r="B37" s="50" t="s">
        <v>532</v>
      </c>
      <c r="C37" s="50" t="s">
        <v>139</v>
      </c>
      <c r="D37" s="50" t="s">
        <v>0</v>
      </c>
      <c r="E37" s="50" t="s">
        <v>0</v>
      </c>
      <c r="F37" s="136" t="s">
        <v>0</v>
      </c>
      <c r="G37" s="136" t="s">
        <v>0</v>
      </c>
      <c r="H37" s="136"/>
      <c r="I37" s="136" t="s">
        <v>500</v>
      </c>
      <c r="J37" s="51"/>
      <c r="K37" s="139"/>
      <c r="L37" s="139"/>
      <c r="M37" s="139"/>
      <c r="N37" s="139"/>
      <c r="O37" s="130"/>
      <c r="P37" s="130"/>
      <c r="Q37" s="130">
        <v>909</v>
      </c>
      <c r="R37" s="131">
        <f t="shared" si="1"/>
        <v>909</v>
      </c>
      <c r="S37" s="41" t="s">
        <v>0</v>
      </c>
    </row>
    <row r="38" spans="1:19" ht="14.25">
      <c r="A38" s="49" t="s">
        <v>433</v>
      </c>
      <c r="B38" s="50" t="s">
        <v>531</v>
      </c>
      <c r="C38" s="50" t="s">
        <v>139</v>
      </c>
      <c r="D38" s="50" t="s">
        <v>0</v>
      </c>
      <c r="E38" s="50" t="s">
        <v>0</v>
      </c>
      <c r="F38" s="136" t="s">
        <v>0</v>
      </c>
      <c r="G38" s="136" t="s">
        <v>0</v>
      </c>
      <c r="H38" s="136"/>
      <c r="I38" s="136" t="s">
        <v>500</v>
      </c>
      <c r="J38" s="51"/>
      <c r="K38" s="139"/>
      <c r="L38" s="139"/>
      <c r="M38" s="139"/>
      <c r="N38" s="139"/>
      <c r="O38" s="130"/>
      <c r="P38" s="130"/>
      <c r="Q38" s="130">
        <v>10181.8</v>
      </c>
      <c r="R38" s="131">
        <f t="shared" si="1"/>
        <v>10181.8</v>
      </c>
      <c r="S38" s="41" t="s">
        <v>0</v>
      </c>
    </row>
    <row r="39" spans="1:19" ht="14.25">
      <c r="A39" s="49" t="s">
        <v>432</v>
      </c>
      <c r="B39" s="50" t="s">
        <v>530</v>
      </c>
      <c r="C39" s="50" t="s">
        <v>27</v>
      </c>
      <c r="D39" s="50" t="s">
        <v>0</v>
      </c>
      <c r="E39" s="50" t="s">
        <v>0</v>
      </c>
      <c r="F39" s="136" t="s">
        <v>21</v>
      </c>
      <c r="G39" s="136" t="s">
        <v>0</v>
      </c>
      <c r="H39" s="136"/>
      <c r="I39" s="136" t="s">
        <v>500</v>
      </c>
      <c r="J39" s="51"/>
      <c r="K39" s="139"/>
      <c r="L39" s="139"/>
      <c r="M39" s="139"/>
      <c r="N39" s="139"/>
      <c r="O39" s="130"/>
      <c r="P39" s="130"/>
      <c r="Q39" s="130">
        <v>9090.9</v>
      </c>
      <c r="R39" s="131">
        <f t="shared" si="1"/>
        <v>9090.9</v>
      </c>
      <c r="S39" s="41" t="s">
        <v>0</v>
      </c>
    </row>
    <row r="40" spans="1:19" ht="14.25">
      <c r="A40" s="49" t="s">
        <v>431</v>
      </c>
      <c r="B40" s="192" t="s">
        <v>652</v>
      </c>
      <c r="C40" s="50" t="s">
        <v>195</v>
      </c>
      <c r="D40" s="50" t="s">
        <v>0</v>
      </c>
      <c r="E40" s="50" t="s">
        <v>0</v>
      </c>
      <c r="F40" s="136" t="s">
        <v>0</v>
      </c>
      <c r="G40" s="136" t="s">
        <v>0</v>
      </c>
      <c r="H40" s="136"/>
      <c r="I40" s="136" t="s">
        <v>500</v>
      </c>
      <c r="J40" s="51"/>
      <c r="K40" s="139"/>
      <c r="L40" s="139"/>
      <c r="M40" s="139"/>
      <c r="N40" s="139"/>
      <c r="O40" s="130"/>
      <c r="P40" s="130"/>
      <c r="Q40" s="130">
        <v>1500000</v>
      </c>
      <c r="R40" s="131">
        <f t="shared" si="1"/>
        <v>1500000</v>
      </c>
      <c r="S40" s="41" t="s">
        <v>0</v>
      </c>
    </row>
    <row r="41" spans="1:19" ht="14.25">
      <c r="A41" s="49" t="s">
        <v>430</v>
      </c>
      <c r="B41" s="192" t="s">
        <v>651</v>
      </c>
      <c r="C41" s="50" t="s">
        <v>195</v>
      </c>
      <c r="D41" s="50" t="s">
        <v>0</v>
      </c>
      <c r="E41" s="50" t="s">
        <v>0</v>
      </c>
      <c r="F41" s="136" t="s">
        <v>0</v>
      </c>
      <c r="G41" s="136" t="s">
        <v>0</v>
      </c>
      <c r="H41" s="136"/>
      <c r="I41" s="136" t="s">
        <v>500</v>
      </c>
      <c r="J41" s="51"/>
      <c r="K41" s="139"/>
      <c r="L41" s="139"/>
      <c r="M41" s="139"/>
      <c r="N41" s="139"/>
      <c r="O41" s="130"/>
      <c r="P41" s="130"/>
      <c r="Q41" s="130">
        <v>2100000</v>
      </c>
      <c r="R41" s="131">
        <f t="shared" si="1"/>
        <v>2100000</v>
      </c>
      <c r="S41" s="41" t="s">
        <v>0</v>
      </c>
    </row>
    <row r="42" spans="1:19" ht="14.25">
      <c r="A42" s="49" t="s">
        <v>429</v>
      </c>
      <c r="B42" s="50" t="s">
        <v>529</v>
      </c>
      <c r="C42" s="50" t="s">
        <v>36</v>
      </c>
      <c r="D42" s="50" t="s">
        <v>0</v>
      </c>
      <c r="E42" s="50" t="s">
        <v>0</v>
      </c>
      <c r="F42" s="136" t="s">
        <v>9</v>
      </c>
      <c r="G42" s="136" t="s">
        <v>0</v>
      </c>
      <c r="H42" s="136"/>
      <c r="I42" s="136" t="s">
        <v>500</v>
      </c>
      <c r="J42" s="51"/>
      <c r="K42" s="139"/>
      <c r="L42" s="139"/>
      <c r="M42" s="139"/>
      <c r="N42" s="139"/>
      <c r="O42" s="130"/>
      <c r="P42" s="130"/>
      <c r="Q42" s="130">
        <v>18181818.1</v>
      </c>
      <c r="R42" s="131">
        <f t="shared" si="1"/>
        <v>18181818.1</v>
      </c>
      <c r="S42" s="41" t="s">
        <v>0</v>
      </c>
    </row>
    <row r="43" spans="1:19" ht="14.25">
      <c r="A43" s="49" t="s">
        <v>428</v>
      </c>
      <c r="B43" s="50" t="s">
        <v>528</v>
      </c>
      <c r="C43" s="50" t="s">
        <v>178</v>
      </c>
      <c r="D43" s="50" t="s">
        <v>0</v>
      </c>
      <c r="E43" s="50" t="s">
        <v>0</v>
      </c>
      <c r="F43" s="136" t="s">
        <v>0</v>
      </c>
      <c r="G43" s="136" t="s">
        <v>0</v>
      </c>
      <c r="H43" s="136"/>
      <c r="I43" s="136" t="s">
        <v>500</v>
      </c>
      <c r="J43" s="51"/>
      <c r="K43" s="139"/>
      <c r="L43" s="139"/>
      <c r="M43" s="139"/>
      <c r="N43" s="139"/>
      <c r="O43" s="130"/>
      <c r="P43" s="130"/>
      <c r="Q43" s="130">
        <v>149389.9</v>
      </c>
      <c r="R43" s="131">
        <f t="shared" si="1"/>
        <v>149389.9</v>
      </c>
      <c r="S43" s="41" t="s">
        <v>0</v>
      </c>
    </row>
    <row r="44" spans="1:19" ht="14.25">
      <c r="A44" s="49" t="s">
        <v>427</v>
      </c>
      <c r="B44" s="50" t="s">
        <v>527</v>
      </c>
      <c r="C44" s="50" t="s">
        <v>36</v>
      </c>
      <c r="D44" s="50" t="s">
        <v>0</v>
      </c>
      <c r="E44" s="50" t="s">
        <v>0</v>
      </c>
      <c r="F44" s="136" t="s">
        <v>0</v>
      </c>
      <c r="G44" s="136" t="s">
        <v>0</v>
      </c>
      <c r="H44" s="136"/>
      <c r="I44" s="136" t="s">
        <v>500</v>
      </c>
      <c r="J44" s="51"/>
      <c r="K44" s="139"/>
      <c r="L44" s="139"/>
      <c r="M44" s="139"/>
      <c r="N44" s="139"/>
      <c r="O44" s="130"/>
      <c r="P44" s="130"/>
      <c r="Q44" s="130">
        <v>130078903.3</v>
      </c>
      <c r="R44" s="131">
        <f t="shared" si="1"/>
        <v>130078903.3</v>
      </c>
      <c r="S44" s="41" t="s">
        <v>0</v>
      </c>
    </row>
    <row r="45" spans="1:19" ht="14.25">
      <c r="A45" s="49" t="s">
        <v>426</v>
      </c>
      <c r="B45" s="50" t="s">
        <v>526</v>
      </c>
      <c r="C45" s="50" t="s">
        <v>36</v>
      </c>
      <c r="D45" s="50" t="s">
        <v>0</v>
      </c>
      <c r="E45" s="50" t="s">
        <v>0</v>
      </c>
      <c r="F45" s="136" t="s">
        <v>0</v>
      </c>
      <c r="G45" s="136" t="s">
        <v>0</v>
      </c>
      <c r="H45" s="136"/>
      <c r="I45" s="136" t="s">
        <v>500</v>
      </c>
      <c r="J45" s="51"/>
      <c r="K45" s="139"/>
      <c r="L45" s="139"/>
      <c r="M45" s="139"/>
      <c r="N45" s="139"/>
      <c r="O45" s="130"/>
      <c r="P45" s="130"/>
      <c r="Q45" s="130">
        <v>81909100</v>
      </c>
      <c r="R45" s="131">
        <f t="shared" si="1"/>
        <v>81909100</v>
      </c>
      <c r="S45" s="41" t="s">
        <v>0</v>
      </c>
    </row>
    <row r="46" spans="1:19" ht="14.25">
      <c r="A46" s="49" t="s">
        <v>425</v>
      </c>
      <c r="B46" s="50" t="s">
        <v>525</v>
      </c>
      <c r="C46" s="50" t="s">
        <v>178</v>
      </c>
      <c r="D46" s="50" t="s">
        <v>0</v>
      </c>
      <c r="E46" s="50" t="s">
        <v>0</v>
      </c>
      <c r="F46" s="136" t="s">
        <v>0</v>
      </c>
      <c r="G46" s="136" t="s">
        <v>0</v>
      </c>
      <c r="H46" s="136"/>
      <c r="I46" s="136" t="s">
        <v>500</v>
      </c>
      <c r="J46" s="51"/>
      <c r="K46" s="139"/>
      <c r="L46" s="139"/>
      <c r="M46" s="139"/>
      <c r="N46" s="139"/>
      <c r="O46" s="130"/>
      <c r="P46" s="130"/>
      <c r="Q46" s="130">
        <v>96212.1</v>
      </c>
      <c r="R46" s="131">
        <f t="shared" si="1"/>
        <v>96212.1</v>
      </c>
      <c r="S46" s="41" t="s">
        <v>0</v>
      </c>
    </row>
    <row r="47" spans="1:19" ht="14.25">
      <c r="A47" s="49" t="s">
        <v>424</v>
      </c>
      <c r="B47" s="50" t="s">
        <v>524</v>
      </c>
      <c r="C47" s="50" t="s">
        <v>36</v>
      </c>
      <c r="D47" s="50" t="s">
        <v>0</v>
      </c>
      <c r="E47" s="50" t="s">
        <v>0</v>
      </c>
      <c r="F47" s="136" t="s">
        <v>9</v>
      </c>
      <c r="G47" s="136" t="s">
        <v>0</v>
      </c>
      <c r="H47" s="136"/>
      <c r="I47" s="136" t="s">
        <v>500</v>
      </c>
      <c r="J47" s="51"/>
      <c r="K47" s="139"/>
      <c r="L47" s="139"/>
      <c r="M47" s="139"/>
      <c r="N47" s="139"/>
      <c r="O47" s="130"/>
      <c r="P47" s="130">
        <f>O48</f>
        <v>45897.4</v>
      </c>
      <c r="Q47" s="130">
        <v>21000000</v>
      </c>
      <c r="R47" s="131">
        <f t="shared" si="1"/>
        <v>21045897.4</v>
      </c>
      <c r="S47" s="41" t="s">
        <v>0</v>
      </c>
    </row>
    <row r="48" spans="1:19" ht="14.25">
      <c r="A48" s="49" t="s">
        <v>0</v>
      </c>
      <c r="B48" s="50" t="s">
        <v>519</v>
      </c>
      <c r="C48" s="50" t="s">
        <v>0</v>
      </c>
      <c r="D48" s="50" t="s">
        <v>0</v>
      </c>
      <c r="E48" s="50" t="s">
        <v>0</v>
      </c>
      <c r="F48" s="136" t="s">
        <v>0</v>
      </c>
      <c r="G48" s="136" t="s">
        <v>0</v>
      </c>
      <c r="H48" s="136"/>
      <c r="I48" s="136" t="s">
        <v>0</v>
      </c>
      <c r="J48" s="51">
        <f>('Phan tich don gia'!G440)</f>
        <v>45897.432</v>
      </c>
      <c r="K48" s="139"/>
      <c r="L48" s="139"/>
      <c r="M48" s="139"/>
      <c r="N48" s="139"/>
      <c r="O48" s="51">
        <f>ROUND(J48,1)</f>
        <v>45897.4</v>
      </c>
      <c r="P48" s="51"/>
      <c r="Q48" s="51"/>
      <c r="R48" s="132">
        <v>0</v>
      </c>
      <c r="S48" s="41" t="s">
        <v>0</v>
      </c>
    </row>
    <row r="49" spans="1:19" ht="14.25">
      <c r="A49" s="49" t="s">
        <v>423</v>
      </c>
      <c r="B49" s="50" t="s">
        <v>523</v>
      </c>
      <c r="C49" s="50" t="s">
        <v>36</v>
      </c>
      <c r="D49" s="50" t="s">
        <v>0</v>
      </c>
      <c r="E49" s="50" t="s">
        <v>0</v>
      </c>
      <c r="F49" s="136" t="s">
        <v>0</v>
      </c>
      <c r="G49" s="136" t="s">
        <v>0</v>
      </c>
      <c r="H49" s="136"/>
      <c r="I49" s="136" t="s">
        <v>500</v>
      </c>
      <c r="J49" s="51"/>
      <c r="K49" s="139"/>
      <c r="L49" s="139"/>
      <c r="M49" s="139"/>
      <c r="N49" s="139"/>
      <c r="O49" s="130"/>
      <c r="P49" s="130">
        <f>O48</f>
        <v>45897.4</v>
      </c>
      <c r="Q49" s="130">
        <v>16400000</v>
      </c>
      <c r="R49" s="131">
        <f>O49+P49+Q49</f>
        <v>16445897.4</v>
      </c>
      <c r="S49" s="41" t="s">
        <v>0</v>
      </c>
    </row>
    <row r="50" spans="1:19" ht="14.25">
      <c r="A50" s="49" t="s">
        <v>422</v>
      </c>
      <c r="B50" s="50" t="s">
        <v>522</v>
      </c>
      <c r="C50" s="50" t="s">
        <v>36</v>
      </c>
      <c r="D50" s="50" t="s">
        <v>0</v>
      </c>
      <c r="E50" s="50" t="s">
        <v>0</v>
      </c>
      <c r="F50" s="136" t="s">
        <v>0</v>
      </c>
      <c r="G50" s="136" t="s">
        <v>0</v>
      </c>
      <c r="H50" s="136"/>
      <c r="I50" s="136" t="s">
        <v>500</v>
      </c>
      <c r="J50" s="51"/>
      <c r="K50" s="139"/>
      <c r="L50" s="139"/>
      <c r="M50" s="139"/>
      <c r="N50" s="139"/>
      <c r="O50" s="130"/>
      <c r="P50" s="130">
        <f>O48</f>
        <v>45897.4</v>
      </c>
      <c r="Q50" s="130">
        <v>16250000</v>
      </c>
      <c r="R50" s="131">
        <f>O50+P50+Q50</f>
        <v>16295897.4</v>
      </c>
      <c r="S50" s="41" t="s">
        <v>0</v>
      </c>
    </row>
    <row r="51" spans="1:19" ht="14.25">
      <c r="A51" s="49" t="s">
        <v>421</v>
      </c>
      <c r="B51" s="50" t="s">
        <v>521</v>
      </c>
      <c r="C51" s="50" t="s">
        <v>36</v>
      </c>
      <c r="D51" s="50" t="s">
        <v>0</v>
      </c>
      <c r="E51" s="50" t="s">
        <v>0</v>
      </c>
      <c r="F51" s="136" t="s">
        <v>0</v>
      </c>
      <c r="G51" s="136" t="s">
        <v>0</v>
      </c>
      <c r="H51" s="136"/>
      <c r="I51" s="136" t="s">
        <v>500</v>
      </c>
      <c r="J51" s="51"/>
      <c r="K51" s="139"/>
      <c r="L51" s="139"/>
      <c r="M51" s="139"/>
      <c r="N51" s="139"/>
      <c r="O51" s="130"/>
      <c r="P51" s="130">
        <f>O48</f>
        <v>45897.4</v>
      </c>
      <c r="Q51" s="130">
        <v>16250000</v>
      </c>
      <c r="R51" s="131">
        <f>O51+P51+Q51</f>
        <v>16295897.4</v>
      </c>
      <c r="S51" s="41" t="s">
        <v>0</v>
      </c>
    </row>
    <row r="52" spans="1:19" ht="14.25">
      <c r="A52" s="49" t="s">
        <v>420</v>
      </c>
      <c r="B52" s="50" t="s">
        <v>520</v>
      </c>
      <c r="C52" s="50" t="s">
        <v>36</v>
      </c>
      <c r="D52" s="50" t="s">
        <v>0</v>
      </c>
      <c r="E52" s="50" t="s">
        <v>0</v>
      </c>
      <c r="F52" s="136" t="s">
        <v>9</v>
      </c>
      <c r="G52" s="136" t="s">
        <v>0</v>
      </c>
      <c r="H52" s="136"/>
      <c r="I52" s="136" t="s">
        <v>500</v>
      </c>
      <c r="J52" s="51"/>
      <c r="K52" s="139"/>
      <c r="L52" s="139"/>
      <c r="M52" s="139"/>
      <c r="N52" s="139"/>
      <c r="O52" s="130"/>
      <c r="P52" s="130">
        <f>O48</f>
        <v>45897.4</v>
      </c>
      <c r="Q52" s="130">
        <v>21000000</v>
      </c>
      <c r="R52" s="131">
        <f>O52+P52+Q52</f>
        <v>21045897.4</v>
      </c>
      <c r="S52" s="41" t="s">
        <v>0</v>
      </c>
    </row>
    <row r="53" spans="1:19" ht="14.25">
      <c r="A53" s="49" t="s">
        <v>419</v>
      </c>
      <c r="B53" s="50" t="s">
        <v>518</v>
      </c>
      <c r="C53" s="50" t="s">
        <v>145</v>
      </c>
      <c r="D53" s="50" t="s">
        <v>0</v>
      </c>
      <c r="E53" s="50" t="s">
        <v>0</v>
      </c>
      <c r="F53" s="136" t="s">
        <v>0</v>
      </c>
      <c r="G53" s="136" t="s">
        <v>0</v>
      </c>
      <c r="H53" s="136"/>
      <c r="I53" s="136" t="s">
        <v>500</v>
      </c>
      <c r="J53" s="51"/>
      <c r="K53" s="139"/>
      <c r="L53" s="139"/>
      <c r="M53" s="139"/>
      <c r="N53" s="139"/>
      <c r="O53" s="130"/>
      <c r="P53" s="130"/>
      <c r="Q53" s="130">
        <v>130000</v>
      </c>
      <c r="R53" s="131">
        <f aca="true" t="shared" si="2" ref="R53:R61">O53+P53+Q53</f>
        <v>130000</v>
      </c>
      <c r="S53" s="41" t="s">
        <v>0</v>
      </c>
    </row>
    <row r="54" spans="1:19" ht="14.25">
      <c r="A54" s="49" t="s">
        <v>417</v>
      </c>
      <c r="B54" s="50" t="s">
        <v>517</v>
      </c>
      <c r="C54" s="50" t="s">
        <v>145</v>
      </c>
      <c r="D54" s="50" t="s">
        <v>0</v>
      </c>
      <c r="E54" s="50" t="s">
        <v>0</v>
      </c>
      <c r="F54" s="136" t="s">
        <v>0</v>
      </c>
      <c r="G54" s="136" t="s">
        <v>0</v>
      </c>
      <c r="H54" s="136"/>
      <c r="I54" s="136" t="s">
        <v>500</v>
      </c>
      <c r="J54" s="51"/>
      <c r="K54" s="139"/>
      <c r="L54" s="139"/>
      <c r="M54" s="139"/>
      <c r="N54" s="139"/>
      <c r="O54" s="130"/>
      <c r="P54" s="130"/>
      <c r="Q54" s="130">
        <v>120000</v>
      </c>
      <c r="R54" s="131">
        <f t="shared" si="2"/>
        <v>120000</v>
      </c>
      <c r="S54" s="41" t="s">
        <v>0</v>
      </c>
    </row>
    <row r="55" spans="1:19" ht="14.25">
      <c r="A55" s="49" t="s">
        <v>416</v>
      </c>
      <c r="B55" s="50" t="s">
        <v>516</v>
      </c>
      <c r="C55" s="50" t="s">
        <v>36</v>
      </c>
      <c r="D55" s="50" t="s">
        <v>0</v>
      </c>
      <c r="E55" s="50" t="s">
        <v>0</v>
      </c>
      <c r="F55" s="136" t="s">
        <v>0</v>
      </c>
      <c r="G55" s="136" t="s">
        <v>0</v>
      </c>
      <c r="H55" s="136"/>
      <c r="I55" s="136" t="s">
        <v>500</v>
      </c>
      <c r="J55" s="51"/>
      <c r="K55" s="139"/>
      <c r="L55" s="139"/>
      <c r="M55" s="139"/>
      <c r="N55" s="139"/>
      <c r="O55" s="130"/>
      <c r="P55" s="130"/>
      <c r="Q55" s="130">
        <v>1613636</v>
      </c>
      <c r="R55" s="131">
        <f t="shared" si="2"/>
        <v>1613636</v>
      </c>
      <c r="S55" s="41" t="s">
        <v>0</v>
      </c>
    </row>
    <row r="56" spans="1:19" ht="14.25">
      <c r="A56" s="49" t="s">
        <v>415</v>
      </c>
      <c r="B56" s="50" t="s">
        <v>515</v>
      </c>
      <c r="C56" s="50" t="s">
        <v>36</v>
      </c>
      <c r="D56" s="50" t="s">
        <v>0</v>
      </c>
      <c r="E56" s="50" t="s">
        <v>0</v>
      </c>
      <c r="F56" s="136" t="s">
        <v>0</v>
      </c>
      <c r="G56" s="136" t="s">
        <v>0</v>
      </c>
      <c r="H56" s="136"/>
      <c r="I56" s="136" t="s">
        <v>500</v>
      </c>
      <c r="J56" s="51"/>
      <c r="K56" s="139"/>
      <c r="L56" s="139"/>
      <c r="M56" s="139"/>
      <c r="N56" s="139"/>
      <c r="O56" s="130"/>
      <c r="P56" s="130"/>
      <c r="Q56" s="130">
        <v>1677273</v>
      </c>
      <c r="R56" s="131">
        <f t="shared" si="2"/>
        <v>1677273</v>
      </c>
      <c r="S56" s="41" t="s">
        <v>0</v>
      </c>
    </row>
    <row r="57" spans="1:19" ht="14.25">
      <c r="A57" s="49" t="s">
        <v>414</v>
      </c>
      <c r="B57" s="50" t="s">
        <v>514</v>
      </c>
      <c r="C57" s="50" t="s">
        <v>36</v>
      </c>
      <c r="D57" s="50" t="s">
        <v>0</v>
      </c>
      <c r="E57" s="50" t="s">
        <v>0</v>
      </c>
      <c r="F57" s="136" t="s">
        <v>21</v>
      </c>
      <c r="G57" s="136" t="s">
        <v>0</v>
      </c>
      <c r="H57" s="136"/>
      <c r="I57" s="136" t="s">
        <v>500</v>
      </c>
      <c r="J57" s="51"/>
      <c r="K57" s="139"/>
      <c r="L57" s="139"/>
      <c r="M57" s="139"/>
      <c r="N57" s="139"/>
      <c r="O57" s="130"/>
      <c r="P57" s="130"/>
      <c r="Q57" s="130">
        <v>4545000</v>
      </c>
      <c r="R57" s="131">
        <f t="shared" si="2"/>
        <v>4545000</v>
      </c>
      <c r="S57" s="41" t="s">
        <v>0</v>
      </c>
    </row>
    <row r="58" spans="1:19" ht="14.25">
      <c r="A58" s="49" t="s">
        <v>413</v>
      </c>
      <c r="B58" s="50" t="s">
        <v>513</v>
      </c>
      <c r="C58" s="50" t="s">
        <v>124</v>
      </c>
      <c r="D58" s="50" t="s">
        <v>0</v>
      </c>
      <c r="E58" s="50" t="s">
        <v>0</v>
      </c>
      <c r="F58" s="136" t="s">
        <v>9</v>
      </c>
      <c r="G58" s="136" t="s">
        <v>0</v>
      </c>
      <c r="H58" s="136"/>
      <c r="I58" s="136" t="s">
        <v>500</v>
      </c>
      <c r="J58" s="51"/>
      <c r="K58" s="139"/>
      <c r="L58" s="139"/>
      <c r="M58" s="139"/>
      <c r="N58" s="139"/>
      <c r="O58" s="130"/>
      <c r="P58" s="130"/>
      <c r="Q58" s="130">
        <v>59090.9</v>
      </c>
      <c r="R58" s="131">
        <f t="shared" si="2"/>
        <v>59090.9</v>
      </c>
      <c r="S58" s="41" t="s">
        <v>0</v>
      </c>
    </row>
    <row r="59" spans="1:19" ht="14.25">
      <c r="A59" s="49" t="s">
        <v>411</v>
      </c>
      <c r="B59" s="50" t="s">
        <v>512</v>
      </c>
      <c r="C59" s="50" t="s">
        <v>36</v>
      </c>
      <c r="D59" s="50" t="s">
        <v>0</v>
      </c>
      <c r="E59" s="50" t="s">
        <v>0</v>
      </c>
      <c r="F59" s="136" t="s">
        <v>9</v>
      </c>
      <c r="G59" s="136" t="s">
        <v>0</v>
      </c>
      <c r="H59" s="136"/>
      <c r="I59" s="136" t="s">
        <v>500</v>
      </c>
      <c r="J59" s="51"/>
      <c r="K59" s="139"/>
      <c r="L59" s="139"/>
      <c r="M59" s="139"/>
      <c r="N59" s="139"/>
      <c r="O59" s="130"/>
      <c r="P59" s="130"/>
      <c r="Q59" s="130">
        <v>16363636.3</v>
      </c>
      <c r="R59" s="131">
        <f t="shared" si="2"/>
        <v>16363636.3</v>
      </c>
      <c r="S59" s="41" t="s">
        <v>0</v>
      </c>
    </row>
    <row r="60" spans="1:19" ht="14.25">
      <c r="A60" s="49" t="s">
        <v>409</v>
      </c>
      <c r="B60" s="50" t="s">
        <v>511</v>
      </c>
      <c r="C60" s="50" t="s">
        <v>139</v>
      </c>
      <c r="D60" s="50" t="s">
        <v>0</v>
      </c>
      <c r="E60" s="50" t="s">
        <v>0</v>
      </c>
      <c r="F60" s="136" t="s">
        <v>9</v>
      </c>
      <c r="G60" s="136" t="s">
        <v>0</v>
      </c>
      <c r="H60" s="136"/>
      <c r="I60" s="136" t="s">
        <v>500</v>
      </c>
      <c r="J60" s="51"/>
      <c r="K60" s="139"/>
      <c r="L60" s="139"/>
      <c r="M60" s="139"/>
      <c r="N60" s="139"/>
      <c r="O60" s="130"/>
      <c r="P60" s="130"/>
      <c r="Q60" s="130">
        <v>909</v>
      </c>
      <c r="R60" s="131">
        <f t="shared" si="2"/>
        <v>909</v>
      </c>
      <c r="S60" s="41" t="s">
        <v>0</v>
      </c>
    </row>
    <row r="61" spans="1:19" ht="14.25">
      <c r="A61" s="49" t="s">
        <v>407</v>
      </c>
      <c r="B61" s="50" t="s">
        <v>510</v>
      </c>
      <c r="C61" s="50" t="s">
        <v>27</v>
      </c>
      <c r="D61" s="50" t="s">
        <v>0</v>
      </c>
      <c r="E61" s="50" t="s">
        <v>0</v>
      </c>
      <c r="F61" s="136" t="s">
        <v>2</v>
      </c>
      <c r="G61" s="136" t="s">
        <v>0</v>
      </c>
      <c r="H61" s="136"/>
      <c r="I61" s="136" t="s">
        <v>508</v>
      </c>
      <c r="J61" s="51"/>
      <c r="K61" s="139"/>
      <c r="L61" s="139"/>
      <c r="M61" s="139"/>
      <c r="N61" s="139"/>
      <c r="O61" s="130">
        <f>SUM(O62:O64)</f>
        <v>73568.2</v>
      </c>
      <c r="P61" s="130"/>
      <c r="Q61" s="130">
        <v>290909</v>
      </c>
      <c r="R61" s="131">
        <f t="shared" si="2"/>
        <v>364477.2</v>
      </c>
      <c r="S61" s="41" t="s">
        <v>0</v>
      </c>
    </row>
    <row r="62" spans="1:19" ht="14.25">
      <c r="A62" s="49" t="s">
        <v>0</v>
      </c>
      <c r="B62" s="50" t="s">
        <v>507</v>
      </c>
      <c r="C62" s="50" t="s">
        <v>0</v>
      </c>
      <c r="D62" s="50" t="s">
        <v>506</v>
      </c>
      <c r="E62" s="50" t="s">
        <v>0</v>
      </c>
      <c r="F62" s="136" t="s">
        <v>0</v>
      </c>
      <c r="G62" s="136">
        <v>4</v>
      </c>
      <c r="H62" s="136">
        <v>1</v>
      </c>
      <c r="I62" s="136" t="s">
        <v>0</v>
      </c>
      <c r="J62" s="51">
        <f>('Phan tich don gia'!G505)/10</f>
        <v>5919.58428</v>
      </c>
      <c r="K62" s="139">
        <v>1</v>
      </c>
      <c r="L62" s="139">
        <v>1</v>
      </c>
      <c r="M62" s="139">
        <v>1</v>
      </c>
      <c r="N62" s="139">
        <v>1.35</v>
      </c>
      <c r="O62" s="51">
        <f>ROUND(J62*K62*L62*M62*H62*N62,1)</f>
        <v>7991.4</v>
      </c>
      <c r="P62" s="51"/>
      <c r="Q62" s="51"/>
      <c r="R62" s="132">
        <v>0</v>
      </c>
      <c r="S62" s="41" t="s">
        <v>0</v>
      </c>
    </row>
    <row r="63" spans="1:19" ht="14.25">
      <c r="A63" s="49" t="s">
        <v>0</v>
      </c>
      <c r="B63" s="50" t="s">
        <v>505</v>
      </c>
      <c r="C63" s="50" t="s">
        <v>0</v>
      </c>
      <c r="D63" s="50" t="s">
        <v>0</v>
      </c>
      <c r="E63" s="50" t="s">
        <v>0</v>
      </c>
      <c r="F63" s="136" t="s">
        <v>0</v>
      </c>
      <c r="G63" s="136">
        <v>4</v>
      </c>
      <c r="H63" s="136">
        <v>9</v>
      </c>
      <c r="I63" s="136" t="s">
        <v>0</v>
      </c>
      <c r="J63" s="51">
        <f>('Phan tich don gia'!G510)/10</f>
        <v>4352.6355</v>
      </c>
      <c r="K63" s="139">
        <v>1</v>
      </c>
      <c r="L63" s="139">
        <v>1</v>
      </c>
      <c r="M63" s="139">
        <v>1</v>
      </c>
      <c r="N63" s="139">
        <v>1.35</v>
      </c>
      <c r="O63" s="51">
        <f>ROUND(J63*K63*L63*M63*H63*N63,1)</f>
        <v>52884.5</v>
      </c>
      <c r="P63" s="51"/>
      <c r="Q63" s="51"/>
      <c r="R63" s="132">
        <v>0</v>
      </c>
      <c r="S63" s="41" t="s">
        <v>0</v>
      </c>
    </row>
    <row r="64" spans="1:19" ht="14.25">
      <c r="A64" s="49" t="s">
        <v>0</v>
      </c>
      <c r="B64" s="50" t="s">
        <v>504</v>
      </c>
      <c r="C64" s="50" t="s">
        <v>0</v>
      </c>
      <c r="D64" s="50" t="s">
        <v>0</v>
      </c>
      <c r="E64" s="50" t="s">
        <v>503</v>
      </c>
      <c r="F64" s="136" t="s">
        <v>0</v>
      </c>
      <c r="G64" s="136">
        <v>4</v>
      </c>
      <c r="H64" s="136">
        <v>3</v>
      </c>
      <c r="I64" s="136" t="s">
        <v>0</v>
      </c>
      <c r="J64" s="51">
        <f>('Phan tich don gia'!G515)/10</f>
        <v>3133.8975600000003</v>
      </c>
      <c r="K64" s="139">
        <v>1</v>
      </c>
      <c r="L64" s="139">
        <v>1</v>
      </c>
      <c r="M64" s="139">
        <v>1</v>
      </c>
      <c r="N64" s="139">
        <v>1.35</v>
      </c>
      <c r="O64" s="51">
        <f>ROUND(J64*K64*L64*M64*H64*N64,1)</f>
        <v>12692.3</v>
      </c>
      <c r="P64" s="51"/>
      <c r="Q64" s="51"/>
      <c r="R64" s="132">
        <v>0</v>
      </c>
      <c r="S64" s="41" t="s">
        <v>0</v>
      </c>
    </row>
    <row r="65" spans="1:19" ht="14.25">
      <c r="A65" s="49" t="s">
        <v>406</v>
      </c>
      <c r="B65" s="50" t="s">
        <v>509</v>
      </c>
      <c r="C65" s="50" t="s">
        <v>27</v>
      </c>
      <c r="D65" s="50" t="s">
        <v>0</v>
      </c>
      <c r="E65" s="50" t="s">
        <v>0</v>
      </c>
      <c r="F65" s="136" t="s">
        <v>2</v>
      </c>
      <c r="G65" s="136" t="s">
        <v>0</v>
      </c>
      <c r="H65" s="136"/>
      <c r="I65" s="136" t="s">
        <v>508</v>
      </c>
      <c r="J65" s="51"/>
      <c r="K65" s="139"/>
      <c r="L65" s="139"/>
      <c r="M65" s="139"/>
      <c r="N65" s="139"/>
      <c r="O65" s="130">
        <f>O61</f>
        <v>73568.2</v>
      </c>
      <c r="P65" s="130"/>
      <c r="Q65" s="130">
        <v>227273</v>
      </c>
      <c r="R65" s="131">
        <f>O65+P65+Q65</f>
        <v>300841.2</v>
      </c>
      <c r="S65" s="41" t="s">
        <v>0</v>
      </c>
    </row>
    <row r="66" spans="1:19" ht="14.25">
      <c r="A66" s="49" t="s">
        <v>405</v>
      </c>
      <c r="B66" s="50" t="s">
        <v>502</v>
      </c>
      <c r="C66" s="50" t="s">
        <v>195</v>
      </c>
      <c r="D66" s="50" t="s">
        <v>0</v>
      </c>
      <c r="E66" s="50" t="s">
        <v>0</v>
      </c>
      <c r="F66" s="136" t="s">
        <v>0</v>
      </c>
      <c r="G66" s="136" t="s">
        <v>0</v>
      </c>
      <c r="H66" s="136"/>
      <c r="I66" s="136" t="s">
        <v>500</v>
      </c>
      <c r="J66" s="51"/>
      <c r="K66" s="139"/>
      <c r="L66" s="139"/>
      <c r="M66" s="139"/>
      <c r="N66" s="139"/>
      <c r="O66" s="130"/>
      <c r="P66" s="130"/>
      <c r="Q66" s="130">
        <v>271364</v>
      </c>
      <c r="R66" s="131">
        <f>O66+P66+Q66</f>
        <v>271364</v>
      </c>
      <c r="S66" s="41" t="s">
        <v>0</v>
      </c>
    </row>
    <row r="67" spans="1:19" ht="15" thickBot="1">
      <c r="A67" s="59" t="s">
        <v>404</v>
      </c>
      <c r="B67" s="60" t="s">
        <v>501</v>
      </c>
      <c r="C67" s="60" t="s">
        <v>224</v>
      </c>
      <c r="D67" s="60" t="s">
        <v>0</v>
      </c>
      <c r="E67" s="60" t="s">
        <v>0</v>
      </c>
      <c r="F67" s="137" t="s">
        <v>0</v>
      </c>
      <c r="G67" s="137" t="s">
        <v>0</v>
      </c>
      <c r="H67" s="137"/>
      <c r="I67" s="137" t="s">
        <v>500</v>
      </c>
      <c r="J67" s="61"/>
      <c r="K67" s="140"/>
      <c r="L67" s="140"/>
      <c r="M67" s="140"/>
      <c r="N67" s="140"/>
      <c r="O67" s="133"/>
      <c r="P67" s="133"/>
      <c r="Q67" s="133">
        <v>7097</v>
      </c>
      <c r="R67" s="134">
        <f>O67+P67+Q67</f>
        <v>7097</v>
      </c>
      <c r="S67" s="41" t="s">
        <v>0</v>
      </c>
    </row>
  </sheetData>
  <sheetProtection/>
  <mergeCells count="4">
    <mergeCell ref="A1:R1"/>
    <mergeCell ref="A3:R3"/>
    <mergeCell ref="A4:R4"/>
    <mergeCell ref="A5:R5"/>
  </mergeCells>
  <printOptions horizontalCentered="1"/>
  <pageMargins left="0.25" right="0.25" top="0.75" bottom="0.7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"/>
  <sheetViews>
    <sheetView showZeros="0" zoomScalePageLayoutView="0" workbookViewId="0" topLeftCell="A1">
      <selection activeCell="A1" sqref="A1:K1"/>
    </sheetView>
  </sheetViews>
  <sheetFormatPr defaultColWidth="8.796875" defaultRowHeight="15"/>
  <cols>
    <col min="1" max="1" width="3.59765625" style="41" customWidth="1"/>
    <col min="2" max="2" width="7.59765625" style="41" customWidth="1"/>
    <col min="3" max="3" width="25.59765625" style="41" customWidth="1"/>
    <col min="4" max="4" width="4.69921875" style="41" customWidth="1"/>
    <col min="5" max="5" width="7.09765625" style="159" customWidth="1"/>
    <col min="6" max="8" width="6.09765625" style="128" customWidth="1"/>
    <col min="9" max="9" width="6.59765625" style="128" customWidth="1"/>
    <col min="10" max="10" width="60" style="41" hidden="1" customWidth="1"/>
    <col min="11" max="11" width="9.59765625" style="69" customWidth="1"/>
    <col min="12" max="16384" width="9" style="41" customWidth="1"/>
  </cols>
  <sheetData>
    <row r="1" spans="1:11" ht="21" customHeight="1">
      <c r="A1" s="199" t="s">
        <v>623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4.25">
      <c r="A2" s="44"/>
      <c r="B2" s="44"/>
      <c r="C2" s="44"/>
      <c r="D2" s="44"/>
      <c r="E2" s="162"/>
      <c r="F2" s="163"/>
      <c r="G2" s="163"/>
      <c r="H2" s="163"/>
      <c r="I2" s="163"/>
      <c r="J2" s="44"/>
      <c r="K2" s="74"/>
    </row>
    <row r="3" spans="1:11" s="39" customFormat="1" ht="16.5" customHeight="1">
      <c r="A3" s="194" t="s">
        <v>565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</row>
    <row r="4" spans="1:11" s="39" customFormat="1" ht="16.5" customHeight="1">
      <c r="A4" s="194" t="s">
        <v>566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</row>
    <row r="5" spans="1:11" s="39" customFormat="1" ht="16.5" customHeight="1">
      <c r="A5" s="194" t="s">
        <v>567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</row>
    <row r="6" spans="1:11" ht="15" thickBot="1">
      <c r="A6" s="44"/>
      <c r="B6" s="44"/>
      <c r="C6" s="44"/>
      <c r="D6" s="44"/>
      <c r="E6" s="162"/>
      <c r="F6" s="163"/>
      <c r="G6" s="163"/>
      <c r="H6" s="163"/>
      <c r="I6" s="163"/>
      <c r="J6" s="44"/>
      <c r="K6" s="74"/>
    </row>
    <row r="7" spans="1:11" ht="45" customHeight="1">
      <c r="A7" s="153" t="s">
        <v>359</v>
      </c>
      <c r="B7" s="155" t="s">
        <v>578</v>
      </c>
      <c r="C7" s="154" t="s">
        <v>579</v>
      </c>
      <c r="D7" s="155" t="s">
        <v>588</v>
      </c>
      <c r="E7" s="164" t="s">
        <v>624</v>
      </c>
      <c r="F7" s="165" t="s">
        <v>625</v>
      </c>
      <c r="G7" s="165" t="s">
        <v>626</v>
      </c>
      <c r="H7" s="165" t="s">
        <v>627</v>
      </c>
      <c r="I7" s="165" t="s">
        <v>628</v>
      </c>
      <c r="J7" s="154" t="s">
        <v>629</v>
      </c>
      <c r="K7" s="166" t="s">
        <v>630</v>
      </c>
    </row>
    <row r="8" spans="1:11" ht="15" thickBot="1">
      <c r="A8" s="47" t="s">
        <v>0</v>
      </c>
      <c r="B8" s="48" t="s">
        <v>0</v>
      </c>
      <c r="C8" s="48" t="s">
        <v>0</v>
      </c>
      <c r="D8" s="48" t="s">
        <v>0</v>
      </c>
      <c r="E8" s="160" t="s">
        <v>0</v>
      </c>
      <c r="F8" s="129">
        <v>0</v>
      </c>
      <c r="G8" s="129">
        <v>0</v>
      </c>
      <c r="H8" s="129">
        <v>0</v>
      </c>
      <c r="I8" s="129">
        <v>0</v>
      </c>
      <c r="J8" s="48" t="s">
        <v>0</v>
      </c>
      <c r="K8" s="161"/>
    </row>
  </sheetData>
  <sheetProtection/>
  <mergeCells count="4">
    <mergeCell ref="A1:K1"/>
    <mergeCell ref="A3:K3"/>
    <mergeCell ref="A4:K4"/>
    <mergeCell ref="A5:K5"/>
  </mergeCells>
  <printOptions horizontalCentered="1"/>
  <pageMargins left="0.6" right="0.4" top="0.75" bottom="0.75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5"/>
  <sheetViews>
    <sheetView showZeros="0" zoomScalePageLayoutView="0" workbookViewId="0" topLeftCell="A1">
      <selection activeCell="A1" sqref="A1:F1"/>
    </sheetView>
  </sheetViews>
  <sheetFormatPr defaultColWidth="8.796875" defaultRowHeight="15"/>
  <cols>
    <col min="1" max="1" width="4.3984375" style="6" customWidth="1"/>
    <col min="2" max="2" width="32.69921875" style="6" customWidth="1"/>
    <col min="3" max="3" width="5.59765625" style="6" customWidth="1"/>
    <col min="4" max="4" width="12" style="167" customWidth="1"/>
    <col min="5" max="5" width="12.5" style="167" customWidth="1"/>
    <col min="6" max="6" width="15.59765625" style="167" customWidth="1"/>
    <col min="7" max="16384" width="9" style="6" customWidth="1"/>
  </cols>
  <sheetData>
    <row r="1" spans="1:6" ht="21">
      <c r="A1" s="199" t="s">
        <v>631</v>
      </c>
      <c r="B1" s="199"/>
      <c r="C1" s="199"/>
      <c r="D1" s="199"/>
      <c r="E1" s="199"/>
      <c r="F1" s="199"/>
    </row>
    <row r="2" spans="1:6" ht="15.75">
      <c r="A2" s="2"/>
      <c r="B2" s="2"/>
      <c r="C2" s="2"/>
      <c r="D2" s="5"/>
      <c r="E2" s="5"/>
      <c r="F2" s="5"/>
    </row>
    <row r="3" spans="1:6" s="39" customFormat="1" ht="16.5">
      <c r="A3" s="194" t="s">
        <v>565</v>
      </c>
      <c r="B3" s="194"/>
      <c r="C3" s="194"/>
      <c r="D3" s="194"/>
      <c r="E3" s="194"/>
      <c r="F3" s="194"/>
    </row>
    <row r="4" spans="1:6" s="39" customFormat="1" ht="16.5">
      <c r="A4" s="194" t="s">
        <v>566</v>
      </c>
      <c r="B4" s="194"/>
      <c r="C4" s="194"/>
      <c r="D4" s="194"/>
      <c r="E4" s="194"/>
      <c r="F4" s="194"/>
    </row>
    <row r="5" spans="1:6" s="39" customFormat="1" ht="16.5">
      <c r="A5" s="194" t="s">
        <v>567</v>
      </c>
      <c r="B5" s="194"/>
      <c r="C5" s="194"/>
      <c r="D5" s="194"/>
      <c r="E5" s="194"/>
      <c r="F5" s="194"/>
    </row>
    <row r="6" spans="1:6" ht="16.5" thickBot="1">
      <c r="A6" s="2"/>
      <c r="B6" s="2"/>
      <c r="C6" s="2"/>
      <c r="D6" s="5"/>
      <c r="E6" s="5"/>
      <c r="F6" s="5"/>
    </row>
    <row r="7" spans="1:6" ht="45" customHeight="1">
      <c r="A7" s="34" t="s">
        <v>359</v>
      </c>
      <c r="B7" s="35" t="s">
        <v>632</v>
      </c>
      <c r="C7" s="36" t="s">
        <v>588</v>
      </c>
      <c r="D7" s="176" t="s">
        <v>633</v>
      </c>
      <c r="E7" s="176" t="s">
        <v>577</v>
      </c>
      <c r="F7" s="177" t="s">
        <v>575</v>
      </c>
    </row>
    <row r="8" spans="1:6" ht="15.75">
      <c r="A8" s="20" t="s">
        <v>0</v>
      </c>
      <c r="B8" s="21" t="s">
        <v>1</v>
      </c>
      <c r="C8" s="21" t="s">
        <v>0</v>
      </c>
      <c r="D8" s="174">
        <f>SUMIF('Phan tich KL VL,NC,M'!C$8:C$314,B8,'Phan tich KL VL,NC,M'!G$8:G$314)</f>
        <v>0</v>
      </c>
      <c r="E8" s="174">
        <v>0</v>
      </c>
      <c r="F8" s="175"/>
    </row>
    <row r="9" spans="1:6" ht="15">
      <c r="A9" s="12" t="s">
        <v>0</v>
      </c>
      <c r="B9" s="13" t="s">
        <v>0</v>
      </c>
      <c r="C9" s="13" t="s">
        <v>0</v>
      </c>
      <c r="D9" s="170">
        <f>SUMIF('Phan tich KL VL,NC,M'!C$8:C$314,B9,'Phan tich KL VL,NC,M'!G$8:G$314)</f>
        <v>0</v>
      </c>
      <c r="E9" s="170">
        <v>0</v>
      </c>
      <c r="F9" s="171"/>
    </row>
    <row r="10" spans="1:6" ht="15.75">
      <c r="A10" s="8" t="s">
        <v>0</v>
      </c>
      <c r="B10" s="9" t="s">
        <v>561</v>
      </c>
      <c r="C10" s="9" t="s">
        <v>0</v>
      </c>
      <c r="D10" s="168">
        <f>SUMIF('Phan tich KL VL,NC,M'!C$8:C$314,B10,'Phan tich KL VL,NC,M'!G$8:G$314)</f>
        <v>0</v>
      </c>
      <c r="E10" s="168">
        <v>0</v>
      </c>
      <c r="F10" s="169">
        <f>SUM(F11:F60)</f>
        <v>136628542.86379805</v>
      </c>
    </row>
    <row r="11" spans="1:6" ht="15">
      <c r="A11" s="12" t="s">
        <v>0</v>
      </c>
      <c r="B11" s="13" t="s">
        <v>0</v>
      </c>
      <c r="C11" s="13" t="s">
        <v>0</v>
      </c>
      <c r="D11" s="170">
        <f>SUMIF('Phan tich KL VL,NC,M'!C$8:C$314,B11,'Phan tich KL VL,NC,M'!G$8:G$314)</f>
        <v>0</v>
      </c>
      <c r="E11" s="170">
        <v>0</v>
      </c>
      <c r="F11" s="171"/>
    </row>
    <row r="12" spans="1:6" ht="15">
      <c r="A12" s="12" t="s">
        <v>460</v>
      </c>
      <c r="B12" s="13" t="s">
        <v>461</v>
      </c>
      <c r="C12" s="13" t="s">
        <v>460</v>
      </c>
      <c r="D12" s="170">
        <f>100</f>
        <v>100</v>
      </c>
      <c r="E12" s="170">
        <v>17686.75107</v>
      </c>
      <c r="F12" s="171">
        <f aca="true" t="shared" si="0" ref="F12:F59">D12*E12</f>
        <v>1768675.1069999998</v>
      </c>
    </row>
    <row r="13" spans="1:6" ht="15">
      <c r="A13" s="12" t="s">
        <v>2</v>
      </c>
      <c r="B13" s="13" t="s">
        <v>138</v>
      </c>
      <c r="C13" s="13" t="s">
        <v>139</v>
      </c>
      <c r="D13" s="170">
        <f>SUMIF('Phan tich KL VL,NC,M'!C$8:C$314,B13,'Phan tich KL VL,NC,M'!G$8:G$314)</f>
        <v>9.552</v>
      </c>
      <c r="E13" s="170">
        <f>'Gia VL'!R8</f>
        <v>6742</v>
      </c>
      <c r="F13" s="171">
        <f t="shared" si="0"/>
        <v>64399.583999999995</v>
      </c>
    </row>
    <row r="14" spans="1:6" ht="15">
      <c r="A14" s="12" t="s">
        <v>9</v>
      </c>
      <c r="B14" s="13" t="s">
        <v>104</v>
      </c>
      <c r="C14" s="13" t="s">
        <v>27</v>
      </c>
      <c r="D14" s="170">
        <f>SUMIF('Phan tich KL VL,NC,M'!C$8:C$314,B14,'Phan tich KL VL,NC,M'!G$8:G$314)</f>
        <v>15.016979999999998</v>
      </c>
      <c r="E14" s="170">
        <f>'Gia VL'!R9</f>
        <v>182659.2</v>
      </c>
      <c r="F14" s="171">
        <f t="shared" si="0"/>
        <v>2742989.553216</v>
      </c>
    </row>
    <row r="15" spans="1:6" ht="15">
      <c r="A15" s="12" t="s">
        <v>21</v>
      </c>
      <c r="B15" s="13" t="s">
        <v>85</v>
      </c>
      <c r="C15" s="13" t="s">
        <v>15</v>
      </c>
      <c r="D15" s="170">
        <f>SUMIF('Phan tich KL VL,NC,M'!C$8:C$314,B15,'Phan tich KL VL,NC,M'!G$8:G$314)</f>
        <v>3.2212224</v>
      </c>
      <c r="E15" s="170">
        <f>ROUND('Gia VL'!R13/1000,5)</f>
        <v>20000</v>
      </c>
      <c r="F15" s="171">
        <f t="shared" si="0"/>
        <v>64424.448</v>
      </c>
    </row>
    <row r="16" spans="1:6" ht="15">
      <c r="A16" s="12" t="s">
        <v>33</v>
      </c>
      <c r="B16" s="13" t="s">
        <v>215</v>
      </c>
      <c r="C16" s="13" t="s">
        <v>139</v>
      </c>
      <c r="D16" s="170">
        <f>SUMIF('Phan tich KL VL,NC,M'!C$8:C$314,B16,'Phan tich KL VL,NC,M'!G$8:G$314)</f>
        <v>6</v>
      </c>
      <c r="E16" s="170">
        <f>'Gia VL'!R14</f>
        <v>9272.7</v>
      </c>
      <c r="F16" s="171">
        <f t="shared" si="0"/>
        <v>55636.200000000004</v>
      </c>
    </row>
    <row r="17" spans="1:6" ht="15">
      <c r="A17" s="12" t="s">
        <v>42</v>
      </c>
      <c r="B17" s="13" t="s">
        <v>61</v>
      </c>
      <c r="C17" s="13" t="s">
        <v>27</v>
      </c>
      <c r="D17" s="170">
        <f>SUMIF('Phan tich KL VL,NC,M'!C$8:C$314,B17,'Phan tich KL VL,NC,M'!G$8:G$314)</f>
        <v>6.25741746</v>
      </c>
      <c r="E17" s="170">
        <f>'Gia VL'!R15</f>
        <v>335718.3</v>
      </c>
      <c r="F17" s="171">
        <f t="shared" si="0"/>
        <v>2100729.552061518</v>
      </c>
    </row>
    <row r="18" spans="1:6" ht="15">
      <c r="A18" s="12" t="s">
        <v>46</v>
      </c>
      <c r="B18" s="13" t="s">
        <v>158</v>
      </c>
      <c r="C18" s="13" t="s">
        <v>27</v>
      </c>
      <c r="D18" s="170">
        <f>SUMIF('Phan tich KL VL,NC,M'!C$8:C$314,B18,'Phan tich KL VL,NC,M'!G$8:G$314)</f>
        <v>5.89836352</v>
      </c>
      <c r="E18" s="170">
        <f>'Gia VL'!R19</f>
        <v>335718.3</v>
      </c>
      <c r="F18" s="171">
        <f t="shared" si="0"/>
        <v>1980188.573716416</v>
      </c>
    </row>
    <row r="19" spans="1:6" ht="15">
      <c r="A19" s="12" t="s">
        <v>48</v>
      </c>
      <c r="B19" s="13" t="s">
        <v>26</v>
      </c>
      <c r="C19" s="13" t="s">
        <v>27</v>
      </c>
      <c r="D19" s="170">
        <f>SUMIF('Phan tich KL VL,NC,M'!C$8:C$314,B19,'Phan tich KL VL,NC,M'!G$8:G$314)</f>
        <v>8.952096825000002</v>
      </c>
      <c r="E19" s="170">
        <f>'Gia VL'!R20</f>
        <v>381173.3</v>
      </c>
      <c r="F19" s="171">
        <f t="shared" si="0"/>
        <v>3412300.288704773</v>
      </c>
    </row>
    <row r="20" spans="1:6" ht="15">
      <c r="A20" s="12" t="s">
        <v>55</v>
      </c>
      <c r="B20" s="13" t="s">
        <v>200</v>
      </c>
      <c r="C20" s="13" t="s">
        <v>12</v>
      </c>
      <c r="D20" s="170">
        <f>SUMIF('Phan tich KL VL,NC,M'!C$8:C$314,B20,'Phan tich KL VL,NC,M'!G$8:G$314)</f>
        <v>2.64</v>
      </c>
      <c r="E20" s="170">
        <f>'Gia VL'!R21</f>
        <v>2100000</v>
      </c>
      <c r="F20" s="171">
        <f t="shared" si="0"/>
        <v>5544000</v>
      </c>
    </row>
    <row r="21" spans="1:6" ht="15">
      <c r="A21" s="12" t="s">
        <v>63</v>
      </c>
      <c r="B21" s="13" t="s">
        <v>191</v>
      </c>
      <c r="C21" s="13" t="s">
        <v>12</v>
      </c>
      <c r="D21" s="170">
        <f>SUMIF('Phan tich KL VL,NC,M'!C$8:C$314,B21,'Phan tich KL VL,NC,M'!G$8:G$314)</f>
        <v>7.8</v>
      </c>
      <c r="E21" s="170">
        <f>'Gia VL'!R22</f>
        <v>2100000</v>
      </c>
      <c r="F21" s="171">
        <f t="shared" si="0"/>
        <v>16380000</v>
      </c>
    </row>
    <row r="22" spans="1:6" ht="15">
      <c r="A22" s="12" t="s">
        <v>67</v>
      </c>
      <c r="B22" s="13" t="s">
        <v>223</v>
      </c>
      <c r="C22" s="13" t="s">
        <v>224</v>
      </c>
      <c r="D22" s="170">
        <f>SUMIF('Phan tich KL VL,NC,M'!C$8:C$314,B22,'Phan tich KL VL,NC,M'!G$8:G$314)</f>
        <v>21.21</v>
      </c>
      <c r="E22" s="170">
        <f>'Gia VL'!R23</f>
        <v>5948</v>
      </c>
      <c r="F22" s="171">
        <f t="shared" si="0"/>
        <v>126157.08</v>
      </c>
    </row>
    <row r="23" spans="1:6" ht="15">
      <c r="A23" s="12" t="s">
        <v>74</v>
      </c>
      <c r="B23" s="13" t="s">
        <v>39</v>
      </c>
      <c r="C23" s="13" t="s">
        <v>15</v>
      </c>
      <c r="D23" s="170">
        <f>SUMIF('Phan tich KL VL,NC,M'!C$8:C$314,B23,'Phan tich KL VL,NC,M'!G$8:G$314)</f>
        <v>8.84035</v>
      </c>
      <c r="E23" s="170">
        <f>ROUND('Gia VL'!R24/1000,5)</f>
        <v>16363.6363</v>
      </c>
      <c r="F23" s="171">
        <f t="shared" si="0"/>
        <v>144660.272164705</v>
      </c>
    </row>
    <row r="24" spans="1:6" ht="15">
      <c r="A24" s="12" t="s">
        <v>78</v>
      </c>
      <c r="B24" s="13" t="s">
        <v>171</v>
      </c>
      <c r="C24" s="13" t="s">
        <v>15</v>
      </c>
      <c r="D24" s="170">
        <f>SUMIF('Phan tich KL VL,NC,M'!C$8:C$314,B24,'Phan tich KL VL,NC,M'!G$8:G$314)</f>
        <v>10.0548</v>
      </c>
      <c r="E24" s="170">
        <f>ROUND('Gia VL'!R25/1000,5)</f>
        <v>18500</v>
      </c>
      <c r="F24" s="171">
        <f t="shared" si="0"/>
        <v>186013.80000000002</v>
      </c>
    </row>
    <row r="25" spans="1:6" ht="15">
      <c r="A25" s="12" t="s">
        <v>81</v>
      </c>
      <c r="B25" s="13" t="s">
        <v>157</v>
      </c>
      <c r="C25" s="13" t="s">
        <v>145</v>
      </c>
      <c r="D25" s="170">
        <f>SUMIF('Phan tich KL VL,NC,M'!C$8:C$314,B25,'Phan tich KL VL,NC,M'!G$8:G$314)</f>
        <v>55.4288</v>
      </c>
      <c r="E25" s="170">
        <f>'Gia VL'!R26</f>
        <v>221000</v>
      </c>
      <c r="F25" s="171">
        <f t="shared" si="0"/>
        <v>12249764.8</v>
      </c>
    </row>
    <row r="26" spans="1:6" ht="15">
      <c r="A26" s="12" t="s">
        <v>86</v>
      </c>
      <c r="B26" s="13" t="s">
        <v>59</v>
      </c>
      <c r="C26" s="13" t="s">
        <v>60</v>
      </c>
      <c r="D26" s="170">
        <f>SUMIF('Phan tich KL VL,NC,M'!C$8:C$314,B26,'Phan tich KL VL,NC,M'!G$8:G$314)</f>
        <v>12627.678</v>
      </c>
      <c r="E26" s="170">
        <f>'Gia VL'!R27</f>
        <v>2086.7</v>
      </c>
      <c r="F26" s="171">
        <f t="shared" si="0"/>
        <v>26350175.6826</v>
      </c>
    </row>
    <row r="27" spans="1:6" ht="15">
      <c r="A27" s="12" t="s">
        <v>89</v>
      </c>
      <c r="B27" s="13" t="s">
        <v>165</v>
      </c>
      <c r="C27" s="13" t="s">
        <v>145</v>
      </c>
      <c r="D27" s="170">
        <f>SUMIF('Phan tich KL VL,NC,M'!C$8:C$314,B27,'Phan tich KL VL,NC,M'!G$8:G$314)</f>
        <v>4.27836</v>
      </c>
      <c r="E27" s="170">
        <f>'Gia VL'!R28</f>
        <v>244400</v>
      </c>
      <c r="F27" s="171">
        <f t="shared" si="0"/>
        <v>1045631.184</v>
      </c>
    </row>
    <row r="28" spans="1:6" ht="15">
      <c r="A28" s="12" t="s">
        <v>91</v>
      </c>
      <c r="B28" s="13" t="s">
        <v>72</v>
      </c>
      <c r="C28" s="13" t="s">
        <v>27</v>
      </c>
      <c r="D28" s="170">
        <f>SUMIF('Phan tich KL VL,NC,M'!C$8:C$314,B28,'Phan tich KL VL,NC,M'!G$8:G$314)</f>
        <v>0.20345284</v>
      </c>
      <c r="E28" s="170">
        <f>'Gia VL'!R29</f>
        <v>4118521.5</v>
      </c>
      <c r="F28" s="171">
        <f t="shared" si="0"/>
        <v>837924.89577606</v>
      </c>
    </row>
    <row r="29" spans="1:6" ht="15">
      <c r="A29" s="12" t="s">
        <v>95</v>
      </c>
      <c r="B29" s="13" t="s">
        <v>70</v>
      </c>
      <c r="C29" s="13" t="s">
        <v>27</v>
      </c>
      <c r="D29" s="170">
        <f>SUMIF('Phan tich KL VL,NC,M'!C$8:C$314,B29,'Phan tich KL VL,NC,M'!G$8:G$314)</f>
        <v>0.23139931999999996</v>
      </c>
      <c r="E29" s="170">
        <f>'Gia VL'!R33</f>
        <v>4118521.5</v>
      </c>
      <c r="F29" s="171">
        <f t="shared" si="0"/>
        <v>953023.0745053799</v>
      </c>
    </row>
    <row r="30" spans="1:6" ht="15">
      <c r="A30" s="12" t="s">
        <v>100</v>
      </c>
      <c r="B30" s="13" t="s">
        <v>71</v>
      </c>
      <c r="C30" s="13" t="s">
        <v>27</v>
      </c>
      <c r="D30" s="170">
        <f>SUMIF('Phan tich KL VL,NC,M'!C$8:C$314,B30,'Phan tich KL VL,NC,M'!G$8:G$314)</f>
        <v>0.038056759999999995</v>
      </c>
      <c r="E30" s="170">
        <f>'Gia VL'!R34</f>
        <v>4118521.5</v>
      </c>
      <c r="F30" s="171">
        <f t="shared" si="0"/>
        <v>156737.58428033997</v>
      </c>
    </row>
    <row r="31" spans="1:6" ht="15">
      <c r="A31" s="12" t="s">
        <v>105</v>
      </c>
      <c r="B31" s="13" t="s">
        <v>216</v>
      </c>
      <c r="C31" s="13" t="s">
        <v>139</v>
      </c>
      <c r="D31" s="170">
        <f>SUMIF('Phan tich KL VL,NC,M'!C$8:C$314,B31,'Phan tich KL VL,NC,M'!G$8:G$314)</f>
        <v>3</v>
      </c>
      <c r="E31" s="170">
        <f>'Gia VL'!R35</f>
        <v>3863.6</v>
      </c>
      <c r="F31" s="171">
        <f t="shared" si="0"/>
        <v>11590.8</v>
      </c>
    </row>
    <row r="32" spans="1:6" ht="15">
      <c r="A32" s="12" t="s">
        <v>109</v>
      </c>
      <c r="B32" s="13" t="s">
        <v>125</v>
      </c>
      <c r="C32" s="13" t="s">
        <v>15</v>
      </c>
      <c r="D32" s="170">
        <f>SUMIF('Phan tich KL VL,NC,M'!C$8:C$314,B32,'Phan tich KL VL,NC,M'!G$8:G$314)</f>
        <v>1.12236</v>
      </c>
      <c r="E32" s="170">
        <f>ROUND('Gia VL'!R36/1000,5)</f>
        <v>27272.7272</v>
      </c>
      <c r="F32" s="171">
        <f t="shared" si="0"/>
        <v>30609.818100192002</v>
      </c>
    </row>
    <row r="33" spans="1:6" ht="15">
      <c r="A33" s="12" t="s">
        <v>112</v>
      </c>
      <c r="B33" s="13" t="s">
        <v>146</v>
      </c>
      <c r="C33" s="13" t="s">
        <v>139</v>
      </c>
      <c r="D33" s="170">
        <f>SUMIF('Phan tich KL VL,NC,M'!C$8:C$314,B33,'Phan tich KL VL,NC,M'!G$8:G$314)</f>
        <v>235.6</v>
      </c>
      <c r="E33" s="170">
        <f>'Gia VL'!R37</f>
        <v>909</v>
      </c>
      <c r="F33" s="171">
        <f t="shared" si="0"/>
        <v>214160.4</v>
      </c>
    </row>
    <row r="34" spans="1:6" ht="15">
      <c r="A34" s="12" t="s">
        <v>115</v>
      </c>
      <c r="B34" s="13" t="s">
        <v>217</v>
      </c>
      <c r="C34" s="13" t="s">
        <v>139</v>
      </c>
      <c r="D34" s="170">
        <f>SUMIF('Phan tich KL VL,NC,M'!C$8:C$314,B34,'Phan tich KL VL,NC,M'!G$8:G$314)</f>
        <v>3</v>
      </c>
      <c r="E34" s="170">
        <f>'Gia VL'!R38</f>
        <v>10181.8</v>
      </c>
      <c r="F34" s="171">
        <f t="shared" si="0"/>
        <v>30545.399999999998</v>
      </c>
    </row>
    <row r="35" spans="1:6" ht="15">
      <c r="A35" s="12" t="s">
        <v>119</v>
      </c>
      <c r="B35" s="13" t="s">
        <v>29</v>
      </c>
      <c r="C35" s="13" t="s">
        <v>27</v>
      </c>
      <c r="D35" s="170">
        <f>SUMIF('Phan tich KL VL,NC,M'!C$8:C$314,B35,'Phan tich KL VL,NC,M'!G$8:G$314)</f>
        <v>5.795991850000001</v>
      </c>
      <c r="E35" s="170">
        <f>'Gia VL'!R39</f>
        <v>9090.9</v>
      </c>
      <c r="F35" s="171">
        <f t="shared" si="0"/>
        <v>52690.782309165006</v>
      </c>
    </row>
    <row r="36" spans="1:6" ht="15">
      <c r="A36" s="12" t="s">
        <v>128</v>
      </c>
      <c r="B36" s="13" t="s">
        <v>204</v>
      </c>
      <c r="C36" s="13" t="s">
        <v>195</v>
      </c>
      <c r="D36" s="170">
        <f>SUMIF('Phan tich KL VL,NC,M'!C$8:C$314,B36,'Phan tich KL VL,NC,M'!G$8:G$314)</f>
        <v>1</v>
      </c>
      <c r="E36" s="170">
        <f>'Gia VL'!R40</f>
        <v>1500000</v>
      </c>
      <c r="F36" s="171">
        <f t="shared" si="0"/>
        <v>1500000</v>
      </c>
    </row>
    <row r="37" spans="1:6" ht="15">
      <c r="A37" s="12" t="s">
        <v>135</v>
      </c>
      <c r="B37" s="13" t="s">
        <v>196</v>
      </c>
      <c r="C37" s="13" t="s">
        <v>195</v>
      </c>
      <c r="D37" s="170">
        <f>SUMIF('Phan tich KL VL,NC,M'!C$8:C$314,B37,'Phan tich KL VL,NC,M'!G$8:G$314)</f>
        <v>2</v>
      </c>
      <c r="E37" s="170">
        <f>'Gia VL'!R41</f>
        <v>2100000</v>
      </c>
      <c r="F37" s="171">
        <f t="shared" si="0"/>
        <v>4200000</v>
      </c>
    </row>
    <row r="38" spans="1:6" ht="15">
      <c r="A38" s="12" t="s">
        <v>140</v>
      </c>
      <c r="B38" s="13" t="s">
        <v>17</v>
      </c>
      <c r="C38" s="13" t="s">
        <v>15</v>
      </c>
      <c r="D38" s="170">
        <f>SUMIF('Phan tich KL VL,NC,M'!C$8:C$314,B38,'Phan tich KL VL,NC,M'!G$8:G$314)</f>
        <v>6.71864</v>
      </c>
      <c r="E38" s="170">
        <f>ROUND('Gia VL'!R42/1000,5)</f>
        <v>18181.8181</v>
      </c>
      <c r="F38" s="171">
        <f t="shared" si="0"/>
        <v>122157.090359384</v>
      </c>
    </row>
    <row r="39" spans="1:6" ht="15">
      <c r="A39" s="12" t="s">
        <v>148</v>
      </c>
      <c r="B39" s="13" t="s">
        <v>177</v>
      </c>
      <c r="C39" s="13" t="s">
        <v>178</v>
      </c>
      <c r="D39" s="170">
        <f>SUMIF('Phan tich KL VL,NC,M'!C$8:C$314,B39,'Phan tich KL VL,NC,M'!G$8:G$314)</f>
        <v>31.143</v>
      </c>
      <c r="E39" s="170">
        <f>'Gia VL'!R43</f>
        <v>149389.9</v>
      </c>
      <c r="F39" s="171">
        <f t="shared" si="0"/>
        <v>4652449.6557</v>
      </c>
    </row>
    <row r="40" spans="1:6" ht="15">
      <c r="A40" s="12" t="s">
        <v>153</v>
      </c>
      <c r="B40" s="13" t="s">
        <v>133</v>
      </c>
      <c r="C40" s="13" t="s">
        <v>15</v>
      </c>
      <c r="D40" s="170">
        <f>SUMIF('Phan tich KL VL,NC,M'!C$8:C$314,B40,'Phan tich KL VL,NC,M'!G$8:G$314)</f>
        <v>2.06112</v>
      </c>
      <c r="E40" s="170">
        <f>ROUND('Gia VL'!R44/1000,5)</f>
        <v>130078.9033</v>
      </c>
      <c r="F40" s="171">
        <f t="shared" si="0"/>
        <v>268108.229169696</v>
      </c>
    </row>
    <row r="41" spans="1:6" ht="15">
      <c r="A41" s="12" t="s">
        <v>161</v>
      </c>
      <c r="B41" s="13" t="s">
        <v>134</v>
      </c>
      <c r="C41" s="13" t="s">
        <v>15</v>
      </c>
      <c r="D41" s="170">
        <f>SUMIF('Phan tich KL VL,NC,M'!C$8:C$314,B41,'Phan tich KL VL,NC,M'!G$8:G$314)</f>
        <v>3.8303999999999996</v>
      </c>
      <c r="E41" s="170">
        <f>ROUND('Gia VL'!R45/1000,5)</f>
        <v>81909.1</v>
      </c>
      <c r="F41" s="171">
        <f t="shared" si="0"/>
        <v>313744.61663999996</v>
      </c>
    </row>
    <row r="42" spans="1:6" ht="15">
      <c r="A42" s="12" t="s">
        <v>166</v>
      </c>
      <c r="B42" s="13" t="s">
        <v>179</v>
      </c>
      <c r="C42" s="13" t="s">
        <v>178</v>
      </c>
      <c r="D42" s="170">
        <f>SUMIF('Phan tich KL VL,NC,M'!C$8:C$314,B42,'Phan tich KL VL,NC,M'!G$8:G$314)</f>
        <v>49.20594</v>
      </c>
      <c r="E42" s="170">
        <f>'Gia VL'!R46</f>
        <v>96212.1</v>
      </c>
      <c r="F42" s="171">
        <f t="shared" si="0"/>
        <v>4734206.819874</v>
      </c>
    </row>
    <row r="43" spans="1:6" ht="15">
      <c r="A43" s="12" t="s">
        <v>173</v>
      </c>
      <c r="B43" s="13" t="s">
        <v>16</v>
      </c>
      <c r="C43" s="13" t="s">
        <v>15</v>
      </c>
      <c r="D43" s="170">
        <f>SUMIF('Phan tich KL VL,NC,M'!C$8:C$314,B43,'Phan tich KL VL,NC,M'!G$8:G$314)</f>
        <v>173.10858760000002</v>
      </c>
      <c r="E43" s="170">
        <f>ROUND('Gia VL'!R47/1000,5)</f>
        <v>21045.8974</v>
      </c>
      <c r="F43" s="171">
        <f t="shared" si="0"/>
        <v>3643225.573688513</v>
      </c>
    </row>
    <row r="44" spans="1:6" ht="15">
      <c r="A44" s="12" t="s">
        <v>180</v>
      </c>
      <c r="B44" s="13" t="s">
        <v>38</v>
      </c>
      <c r="C44" s="13" t="s">
        <v>15</v>
      </c>
      <c r="D44" s="170">
        <f>SUMIF('Phan tich KL VL,NC,M'!C$8:C$314,B44,'Phan tich KL VL,NC,M'!G$8:G$314)</f>
        <v>390.945</v>
      </c>
      <c r="E44" s="170">
        <f>ROUND('Gia VL'!R49/1000,5)</f>
        <v>16445.8974</v>
      </c>
      <c r="F44" s="171">
        <f t="shared" si="0"/>
        <v>6429441.359043</v>
      </c>
    </row>
    <row r="45" spans="1:6" ht="15">
      <c r="A45" s="12" t="s">
        <v>184</v>
      </c>
      <c r="B45" s="13" t="s">
        <v>172</v>
      </c>
      <c r="C45" s="13" t="s">
        <v>15</v>
      </c>
      <c r="D45" s="170">
        <f>SUMIF('Phan tich KL VL,NC,M'!C$8:C$314,B45,'Phan tich KL VL,NC,M'!G$8:G$314)</f>
        <v>1.5876</v>
      </c>
      <c r="E45" s="170">
        <f>ROUND('Gia VL'!R50/1000,5)</f>
        <v>16295.8974</v>
      </c>
      <c r="F45" s="171">
        <f t="shared" si="0"/>
        <v>25871.366712239997</v>
      </c>
    </row>
    <row r="46" spans="1:6" ht="15">
      <c r="A46" s="12" t="s">
        <v>187</v>
      </c>
      <c r="B46" s="13" t="s">
        <v>45</v>
      </c>
      <c r="C46" s="13" t="s">
        <v>15</v>
      </c>
      <c r="D46" s="170">
        <f>SUMIF('Phan tich KL VL,NC,M'!C$8:C$314,B46,'Phan tich KL VL,NC,M'!G$8:G$314)</f>
        <v>284.58000000000004</v>
      </c>
      <c r="E46" s="170">
        <f>ROUND('Gia VL'!R51/1000,5)</f>
        <v>16295.8974</v>
      </c>
      <c r="F46" s="171">
        <f t="shared" si="0"/>
        <v>4637486.482092001</v>
      </c>
    </row>
    <row r="47" spans="1:6" ht="15">
      <c r="A47" s="12" t="s">
        <v>192</v>
      </c>
      <c r="B47" s="13" t="s">
        <v>14</v>
      </c>
      <c r="C47" s="13" t="s">
        <v>15</v>
      </c>
      <c r="D47" s="170">
        <f>SUMIF('Phan tich KL VL,NC,M'!C$8:C$314,B47,'Phan tich KL VL,NC,M'!G$8:G$314)</f>
        <v>59.145269600000006</v>
      </c>
      <c r="E47" s="170">
        <f>ROUND('Gia VL'!R52/1000,5)</f>
        <v>21045.8974</v>
      </c>
      <c r="F47" s="171">
        <f t="shared" si="0"/>
        <v>1244765.2756969393</v>
      </c>
    </row>
    <row r="48" spans="1:6" ht="15">
      <c r="A48" s="12" t="s">
        <v>197</v>
      </c>
      <c r="B48" s="13" t="s">
        <v>152</v>
      </c>
      <c r="C48" s="13" t="s">
        <v>145</v>
      </c>
      <c r="D48" s="170">
        <f>SUMIF('Phan tich KL VL,NC,M'!C$8:C$314,B48,'Phan tich KL VL,NC,M'!G$8:G$314)</f>
        <v>7.27575</v>
      </c>
      <c r="E48" s="170">
        <f>'Gia VL'!R53</f>
        <v>130000</v>
      </c>
      <c r="F48" s="171">
        <f t="shared" si="0"/>
        <v>945847.5</v>
      </c>
    </row>
    <row r="49" spans="1:6" ht="15">
      <c r="A49" s="12" t="s">
        <v>201</v>
      </c>
      <c r="B49" s="13" t="s">
        <v>144</v>
      </c>
      <c r="C49" s="13" t="s">
        <v>145</v>
      </c>
      <c r="D49" s="170">
        <f>SUMIF('Phan tich KL VL,NC,M'!C$8:C$314,B49,'Phan tich KL VL,NC,M'!G$8:G$314)</f>
        <v>69.7965</v>
      </c>
      <c r="E49" s="170">
        <f>'Gia VL'!R54</f>
        <v>120000</v>
      </c>
      <c r="F49" s="171">
        <f t="shared" si="0"/>
        <v>8375579.999999999</v>
      </c>
    </row>
    <row r="50" spans="1:6" ht="15">
      <c r="A50" s="12" t="s">
        <v>205</v>
      </c>
      <c r="B50" s="13" t="s">
        <v>25</v>
      </c>
      <c r="C50" s="13" t="s">
        <v>15</v>
      </c>
      <c r="D50" s="170">
        <f>SUMIF('Phan tich KL VL,NC,M'!C$8:C$314,B50,'Phan tich KL VL,NC,M'!G$8:G$314)</f>
        <v>853.0966999999999</v>
      </c>
      <c r="E50" s="170">
        <f>ROUND('Gia VL'!R55/1000,5)</f>
        <v>1613.636</v>
      </c>
      <c r="F50" s="171">
        <f t="shared" si="0"/>
        <v>1376587.5466011998</v>
      </c>
    </row>
    <row r="51" spans="1:6" ht="15">
      <c r="A51" s="12" t="s">
        <v>211</v>
      </c>
      <c r="B51" s="13" t="s">
        <v>52</v>
      </c>
      <c r="C51" s="13" t="s">
        <v>15</v>
      </c>
      <c r="D51" s="170">
        <f>SUMIF('Phan tich KL VL,NC,M'!C$8:C$314,B51,'Phan tich KL VL,NC,M'!G$8:G$314)</f>
        <v>6200.3976379999995</v>
      </c>
      <c r="E51" s="170">
        <f>ROUND('Gia VL'!R56/1000,5)</f>
        <v>1677.273</v>
      </c>
      <c r="F51" s="171">
        <f t="shared" si="0"/>
        <v>10399759.547481172</v>
      </c>
    </row>
    <row r="52" spans="1:6" ht="15">
      <c r="A52" s="12" t="s">
        <v>218</v>
      </c>
      <c r="B52" s="13" t="s">
        <v>159</v>
      </c>
      <c r="C52" s="13" t="s">
        <v>15</v>
      </c>
      <c r="D52" s="170">
        <f>SUMIF('Phan tich KL VL,NC,M'!C$8:C$314,B52,'Phan tich KL VL,NC,M'!G$8:G$314)</f>
        <v>6.1234</v>
      </c>
      <c r="E52" s="170">
        <f>ROUND('Gia VL'!R57/1000,5)</f>
        <v>4545</v>
      </c>
      <c r="F52" s="171">
        <f t="shared" si="0"/>
        <v>27830.853</v>
      </c>
    </row>
    <row r="53" spans="1:6" ht="15">
      <c r="A53" s="12" t="s">
        <v>225</v>
      </c>
      <c r="B53" s="13" t="s">
        <v>123</v>
      </c>
      <c r="C53" s="13" t="s">
        <v>124</v>
      </c>
      <c r="D53" s="170">
        <f>SUMIF('Phan tich KL VL,NC,M'!C$8:C$314,B53,'Phan tich KL VL,NC,M'!G$8:G$314)</f>
        <v>0.56118</v>
      </c>
      <c r="E53" s="170">
        <f>'Gia VL'!R58</f>
        <v>59090.9</v>
      </c>
      <c r="F53" s="171">
        <f t="shared" si="0"/>
        <v>33160.631262</v>
      </c>
    </row>
    <row r="54" spans="1:6" ht="15">
      <c r="A54" s="12" t="s">
        <v>233</v>
      </c>
      <c r="B54" s="13" t="s">
        <v>73</v>
      </c>
      <c r="C54" s="13" t="s">
        <v>15</v>
      </c>
      <c r="D54" s="170">
        <f>SUMIF('Phan tich KL VL,NC,M'!C$8:C$314,B54,'Phan tich KL VL,NC,M'!G$8:G$314)</f>
        <v>2.832847</v>
      </c>
      <c r="E54" s="170">
        <f>ROUND('Gia VL'!R59/1000,5)</f>
        <v>16363.6363</v>
      </c>
      <c r="F54" s="171">
        <f t="shared" si="0"/>
        <v>46355.678001546104</v>
      </c>
    </row>
    <row r="55" spans="1:6" ht="15">
      <c r="A55" s="12" t="s">
        <v>238</v>
      </c>
      <c r="B55" s="13" t="s">
        <v>147</v>
      </c>
      <c r="C55" s="13" t="s">
        <v>139</v>
      </c>
      <c r="D55" s="170">
        <f>SUMIF('Phan tich KL VL,NC,M'!C$8:C$314,B55,'Phan tich KL VL,NC,M'!G$8:G$314)</f>
        <v>282.49</v>
      </c>
      <c r="E55" s="170">
        <f>'Gia VL'!R60</f>
        <v>909</v>
      </c>
      <c r="F55" s="171">
        <f t="shared" si="0"/>
        <v>256783.41</v>
      </c>
    </row>
    <row r="56" spans="1:6" ht="15">
      <c r="A56" s="12" t="s">
        <v>241</v>
      </c>
      <c r="B56" s="13" t="s">
        <v>53</v>
      </c>
      <c r="C56" s="13" t="s">
        <v>27</v>
      </c>
      <c r="D56" s="170">
        <f>SUMIF('Phan tich KL VL,NC,M'!C$8:C$314,B56,'Phan tich KL VL,NC,M'!G$8:G$314)</f>
        <v>10.8704694</v>
      </c>
      <c r="E56" s="170">
        <f>'Gia VL'!R61</f>
        <v>364477.2</v>
      </c>
      <c r="F56" s="171">
        <f t="shared" si="0"/>
        <v>3962038.24959768</v>
      </c>
    </row>
    <row r="57" spans="1:6" ht="15">
      <c r="A57" s="12" t="s">
        <v>245</v>
      </c>
      <c r="B57" s="13" t="s">
        <v>28</v>
      </c>
      <c r="C57" s="13" t="s">
        <v>27</v>
      </c>
      <c r="D57" s="170">
        <f>SUMIF('Phan tich KL VL,NC,M'!C$8:C$314,B57,'Phan tich KL VL,NC,M'!G$8:G$314)</f>
        <v>3.8223233999999997</v>
      </c>
      <c r="E57" s="170">
        <f>'Gia VL'!R65</f>
        <v>300841.2</v>
      </c>
      <c r="F57" s="171">
        <f t="shared" si="0"/>
        <v>1149912.35844408</v>
      </c>
    </row>
    <row r="58" spans="1:6" ht="15">
      <c r="A58" s="12" t="s">
        <v>251</v>
      </c>
      <c r="B58" s="13" t="s">
        <v>210</v>
      </c>
      <c r="C58" s="13" t="s">
        <v>195</v>
      </c>
      <c r="D58" s="170">
        <f>SUMIF('Phan tich KL VL,NC,M'!C$8:C$314,B58,'Phan tich KL VL,NC,M'!G$8:G$314)</f>
        <v>6</v>
      </c>
      <c r="E58" s="170">
        <f>'Gia VL'!R66</f>
        <v>271364</v>
      </c>
      <c r="F58" s="171">
        <f t="shared" si="0"/>
        <v>1628184</v>
      </c>
    </row>
    <row r="59" spans="1:6" ht="15">
      <c r="A59" s="12" t="s">
        <v>254</v>
      </c>
      <c r="B59" s="13" t="s">
        <v>230</v>
      </c>
      <c r="C59" s="13" t="s">
        <v>224</v>
      </c>
      <c r="D59" s="170">
        <f>SUMIF('Phan tich KL VL,NC,M'!C$8:C$314,B59,'Phan tich KL VL,NC,M'!G$8:G$314)</f>
        <v>21.42</v>
      </c>
      <c r="E59" s="170">
        <f>'Gia VL'!R67</f>
        <v>7097</v>
      </c>
      <c r="F59" s="171">
        <f t="shared" si="0"/>
        <v>152017.74000000002</v>
      </c>
    </row>
    <row r="60" spans="1:6" ht="15">
      <c r="A60" s="12" t="s">
        <v>0</v>
      </c>
      <c r="B60" s="13" t="s">
        <v>0</v>
      </c>
      <c r="C60" s="13" t="s">
        <v>0</v>
      </c>
      <c r="D60" s="170">
        <f>SUMIF('Phan tich KL VL,NC,M'!C$8:C$314,B60,'Phan tich KL VL,NC,M'!G$8:G$314)</f>
        <v>0</v>
      </c>
      <c r="E60" s="170">
        <v>0</v>
      </c>
      <c r="F60" s="171"/>
    </row>
    <row r="61" spans="1:6" ht="15.75">
      <c r="A61" s="8" t="s">
        <v>0</v>
      </c>
      <c r="B61" s="9" t="s">
        <v>560</v>
      </c>
      <c r="C61" s="9" t="s">
        <v>0</v>
      </c>
      <c r="D61" s="168">
        <f>SUMIF('Phan tich KL VL,NC,M'!C$8:C$314,B61,'Phan tich KL VL,NC,M'!G$8:G$314)</f>
        <v>0</v>
      </c>
      <c r="E61" s="168">
        <v>0</v>
      </c>
      <c r="F61" s="169">
        <f>SUM(F62:F67)</f>
        <v>58656020.07805159</v>
      </c>
    </row>
    <row r="62" spans="1:6" ht="15">
      <c r="A62" s="12" t="s">
        <v>0</v>
      </c>
      <c r="B62" s="13" t="s">
        <v>0</v>
      </c>
      <c r="C62" s="13" t="s">
        <v>0</v>
      </c>
      <c r="D62" s="170">
        <f>SUMIF('Phan tich KL VL,NC,M'!C$8:C$314,B62,'Phan tich KL VL,NC,M'!G$8:G$314)</f>
        <v>0</v>
      </c>
      <c r="E62" s="170">
        <v>0</v>
      </c>
      <c r="F62" s="171"/>
    </row>
    <row r="63" spans="1:6" ht="15">
      <c r="A63" s="12" t="s">
        <v>257</v>
      </c>
      <c r="B63" s="13" t="s">
        <v>7</v>
      </c>
      <c r="C63" s="13" t="s">
        <v>8</v>
      </c>
      <c r="D63" s="170">
        <f>SUMIF('Phan tich KL VL,NC,M'!C$8:C$314,B63,'Phan tich KL VL,NC,M'!G$8:G$314)</f>
        <v>43.243655700000005</v>
      </c>
      <c r="E63" s="170">
        <f>'Gia NC,CM'!P8</f>
        <v>218559.2</v>
      </c>
      <c r="F63" s="171">
        <f>D63*E63</f>
        <v>9451298.794867441</v>
      </c>
    </row>
    <row r="64" spans="1:6" ht="15">
      <c r="A64" s="12" t="s">
        <v>261</v>
      </c>
      <c r="B64" s="13" t="s">
        <v>30</v>
      </c>
      <c r="C64" s="13" t="s">
        <v>8</v>
      </c>
      <c r="D64" s="170">
        <f>SUMIF('Phan tich KL VL,NC,M'!C$8:C$314,B64,'Phan tich KL VL,NC,M'!G$8:G$314)</f>
        <v>18.209739999999996</v>
      </c>
      <c r="E64" s="170">
        <f>'Gia NC,CM'!P9</f>
        <v>230630.3</v>
      </c>
      <c r="F64" s="171">
        <f>D64*E64</f>
        <v>4199717.799121999</v>
      </c>
    </row>
    <row r="65" spans="1:6" ht="15">
      <c r="A65" s="12" t="s">
        <v>264</v>
      </c>
      <c r="B65" s="13" t="s">
        <v>40</v>
      </c>
      <c r="C65" s="13" t="s">
        <v>8</v>
      </c>
      <c r="D65" s="170">
        <f>SUMIF('Phan tich KL VL,NC,M'!C$8:C$314,B65,'Phan tich KL VL,NC,M'!G$8:G$314)</f>
        <v>153.51543259999997</v>
      </c>
      <c r="E65" s="170">
        <f>'Gia NC,CM'!P10</f>
        <v>252200</v>
      </c>
      <c r="F65" s="171">
        <f>D65*E65</f>
        <v>38716592.10171999</v>
      </c>
    </row>
    <row r="66" spans="1:6" ht="15">
      <c r="A66" s="12" t="s">
        <v>266</v>
      </c>
      <c r="B66" s="13" t="s">
        <v>18</v>
      </c>
      <c r="C66" s="13" t="s">
        <v>8</v>
      </c>
      <c r="D66" s="170">
        <f>SUMIF('Phan tich KL VL,NC,M'!C$8:C$314,B66,'Phan tich KL VL,NC,M'!G$8:G$314)</f>
        <v>22.969712800000003</v>
      </c>
      <c r="E66" s="170">
        <f>'Gia NC,CM'!P11</f>
        <v>273769.7</v>
      </c>
      <c r="F66" s="171">
        <f>D66*E66</f>
        <v>6288411.382342162</v>
      </c>
    </row>
    <row r="67" spans="1:6" ht="15">
      <c r="A67" s="12" t="s">
        <v>0</v>
      </c>
      <c r="B67" s="13" t="s">
        <v>0</v>
      </c>
      <c r="C67" s="13" t="s">
        <v>0</v>
      </c>
      <c r="D67" s="170">
        <f>SUMIF('Phan tich KL VL,NC,M'!C$8:C$314,B67,'Phan tich KL VL,NC,M'!G$8:G$314)</f>
        <v>0</v>
      </c>
      <c r="E67" s="170">
        <v>0</v>
      </c>
      <c r="F67" s="171"/>
    </row>
    <row r="68" spans="1:6" ht="15.75">
      <c r="A68" s="8" t="s">
        <v>0</v>
      </c>
      <c r="B68" s="9" t="s">
        <v>559</v>
      </c>
      <c r="C68" s="9" t="s">
        <v>0</v>
      </c>
      <c r="D68" s="168">
        <f>SUMIF('Phan tich KL VL,NC,M'!C$8:C$314,B68,'Phan tich KL VL,NC,M'!G$8:G$314)</f>
        <v>0</v>
      </c>
      <c r="E68" s="168">
        <v>0</v>
      </c>
      <c r="F68" s="169">
        <f>SUM(F69:F84)</f>
        <v>2608345.027893873</v>
      </c>
    </row>
    <row r="69" spans="1:6" ht="15">
      <c r="A69" s="12" t="s">
        <v>0</v>
      </c>
      <c r="B69" s="13" t="s">
        <v>0</v>
      </c>
      <c r="C69" s="13" t="s">
        <v>0</v>
      </c>
      <c r="D69" s="170">
        <f>SUMIF('Phan tich KL VL,NC,M'!C$8:C$314,B69,'Phan tich KL VL,NC,M'!G$8:G$314)</f>
        <v>0</v>
      </c>
      <c r="E69" s="170">
        <v>0</v>
      </c>
      <c r="F69" s="171"/>
    </row>
    <row r="70" spans="1:6" ht="15">
      <c r="A70" s="12" t="s">
        <v>460</v>
      </c>
      <c r="B70" s="13" t="s">
        <v>466</v>
      </c>
      <c r="C70" s="13" t="s">
        <v>460</v>
      </c>
      <c r="D70" s="170">
        <f>100</f>
        <v>100</v>
      </c>
      <c r="E70" s="170">
        <v>110.34424</v>
      </c>
      <c r="F70" s="171">
        <f aca="true" t="shared" si="1" ref="F70:F81">D70*E70</f>
        <v>11034.423999999999</v>
      </c>
    </row>
    <row r="71" spans="1:6" ht="15">
      <c r="A71" s="12" t="s">
        <v>269</v>
      </c>
      <c r="B71" s="13" t="s">
        <v>127</v>
      </c>
      <c r="C71" s="13" t="s">
        <v>20</v>
      </c>
      <c r="D71" s="170">
        <f>SUMIF('Phan tich KL VL,NC,M'!C$8:C$314,B71,'Phan tich KL VL,NC,M'!G$8:G$314)</f>
        <v>0.143678</v>
      </c>
      <c r="E71" s="170">
        <f>'Gia NC,CM'!P12</f>
        <v>2018911.8</v>
      </c>
      <c r="F71" s="171">
        <f t="shared" si="1"/>
        <v>290073.2096004</v>
      </c>
    </row>
    <row r="72" spans="1:6" ht="15">
      <c r="A72" s="12" t="s">
        <v>271</v>
      </c>
      <c r="B72" s="13" t="s">
        <v>160</v>
      </c>
      <c r="C72" s="13" t="s">
        <v>20</v>
      </c>
      <c r="D72" s="170">
        <f>SUMIF('Phan tich KL VL,NC,M'!C$8:C$314,B72,'Phan tich KL VL,NC,M'!G$8:G$314)</f>
        <v>3.0424</v>
      </c>
      <c r="E72" s="170">
        <f>'Gia NC,CM'!P13</f>
        <v>27817.3</v>
      </c>
      <c r="F72" s="171">
        <f t="shared" si="1"/>
        <v>84631.35352</v>
      </c>
    </row>
    <row r="73" spans="1:6" ht="15">
      <c r="A73" s="12" t="s">
        <v>273</v>
      </c>
      <c r="B73" s="13" t="s">
        <v>41</v>
      </c>
      <c r="C73" s="13" t="s">
        <v>20</v>
      </c>
      <c r="D73" s="170">
        <f>SUMIF('Phan tich KL VL,NC,M'!C$8:C$314,B73,'Phan tich KL VL,NC,M'!G$8:G$314)</f>
        <v>0.24488000000000001</v>
      </c>
      <c r="E73" s="170">
        <f>'Gia NC,CM'!P14</f>
        <v>279365.2</v>
      </c>
      <c r="F73" s="171">
        <f t="shared" si="1"/>
        <v>68410.95017600001</v>
      </c>
    </row>
    <row r="74" spans="1:6" ht="15">
      <c r="A74" s="12" t="s">
        <v>276</v>
      </c>
      <c r="B74" s="13" t="s">
        <v>19</v>
      </c>
      <c r="C74" s="13" t="s">
        <v>20</v>
      </c>
      <c r="D74" s="170">
        <f>SUMIF('Phan tich KL VL,NC,M'!C$8:C$314,B74,'Phan tich KL VL,NC,M'!G$8:G$314)</f>
        <v>1.7400526000000003</v>
      </c>
      <c r="E74" s="170">
        <f>'Gia NC,CM'!P15</f>
        <v>409418.3</v>
      </c>
      <c r="F74" s="171">
        <f t="shared" si="1"/>
        <v>712409.3774025801</v>
      </c>
    </row>
    <row r="75" spans="1:6" ht="15">
      <c r="A75" s="12" t="s">
        <v>278</v>
      </c>
      <c r="B75" s="13" t="s">
        <v>126</v>
      </c>
      <c r="C75" s="13" t="s">
        <v>20</v>
      </c>
      <c r="D75" s="170">
        <f>SUMIF('Phan tich KL VL,NC,M'!C$8:C$314,B75,'Phan tich KL VL,NC,M'!G$8:G$314)</f>
        <v>0.545061</v>
      </c>
      <c r="E75" s="170">
        <f>'Gia NC,CM'!P16</f>
        <v>67928.6</v>
      </c>
      <c r="F75" s="171">
        <f t="shared" si="1"/>
        <v>37025.23064460001</v>
      </c>
    </row>
    <row r="76" spans="1:6" ht="15">
      <c r="A76" s="12" t="s">
        <v>280</v>
      </c>
      <c r="B76" s="13" t="s">
        <v>231</v>
      </c>
      <c r="C76" s="13" t="s">
        <v>20</v>
      </c>
      <c r="D76" s="170">
        <f>SUMIF('Phan tich KL VL,NC,M'!C$8:C$314,B76,'Phan tich KL VL,NC,M'!G$8:G$314)</f>
        <v>0.21</v>
      </c>
      <c r="E76" s="170">
        <f>'Gia NC,CM'!P17</f>
        <v>15041.9</v>
      </c>
      <c r="F76" s="171">
        <f t="shared" si="1"/>
        <v>3158.799</v>
      </c>
    </row>
    <row r="77" spans="1:6" ht="15">
      <c r="A77" s="12" t="s">
        <v>283</v>
      </c>
      <c r="B77" s="13" t="s">
        <v>31</v>
      </c>
      <c r="C77" s="13" t="s">
        <v>20</v>
      </c>
      <c r="D77" s="170">
        <f>SUMIF('Phan tich KL VL,NC,M'!C$8:C$314,B77,'Phan tich KL VL,NC,M'!G$8:G$314)</f>
        <v>1.55762</v>
      </c>
      <c r="E77" s="170">
        <f>'Gia NC,CM'!P18</f>
        <v>318885.3</v>
      </c>
      <c r="F77" s="171">
        <f t="shared" si="1"/>
        <v>496702.120986</v>
      </c>
    </row>
    <row r="78" spans="1:6" ht="15">
      <c r="A78" s="12" t="s">
        <v>285</v>
      </c>
      <c r="B78" s="13" t="s">
        <v>62</v>
      </c>
      <c r="C78" s="13" t="s">
        <v>20</v>
      </c>
      <c r="D78" s="170">
        <f>SUMIF('Phan tich KL VL,NC,M'!C$8:C$314,B78,'Phan tich KL VL,NC,M'!G$8:G$314)</f>
        <v>0.671685</v>
      </c>
      <c r="E78" s="170">
        <f>'Gia NC,CM'!P19</f>
        <v>292948.6</v>
      </c>
      <c r="F78" s="171">
        <f t="shared" si="1"/>
        <v>196769.18039099997</v>
      </c>
    </row>
    <row r="79" spans="1:6" ht="15">
      <c r="A79" s="12" t="s">
        <v>287</v>
      </c>
      <c r="B79" s="13" t="s">
        <v>32</v>
      </c>
      <c r="C79" s="13" t="s">
        <v>20</v>
      </c>
      <c r="D79" s="170">
        <f>SUMIF('Phan tich KL VL,NC,M'!C$8:C$314,B79,'Phan tich KL VL,NC,M'!G$8:G$314)</f>
        <v>0.7314909999999999</v>
      </c>
      <c r="E79" s="170">
        <f>'Gia NC,CM'!P20</f>
        <v>270954</v>
      </c>
      <c r="F79" s="171">
        <f t="shared" si="1"/>
        <v>198200.41241399996</v>
      </c>
    </row>
    <row r="80" spans="1:6" ht="15">
      <c r="A80" s="12" t="s">
        <v>290</v>
      </c>
      <c r="B80" s="13" t="s">
        <v>54</v>
      </c>
      <c r="C80" s="13" t="s">
        <v>20</v>
      </c>
      <c r="D80" s="170">
        <f>SUMIF('Phan tich KL VL,NC,M'!C$8:C$314,B80,'Phan tich KL VL,NC,M'!G$8:G$314)</f>
        <v>1.021137</v>
      </c>
      <c r="E80" s="170">
        <f>'Gia NC,CM'!P21</f>
        <v>274861.2</v>
      </c>
      <c r="F80" s="171">
        <f t="shared" si="1"/>
        <v>280670.9411844</v>
      </c>
    </row>
    <row r="81" spans="1:6" ht="15">
      <c r="A81" s="12" t="s">
        <v>292</v>
      </c>
      <c r="B81" s="13" t="s">
        <v>99</v>
      </c>
      <c r="C81" s="13" t="s">
        <v>20</v>
      </c>
      <c r="D81" s="170">
        <f>SUMIF('Phan tich KL VL,NC,M'!C$8:C$314,B81,'Phan tich KL VL,NC,M'!G$8:G$314)</f>
        <v>0.60912703</v>
      </c>
      <c r="E81" s="170">
        <f>'Gia NC,CM'!P22</f>
        <v>376373.1</v>
      </c>
      <c r="F81" s="171">
        <f t="shared" si="1"/>
        <v>229259.028574893</v>
      </c>
    </row>
    <row r="82" spans="1:6" ht="15">
      <c r="A82" s="12" t="s">
        <v>0</v>
      </c>
      <c r="B82" s="13" t="s">
        <v>0</v>
      </c>
      <c r="C82" s="13" t="s">
        <v>0</v>
      </c>
      <c r="D82" s="170">
        <f>SUMIF('Phan tich KL VL,NC,M'!C$8:C$314,B82,'Phan tich KL VL,NC,M'!G$8:G$314)</f>
        <v>0</v>
      </c>
      <c r="E82" s="170">
        <v>0</v>
      </c>
      <c r="F82" s="171"/>
    </row>
    <row r="83" spans="1:6" ht="15.75">
      <c r="A83" s="8" t="s">
        <v>0</v>
      </c>
      <c r="B83" s="9" t="s">
        <v>232</v>
      </c>
      <c r="C83" s="9" t="s">
        <v>0</v>
      </c>
      <c r="D83" s="168">
        <f>SUMIF('Phan tich KL VL,NC,M'!C$314:C$413,B83,'Phan tich KL VL,NC,M'!G$314:G$413)</f>
        <v>0</v>
      </c>
      <c r="E83" s="168">
        <v>0</v>
      </c>
      <c r="F83" s="169"/>
    </row>
    <row r="84" spans="1:6" ht="15">
      <c r="A84" s="12" t="s">
        <v>0</v>
      </c>
      <c r="B84" s="13" t="s">
        <v>0</v>
      </c>
      <c r="C84" s="13" t="s">
        <v>0</v>
      </c>
      <c r="D84" s="170">
        <f>SUMIF('Phan tich KL VL,NC,M'!C$314:C$413,B84,'Phan tich KL VL,NC,M'!G$314:G$413)</f>
        <v>0</v>
      </c>
      <c r="E84" s="170">
        <v>0</v>
      </c>
      <c r="F84" s="171"/>
    </row>
    <row r="85" spans="1:6" ht="15.75">
      <c r="A85" s="8" t="s">
        <v>0</v>
      </c>
      <c r="B85" s="9" t="s">
        <v>561</v>
      </c>
      <c r="C85" s="9" t="s">
        <v>0</v>
      </c>
      <c r="D85" s="168">
        <f>SUMIF('Phan tich KL VL,NC,M'!C$314:C$413,B85,'Phan tich KL VL,NC,M'!G$314:G$413)</f>
        <v>0</v>
      </c>
      <c r="E85" s="168">
        <v>0</v>
      </c>
      <c r="F85" s="169">
        <f>SUM(F86:F87)</f>
        <v>0</v>
      </c>
    </row>
    <row r="86" spans="1:6" ht="15">
      <c r="A86" s="12" t="s">
        <v>0</v>
      </c>
      <c r="B86" s="13" t="s">
        <v>0</v>
      </c>
      <c r="C86" s="13" t="s">
        <v>0</v>
      </c>
      <c r="D86" s="170">
        <f>SUMIF('Phan tich KL VL,NC,M'!C$314:C$413,B86,'Phan tich KL VL,NC,M'!G$314:G$413)</f>
        <v>0</v>
      </c>
      <c r="E86" s="170">
        <v>0</v>
      </c>
      <c r="F86" s="171"/>
    </row>
    <row r="87" spans="1:6" ht="15">
      <c r="A87" s="12" t="s">
        <v>0</v>
      </c>
      <c r="B87" s="13" t="s">
        <v>0</v>
      </c>
      <c r="C87" s="13" t="s">
        <v>0</v>
      </c>
      <c r="D87" s="170">
        <f>SUMIF('Phan tich KL VL,NC,M'!C$314:C$413,B87,'Phan tich KL VL,NC,M'!G$314:G$413)</f>
        <v>0</v>
      </c>
      <c r="E87" s="170">
        <v>0</v>
      </c>
      <c r="F87" s="171"/>
    </row>
    <row r="88" spans="1:6" ht="15.75">
      <c r="A88" s="8" t="s">
        <v>0</v>
      </c>
      <c r="B88" s="9" t="s">
        <v>560</v>
      </c>
      <c r="C88" s="9" t="s">
        <v>0</v>
      </c>
      <c r="D88" s="168">
        <f>SUMIF('Phan tich KL VL,NC,M'!C$314:C$413,B88,'Phan tich KL VL,NC,M'!G$314:G$413)</f>
        <v>0</v>
      </c>
      <c r="E88" s="168">
        <v>0</v>
      </c>
      <c r="F88" s="169">
        <f>SUM(F89:F91)</f>
        <v>133321.112</v>
      </c>
    </row>
    <row r="89" spans="1:6" ht="15">
      <c r="A89" s="12" t="s">
        <v>0</v>
      </c>
      <c r="B89" s="13" t="s">
        <v>0</v>
      </c>
      <c r="C89" s="13" t="s">
        <v>0</v>
      </c>
      <c r="D89" s="170">
        <f>SUMIF('Phan tich KL VL,NC,M'!C$314:C$413,B89,'Phan tich KL VL,NC,M'!G$314:G$413)</f>
        <v>0</v>
      </c>
      <c r="E89" s="170">
        <v>0</v>
      </c>
      <c r="F89" s="171"/>
    </row>
    <row r="90" spans="1:6" ht="15">
      <c r="A90" s="12" t="s">
        <v>2</v>
      </c>
      <c r="B90" s="13" t="s">
        <v>7</v>
      </c>
      <c r="C90" s="13" t="s">
        <v>8</v>
      </c>
      <c r="D90" s="170">
        <f>SUMIF('Phan tich KL VL,NC,M'!C$314:C$413,B90,'Phan tich KL VL,NC,M'!G$314:G$413)</f>
        <v>0.61</v>
      </c>
      <c r="E90" s="170">
        <f>'Gia NC,CM'!P8</f>
        <v>218559.2</v>
      </c>
      <c r="F90" s="171">
        <f>D90*E90</f>
        <v>133321.112</v>
      </c>
    </row>
    <row r="91" spans="1:6" ht="15">
      <c r="A91" s="12" t="s">
        <v>0</v>
      </c>
      <c r="B91" s="13" t="s">
        <v>0</v>
      </c>
      <c r="C91" s="13" t="s">
        <v>0</v>
      </c>
      <c r="D91" s="170">
        <f>SUMIF('Phan tich KL VL,NC,M'!C$314:C$413,B91,'Phan tich KL VL,NC,M'!G$314:G$413)</f>
        <v>0</v>
      </c>
      <c r="E91" s="170">
        <v>0</v>
      </c>
      <c r="F91" s="171"/>
    </row>
    <row r="92" spans="1:6" ht="15.75">
      <c r="A92" s="8" t="s">
        <v>0</v>
      </c>
      <c r="B92" s="9" t="s">
        <v>559</v>
      </c>
      <c r="C92" s="9" t="s">
        <v>0</v>
      </c>
      <c r="D92" s="168">
        <f>SUMIF('Phan tich KL VL,NC,M'!C$314:C$413,B92,'Phan tich KL VL,NC,M'!G$314:G$413)</f>
        <v>0</v>
      </c>
      <c r="E92" s="168">
        <v>0</v>
      </c>
      <c r="F92" s="169">
        <f>SUM(F93:F95)</f>
        <v>1001595.5188000002</v>
      </c>
    </row>
    <row r="93" spans="1:6" ht="15">
      <c r="A93" s="12" t="s">
        <v>0</v>
      </c>
      <c r="B93" s="13" t="s">
        <v>0</v>
      </c>
      <c r="C93" s="13" t="s">
        <v>0</v>
      </c>
      <c r="D93" s="170">
        <f>SUMIF('Phan tich KL VL,NC,M'!C$314:C$413,B93,'Phan tich KL VL,NC,M'!G$314:G$413)</f>
        <v>0</v>
      </c>
      <c r="E93" s="170">
        <v>0</v>
      </c>
      <c r="F93" s="171"/>
    </row>
    <row r="94" spans="1:6" ht="15">
      <c r="A94" s="12" t="s">
        <v>9</v>
      </c>
      <c r="B94" s="13" t="s">
        <v>250</v>
      </c>
      <c r="C94" s="13" t="s">
        <v>20</v>
      </c>
      <c r="D94" s="170">
        <f>SUMIF('Phan tich KL VL,NC,M'!C$314:C$413,B94,'Phan tich KL VL,NC,M'!G$314:G$413)</f>
        <v>0.20299999999999999</v>
      </c>
      <c r="E94" s="170">
        <f>'Gia NC,CM'!P23</f>
        <v>1741054.2</v>
      </c>
      <c r="F94" s="171">
        <f>D94*E94</f>
        <v>353434.00259999995</v>
      </c>
    </row>
    <row r="95" spans="1:6" ht="15.75" thickBot="1">
      <c r="A95" s="16" t="s">
        <v>21</v>
      </c>
      <c r="B95" s="17" t="s">
        <v>260</v>
      </c>
      <c r="C95" s="17" t="s">
        <v>20</v>
      </c>
      <c r="D95" s="172">
        <f>SUMIF('Phan tich KL VL,NC,M'!C$314:C$413,B95,'Phan tich KL VL,NC,M'!G$314:G$413)</f>
        <v>0.5090000000000001</v>
      </c>
      <c r="E95" s="172">
        <f>'Gia NC,CM'!P24</f>
        <v>1273401.8</v>
      </c>
      <c r="F95" s="173">
        <f>D95*E95</f>
        <v>648161.5162000002</v>
      </c>
    </row>
  </sheetData>
  <sheetProtection/>
  <mergeCells count="4">
    <mergeCell ref="A1:F1"/>
    <mergeCell ref="A3:F3"/>
    <mergeCell ref="A4:F4"/>
    <mergeCell ref="A5:F5"/>
  </mergeCells>
  <printOptions horizontalCentered="1"/>
  <pageMargins left="0.75" right="0.5" top="0.75" bottom="0.75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4"/>
  <sheetViews>
    <sheetView showZeros="0" zoomScalePageLayoutView="0" workbookViewId="0" topLeftCell="A1">
      <selection activeCell="A1" sqref="A1:G1"/>
    </sheetView>
  </sheetViews>
  <sheetFormatPr defaultColWidth="8.796875" defaultRowHeight="15"/>
  <cols>
    <col min="1" max="1" width="3.69921875" style="6" customWidth="1"/>
    <col min="2" max="2" width="9.69921875" style="6" customWidth="1"/>
    <col min="3" max="3" width="29.69921875" style="6" customWidth="1"/>
    <col min="4" max="4" width="5.09765625" style="6" customWidth="1"/>
    <col min="5" max="6" width="10.69921875" style="178" customWidth="1"/>
    <col min="7" max="7" width="13.5" style="178" customWidth="1"/>
    <col min="8" max="16384" width="9" style="6" customWidth="1"/>
  </cols>
  <sheetData>
    <row r="1" spans="1:7" ht="21">
      <c r="A1" s="199" t="s">
        <v>634</v>
      </c>
      <c r="B1" s="199"/>
      <c r="C1" s="199"/>
      <c r="D1" s="199"/>
      <c r="E1" s="199"/>
      <c r="F1" s="199"/>
      <c r="G1" s="199"/>
    </row>
    <row r="2" spans="1:7" ht="15.75">
      <c r="A2" s="2"/>
      <c r="B2" s="2"/>
      <c r="C2" s="2"/>
      <c r="D2" s="2"/>
      <c r="E2" s="3"/>
      <c r="F2" s="3"/>
      <c r="G2" s="3"/>
    </row>
    <row r="3" spans="1:7" s="39" customFormat="1" ht="16.5">
      <c r="A3" s="194" t="s">
        <v>565</v>
      </c>
      <c r="B3" s="194"/>
      <c r="C3" s="194"/>
      <c r="D3" s="194"/>
      <c r="E3" s="194"/>
      <c r="F3" s="194"/>
      <c r="G3" s="194"/>
    </row>
    <row r="4" spans="1:7" s="39" customFormat="1" ht="16.5">
      <c r="A4" s="194" t="s">
        <v>566</v>
      </c>
      <c r="B4" s="194"/>
      <c r="C4" s="194"/>
      <c r="D4" s="194"/>
      <c r="E4" s="194"/>
      <c r="F4" s="194"/>
      <c r="G4" s="194"/>
    </row>
    <row r="5" spans="1:7" s="39" customFormat="1" ht="16.5">
      <c r="A5" s="194" t="s">
        <v>567</v>
      </c>
      <c r="B5" s="194"/>
      <c r="C5" s="194"/>
      <c r="D5" s="194"/>
      <c r="E5" s="194"/>
      <c r="F5" s="194"/>
      <c r="G5" s="194"/>
    </row>
    <row r="6" spans="1:7" ht="16.5" thickBot="1">
      <c r="A6" s="2"/>
      <c r="B6" s="2"/>
      <c r="C6" s="2"/>
      <c r="D6" s="2"/>
      <c r="E6" s="3"/>
      <c r="F6" s="3"/>
      <c r="G6" s="3"/>
    </row>
    <row r="7" spans="1:7" ht="45" customHeight="1">
      <c r="A7" s="34" t="s">
        <v>359</v>
      </c>
      <c r="B7" s="36" t="s">
        <v>578</v>
      </c>
      <c r="C7" s="35" t="s">
        <v>579</v>
      </c>
      <c r="D7" s="36" t="s">
        <v>588</v>
      </c>
      <c r="E7" s="187" t="s">
        <v>633</v>
      </c>
      <c r="F7" s="187" t="s">
        <v>589</v>
      </c>
      <c r="G7" s="188" t="s">
        <v>630</v>
      </c>
    </row>
    <row r="8" spans="1:7" ht="15.75">
      <c r="A8" s="20" t="s">
        <v>0</v>
      </c>
      <c r="B8" s="21" t="s">
        <v>0</v>
      </c>
      <c r="C8" s="21" t="s">
        <v>1</v>
      </c>
      <c r="D8" s="21" t="s">
        <v>0</v>
      </c>
      <c r="E8" s="185"/>
      <c r="F8" s="185"/>
      <c r="G8" s="186"/>
    </row>
    <row r="9" spans="1:7" ht="15">
      <c r="A9" s="12" t="s">
        <v>0</v>
      </c>
      <c r="B9" s="13" t="s">
        <v>0</v>
      </c>
      <c r="C9" s="13" t="s">
        <v>0</v>
      </c>
      <c r="D9" s="13" t="s">
        <v>0</v>
      </c>
      <c r="E9" s="181"/>
      <c r="F9" s="181"/>
      <c r="G9" s="182"/>
    </row>
    <row r="10" spans="1:7" ht="15">
      <c r="A10" s="12" t="s">
        <v>2</v>
      </c>
      <c r="B10" s="13" t="s">
        <v>3</v>
      </c>
      <c r="C10" s="13" t="s">
        <v>4</v>
      </c>
      <c r="D10" s="13" t="s">
        <v>5</v>
      </c>
      <c r="E10" s="181">
        <f>'Du toan chi tiet'!E10</f>
        <v>27.916</v>
      </c>
      <c r="F10" s="181"/>
      <c r="G10" s="182"/>
    </row>
    <row r="11" spans="1:7" ht="15">
      <c r="A11" s="12" t="s">
        <v>0</v>
      </c>
      <c r="B11" s="13" t="s">
        <v>0</v>
      </c>
      <c r="C11" s="13" t="s">
        <v>6</v>
      </c>
      <c r="D11" s="13" t="s">
        <v>0</v>
      </c>
      <c r="E11" s="181"/>
      <c r="F11" s="181"/>
      <c r="G11" s="182"/>
    </row>
    <row r="12" spans="1:7" ht="15">
      <c r="A12" s="12" t="s">
        <v>0</v>
      </c>
      <c r="B12" s="13" t="s">
        <v>0</v>
      </c>
      <c r="C12" s="13" t="s">
        <v>7</v>
      </c>
      <c r="D12" s="13" t="s">
        <v>8</v>
      </c>
      <c r="E12" s="181"/>
      <c r="F12" s="181">
        <f>1.51</f>
        <v>1.51</v>
      </c>
      <c r="G12" s="182">
        <f>E10*F12</f>
        <v>42.15316</v>
      </c>
    </row>
    <row r="13" spans="1:7" ht="15">
      <c r="A13" s="12" t="s">
        <v>0</v>
      </c>
      <c r="B13" s="13" t="s">
        <v>0</v>
      </c>
      <c r="C13" s="13" t="s">
        <v>0</v>
      </c>
      <c r="D13" s="13" t="s">
        <v>0</v>
      </c>
      <c r="E13" s="181"/>
      <c r="F13" s="181"/>
      <c r="G13" s="182"/>
    </row>
    <row r="14" spans="1:7" ht="15">
      <c r="A14" s="12" t="s">
        <v>9</v>
      </c>
      <c r="B14" s="13" t="s">
        <v>10</v>
      </c>
      <c r="C14" s="13" t="s">
        <v>11</v>
      </c>
      <c r="D14" s="13" t="s">
        <v>12</v>
      </c>
      <c r="E14" s="181">
        <f>'Du toan chi tiet'!E12</f>
        <v>9.688</v>
      </c>
      <c r="F14" s="181"/>
      <c r="G14" s="182"/>
    </row>
    <row r="15" spans="1:7" ht="15">
      <c r="A15" s="12" t="s">
        <v>0</v>
      </c>
      <c r="B15" s="13" t="s">
        <v>0</v>
      </c>
      <c r="C15" s="13" t="s">
        <v>13</v>
      </c>
      <c r="D15" s="13" t="s">
        <v>0</v>
      </c>
      <c r="E15" s="181"/>
      <c r="F15" s="181"/>
      <c r="G15" s="182"/>
    </row>
    <row r="16" spans="1:7" ht="15">
      <c r="A16" s="12" t="s">
        <v>0</v>
      </c>
      <c r="B16" s="13" t="s">
        <v>0</v>
      </c>
      <c r="C16" s="13" t="s">
        <v>14</v>
      </c>
      <c r="D16" s="13" t="s">
        <v>15</v>
      </c>
      <c r="E16" s="181"/>
      <c r="F16" s="181">
        <f>0.5181</f>
        <v>0.5181</v>
      </c>
      <c r="G16" s="182">
        <f>E14*F16</f>
        <v>5.0193528</v>
      </c>
    </row>
    <row r="17" spans="1:7" ht="15">
      <c r="A17" s="12" t="s">
        <v>0</v>
      </c>
      <c r="B17" s="13" t="s">
        <v>0</v>
      </c>
      <c r="C17" s="13" t="s">
        <v>16</v>
      </c>
      <c r="D17" s="13" t="s">
        <v>15</v>
      </c>
      <c r="E17" s="181"/>
      <c r="F17" s="181">
        <f>0.3558</f>
        <v>0.3558</v>
      </c>
      <c r="G17" s="182">
        <f>E14*F17</f>
        <v>3.4469904000000002</v>
      </c>
    </row>
    <row r="18" spans="1:7" ht="15">
      <c r="A18" s="12" t="s">
        <v>0</v>
      </c>
      <c r="B18" s="13" t="s">
        <v>0</v>
      </c>
      <c r="C18" s="13" t="s">
        <v>17</v>
      </c>
      <c r="D18" s="13" t="s">
        <v>15</v>
      </c>
      <c r="E18" s="181"/>
      <c r="F18" s="181">
        <f>0.0365</f>
        <v>0.0365</v>
      </c>
      <c r="G18" s="182">
        <f>E14*F18</f>
        <v>0.353612</v>
      </c>
    </row>
    <row r="19" spans="1:7" ht="15">
      <c r="A19" s="12" t="s">
        <v>0</v>
      </c>
      <c r="B19" s="13" t="s">
        <v>0</v>
      </c>
      <c r="C19" s="13" t="s">
        <v>18</v>
      </c>
      <c r="D19" s="13" t="s">
        <v>8</v>
      </c>
      <c r="E19" s="181"/>
      <c r="F19" s="181">
        <f>0.2673</f>
        <v>0.2673</v>
      </c>
      <c r="G19" s="182">
        <f>E14*F19</f>
        <v>2.5896024</v>
      </c>
    </row>
    <row r="20" spans="1:7" ht="15">
      <c r="A20" s="12" t="s">
        <v>0</v>
      </c>
      <c r="B20" s="13" t="s">
        <v>0</v>
      </c>
      <c r="C20" s="13" t="s">
        <v>19</v>
      </c>
      <c r="D20" s="13" t="s">
        <v>20</v>
      </c>
      <c r="E20" s="181"/>
      <c r="F20" s="181">
        <f>0.0092</f>
        <v>0.0092</v>
      </c>
      <c r="G20" s="182">
        <f>E14*F20</f>
        <v>0.0891296</v>
      </c>
    </row>
    <row r="21" spans="1:7" ht="15">
      <c r="A21" s="12" t="s">
        <v>0</v>
      </c>
      <c r="B21" s="13" t="s">
        <v>0</v>
      </c>
      <c r="C21" s="13" t="s">
        <v>0</v>
      </c>
      <c r="D21" s="13" t="s">
        <v>0</v>
      </c>
      <c r="E21" s="181"/>
      <c r="F21" s="181"/>
      <c r="G21" s="182"/>
    </row>
    <row r="22" spans="1:7" ht="15">
      <c r="A22" s="12" t="s">
        <v>21</v>
      </c>
      <c r="B22" s="13" t="s">
        <v>22</v>
      </c>
      <c r="C22" s="13" t="s">
        <v>23</v>
      </c>
      <c r="D22" s="13" t="s">
        <v>5</v>
      </c>
      <c r="E22" s="181">
        <f>'Du toan chi tiet'!E14</f>
        <v>4.116</v>
      </c>
      <c r="F22" s="181"/>
      <c r="G22" s="182"/>
    </row>
    <row r="23" spans="1:7" ht="15">
      <c r="A23" s="12" t="s">
        <v>0</v>
      </c>
      <c r="B23" s="13" t="s">
        <v>0</v>
      </c>
      <c r="C23" s="13" t="s">
        <v>24</v>
      </c>
      <c r="D23" s="13" t="s">
        <v>0</v>
      </c>
      <c r="E23" s="181"/>
      <c r="F23" s="181"/>
      <c r="G23" s="182"/>
    </row>
    <row r="24" spans="1:7" ht="15">
      <c r="A24" s="12" t="s">
        <v>0</v>
      </c>
      <c r="B24" s="13" t="s">
        <v>0</v>
      </c>
      <c r="C24" s="13" t="s">
        <v>25</v>
      </c>
      <c r="D24" s="13" t="s">
        <v>15</v>
      </c>
      <c r="E24" s="181"/>
      <c r="F24" s="181">
        <f>1.025*193</f>
        <v>197.825</v>
      </c>
      <c r="G24" s="182">
        <f>E22*F24</f>
        <v>814.2476999999999</v>
      </c>
    </row>
    <row r="25" spans="1:7" ht="15">
      <c r="A25" s="12" t="s">
        <v>0</v>
      </c>
      <c r="B25" s="13" t="s">
        <v>0</v>
      </c>
      <c r="C25" s="13" t="s">
        <v>26</v>
      </c>
      <c r="D25" s="13" t="s">
        <v>27</v>
      </c>
      <c r="E25" s="181"/>
      <c r="F25" s="181">
        <f>1.025*0.559</f>
        <v>0.572975</v>
      </c>
      <c r="G25" s="182">
        <f>E22*F25</f>
        <v>2.3583651</v>
      </c>
    </row>
    <row r="26" spans="1:7" ht="15">
      <c r="A26" s="12" t="s">
        <v>0</v>
      </c>
      <c r="B26" s="13" t="s">
        <v>0</v>
      </c>
      <c r="C26" s="13" t="s">
        <v>28</v>
      </c>
      <c r="D26" s="13" t="s">
        <v>27</v>
      </c>
      <c r="E26" s="181"/>
      <c r="F26" s="181">
        <f>1.025*0.906</f>
        <v>0.92865</v>
      </c>
      <c r="G26" s="182">
        <f>E22*F26</f>
        <v>3.8223233999999997</v>
      </c>
    </row>
    <row r="27" spans="1:7" ht="15">
      <c r="A27" s="12" t="s">
        <v>0</v>
      </c>
      <c r="B27" s="13" t="s">
        <v>0</v>
      </c>
      <c r="C27" s="13" t="s">
        <v>29</v>
      </c>
      <c r="D27" s="13" t="s">
        <v>27</v>
      </c>
      <c r="E27" s="181"/>
      <c r="F27" s="181">
        <f>1.025*0.162</f>
        <v>0.16605</v>
      </c>
      <c r="G27" s="182">
        <f>E22*F27</f>
        <v>0.6834618</v>
      </c>
    </row>
    <row r="28" spans="1:7" ht="15">
      <c r="A28" s="12" t="s">
        <v>0</v>
      </c>
      <c r="B28" s="13" t="s">
        <v>0</v>
      </c>
      <c r="C28" s="13" t="s">
        <v>30</v>
      </c>
      <c r="D28" s="13" t="s">
        <v>8</v>
      </c>
      <c r="E28" s="181"/>
      <c r="F28" s="181">
        <f>1.07</f>
        <v>1.07</v>
      </c>
      <c r="G28" s="182">
        <f>E22*F28</f>
        <v>4.40412</v>
      </c>
    </row>
    <row r="29" spans="1:7" ht="15">
      <c r="A29" s="12" t="s">
        <v>0</v>
      </c>
      <c r="B29" s="13" t="s">
        <v>0</v>
      </c>
      <c r="C29" s="13" t="s">
        <v>31</v>
      </c>
      <c r="D29" s="13" t="s">
        <v>20</v>
      </c>
      <c r="E29" s="181"/>
      <c r="F29" s="181">
        <f>0.095</f>
        <v>0.095</v>
      </c>
      <c r="G29" s="182">
        <f>E22*F29</f>
        <v>0.39102</v>
      </c>
    </row>
    <row r="30" spans="1:7" ht="15">
      <c r="A30" s="12" t="s">
        <v>0</v>
      </c>
      <c r="B30" s="13" t="s">
        <v>0</v>
      </c>
      <c r="C30" s="13" t="s">
        <v>32</v>
      </c>
      <c r="D30" s="13" t="s">
        <v>20</v>
      </c>
      <c r="E30" s="181"/>
      <c r="F30" s="181">
        <f>0.089</f>
        <v>0.089</v>
      </c>
      <c r="G30" s="182">
        <f>E22*F30</f>
        <v>0.3663239999999999</v>
      </c>
    </row>
    <row r="31" spans="1:7" ht="15">
      <c r="A31" s="12" t="s">
        <v>0</v>
      </c>
      <c r="B31" s="13" t="s">
        <v>0</v>
      </c>
      <c r="C31" s="13" t="s">
        <v>0</v>
      </c>
      <c r="D31" s="13" t="s">
        <v>0</v>
      </c>
      <c r="E31" s="181"/>
      <c r="F31" s="181"/>
      <c r="G31" s="182"/>
    </row>
    <row r="32" spans="1:7" ht="15">
      <c r="A32" s="12" t="s">
        <v>33</v>
      </c>
      <c r="B32" s="13" t="s">
        <v>34</v>
      </c>
      <c r="C32" s="13" t="s">
        <v>35</v>
      </c>
      <c r="D32" s="13" t="s">
        <v>36</v>
      </c>
      <c r="E32" s="181">
        <f>'Du toan chi tiet'!E16</f>
        <v>0.136</v>
      </c>
      <c r="F32" s="181"/>
      <c r="G32" s="182"/>
    </row>
    <row r="33" spans="1:7" ht="15">
      <c r="A33" s="12" t="s">
        <v>0</v>
      </c>
      <c r="B33" s="13" t="s">
        <v>0</v>
      </c>
      <c r="C33" s="13" t="s">
        <v>37</v>
      </c>
      <c r="D33" s="13" t="s">
        <v>0</v>
      </c>
      <c r="E33" s="181"/>
      <c r="F33" s="181"/>
      <c r="G33" s="182"/>
    </row>
    <row r="34" spans="1:7" ht="15">
      <c r="A34" s="12" t="s">
        <v>0</v>
      </c>
      <c r="B34" s="13" t="s">
        <v>0</v>
      </c>
      <c r="C34" s="13" t="s">
        <v>38</v>
      </c>
      <c r="D34" s="13" t="s">
        <v>15</v>
      </c>
      <c r="E34" s="181"/>
      <c r="F34" s="181">
        <f>1005</f>
        <v>1005</v>
      </c>
      <c r="G34" s="182">
        <f>E32*F34</f>
        <v>136.68</v>
      </c>
    </row>
    <row r="35" spans="1:7" ht="15">
      <c r="A35" s="12" t="s">
        <v>0</v>
      </c>
      <c r="B35" s="13" t="s">
        <v>0</v>
      </c>
      <c r="C35" s="13" t="s">
        <v>39</v>
      </c>
      <c r="D35" s="13" t="s">
        <v>15</v>
      </c>
      <c r="E35" s="181"/>
      <c r="F35" s="181">
        <f>16.07</f>
        <v>16.07</v>
      </c>
      <c r="G35" s="182">
        <f>E32*F35</f>
        <v>2.1855200000000004</v>
      </c>
    </row>
    <row r="36" spans="1:7" ht="15">
      <c r="A36" s="12" t="s">
        <v>0</v>
      </c>
      <c r="B36" s="13" t="s">
        <v>0</v>
      </c>
      <c r="C36" s="13" t="s">
        <v>40</v>
      </c>
      <c r="D36" s="13" t="s">
        <v>8</v>
      </c>
      <c r="E36" s="181"/>
      <c r="F36" s="181">
        <f>10.75</f>
        <v>10.75</v>
      </c>
      <c r="G36" s="182">
        <f>E32*F36</f>
        <v>1.4620000000000002</v>
      </c>
    </row>
    <row r="37" spans="1:7" ht="15">
      <c r="A37" s="12" t="s">
        <v>0</v>
      </c>
      <c r="B37" s="13" t="s">
        <v>0</v>
      </c>
      <c r="C37" s="13" t="s">
        <v>41</v>
      </c>
      <c r="D37" s="13" t="s">
        <v>20</v>
      </c>
      <c r="E37" s="181"/>
      <c r="F37" s="181">
        <f>0.4</f>
        <v>0.4</v>
      </c>
      <c r="G37" s="182">
        <f>E32*F37</f>
        <v>0.054400000000000004</v>
      </c>
    </row>
    <row r="38" spans="1:7" ht="15">
      <c r="A38" s="12" t="s">
        <v>0</v>
      </c>
      <c r="B38" s="13" t="s">
        <v>0</v>
      </c>
      <c r="C38" s="13" t="s">
        <v>0</v>
      </c>
      <c r="D38" s="13" t="s">
        <v>0</v>
      </c>
      <c r="E38" s="181"/>
      <c r="F38" s="181"/>
      <c r="G38" s="182"/>
    </row>
    <row r="39" spans="1:7" ht="15">
      <c r="A39" s="12" t="s">
        <v>42</v>
      </c>
      <c r="B39" s="13" t="s">
        <v>43</v>
      </c>
      <c r="C39" s="13" t="s">
        <v>35</v>
      </c>
      <c r="D39" s="13" t="s">
        <v>36</v>
      </c>
      <c r="E39" s="181">
        <f>'Du toan chi tiet'!E18</f>
        <v>0.043</v>
      </c>
      <c r="F39" s="181"/>
      <c r="G39" s="182"/>
    </row>
    <row r="40" spans="1:7" ht="15">
      <c r="A40" s="12" t="s">
        <v>0</v>
      </c>
      <c r="B40" s="13" t="s">
        <v>0</v>
      </c>
      <c r="C40" s="13" t="s">
        <v>44</v>
      </c>
      <c r="D40" s="13" t="s">
        <v>0</v>
      </c>
      <c r="E40" s="181"/>
      <c r="F40" s="181"/>
      <c r="G40" s="182"/>
    </row>
    <row r="41" spans="1:7" ht="15">
      <c r="A41" s="12" t="s">
        <v>0</v>
      </c>
      <c r="B41" s="13" t="s">
        <v>0</v>
      </c>
      <c r="C41" s="13" t="s">
        <v>45</v>
      </c>
      <c r="D41" s="13" t="s">
        <v>15</v>
      </c>
      <c r="E41" s="181"/>
      <c r="F41" s="181">
        <f>1020</f>
        <v>1020</v>
      </c>
      <c r="G41" s="182">
        <f>E39*F41</f>
        <v>43.86</v>
      </c>
    </row>
    <row r="42" spans="1:7" ht="15">
      <c r="A42" s="12" t="s">
        <v>0</v>
      </c>
      <c r="B42" s="13" t="s">
        <v>0</v>
      </c>
      <c r="C42" s="13" t="s">
        <v>39</v>
      </c>
      <c r="D42" s="13" t="s">
        <v>15</v>
      </c>
      <c r="E42" s="181"/>
      <c r="F42" s="181">
        <f>9.28</f>
        <v>9.28</v>
      </c>
      <c r="G42" s="182">
        <f>E39*F42</f>
        <v>0.39903999999999995</v>
      </c>
    </row>
    <row r="43" spans="1:7" ht="15">
      <c r="A43" s="12" t="s">
        <v>0</v>
      </c>
      <c r="B43" s="13" t="s">
        <v>0</v>
      </c>
      <c r="C43" s="13" t="s">
        <v>17</v>
      </c>
      <c r="D43" s="13" t="s">
        <v>15</v>
      </c>
      <c r="E43" s="181"/>
      <c r="F43" s="181">
        <f>4.64</f>
        <v>4.64</v>
      </c>
      <c r="G43" s="182">
        <f>E39*F43</f>
        <v>0.19951999999999998</v>
      </c>
    </row>
    <row r="44" spans="1:7" ht="15">
      <c r="A44" s="12" t="s">
        <v>0</v>
      </c>
      <c r="B44" s="13" t="s">
        <v>0</v>
      </c>
      <c r="C44" s="13" t="s">
        <v>40</v>
      </c>
      <c r="D44" s="13" t="s">
        <v>8</v>
      </c>
      <c r="E44" s="181"/>
      <c r="F44" s="181">
        <f>7.67</f>
        <v>7.67</v>
      </c>
      <c r="G44" s="182">
        <f>E39*F44</f>
        <v>0.32981</v>
      </c>
    </row>
    <row r="45" spans="1:7" ht="15">
      <c r="A45" s="12" t="s">
        <v>0</v>
      </c>
      <c r="B45" s="13" t="s">
        <v>0</v>
      </c>
      <c r="C45" s="13" t="s">
        <v>19</v>
      </c>
      <c r="D45" s="13" t="s">
        <v>20</v>
      </c>
      <c r="E45" s="181"/>
      <c r="F45" s="181">
        <f>1.12</f>
        <v>1.12</v>
      </c>
      <c r="G45" s="182">
        <f>E39*F45</f>
        <v>0.04816</v>
      </c>
    </row>
    <row r="46" spans="1:7" ht="15">
      <c r="A46" s="12" t="s">
        <v>0</v>
      </c>
      <c r="B46" s="13" t="s">
        <v>0</v>
      </c>
      <c r="C46" s="13" t="s">
        <v>41</v>
      </c>
      <c r="D46" s="13" t="s">
        <v>20</v>
      </c>
      <c r="E46" s="181"/>
      <c r="F46" s="181">
        <f>0.32</f>
        <v>0.32</v>
      </c>
      <c r="G46" s="182">
        <f>E39*F46</f>
        <v>0.01376</v>
      </c>
    </row>
    <row r="47" spans="1:7" ht="15">
      <c r="A47" s="12" t="s">
        <v>0</v>
      </c>
      <c r="B47" s="13" t="s">
        <v>0</v>
      </c>
      <c r="C47" s="13" t="s">
        <v>0</v>
      </c>
      <c r="D47" s="13" t="s">
        <v>0</v>
      </c>
      <c r="E47" s="181"/>
      <c r="F47" s="181"/>
      <c r="G47" s="182"/>
    </row>
    <row r="48" spans="1:7" ht="15">
      <c r="A48" s="12" t="s">
        <v>46</v>
      </c>
      <c r="B48" s="13" t="s">
        <v>10</v>
      </c>
      <c r="C48" s="13" t="s">
        <v>47</v>
      </c>
      <c r="D48" s="13" t="s">
        <v>12</v>
      </c>
      <c r="E48" s="181">
        <f>'Du toan chi tiet'!E20</f>
        <v>7.68</v>
      </c>
      <c r="F48" s="181"/>
      <c r="G48" s="182"/>
    </row>
    <row r="49" spans="1:7" ht="15">
      <c r="A49" s="12" t="s">
        <v>0</v>
      </c>
      <c r="B49" s="13" t="s">
        <v>0</v>
      </c>
      <c r="C49" s="13" t="s">
        <v>13</v>
      </c>
      <c r="D49" s="13" t="s">
        <v>0</v>
      </c>
      <c r="E49" s="181"/>
      <c r="F49" s="181"/>
      <c r="G49" s="182"/>
    </row>
    <row r="50" spans="1:7" ht="15">
      <c r="A50" s="12" t="s">
        <v>0</v>
      </c>
      <c r="B50" s="13" t="s">
        <v>0</v>
      </c>
      <c r="C50" s="13" t="s">
        <v>14</v>
      </c>
      <c r="D50" s="13" t="s">
        <v>15</v>
      </c>
      <c r="E50" s="181"/>
      <c r="F50" s="181">
        <f>0.5181</f>
        <v>0.5181</v>
      </c>
      <c r="G50" s="182">
        <f>E48*F50</f>
        <v>3.979008</v>
      </c>
    </row>
    <row r="51" spans="1:7" ht="15">
      <c r="A51" s="12" t="s">
        <v>0</v>
      </c>
      <c r="B51" s="13" t="s">
        <v>0</v>
      </c>
      <c r="C51" s="13" t="s">
        <v>16</v>
      </c>
      <c r="D51" s="13" t="s">
        <v>15</v>
      </c>
      <c r="E51" s="181"/>
      <c r="F51" s="181">
        <f>0.3558</f>
        <v>0.3558</v>
      </c>
      <c r="G51" s="182">
        <f>E48*F51</f>
        <v>2.732544</v>
      </c>
    </row>
    <row r="52" spans="1:7" ht="15">
      <c r="A52" s="12" t="s">
        <v>0</v>
      </c>
      <c r="B52" s="13" t="s">
        <v>0</v>
      </c>
      <c r="C52" s="13" t="s">
        <v>17</v>
      </c>
      <c r="D52" s="13" t="s">
        <v>15</v>
      </c>
      <c r="E52" s="181"/>
      <c r="F52" s="181">
        <f>0.0365</f>
        <v>0.0365</v>
      </c>
      <c r="G52" s="182">
        <f>E48*F52</f>
        <v>0.28031999999999996</v>
      </c>
    </row>
    <row r="53" spans="1:7" ht="15">
      <c r="A53" s="12" t="s">
        <v>0</v>
      </c>
      <c r="B53" s="13" t="s">
        <v>0</v>
      </c>
      <c r="C53" s="13" t="s">
        <v>18</v>
      </c>
      <c r="D53" s="13" t="s">
        <v>8</v>
      </c>
      <c r="E53" s="181"/>
      <c r="F53" s="181">
        <f>0.2673</f>
        <v>0.2673</v>
      </c>
      <c r="G53" s="182">
        <f>E48*F53</f>
        <v>2.0528639999999996</v>
      </c>
    </row>
    <row r="54" spans="1:7" ht="15">
      <c r="A54" s="12" t="s">
        <v>0</v>
      </c>
      <c r="B54" s="13" t="s">
        <v>0</v>
      </c>
      <c r="C54" s="13" t="s">
        <v>19</v>
      </c>
      <c r="D54" s="13" t="s">
        <v>20</v>
      </c>
      <c r="E54" s="181"/>
      <c r="F54" s="181">
        <f>0.0092</f>
        <v>0.0092</v>
      </c>
      <c r="G54" s="182">
        <f>E48*F54</f>
        <v>0.070656</v>
      </c>
    </row>
    <row r="55" spans="1:7" ht="15">
      <c r="A55" s="12" t="s">
        <v>0</v>
      </c>
      <c r="B55" s="13" t="s">
        <v>0</v>
      </c>
      <c r="C55" s="13" t="s">
        <v>0</v>
      </c>
      <c r="D55" s="13" t="s">
        <v>0</v>
      </c>
      <c r="E55" s="181"/>
      <c r="F55" s="181"/>
      <c r="G55" s="182"/>
    </row>
    <row r="56" spans="1:7" ht="15">
      <c r="A56" s="12" t="s">
        <v>48</v>
      </c>
      <c r="B56" s="13" t="s">
        <v>49</v>
      </c>
      <c r="C56" s="13" t="s">
        <v>50</v>
      </c>
      <c r="D56" s="13" t="s">
        <v>5</v>
      </c>
      <c r="E56" s="181">
        <f>'Du toan chi tiet'!E22</f>
        <v>3.955</v>
      </c>
      <c r="F56" s="181"/>
      <c r="G56" s="182"/>
    </row>
    <row r="57" spans="1:7" ht="15">
      <c r="A57" s="12" t="s">
        <v>0</v>
      </c>
      <c r="B57" s="13" t="s">
        <v>0</v>
      </c>
      <c r="C57" s="13" t="s">
        <v>51</v>
      </c>
      <c r="D57" s="13" t="s">
        <v>0</v>
      </c>
      <c r="E57" s="181"/>
      <c r="F57" s="181"/>
      <c r="G57" s="182"/>
    </row>
    <row r="58" spans="1:7" ht="15">
      <c r="A58" s="12" t="s">
        <v>0</v>
      </c>
      <c r="B58" s="13" t="s">
        <v>0</v>
      </c>
      <c r="C58" s="13" t="s">
        <v>52</v>
      </c>
      <c r="D58" s="13" t="s">
        <v>15</v>
      </c>
      <c r="E58" s="181"/>
      <c r="F58" s="181">
        <f>1.025*301</f>
        <v>308.525</v>
      </c>
      <c r="G58" s="182">
        <f>E56*F58</f>
        <v>1220.216375</v>
      </c>
    </row>
    <row r="59" spans="1:7" ht="15">
      <c r="A59" s="12" t="s">
        <v>0</v>
      </c>
      <c r="B59" s="13" t="s">
        <v>0</v>
      </c>
      <c r="C59" s="13" t="s">
        <v>26</v>
      </c>
      <c r="D59" s="13" t="s">
        <v>27</v>
      </c>
      <c r="E59" s="181"/>
      <c r="F59" s="181">
        <f>1.025*0.519</f>
        <v>0.531975</v>
      </c>
      <c r="G59" s="182">
        <f>E56*F59</f>
        <v>2.103961125</v>
      </c>
    </row>
    <row r="60" spans="1:7" ht="15">
      <c r="A60" s="12" t="s">
        <v>0</v>
      </c>
      <c r="B60" s="13" t="s">
        <v>0</v>
      </c>
      <c r="C60" s="13" t="s">
        <v>53</v>
      </c>
      <c r="D60" s="13" t="s">
        <v>27</v>
      </c>
      <c r="E60" s="181"/>
      <c r="F60" s="181">
        <f>1.025*0.855</f>
        <v>0.8763749999999999</v>
      </c>
      <c r="G60" s="182">
        <f>E56*F60</f>
        <v>3.466063125</v>
      </c>
    </row>
    <row r="61" spans="1:7" ht="15">
      <c r="A61" s="12" t="s">
        <v>0</v>
      </c>
      <c r="B61" s="13" t="s">
        <v>0</v>
      </c>
      <c r="C61" s="13" t="s">
        <v>29</v>
      </c>
      <c r="D61" s="13" t="s">
        <v>27</v>
      </c>
      <c r="E61" s="181"/>
      <c r="F61" s="181">
        <f>1.025*0.183</f>
        <v>0.187575</v>
      </c>
      <c r="G61" s="182">
        <f>E56*F61</f>
        <v>0.741859125</v>
      </c>
    </row>
    <row r="62" spans="1:7" ht="15">
      <c r="A62" s="12" t="s">
        <v>0</v>
      </c>
      <c r="B62" s="13" t="s">
        <v>0</v>
      </c>
      <c r="C62" s="13" t="s">
        <v>30</v>
      </c>
      <c r="D62" s="13" t="s">
        <v>8</v>
      </c>
      <c r="E62" s="181"/>
      <c r="F62" s="181">
        <f>1.23</f>
        <v>1.23</v>
      </c>
      <c r="G62" s="182">
        <f>E56*F62</f>
        <v>4.86465</v>
      </c>
    </row>
    <row r="63" spans="1:7" ht="15">
      <c r="A63" s="12" t="s">
        <v>0</v>
      </c>
      <c r="B63" s="13" t="s">
        <v>0</v>
      </c>
      <c r="C63" s="13" t="s">
        <v>31</v>
      </c>
      <c r="D63" s="13" t="s">
        <v>20</v>
      </c>
      <c r="E63" s="181"/>
      <c r="F63" s="181">
        <f>0.095</f>
        <v>0.095</v>
      </c>
      <c r="G63" s="182">
        <f>E56*F63</f>
        <v>0.37572500000000003</v>
      </c>
    </row>
    <row r="64" spans="1:7" ht="15">
      <c r="A64" s="12" t="s">
        <v>0</v>
      </c>
      <c r="B64" s="13" t="s">
        <v>0</v>
      </c>
      <c r="C64" s="13" t="s">
        <v>54</v>
      </c>
      <c r="D64" s="13" t="s">
        <v>20</v>
      </c>
      <c r="E64" s="181"/>
      <c r="F64" s="181">
        <f>0.089</f>
        <v>0.089</v>
      </c>
      <c r="G64" s="182">
        <f>E56*F64</f>
        <v>0.351995</v>
      </c>
    </row>
    <row r="65" spans="1:7" ht="15">
      <c r="A65" s="12" t="s">
        <v>0</v>
      </c>
      <c r="B65" s="13" t="s">
        <v>0</v>
      </c>
      <c r="C65" s="13" t="s">
        <v>0</v>
      </c>
      <c r="D65" s="13" t="s">
        <v>0</v>
      </c>
      <c r="E65" s="181"/>
      <c r="F65" s="181"/>
      <c r="G65" s="182"/>
    </row>
    <row r="66" spans="1:7" ht="15">
      <c r="A66" s="12" t="s">
        <v>55</v>
      </c>
      <c r="B66" s="13" t="s">
        <v>56</v>
      </c>
      <c r="C66" s="13" t="s">
        <v>57</v>
      </c>
      <c r="D66" s="13" t="s">
        <v>5</v>
      </c>
      <c r="E66" s="181">
        <f>'Du toan chi tiet'!E24</f>
        <v>19.191</v>
      </c>
      <c r="F66" s="181"/>
      <c r="G66" s="182"/>
    </row>
    <row r="67" spans="1:7" ht="15">
      <c r="A67" s="12" t="s">
        <v>0</v>
      </c>
      <c r="B67" s="13" t="s">
        <v>0</v>
      </c>
      <c r="C67" s="13" t="s">
        <v>58</v>
      </c>
      <c r="D67" s="13" t="s">
        <v>0</v>
      </c>
      <c r="E67" s="181"/>
      <c r="F67" s="181"/>
      <c r="G67" s="182"/>
    </row>
    <row r="68" spans="1:7" ht="15">
      <c r="A68" s="12" t="s">
        <v>0</v>
      </c>
      <c r="B68" s="13" t="s">
        <v>0</v>
      </c>
      <c r="C68" s="13" t="s">
        <v>59</v>
      </c>
      <c r="D68" s="13" t="s">
        <v>60</v>
      </c>
      <c r="E68" s="181"/>
      <c r="F68" s="181">
        <f>658</f>
        <v>658</v>
      </c>
      <c r="G68" s="182">
        <f>E66*F68</f>
        <v>12627.678</v>
      </c>
    </row>
    <row r="69" spans="1:7" ht="15">
      <c r="A69" s="12" t="s">
        <v>0</v>
      </c>
      <c r="B69" s="13" t="s">
        <v>0</v>
      </c>
      <c r="C69" s="13" t="s">
        <v>52</v>
      </c>
      <c r="D69" s="13" t="s">
        <v>15</v>
      </c>
      <c r="E69" s="181"/>
      <c r="F69" s="181">
        <f>0.274*264</f>
        <v>72.33600000000001</v>
      </c>
      <c r="G69" s="182">
        <f>E66*F69</f>
        <v>1388.200176</v>
      </c>
    </row>
    <row r="70" spans="1:7" ht="15">
      <c r="A70" s="12" t="s">
        <v>0</v>
      </c>
      <c r="B70" s="13" t="s">
        <v>0</v>
      </c>
      <c r="C70" s="13" t="s">
        <v>61</v>
      </c>
      <c r="D70" s="13" t="s">
        <v>27</v>
      </c>
      <c r="E70" s="181"/>
      <c r="F70" s="181">
        <f>0.274*1.19</f>
        <v>0.32606</v>
      </c>
      <c r="G70" s="182">
        <f>E66*F70</f>
        <v>6.25741746</v>
      </c>
    </row>
    <row r="71" spans="1:7" ht="15">
      <c r="A71" s="12" t="s">
        <v>0</v>
      </c>
      <c r="B71" s="13" t="s">
        <v>0</v>
      </c>
      <c r="C71" s="13" t="s">
        <v>29</v>
      </c>
      <c r="D71" s="13" t="s">
        <v>27</v>
      </c>
      <c r="E71" s="181"/>
      <c r="F71" s="181">
        <f>0.274*0.275</f>
        <v>0.07535000000000001</v>
      </c>
      <c r="G71" s="182">
        <f>E66*F71</f>
        <v>1.4460418500000003</v>
      </c>
    </row>
    <row r="72" spans="1:7" ht="15">
      <c r="A72" s="12" t="s">
        <v>0</v>
      </c>
      <c r="B72" s="13" t="s">
        <v>0</v>
      </c>
      <c r="C72" s="13" t="s">
        <v>40</v>
      </c>
      <c r="D72" s="13" t="s">
        <v>8</v>
      </c>
      <c r="E72" s="181"/>
      <c r="F72" s="181">
        <f>2.47</f>
        <v>2.47</v>
      </c>
      <c r="G72" s="182">
        <f>E66*F72</f>
        <v>47.40177</v>
      </c>
    </row>
    <row r="73" spans="1:7" ht="15">
      <c r="A73" s="12" t="s">
        <v>0</v>
      </c>
      <c r="B73" s="13" t="s">
        <v>0</v>
      </c>
      <c r="C73" s="13" t="s">
        <v>62</v>
      </c>
      <c r="D73" s="13" t="s">
        <v>20</v>
      </c>
      <c r="E73" s="181"/>
      <c r="F73" s="181">
        <f>0.035</f>
        <v>0.035</v>
      </c>
      <c r="G73" s="182">
        <f>E66*F73</f>
        <v>0.671685</v>
      </c>
    </row>
    <row r="74" spans="1:7" ht="15">
      <c r="A74" s="12" t="s">
        <v>0</v>
      </c>
      <c r="B74" s="13" t="s">
        <v>0</v>
      </c>
      <c r="C74" s="13" t="s">
        <v>0</v>
      </c>
      <c r="D74" s="13" t="s">
        <v>0</v>
      </c>
      <c r="E74" s="181"/>
      <c r="F74" s="181"/>
      <c r="G74" s="182"/>
    </row>
    <row r="75" spans="1:7" ht="15">
      <c r="A75" s="12" t="s">
        <v>63</v>
      </c>
      <c r="B75" s="13" t="s">
        <v>64</v>
      </c>
      <c r="C75" s="13" t="s">
        <v>65</v>
      </c>
      <c r="D75" s="13" t="s">
        <v>5</v>
      </c>
      <c r="E75" s="181">
        <f>'Du toan chi tiet'!E26</f>
        <v>1.52</v>
      </c>
      <c r="F75" s="181"/>
      <c r="G75" s="182"/>
    </row>
    <row r="76" spans="1:7" ht="15">
      <c r="A76" s="12" t="s">
        <v>0</v>
      </c>
      <c r="B76" s="13" t="s">
        <v>0</v>
      </c>
      <c r="C76" s="13" t="s">
        <v>66</v>
      </c>
      <c r="D76" s="13" t="s">
        <v>0</v>
      </c>
      <c r="E76" s="181"/>
      <c r="F76" s="181"/>
      <c r="G76" s="182"/>
    </row>
    <row r="77" spans="1:7" ht="15">
      <c r="A77" s="12" t="s">
        <v>0</v>
      </c>
      <c r="B77" s="13" t="s">
        <v>0</v>
      </c>
      <c r="C77" s="13" t="s">
        <v>52</v>
      </c>
      <c r="D77" s="13" t="s">
        <v>15</v>
      </c>
      <c r="E77" s="181"/>
      <c r="F77" s="181">
        <f>1.025*259</f>
        <v>265.47499999999997</v>
      </c>
      <c r="G77" s="182">
        <f>E75*F77</f>
        <v>403.52199999999993</v>
      </c>
    </row>
    <row r="78" spans="1:7" ht="15">
      <c r="A78" s="12" t="s">
        <v>0</v>
      </c>
      <c r="B78" s="13" t="s">
        <v>0</v>
      </c>
      <c r="C78" s="13" t="s">
        <v>26</v>
      </c>
      <c r="D78" s="13" t="s">
        <v>27</v>
      </c>
      <c r="E78" s="181"/>
      <c r="F78" s="181">
        <f>1.025*0.528</f>
        <v>0.5412</v>
      </c>
      <c r="G78" s="182">
        <f>E75*F78</f>
        <v>0.822624</v>
      </c>
    </row>
    <row r="79" spans="1:7" ht="15">
      <c r="A79" s="12" t="s">
        <v>0</v>
      </c>
      <c r="B79" s="13" t="s">
        <v>0</v>
      </c>
      <c r="C79" s="13" t="s">
        <v>53</v>
      </c>
      <c r="D79" s="13" t="s">
        <v>27</v>
      </c>
      <c r="E79" s="181"/>
      <c r="F79" s="181">
        <f>1.025*0.871</f>
        <v>0.8927749999999999</v>
      </c>
      <c r="G79" s="182">
        <f>E75*F79</f>
        <v>1.3570179999999998</v>
      </c>
    </row>
    <row r="80" spans="1:7" ht="15">
      <c r="A80" s="12" t="s">
        <v>0</v>
      </c>
      <c r="B80" s="13" t="s">
        <v>0</v>
      </c>
      <c r="C80" s="13" t="s">
        <v>29</v>
      </c>
      <c r="D80" s="13" t="s">
        <v>27</v>
      </c>
      <c r="E80" s="181"/>
      <c r="F80" s="181">
        <f>1.025*0.183</f>
        <v>0.187575</v>
      </c>
      <c r="G80" s="182">
        <f>E75*F80</f>
        <v>0.285114</v>
      </c>
    </row>
    <row r="81" spans="1:7" ht="15">
      <c r="A81" s="12" t="s">
        <v>0</v>
      </c>
      <c r="B81" s="13" t="s">
        <v>0</v>
      </c>
      <c r="C81" s="13" t="s">
        <v>30</v>
      </c>
      <c r="D81" s="13" t="s">
        <v>8</v>
      </c>
      <c r="E81" s="181"/>
      <c r="F81" s="181">
        <f>2.67</f>
        <v>2.67</v>
      </c>
      <c r="G81" s="182">
        <f>E75*F81</f>
        <v>4.0584</v>
      </c>
    </row>
    <row r="82" spans="1:7" ht="15">
      <c r="A82" s="12" t="s">
        <v>0</v>
      </c>
      <c r="B82" s="13" t="s">
        <v>0</v>
      </c>
      <c r="C82" s="13" t="s">
        <v>31</v>
      </c>
      <c r="D82" s="13" t="s">
        <v>20</v>
      </c>
      <c r="E82" s="181"/>
      <c r="F82" s="181">
        <f>0.095</f>
        <v>0.095</v>
      </c>
      <c r="G82" s="182">
        <f>E75*F82</f>
        <v>0.1444</v>
      </c>
    </row>
    <row r="83" spans="1:7" ht="15">
      <c r="A83" s="12" t="s">
        <v>0</v>
      </c>
      <c r="B83" s="13" t="s">
        <v>0</v>
      </c>
      <c r="C83" s="13" t="s">
        <v>54</v>
      </c>
      <c r="D83" s="13" t="s">
        <v>20</v>
      </c>
      <c r="E83" s="181"/>
      <c r="F83" s="181">
        <f>0.18</f>
        <v>0.18</v>
      </c>
      <c r="G83" s="182">
        <f>E75*F83</f>
        <v>0.2736</v>
      </c>
    </row>
    <row r="84" spans="1:7" ht="15">
      <c r="A84" s="12" t="s">
        <v>0</v>
      </c>
      <c r="B84" s="13" t="s">
        <v>0</v>
      </c>
      <c r="C84" s="13" t="s">
        <v>0</v>
      </c>
      <c r="D84" s="13" t="s">
        <v>0</v>
      </c>
      <c r="E84" s="181"/>
      <c r="F84" s="181"/>
      <c r="G84" s="182"/>
    </row>
    <row r="85" spans="1:7" ht="15">
      <c r="A85" s="12" t="s">
        <v>67</v>
      </c>
      <c r="B85" s="13" t="s">
        <v>68</v>
      </c>
      <c r="C85" s="13" t="s">
        <v>69</v>
      </c>
      <c r="D85" s="13" t="s">
        <v>12</v>
      </c>
      <c r="E85" s="181">
        <f>'Du toan chi tiet'!E28</f>
        <v>13.82</v>
      </c>
      <c r="F85" s="181"/>
      <c r="G85" s="182"/>
    </row>
    <row r="86" spans="1:7" ht="15">
      <c r="A86" s="12" t="s">
        <v>0</v>
      </c>
      <c r="B86" s="13" t="s">
        <v>0</v>
      </c>
      <c r="C86" s="13" t="s">
        <v>70</v>
      </c>
      <c r="D86" s="13" t="s">
        <v>27</v>
      </c>
      <c r="E86" s="181"/>
      <c r="F86" s="181">
        <f>0.00794</f>
        <v>0.00794</v>
      </c>
      <c r="G86" s="182">
        <f>E85*F86</f>
        <v>0.10973079999999999</v>
      </c>
    </row>
    <row r="87" spans="1:7" ht="15">
      <c r="A87" s="12" t="s">
        <v>0</v>
      </c>
      <c r="B87" s="13" t="s">
        <v>0</v>
      </c>
      <c r="C87" s="13" t="s">
        <v>71</v>
      </c>
      <c r="D87" s="13" t="s">
        <v>27</v>
      </c>
      <c r="E87" s="181"/>
      <c r="F87" s="181">
        <f>0.00189</f>
        <v>0.00189</v>
      </c>
      <c r="G87" s="182">
        <f>E85*F87</f>
        <v>0.0261198</v>
      </c>
    </row>
    <row r="88" spans="1:7" ht="15">
      <c r="A88" s="12" t="s">
        <v>0</v>
      </c>
      <c r="B88" s="13" t="s">
        <v>0</v>
      </c>
      <c r="C88" s="13" t="s">
        <v>72</v>
      </c>
      <c r="D88" s="13" t="s">
        <v>27</v>
      </c>
      <c r="E88" s="181"/>
      <c r="F88" s="181">
        <f>0.00957</f>
        <v>0.00957</v>
      </c>
      <c r="G88" s="182">
        <f>E85*F88</f>
        <v>0.1322574</v>
      </c>
    </row>
    <row r="89" spans="1:7" ht="15">
      <c r="A89" s="12" t="s">
        <v>0</v>
      </c>
      <c r="B89" s="13" t="s">
        <v>0</v>
      </c>
      <c r="C89" s="13" t="s">
        <v>73</v>
      </c>
      <c r="D89" s="13" t="s">
        <v>15</v>
      </c>
      <c r="E89" s="181"/>
      <c r="F89" s="181">
        <f>0.1429</f>
        <v>0.1429</v>
      </c>
      <c r="G89" s="182">
        <f>E85*F89</f>
        <v>1.9748780000000001</v>
      </c>
    </row>
    <row r="90" spans="1:7" ht="15">
      <c r="A90" s="12" t="s">
        <v>0</v>
      </c>
      <c r="B90" s="13" t="s">
        <v>0</v>
      </c>
      <c r="C90" s="13" t="s">
        <v>40</v>
      </c>
      <c r="D90" s="13" t="s">
        <v>8</v>
      </c>
      <c r="E90" s="181"/>
      <c r="F90" s="181">
        <f>0.275</f>
        <v>0.275</v>
      </c>
      <c r="G90" s="182">
        <f>E85*F90</f>
        <v>3.8005000000000004</v>
      </c>
    </row>
    <row r="91" spans="1:7" ht="15">
      <c r="A91" s="12" t="s">
        <v>0</v>
      </c>
      <c r="B91" s="13" t="s">
        <v>0</v>
      </c>
      <c r="C91" s="13" t="s">
        <v>0</v>
      </c>
      <c r="D91" s="13" t="s">
        <v>0</v>
      </c>
      <c r="E91" s="181"/>
      <c r="F91" s="181"/>
      <c r="G91" s="182"/>
    </row>
    <row r="92" spans="1:7" ht="15">
      <c r="A92" s="12" t="s">
        <v>74</v>
      </c>
      <c r="B92" s="13" t="s">
        <v>75</v>
      </c>
      <c r="C92" s="13" t="s">
        <v>76</v>
      </c>
      <c r="D92" s="13" t="s">
        <v>36</v>
      </c>
      <c r="E92" s="181">
        <f>'Du toan chi tiet'!E30</f>
        <v>0.062</v>
      </c>
      <c r="F92" s="181"/>
      <c r="G92" s="182"/>
    </row>
    <row r="93" spans="1:7" ht="15">
      <c r="A93" s="12" t="s">
        <v>0</v>
      </c>
      <c r="B93" s="13" t="s">
        <v>0</v>
      </c>
      <c r="C93" s="13" t="s">
        <v>77</v>
      </c>
      <c r="D93" s="13" t="s">
        <v>0</v>
      </c>
      <c r="E93" s="181"/>
      <c r="F93" s="181"/>
      <c r="G93" s="182"/>
    </row>
    <row r="94" spans="1:7" ht="15">
      <c r="A94" s="12" t="s">
        <v>0</v>
      </c>
      <c r="B94" s="13" t="s">
        <v>0</v>
      </c>
      <c r="C94" s="13" t="s">
        <v>38</v>
      </c>
      <c r="D94" s="13" t="s">
        <v>15</v>
      </c>
      <c r="E94" s="181"/>
      <c r="F94" s="181">
        <f>1005</f>
        <v>1005</v>
      </c>
      <c r="G94" s="182">
        <f>E92*F94</f>
        <v>62.31</v>
      </c>
    </row>
    <row r="95" spans="1:7" ht="15">
      <c r="A95" s="12" t="s">
        <v>0</v>
      </c>
      <c r="B95" s="13" t="s">
        <v>0</v>
      </c>
      <c r="C95" s="13" t="s">
        <v>39</v>
      </c>
      <c r="D95" s="13" t="s">
        <v>15</v>
      </c>
      <c r="E95" s="181"/>
      <c r="F95" s="181">
        <f>16.07</f>
        <v>16.07</v>
      </c>
      <c r="G95" s="182">
        <f>E92*F95</f>
        <v>0.99634</v>
      </c>
    </row>
    <row r="96" spans="1:7" ht="15">
      <c r="A96" s="12" t="s">
        <v>0</v>
      </c>
      <c r="B96" s="13" t="s">
        <v>0</v>
      </c>
      <c r="C96" s="13" t="s">
        <v>40</v>
      </c>
      <c r="D96" s="13" t="s">
        <v>8</v>
      </c>
      <c r="E96" s="181"/>
      <c r="F96" s="181">
        <f>15.39</f>
        <v>15.39</v>
      </c>
      <c r="G96" s="182">
        <f>E92*F96</f>
        <v>0.95418</v>
      </c>
    </row>
    <row r="97" spans="1:7" ht="15">
      <c r="A97" s="12" t="s">
        <v>0</v>
      </c>
      <c r="B97" s="13" t="s">
        <v>0</v>
      </c>
      <c r="C97" s="13" t="s">
        <v>41</v>
      </c>
      <c r="D97" s="13" t="s">
        <v>20</v>
      </c>
      <c r="E97" s="181"/>
      <c r="F97" s="181">
        <f>0.4</f>
        <v>0.4</v>
      </c>
      <c r="G97" s="182">
        <f>E92*F97</f>
        <v>0.024800000000000003</v>
      </c>
    </row>
    <row r="98" spans="1:7" ht="15">
      <c r="A98" s="12" t="s">
        <v>0</v>
      </c>
      <c r="B98" s="13" t="s">
        <v>0</v>
      </c>
      <c r="C98" s="13" t="s">
        <v>0</v>
      </c>
      <c r="D98" s="13" t="s">
        <v>0</v>
      </c>
      <c r="E98" s="181"/>
      <c r="F98" s="181"/>
      <c r="G98" s="182"/>
    </row>
    <row r="99" spans="1:7" ht="15">
      <c r="A99" s="12" t="s">
        <v>78</v>
      </c>
      <c r="B99" s="13" t="s">
        <v>79</v>
      </c>
      <c r="C99" s="13" t="s">
        <v>76</v>
      </c>
      <c r="D99" s="13" t="s">
        <v>36</v>
      </c>
      <c r="E99" s="181">
        <f>'Du toan chi tiet'!E32</f>
        <v>0.099</v>
      </c>
      <c r="F99" s="181"/>
      <c r="G99" s="182"/>
    </row>
    <row r="100" spans="1:7" ht="15">
      <c r="A100" s="12" t="s">
        <v>0</v>
      </c>
      <c r="B100" s="13" t="s">
        <v>0</v>
      </c>
      <c r="C100" s="13" t="s">
        <v>80</v>
      </c>
      <c r="D100" s="13" t="s">
        <v>0</v>
      </c>
      <c r="E100" s="181"/>
      <c r="F100" s="181"/>
      <c r="G100" s="182"/>
    </row>
    <row r="101" spans="1:7" ht="15">
      <c r="A101" s="12" t="s">
        <v>0</v>
      </c>
      <c r="B101" s="13" t="s">
        <v>0</v>
      </c>
      <c r="C101" s="13" t="s">
        <v>45</v>
      </c>
      <c r="D101" s="13" t="s">
        <v>15</v>
      </c>
      <c r="E101" s="181"/>
      <c r="F101" s="181">
        <f>1020</f>
        <v>1020</v>
      </c>
      <c r="G101" s="182">
        <f>E99*F101</f>
        <v>100.98</v>
      </c>
    </row>
    <row r="102" spans="1:7" ht="15">
      <c r="A102" s="12" t="s">
        <v>0</v>
      </c>
      <c r="B102" s="13" t="s">
        <v>0</v>
      </c>
      <c r="C102" s="13" t="s">
        <v>39</v>
      </c>
      <c r="D102" s="13" t="s">
        <v>15</v>
      </c>
      <c r="E102" s="181"/>
      <c r="F102" s="181">
        <f>9.28</f>
        <v>9.28</v>
      </c>
      <c r="G102" s="182">
        <f>E99*F102</f>
        <v>0.91872</v>
      </c>
    </row>
    <row r="103" spans="1:7" ht="15">
      <c r="A103" s="12" t="s">
        <v>0</v>
      </c>
      <c r="B103" s="13" t="s">
        <v>0</v>
      </c>
      <c r="C103" s="13" t="s">
        <v>17</v>
      </c>
      <c r="D103" s="13" t="s">
        <v>15</v>
      </c>
      <c r="E103" s="181"/>
      <c r="F103" s="181">
        <f>4.7</f>
        <v>4.7</v>
      </c>
      <c r="G103" s="182">
        <f>E99*F103</f>
        <v>0.46530000000000005</v>
      </c>
    </row>
    <row r="104" spans="1:7" ht="15">
      <c r="A104" s="12" t="s">
        <v>0</v>
      </c>
      <c r="B104" s="13" t="s">
        <v>0</v>
      </c>
      <c r="C104" s="13" t="s">
        <v>40</v>
      </c>
      <c r="D104" s="13" t="s">
        <v>8</v>
      </c>
      <c r="E104" s="181"/>
      <c r="F104" s="181">
        <f>9.24</f>
        <v>9.24</v>
      </c>
      <c r="G104" s="182">
        <f>E99*F104</f>
        <v>0.91476</v>
      </c>
    </row>
    <row r="105" spans="1:7" ht="15">
      <c r="A105" s="12" t="s">
        <v>0</v>
      </c>
      <c r="B105" s="13" t="s">
        <v>0</v>
      </c>
      <c r="C105" s="13" t="s">
        <v>19</v>
      </c>
      <c r="D105" s="13" t="s">
        <v>20</v>
      </c>
      <c r="E105" s="181"/>
      <c r="F105" s="181">
        <f>1.133</f>
        <v>1.133</v>
      </c>
      <c r="G105" s="182">
        <f>E99*F105</f>
        <v>0.112167</v>
      </c>
    </row>
    <row r="106" spans="1:7" ht="15">
      <c r="A106" s="12" t="s">
        <v>0</v>
      </c>
      <c r="B106" s="13" t="s">
        <v>0</v>
      </c>
      <c r="C106" s="13" t="s">
        <v>41</v>
      </c>
      <c r="D106" s="13" t="s">
        <v>20</v>
      </c>
      <c r="E106" s="181"/>
      <c r="F106" s="181">
        <f>0.32</f>
        <v>0.32</v>
      </c>
      <c r="G106" s="182">
        <f>E99*F106</f>
        <v>0.03168</v>
      </c>
    </row>
    <row r="107" spans="1:7" ht="15">
      <c r="A107" s="12" t="s">
        <v>0</v>
      </c>
      <c r="B107" s="13" t="s">
        <v>0</v>
      </c>
      <c r="C107" s="13" t="s">
        <v>0</v>
      </c>
      <c r="D107" s="13" t="s">
        <v>0</v>
      </c>
      <c r="E107" s="181"/>
      <c r="F107" s="181"/>
      <c r="G107" s="182"/>
    </row>
    <row r="108" spans="1:7" ht="15">
      <c r="A108" s="12" t="s">
        <v>81</v>
      </c>
      <c r="B108" s="13" t="s">
        <v>82</v>
      </c>
      <c r="C108" s="13" t="s">
        <v>83</v>
      </c>
      <c r="D108" s="13" t="s">
        <v>12</v>
      </c>
      <c r="E108" s="181">
        <f>'Du toan chi tiet'!E34</f>
        <v>8.448</v>
      </c>
      <c r="F108" s="181"/>
      <c r="G108" s="182"/>
    </row>
    <row r="109" spans="1:7" ht="15">
      <c r="A109" s="12" t="s">
        <v>0</v>
      </c>
      <c r="B109" s="13" t="s">
        <v>0</v>
      </c>
      <c r="C109" s="13" t="s">
        <v>84</v>
      </c>
      <c r="D109" s="13" t="s">
        <v>0</v>
      </c>
      <c r="E109" s="181"/>
      <c r="F109" s="181"/>
      <c r="G109" s="182"/>
    </row>
    <row r="110" spans="1:7" ht="15">
      <c r="A110" s="12" t="s">
        <v>0</v>
      </c>
      <c r="B110" s="13" t="s">
        <v>0</v>
      </c>
      <c r="C110" s="13" t="s">
        <v>14</v>
      </c>
      <c r="D110" s="13" t="s">
        <v>15</v>
      </c>
      <c r="E110" s="181"/>
      <c r="F110" s="181">
        <f>0.5181</f>
        <v>0.5181</v>
      </c>
      <c r="G110" s="182">
        <f>E108*F110</f>
        <v>4.3769088</v>
      </c>
    </row>
    <row r="111" spans="1:7" ht="15">
      <c r="A111" s="12" t="s">
        <v>0</v>
      </c>
      <c r="B111" s="13" t="s">
        <v>0</v>
      </c>
      <c r="C111" s="13" t="s">
        <v>16</v>
      </c>
      <c r="D111" s="13" t="s">
        <v>15</v>
      </c>
      <c r="E111" s="181"/>
      <c r="F111" s="181">
        <f>0.4884</f>
        <v>0.4884</v>
      </c>
      <c r="G111" s="182">
        <f>E108*F111</f>
        <v>4.1260032</v>
      </c>
    </row>
    <row r="112" spans="1:7" ht="15">
      <c r="A112" s="12" t="s">
        <v>0</v>
      </c>
      <c r="B112" s="13" t="s">
        <v>0</v>
      </c>
      <c r="C112" s="13" t="s">
        <v>85</v>
      </c>
      <c r="D112" s="13" t="s">
        <v>15</v>
      </c>
      <c r="E112" s="181"/>
      <c r="F112" s="181">
        <f>0.3813</f>
        <v>0.3813</v>
      </c>
      <c r="G112" s="182">
        <f>E108*F112</f>
        <v>3.2212224</v>
      </c>
    </row>
    <row r="113" spans="1:7" ht="15">
      <c r="A113" s="12" t="s">
        <v>0</v>
      </c>
      <c r="B113" s="13" t="s">
        <v>0</v>
      </c>
      <c r="C113" s="13" t="s">
        <v>17</v>
      </c>
      <c r="D113" s="13" t="s">
        <v>15</v>
      </c>
      <c r="E113" s="181"/>
      <c r="F113" s="181">
        <f>0.056</f>
        <v>0.056</v>
      </c>
      <c r="G113" s="182">
        <f>E108*F113</f>
        <v>0.473088</v>
      </c>
    </row>
    <row r="114" spans="1:7" ht="15">
      <c r="A114" s="12" t="s">
        <v>0</v>
      </c>
      <c r="B114" s="13" t="s">
        <v>0</v>
      </c>
      <c r="C114" s="13" t="s">
        <v>18</v>
      </c>
      <c r="D114" s="13" t="s">
        <v>8</v>
      </c>
      <c r="E114" s="181"/>
      <c r="F114" s="181">
        <f>0.2993</f>
        <v>0.2993</v>
      </c>
      <c r="G114" s="182">
        <f>E108*F114</f>
        <v>2.5284864000000002</v>
      </c>
    </row>
    <row r="115" spans="1:7" ht="15">
      <c r="A115" s="12" t="s">
        <v>0</v>
      </c>
      <c r="B115" s="13" t="s">
        <v>0</v>
      </c>
      <c r="C115" s="13" t="s">
        <v>19</v>
      </c>
      <c r="D115" s="13" t="s">
        <v>20</v>
      </c>
      <c r="E115" s="181"/>
      <c r="F115" s="181">
        <f>0.015</f>
        <v>0.015</v>
      </c>
      <c r="G115" s="182">
        <f>E108*F115</f>
        <v>0.12672</v>
      </c>
    </row>
    <row r="116" spans="1:7" ht="15">
      <c r="A116" s="12" t="s">
        <v>0</v>
      </c>
      <c r="B116" s="13" t="s">
        <v>0</v>
      </c>
      <c r="C116" s="13" t="s">
        <v>0</v>
      </c>
      <c r="D116" s="13" t="s">
        <v>0</v>
      </c>
      <c r="E116" s="181"/>
      <c r="F116" s="181"/>
      <c r="G116" s="182"/>
    </row>
    <row r="117" spans="1:7" ht="15">
      <c r="A117" s="12" t="s">
        <v>86</v>
      </c>
      <c r="B117" s="13" t="s">
        <v>87</v>
      </c>
      <c r="C117" s="13" t="s">
        <v>88</v>
      </c>
      <c r="D117" s="13" t="s">
        <v>36</v>
      </c>
      <c r="E117" s="181">
        <f>'Du toan chi tiet'!E36</f>
        <v>0.115</v>
      </c>
      <c r="F117" s="181"/>
      <c r="G117" s="182"/>
    </row>
    <row r="118" spans="1:7" ht="15">
      <c r="A118" s="12" t="s">
        <v>0</v>
      </c>
      <c r="B118" s="13" t="s">
        <v>0</v>
      </c>
      <c r="C118" s="13" t="s">
        <v>77</v>
      </c>
      <c r="D118" s="13" t="s">
        <v>0</v>
      </c>
      <c r="E118" s="181"/>
      <c r="F118" s="181"/>
      <c r="G118" s="182"/>
    </row>
    <row r="119" spans="1:7" ht="15">
      <c r="A119" s="12" t="s">
        <v>0</v>
      </c>
      <c r="B119" s="13" t="s">
        <v>0</v>
      </c>
      <c r="C119" s="13" t="s">
        <v>38</v>
      </c>
      <c r="D119" s="13" t="s">
        <v>15</v>
      </c>
      <c r="E119" s="181"/>
      <c r="F119" s="181">
        <f>1005</f>
        <v>1005</v>
      </c>
      <c r="G119" s="182">
        <f>E117*F119</f>
        <v>115.575</v>
      </c>
    </row>
    <row r="120" spans="1:7" ht="15">
      <c r="A120" s="12" t="s">
        <v>0</v>
      </c>
      <c r="B120" s="13" t="s">
        <v>0</v>
      </c>
      <c r="C120" s="13" t="s">
        <v>39</v>
      </c>
      <c r="D120" s="13" t="s">
        <v>15</v>
      </c>
      <c r="E120" s="181"/>
      <c r="F120" s="181">
        <f>16.07</f>
        <v>16.07</v>
      </c>
      <c r="G120" s="182">
        <f>E117*F120</f>
        <v>1.8480500000000002</v>
      </c>
    </row>
    <row r="121" spans="1:7" ht="15">
      <c r="A121" s="12" t="s">
        <v>0</v>
      </c>
      <c r="B121" s="13" t="s">
        <v>0</v>
      </c>
      <c r="C121" s="13" t="s">
        <v>40</v>
      </c>
      <c r="D121" s="13" t="s">
        <v>8</v>
      </c>
      <c r="E121" s="181"/>
      <c r="F121" s="181">
        <f>14.14</f>
        <v>14.14</v>
      </c>
      <c r="G121" s="182">
        <f>E117*F121</f>
        <v>1.6261</v>
      </c>
    </row>
    <row r="122" spans="1:7" ht="15">
      <c r="A122" s="12" t="s">
        <v>0</v>
      </c>
      <c r="B122" s="13" t="s">
        <v>0</v>
      </c>
      <c r="C122" s="13" t="s">
        <v>41</v>
      </c>
      <c r="D122" s="13" t="s">
        <v>20</v>
      </c>
      <c r="E122" s="181"/>
      <c r="F122" s="181">
        <f>0.4</f>
        <v>0.4</v>
      </c>
      <c r="G122" s="182">
        <f>E117*F122</f>
        <v>0.046000000000000006</v>
      </c>
    </row>
    <row r="123" spans="1:7" ht="15">
      <c r="A123" s="12" t="s">
        <v>0</v>
      </c>
      <c r="B123" s="13" t="s">
        <v>0</v>
      </c>
      <c r="C123" s="13" t="s">
        <v>0</v>
      </c>
      <c r="D123" s="13" t="s">
        <v>0</v>
      </c>
      <c r="E123" s="181"/>
      <c r="F123" s="181"/>
      <c r="G123" s="182"/>
    </row>
    <row r="124" spans="1:7" ht="15">
      <c r="A124" s="12" t="s">
        <v>89</v>
      </c>
      <c r="B124" s="13" t="s">
        <v>90</v>
      </c>
      <c r="C124" s="13" t="s">
        <v>88</v>
      </c>
      <c r="D124" s="13" t="s">
        <v>36</v>
      </c>
      <c r="E124" s="181">
        <f>'Du toan chi tiet'!E38</f>
        <v>0.137</v>
      </c>
      <c r="F124" s="181"/>
      <c r="G124" s="182"/>
    </row>
    <row r="125" spans="1:7" ht="15">
      <c r="A125" s="12" t="s">
        <v>0</v>
      </c>
      <c r="B125" s="13" t="s">
        <v>0</v>
      </c>
      <c r="C125" s="13" t="s">
        <v>80</v>
      </c>
      <c r="D125" s="13" t="s">
        <v>0</v>
      </c>
      <c r="E125" s="181"/>
      <c r="F125" s="181"/>
      <c r="G125" s="182"/>
    </row>
    <row r="126" spans="1:7" ht="15">
      <c r="A126" s="12" t="s">
        <v>0</v>
      </c>
      <c r="B126" s="13" t="s">
        <v>0</v>
      </c>
      <c r="C126" s="13" t="s">
        <v>45</v>
      </c>
      <c r="D126" s="13" t="s">
        <v>15</v>
      </c>
      <c r="E126" s="181"/>
      <c r="F126" s="181">
        <f>1020</f>
        <v>1020</v>
      </c>
      <c r="G126" s="182">
        <f>E124*F126</f>
        <v>139.74</v>
      </c>
    </row>
    <row r="127" spans="1:7" ht="15">
      <c r="A127" s="12" t="s">
        <v>0</v>
      </c>
      <c r="B127" s="13" t="s">
        <v>0</v>
      </c>
      <c r="C127" s="13" t="s">
        <v>39</v>
      </c>
      <c r="D127" s="13" t="s">
        <v>15</v>
      </c>
      <c r="E127" s="181"/>
      <c r="F127" s="181">
        <f>9.28</f>
        <v>9.28</v>
      </c>
      <c r="G127" s="182">
        <f>E124*F127</f>
        <v>1.27136</v>
      </c>
    </row>
    <row r="128" spans="1:7" ht="15">
      <c r="A128" s="12" t="s">
        <v>0</v>
      </c>
      <c r="B128" s="13" t="s">
        <v>0</v>
      </c>
      <c r="C128" s="13" t="s">
        <v>17</v>
      </c>
      <c r="D128" s="13" t="s">
        <v>15</v>
      </c>
      <c r="E128" s="181"/>
      <c r="F128" s="181">
        <f>4.82</f>
        <v>4.82</v>
      </c>
      <c r="G128" s="182">
        <f>E124*F128</f>
        <v>0.66034</v>
      </c>
    </row>
    <row r="129" spans="1:7" ht="15">
      <c r="A129" s="12" t="s">
        <v>0</v>
      </c>
      <c r="B129" s="13" t="s">
        <v>0</v>
      </c>
      <c r="C129" s="13" t="s">
        <v>40</v>
      </c>
      <c r="D129" s="13" t="s">
        <v>8</v>
      </c>
      <c r="E129" s="181"/>
      <c r="F129" s="181">
        <f>9.22</f>
        <v>9.22</v>
      </c>
      <c r="G129" s="182">
        <f>E124*F129</f>
        <v>1.2631400000000002</v>
      </c>
    </row>
    <row r="130" spans="1:7" ht="15">
      <c r="A130" s="12" t="s">
        <v>0</v>
      </c>
      <c r="B130" s="13" t="s">
        <v>0</v>
      </c>
      <c r="C130" s="13" t="s">
        <v>19</v>
      </c>
      <c r="D130" s="13" t="s">
        <v>20</v>
      </c>
      <c r="E130" s="181"/>
      <c r="F130" s="181">
        <f>1.16</f>
        <v>1.16</v>
      </c>
      <c r="G130" s="182">
        <f>E124*F130</f>
        <v>0.15892</v>
      </c>
    </row>
    <row r="131" spans="1:7" ht="15">
      <c r="A131" s="12" t="s">
        <v>0</v>
      </c>
      <c r="B131" s="13" t="s">
        <v>0</v>
      </c>
      <c r="C131" s="13" t="s">
        <v>41</v>
      </c>
      <c r="D131" s="13" t="s">
        <v>20</v>
      </c>
      <c r="E131" s="181"/>
      <c r="F131" s="181">
        <f>0.32</f>
        <v>0.32</v>
      </c>
      <c r="G131" s="182">
        <f>E124*F131</f>
        <v>0.043840000000000004</v>
      </c>
    </row>
    <row r="132" spans="1:7" ht="15">
      <c r="A132" s="12" t="s">
        <v>0</v>
      </c>
      <c r="B132" s="13" t="s">
        <v>0</v>
      </c>
      <c r="C132" s="13" t="s">
        <v>0</v>
      </c>
      <c r="D132" s="13" t="s">
        <v>0</v>
      </c>
      <c r="E132" s="181"/>
      <c r="F132" s="181"/>
      <c r="G132" s="182"/>
    </row>
    <row r="133" spans="1:7" ht="15">
      <c r="A133" s="12" t="s">
        <v>91</v>
      </c>
      <c r="B133" s="13" t="s">
        <v>92</v>
      </c>
      <c r="C133" s="13" t="s">
        <v>93</v>
      </c>
      <c r="D133" s="13" t="s">
        <v>5</v>
      </c>
      <c r="E133" s="181">
        <f>'Du toan chi tiet'!E40</f>
        <v>1.704</v>
      </c>
      <c r="F133" s="181"/>
      <c r="G133" s="182"/>
    </row>
    <row r="134" spans="1:7" ht="15">
      <c r="A134" s="12" t="s">
        <v>0</v>
      </c>
      <c r="B134" s="13" t="s">
        <v>0</v>
      </c>
      <c r="C134" s="13" t="s">
        <v>94</v>
      </c>
      <c r="D134" s="13" t="s">
        <v>0</v>
      </c>
      <c r="E134" s="181"/>
      <c r="F134" s="181"/>
      <c r="G134" s="182"/>
    </row>
    <row r="135" spans="1:7" ht="15">
      <c r="A135" s="12" t="s">
        <v>0</v>
      </c>
      <c r="B135" s="13" t="s">
        <v>0</v>
      </c>
      <c r="C135" s="13" t="s">
        <v>52</v>
      </c>
      <c r="D135" s="13" t="s">
        <v>15</v>
      </c>
      <c r="E135" s="181"/>
      <c r="F135" s="181">
        <f>1.025*301</f>
        <v>308.525</v>
      </c>
      <c r="G135" s="182">
        <f>E133*F135</f>
        <v>525.7266</v>
      </c>
    </row>
    <row r="136" spans="1:7" ht="15">
      <c r="A136" s="12" t="s">
        <v>0</v>
      </c>
      <c r="B136" s="13" t="s">
        <v>0</v>
      </c>
      <c r="C136" s="13" t="s">
        <v>26</v>
      </c>
      <c r="D136" s="13" t="s">
        <v>27</v>
      </c>
      <c r="E136" s="181"/>
      <c r="F136" s="181">
        <f>1.025*0.519</f>
        <v>0.531975</v>
      </c>
      <c r="G136" s="182">
        <f>E133*F136</f>
        <v>0.9064853999999999</v>
      </c>
    </row>
    <row r="137" spans="1:7" ht="15">
      <c r="A137" s="12" t="s">
        <v>0</v>
      </c>
      <c r="B137" s="13" t="s">
        <v>0</v>
      </c>
      <c r="C137" s="13" t="s">
        <v>53</v>
      </c>
      <c r="D137" s="13" t="s">
        <v>27</v>
      </c>
      <c r="E137" s="181"/>
      <c r="F137" s="181">
        <f>1.025*0.855</f>
        <v>0.8763749999999999</v>
      </c>
      <c r="G137" s="182">
        <f>E133*F137</f>
        <v>1.4933429999999999</v>
      </c>
    </row>
    <row r="138" spans="1:7" ht="15">
      <c r="A138" s="12" t="s">
        <v>0</v>
      </c>
      <c r="B138" s="13" t="s">
        <v>0</v>
      </c>
      <c r="C138" s="13" t="s">
        <v>29</v>
      </c>
      <c r="D138" s="13" t="s">
        <v>27</v>
      </c>
      <c r="E138" s="181"/>
      <c r="F138" s="181">
        <f>1.025*0.183</f>
        <v>0.187575</v>
      </c>
      <c r="G138" s="182">
        <f>E133*F138</f>
        <v>0.31962779999999996</v>
      </c>
    </row>
    <row r="139" spans="1:7" ht="15">
      <c r="A139" s="12" t="s">
        <v>0</v>
      </c>
      <c r="B139" s="13" t="s">
        <v>0</v>
      </c>
      <c r="C139" s="13" t="s">
        <v>40</v>
      </c>
      <c r="D139" s="13" t="s">
        <v>8</v>
      </c>
      <c r="E139" s="181"/>
      <c r="F139" s="181">
        <f>3.37</f>
        <v>3.37</v>
      </c>
      <c r="G139" s="182">
        <f>E133*F139</f>
        <v>5.7424800000000005</v>
      </c>
    </row>
    <row r="140" spans="1:7" ht="15">
      <c r="A140" s="12" t="s">
        <v>0</v>
      </c>
      <c r="B140" s="13" t="s">
        <v>0</v>
      </c>
      <c r="C140" s="13" t="s">
        <v>31</v>
      </c>
      <c r="D140" s="13" t="s">
        <v>20</v>
      </c>
      <c r="E140" s="181"/>
      <c r="F140" s="181">
        <f>0.095</f>
        <v>0.095</v>
      </c>
      <c r="G140" s="182">
        <f>E133*F140</f>
        <v>0.16188</v>
      </c>
    </row>
    <row r="141" spans="1:7" ht="15">
      <c r="A141" s="12" t="s">
        <v>0</v>
      </c>
      <c r="B141" s="13" t="s">
        <v>0</v>
      </c>
      <c r="C141" s="13" t="s">
        <v>54</v>
      </c>
      <c r="D141" s="13" t="s">
        <v>20</v>
      </c>
      <c r="E141" s="181"/>
      <c r="F141" s="181">
        <f>0.18</f>
        <v>0.18</v>
      </c>
      <c r="G141" s="182">
        <f>E133*F141</f>
        <v>0.30672</v>
      </c>
    </row>
    <row r="142" spans="1:7" ht="15">
      <c r="A142" s="12" t="s">
        <v>0</v>
      </c>
      <c r="B142" s="13" t="s">
        <v>0</v>
      </c>
      <c r="C142" s="13" t="s">
        <v>0</v>
      </c>
      <c r="D142" s="13" t="s">
        <v>0</v>
      </c>
      <c r="E142" s="181"/>
      <c r="F142" s="181"/>
      <c r="G142" s="182"/>
    </row>
    <row r="143" spans="1:7" ht="15">
      <c r="A143" s="12" t="s">
        <v>95</v>
      </c>
      <c r="B143" s="13" t="s">
        <v>96</v>
      </c>
      <c r="C143" s="13" t="s">
        <v>97</v>
      </c>
      <c r="D143" s="13" t="s">
        <v>5</v>
      </c>
      <c r="E143" s="181">
        <f>'Du toan chi tiet'!E42</f>
        <v>9.305</v>
      </c>
      <c r="F143" s="181"/>
      <c r="G143" s="182"/>
    </row>
    <row r="144" spans="1:7" ht="15">
      <c r="A144" s="12" t="s">
        <v>0</v>
      </c>
      <c r="B144" s="13" t="s">
        <v>0</v>
      </c>
      <c r="C144" s="13" t="s">
        <v>98</v>
      </c>
      <c r="D144" s="13" t="s">
        <v>0</v>
      </c>
      <c r="E144" s="181"/>
      <c r="F144" s="181"/>
      <c r="G144" s="182"/>
    </row>
    <row r="145" spans="1:7" ht="15">
      <c r="A145" s="12" t="s">
        <v>0</v>
      </c>
      <c r="B145" s="13" t="s">
        <v>0</v>
      </c>
      <c r="C145" s="13" t="s">
        <v>7</v>
      </c>
      <c r="D145" s="13" t="s">
        <v>8</v>
      </c>
      <c r="E145" s="181"/>
      <c r="F145" s="181">
        <f>0.0619</f>
        <v>0.0619</v>
      </c>
      <c r="G145" s="182">
        <f>E143*F145</f>
        <v>0.5759795</v>
      </c>
    </row>
    <row r="146" spans="1:7" ht="15">
      <c r="A146" s="12" t="s">
        <v>0</v>
      </c>
      <c r="B146" s="13" t="s">
        <v>0</v>
      </c>
      <c r="C146" s="13" t="s">
        <v>99</v>
      </c>
      <c r="D146" s="13" t="s">
        <v>20</v>
      </c>
      <c r="E146" s="181"/>
      <c r="F146" s="181">
        <f>0.03845</f>
        <v>0.03845</v>
      </c>
      <c r="G146" s="182">
        <f>E143*F146</f>
        <v>0.35777725</v>
      </c>
    </row>
    <row r="147" spans="1:7" ht="15">
      <c r="A147" s="12" t="s">
        <v>0</v>
      </c>
      <c r="B147" s="13" t="s">
        <v>0</v>
      </c>
      <c r="C147" s="13" t="s">
        <v>0</v>
      </c>
      <c r="D147" s="13" t="s">
        <v>0</v>
      </c>
      <c r="E147" s="181"/>
      <c r="F147" s="181"/>
      <c r="G147" s="182"/>
    </row>
    <row r="148" spans="1:7" ht="15">
      <c r="A148" s="12" t="s">
        <v>100</v>
      </c>
      <c r="B148" s="13" t="s">
        <v>101</v>
      </c>
      <c r="C148" s="13" t="s">
        <v>102</v>
      </c>
      <c r="D148" s="13" t="s">
        <v>5</v>
      </c>
      <c r="E148" s="181">
        <f>'Du toan chi tiet'!E44</f>
        <v>12.309</v>
      </c>
      <c r="F148" s="181"/>
      <c r="G148" s="182"/>
    </row>
    <row r="149" spans="1:7" ht="15">
      <c r="A149" s="12" t="s">
        <v>0</v>
      </c>
      <c r="B149" s="13" t="s">
        <v>0</v>
      </c>
      <c r="C149" s="13" t="s">
        <v>103</v>
      </c>
      <c r="D149" s="13" t="s">
        <v>0</v>
      </c>
      <c r="E149" s="181"/>
      <c r="F149" s="181"/>
      <c r="G149" s="182"/>
    </row>
    <row r="150" spans="1:7" ht="15">
      <c r="A150" s="12" t="s">
        <v>0</v>
      </c>
      <c r="B150" s="13" t="s">
        <v>0</v>
      </c>
      <c r="C150" s="13" t="s">
        <v>104</v>
      </c>
      <c r="D150" s="13" t="s">
        <v>27</v>
      </c>
      <c r="E150" s="181"/>
      <c r="F150" s="181">
        <f>1.22</f>
        <v>1.22</v>
      </c>
      <c r="G150" s="182">
        <f>E148*F150</f>
        <v>15.016979999999998</v>
      </c>
    </row>
    <row r="151" spans="1:7" ht="15">
      <c r="A151" s="12" t="s">
        <v>0</v>
      </c>
      <c r="B151" s="13" t="s">
        <v>0</v>
      </c>
      <c r="C151" s="13" t="s">
        <v>7</v>
      </c>
      <c r="D151" s="13" t="s">
        <v>8</v>
      </c>
      <c r="E151" s="181"/>
      <c r="F151" s="181">
        <f>0.0418</f>
        <v>0.0418</v>
      </c>
      <c r="G151" s="182">
        <f>E148*F151</f>
        <v>0.5145162</v>
      </c>
    </row>
    <row r="152" spans="1:7" ht="15">
      <c r="A152" s="12" t="s">
        <v>0</v>
      </c>
      <c r="B152" s="13" t="s">
        <v>0</v>
      </c>
      <c r="C152" s="13" t="s">
        <v>99</v>
      </c>
      <c r="D152" s="13" t="s">
        <v>20</v>
      </c>
      <c r="E152" s="181"/>
      <c r="F152" s="181">
        <f>0.02042</f>
        <v>0.02042</v>
      </c>
      <c r="G152" s="182">
        <f>E148*F152</f>
        <v>0.25134977999999997</v>
      </c>
    </row>
    <row r="153" spans="1:7" ht="15">
      <c r="A153" s="12" t="s">
        <v>0</v>
      </c>
      <c r="B153" s="13" t="s">
        <v>0</v>
      </c>
      <c r="C153" s="13" t="s">
        <v>0</v>
      </c>
      <c r="D153" s="13" t="s">
        <v>0</v>
      </c>
      <c r="E153" s="181"/>
      <c r="F153" s="181"/>
      <c r="G153" s="182"/>
    </row>
    <row r="154" spans="1:7" ht="15">
      <c r="A154" s="12" t="s">
        <v>105</v>
      </c>
      <c r="B154" s="13" t="s">
        <v>106</v>
      </c>
      <c r="C154" s="13" t="s">
        <v>107</v>
      </c>
      <c r="D154" s="13" t="s">
        <v>5</v>
      </c>
      <c r="E154" s="181">
        <f>'Du toan chi tiet'!E46</f>
        <v>0.998</v>
      </c>
      <c r="F154" s="181"/>
      <c r="G154" s="182"/>
    </row>
    <row r="155" spans="1:7" ht="15">
      <c r="A155" s="12" t="s">
        <v>0</v>
      </c>
      <c r="B155" s="13" t="s">
        <v>0</v>
      </c>
      <c r="C155" s="13" t="s">
        <v>108</v>
      </c>
      <c r="D155" s="13" t="s">
        <v>0</v>
      </c>
      <c r="E155" s="181"/>
      <c r="F155" s="181"/>
      <c r="G155" s="182"/>
    </row>
    <row r="156" spans="1:7" ht="15">
      <c r="A156" s="12" t="s">
        <v>0</v>
      </c>
      <c r="B156" s="13" t="s">
        <v>0</v>
      </c>
      <c r="C156" s="13" t="s">
        <v>52</v>
      </c>
      <c r="D156" s="13" t="s">
        <v>15</v>
      </c>
      <c r="E156" s="181"/>
      <c r="F156" s="181">
        <f>1.025*259</f>
        <v>265.47499999999997</v>
      </c>
      <c r="G156" s="182">
        <f>E154*F156</f>
        <v>264.94404999999995</v>
      </c>
    </row>
    <row r="157" spans="1:7" ht="15">
      <c r="A157" s="12" t="s">
        <v>0</v>
      </c>
      <c r="B157" s="13" t="s">
        <v>0</v>
      </c>
      <c r="C157" s="13" t="s">
        <v>26</v>
      </c>
      <c r="D157" s="13" t="s">
        <v>27</v>
      </c>
      <c r="E157" s="181"/>
      <c r="F157" s="181">
        <f>1.025*0.528</f>
        <v>0.5412</v>
      </c>
      <c r="G157" s="182">
        <f>E154*F157</f>
        <v>0.5401176</v>
      </c>
    </row>
    <row r="158" spans="1:7" ht="15">
      <c r="A158" s="12" t="s">
        <v>0</v>
      </c>
      <c r="B158" s="13" t="s">
        <v>0</v>
      </c>
      <c r="C158" s="13" t="s">
        <v>53</v>
      </c>
      <c r="D158" s="13" t="s">
        <v>27</v>
      </c>
      <c r="E158" s="181"/>
      <c r="F158" s="181">
        <f>1.025*0.871</f>
        <v>0.8927749999999999</v>
      </c>
      <c r="G158" s="182">
        <f>E154*F158</f>
        <v>0.8909894499999998</v>
      </c>
    </row>
    <row r="159" spans="1:7" ht="15">
      <c r="A159" s="12" t="s">
        <v>0</v>
      </c>
      <c r="B159" s="13" t="s">
        <v>0</v>
      </c>
      <c r="C159" s="13" t="s">
        <v>29</v>
      </c>
      <c r="D159" s="13" t="s">
        <v>27</v>
      </c>
      <c r="E159" s="181"/>
      <c r="F159" s="181">
        <f>1.025*0.183</f>
        <v>0.187575</v>
      </c>
      <c r="G159" s="182">
        <f>E154*F159</f>
        <v>0.18719985</v>
      </c>
    </row>
    <row r="160" spans="1:7" ht="15">
      <c r="A160" s="12" t="s">
        <v>0</v>
      </c>
      <c r="B160" s="13" t="s">
        <v>0</v>
      </c>
      <c r="C160" s="13" t="s">
        <v>40</v>
      </c>
      <c r="D160" s="13" t="s">
        <v>8</v>
      </c>
      <c r="E160" s="181"/>
      <c r="F160" s="181">
        <f>2.66</f>
        <v>2.66</v>
      </c>
      <c r="G160" s="182">
        <f>E154*F160</f>
        <v>2.65468</v>
      </c>
    </row>
    <row r="161" spans="1:7" ht="15">
      <c r="A161" s="12" t="s">
        <v>0</v>
      </c>
      <c r="B161" s="13" t="s">
        <v>0</v>
      </c>
      <c r="C161" s="13" t="s">
        <v>31</v>
      </c>
      <c r="D161" s="13" t="s">
        <v>20</v>
      </c>
      <c r="E161" s="181"/>
      <c r="F161" s="181">
        <f>0.095</f>
        <v>0.095</v>
      </c>
      <c r="G161" s="182">
        <f>E154*F161</f>
        <v>0.09481</v>
      </c>
    </row>
    <row r="162" spans="1:7" ht="15">
      <c r="A162" s="12" t="s">
        <v>0</v>
      </c>
      <c r="B162" s="13" t="s">
        <v>0</v>
      </c>
      <c r="C162" s="13" t="s">
        <v>54</v>
      </c>
      <c r="D162" s="13" t="s">
        <v>20</v>
      </c>
      <c r="E162" s="181"/>
      <c r="F162" s="181">
        <f>0.089</f>
        <v>0.089</v>
      </c>
      <c r="G162" s="182">
        <f>E154*F162</f>
        <v>0.088822</v>
      </c>
    </row>
    <row r="163" spans="1:7" ht="15">
      <c r="A163" s="12" t="s">
        <v>0</v>
      </c>
      <c r="B163" s="13" t="s">
        <v>0</v>
      </c>
      <c r="C163" s="13" t="s">
        <v>0</v>
      </c>
      <c r="D163" s="13" t="s">
        <v>0</v>
      </c>
      <c r="E163" s="181"/>
      <c r="F163" s="181"/>
      <c r="G163" s="182"/>
    </row>
    <row r="164" spans="1:7" ht="15">
      <c r="A164" s="12" t="s">
        <v>109</v>
      </c>
      <c r="B164" s="13" t="s">
        <v>110</v>
      </c>
      <c r="C164" s="13" t="s">
        <v>111</v>
      </c>
      <c r="D164" s="13" t="s">
        <v>36</v>
      </c>
      <c r="E164" s="181">
        <f>'Du toan chi tiet'!E48</f>
        <v>0.076</v>
      </c>
      <c r="F164" s="181"/>
      <c r="G164" s="182"/>
    </row>
    <row r="165" spans="1:7" ht="15">
      <c r="A165" s="12" t="s">
        <v>0</v>
      </c>
      <c r="B165" s="13" t="s">
        <v>0</v>
      </c>
      <c r="C165" s="13" t="s">
        <v>77</v>
      </c>
      <c r="D165" s="13" t="s">
        <v>0</v>
      </c>
      <c r="E165" s="181"/>
      <c r="F165" s="181"/>
      <c r="G165" s="182"/>
    </row>
    <row r="166" spans="1:7" ht="15">
      <c r="A166" s="12" t="s">
        <v>0</v>
      </c>
      <c r="B166" s="13" t="s">
        <v>0</v>
      </c>
      <c r="C166" s="13" t="s">
        <v>38</v>
      </c>
      <c r="D166" s="13" t="s">
        <v>15</v>
      </c>
      <c r="E166" s="181"/>
      <c r="F166" s="181">
        <f>1005</f>
        <v>1005</v>
      </c>
      <c r="G166" s="182">
        <f>E164*F166</f>
        <v>76.38</v>
      </c>
    </row>
    <row r="167" spans="1:7" ht="15">
      <c r="A167" s="12" t="s">
        <v>0</v>
      </c>
      <c r="B167" s="13" t="s">
        <v>0</v>
      </c>
      <c r="C167" s="13" t="s">
        <v>39</v>
      </c>
      <c r="D167" s="13" t="s">
        <v>15</v>
      </c>
      <c r="E167" s="181"/>
      <c r="F167" s="181">
        <f>16.07</f>
        <v>16.07</v>
      </c>
      <c r="G167" s="182">
        <f>E164*F167</f>
        <v>1.22132</v>
      </c>
    </row>
    <row r="168" spans="1:7" ht="15">
      <c r="A168" s="12" t="s">
        <v>0</v>
      </c>
      <c r="B168" s="13" t="s">
        <v>0</v>
      </c>
      <c r="C168" s="13" t="s">
        <v>40</v>
      </c>
      <c r="D168" s="13" t="s">
        <v>8</v>
      </c>
      <c r="E168" s="181"/>
      <c r="F168" s="181">
        <f>18.46</f>
        <v>18.46</v>
      </c>
      <c r="G168" s="182">
        <f>E164*F168</f>
        <v>1.40296</v>
      </c>
    </row>
    <row r="169" spans="1:7" ht="15">
      <c r="A169" s="12" t="s">
        <v>0</v>
      </c>
      <c r="B169" s="13" t="s">
        <v>0</v>
      </c>
      <c r="C169" s="13" t="s">
        <v>41</v>
      </c>
      <c r="D169" s="13" t="s">
        <v>20</v>
      </c>
      <c r="E169" s="181"/>
      <c r="F169" s="181">
        <f>0.4</f>
        <v>0.4</v>
      </c>
      <c r="G169" s="182">
        <f>E164*F169</f>
        <v>0.0304</v>
      </c>
    </row>
    <row r="170" spans="1:7" ht="15">
      <c r="A170" s="12" t="s">
        <v>0</v>
      </c>
      <c r="B170" s="13" t="s">
        <v>0</v>
      </c>
      <c r="C170" s="13" t="s">
        <v>0</v>
      </c>
      <c r="D170" s="13" t="s">
        <v>0</v>
      </c>
      <c r="E170" s="181"/>
      <c r="F170" s="181"/>
      <c r="G170" s="182"/>
    </row>
    <row r="171" spans="1:7" ht="15">
      <c r="A171" s="12" t="s">
        <v>112</v>
      </c>
      <c r="B171" s="13" t="s">
        <v>113</v>
      </c>
      <c r="C171" s="13" t="s">
        <v>114</v>
      </c>
      <c r="D171" s="13" t="s">
        <v>12</v>
      </c>
      <c r="E171" s="181">
        <f>'Du toan chi tiet'!E50</f>
        <v>10.658</v>
      </c>
      <c r="F171" s="181"/>
      <c r="G171" s="182"/>
    </row>
    <row r="172" spans="1:7" ht="15">
      <c r="A172" s="12" t="s">
        <v>0</v>
      </c>
      <c r="B172" s="13" t="s">
        <v>0</v>
      </c>
      <c r="C172" s="13" t="s">
        <v>70</v>
      </c>
      <c r="D172" s="13" t="s">
        <v>27</v>
      </c>
      <c r="E172" s="181"/>
      <c r="F172" s="181">
        <f>0.00794</f>
        <v>0.00794</v>
      </c>
      <c r="G172" s="182">
        <f>E171*F172</f>
        <v>0.08462451999999998</v>
      </c>
    </row>
    <row r="173" spans="1:7" ht="15">
      <c r="A173" s="12" t="s">
        <v>0</v>
      </c>
      <c r="B173" s="13" t="s">
        <v>0</v>
      </c>
      <c r="C173" s="13" t="s">
        <v>71</v>
      </c>
      <c r="D173" s="13" t="s">
        <v>27</v>
      </c>
      <c r="E173" s="181"/>
      <c r="F173" s="181">
        <f>0.00112</f>
        <v>0.00112</v>
      </c>
      <c r="G173" s="182">
        <f>E171*F173</f>
        <v>0.011936959999999998</v>
      </c>
    </row>
    <row r="174" spans="1:7" ht="15">
      <c r="A174" s="12" t="s">
        <v>0</v>
      </c>
      <c r="B174" s="13" t="s">
        <v>0</v>
      </c>
      <c r="C174" s="13" t="s">
        <v>72</v>
      </c>
      <c r="D174" s="13" t="s">
        <v>27</v>
      </c>
      <c r="E174" s="181"/>
      <c r="F174" s="181">
        <f>0.00668</f>
        <v>0.00668</v>
      </c>
      <c r="G174" s="182">
        <f>E171*F174</f>
        <v>0.07119544</v>
      </c>
    </row>
    <row r="175" spans="1:7" ht="15">
      <c r="A175" s="12" t="s">
        <v>0</v>
      </c>
      <c r="B175" s="13" t="s">
        <v>0</v>
      </c>
      <c r="C175" s="13" t="s">
        <v>73</v>
      </c>
      <c r="D175" s="13" t="s">
        <v>15</v>
      </c>
      <c r="E175" s="181"/>
      <c r="F175" s="181">
        <f>0.0805</f>
        <v>0.0805</v>
      </c>
      <c r="G175" s="182">
        <f>E171*F175</f>
        <v>0.857969</v>
      </c>
    </row>
    <row r="176" spans="1:7" ht="15">
      <c r="A176" s="12" t="s">
        <v>0</v>
      </c>
      <c r="B176" s="13" t="s">
        <v>0</v>
      </c>
      <c r="C176" s="13" t="s">
        <v>40</v>
      </c>
      <c r="D176" s="13" t="s">
        <v>8</v>
      </c>
      <c r="E176" s="181"/>
      <c r="F176" s="181">
        <f>0.2847</f>
        <v>0.2847</v>
      </c>
      <c r="G176" s="182">
        <f>E171*F176</f>
        <v>3.0343326</v>
      </c>
    </row>
    <row r="177" spans="1:7" ht="15">
      <c r="A177" s="12" t="s">
        <v>0</v>
      </c>
      <c r="B177" s="13" t="s">
        <v>0</v>
      </c>
      <c r="C177" s="13" t="s">
        <v>0</v>
      </c>
      <c r="D177" s="13" t="s">
        <v>0</v>
      </c>
      <c r="E177" s="181"/>
      <c r="F177" s="181"/>
      <c r="G177" s="182"/>
    </row>
    <row r="178" spans="1:7" ht="15">
      <c r="A178" s="12" t="s">
        <v>115</v>
      </c>
      <c r="B178" s="13" t="s">
        <v>116</v>
      </c>
      <c r="C178" s="13" t="s">
        <v>117</v>
      </c>
      <c r="D178" s="13" t="s">
        <v>5</v>
      </c>
      <c r="E178" s="181">
        <f>'Du toan chi tiet'!E52</f>
        <v>4.103</v>
      </c>
      <c r="F178" s="181"/>
      <c r="G178" s="182"/>
    </row>
    <row r="179" spans="1:7" ht="15">
      <c r="A179" s="12" t="s">
        <v>0</v>
      </c>
      <c r="B179" s="13" t="s">
        <v>0</v>
      </c>
      <c r="C179" s="13" t="s">
        <v>118</v>
      </c>
      <c r="D179" s="13" t="s">
        <v>0</v>
      </c>
      <c r="E179" s="181"/>
      <c r="F179" s="181"/>
      <c r="G179" s="182"/>
    </row>
    <row r="180" spans="1:7" ht="15">
      <c r="A180" s="12" t="s">
        <v>0</v>
      </c>
      <c r="B180" s="13" t="s">
        <v>0</v>
      </c>
      <c r="C180" s="13" t="s">
        <v>52</v>
      </c>
      <c r="D180" s="13" t="s">
        <v>15</v>
      </c>
      <c r="E180" s="181"/>
      <c r="F180" s="181">
        <f>1.025*259</f>
        <v>265.47499999999997</v>
      </c>
      <c r="G180" s="182">
        <f>E178*F180</f>
        <v>1089.2439249999998</v>
      </c>
    </row>
    <row r="181" spans="1:7" ht="15">
      <c r="A181" s="12" t="s">
        <v>0</v>
      </c>
      <c r="B181" s="13" t="s">
        <v>0</v>
      </c>
      <c r="C181" s="13" t="s">
        <v>26</v>
      </c>
      <c r="D181" s="13" t="s">
        <v>27</v>
      </c>
      <c r="E181" s="181"/>
      <c r="F181" s="181">
        <f>1.025*0.528</f>
        <v>0.5412</v>
      </c>
      <c r="G181" s="182">
        <f>E178*F181</f>
        <v>2.2205436</v>
      </c>
    </row>
    <row r="182" spans="1:7" ht="15">
      <c r="A182" s="12" t="s">
        <v>0</v>
      </c>
      <c r="B182" s="13" t="s">
        <v>0</v>
      </c>
      <c r="C182" s="13" t="s">
        <v>53</v>
      </c>
      <c r="D182" s="13" t="s">
        <v>27</v>
      </c>
      <c r="E182" s="181"/>
      <c r="F182" s="181">
        <f>1.025*0.871</f>
        <v>0.8927749999999999</v>
      </c>
      <c r="G182" s="182">
        <f>E178*F182</f>
        <v>3.6630558249999994</v>
      </c>
    </row>
    <row r="183" spans="1:7" ht="15">
      <c r="A183" s="12" t="s">
        <v>0</v>
      </c>
      <c r="B183" s="13" t="s">
        <v>0</v>
      </c>
      <c r="C183" s="13" t="s">
        <v>29</v>
      </c>
      <c r="D183" s="13" t="s">
        <v>27</v>
      </c>
      <c r="E183" s="181"/>
      <c r="F183" s="181">
        <f>1.025*0.183</f>
        <v>0.187575</v>
      </c>
      <c r="G183" s="182">
        <f>E178*F183</f>
        <v>0.7696202249999999</v>
      </c>
    </row>
    <row r="184" spans="1:7" ht="15">
      <c r="A184" s="12" t="s">
        <v>0</v>
      </c>
      <c r="B184" s="13" t="s">
        <v>0</v>
      </c>
      <c r="C184" s="13" t="s">
        <v>30</v>
      </c>
      <c r="D184" s="13" t="s">
        <v>8</v>
      </c>
      <c r="E184" s="181"/>
      <c r="F184" s="181">
        <f>1.19</f>
        <v>1.19</v>
      </c>
      <c r="G184" s="182">
        <f>E178*F184</f>
        <v>4.882569999999999</v>
      </c>
    </row>
    <row r="185" spans="1:7" ht="15">
      <c r="A185" s="12" t="s">
        <v>0</v>
      </c>
      <c r="B185" s="13" t="s">
        <v>0</v>
      </c>
      <c r="C185" s="13" t="s">
        <v>31</v>
      </c>
      <c r="D185" s="13" t="s">
        <v>20</v>
      </c>
      <c r="E185" s="181"/>
      <c r="F185" s="181">
        <f>0.095</f>
        <v>0.095</v>
      </c>
      <c r="G185" s="182">
        <f>E178*F185</f>
        <v>0.389785</v>
      </c>
    </row>
    <row r="186" spans="1:7" ht="15">
      <c r="A186" s="12" t="s">
        <v>0</v>
      </c>
      <c r="B186" s="13" t="s">
        <v>0</v>
      </c>
      <c r="C186" s="13" t="s">
        <v>32</v>
      </c>
      <c r="D186" s="13" t="s">
        <v>20</v>
      </c>
      <c r="E186" s="181"/>
      <c r="F186" s="181">
        <f>0.089</f>
        <v>0.089</v>
      </c>
      <c r="G186" s="182">
        <f>E178*F186</f>
        <v>0.36516699999999996</v>
      </c>
    </row>
    <row r="187" spans="1:7" ht="15">
      <c r="A187" s="12" t="s">
        <v>0</v>
      </c>
      <c r="B187" s="13" t="s">
        <v>0</v>
      </c>
      <c r="C187" s="13" t="s">
        <v>0</v>
      </c>
      <c r="D187" s="13" t="s">
        <v>0</v>
      </c>
      <c r="E187" s="181"/>
      <c r="F187" s="181"/>
      <c r="G187" s="182"/>
    </row>
    <row r="188" spans="1:7" ht="15">
      <c r="A188" s="12" t="s">
        <v>119</v>
      </c>
      <c r="B188" s="13" t="s">
        <v>120</v>
      </c>
      <c r="C188" s="13" t="s">
        <v>121</v>
      </c>
      <c r="D188" s="13" t="s">
        <v>36</v>
      </c>
      <c r="E188" s="181">
        <f>'Du toan chi tiet'!E54</f>
        <v>0.199</v>
      </c>
      <c r="F188" s="181"/>
      <c r="G188" s="182"/>
    </row>
    <row r="189" spans="1:7" ht="15">
      <c r="A189" s="12" t="s">
        <v>0</v>
      </c>
      <c r="B189" s="13" t="s">
        <v>0</v>
      </c>
      <c r="C189" s="13" t="s">
        <v>122</v>
      </c>
      <c r="D189" s="13" t="s">
        <v>0</v>
      </c>
      <c r="E189" s="181"/>
      <c r="F189" s="181"/>
      <c r="G189" s="182"/>
    </row>
    <row r="190" spans="1:7" ht="15">
      <c r="A190" s="12" t="s">
        <v>0</v>
      </c>
      <c r="B190" s="13" t="s">
        <v>0</v>
      </c>
      <c r="C190" s="13" t="s">
        <v>16</v>
      </c>
      <c r="D190" s="13" t="s">
        <v>15</v>
      </c>
      <c r="E190" s="181"/>
      <c r="F190" s="181">
        <f>802</f>
        <v>802</v>
      </c>
      <c r="G190" s="182">
        <f>E188*F190</f>
        <v>159.598</v>
      </c>
    </row>
    <row r="191" spans="1:7" ht="15">
      <c r="A191" s="12" t="s">
        <v>0</v>
      </c>
      <c r="B191" s="13" t="s">
        <v>0</v>
      </c>
      <c r="C191" s="13" t="s">
        <v>14</v>
      </c>
      <c r="D191" s="13" t="s">
        <v>15</v>
      </c>
      <c r="E191" s="181"/>
      <c r="F191" s="181">
        <f>230</f>
        <v>230</v>
      </c>
      <c r="G191" s="182">
        <f>E188*F191</f>
        <v>45.77</v>
      </c>
    </row>
    <row r="192" spans="1:7" ht="15">
      <c r="A192" s="12" t="s">
        <v>0</v>
      </c>
      <c r="B192" s="13" t="s">
        <v>0</v>
      </c>
      <c r="C192" s="13" t="s">
        <v>123</v>
      </c>
      <c r="D192" s="13" t="s">
        <v>124</v>
      </c>
      <c r="E192" s="181"/>
      <c r="F192" s="181">
        <f>2.82</f>
        <v>2.82</v>
      </c>
      <c r="G192" s="182">
        <f>E188*F192</f>
        <v>0.56118</v>
      </c>
    </row>
    <row r="193" spans="1:7" ht="15">
      <c r="A193" s="12" t="s">
        <v>0</v>
      </c>
      <c r="B193" s="13" t="s">
        <v>0</v>
      </c>
      <c r="C193" s="13" t="s">
        <v>125</v>
      </c>
      <c r="D193" s="13" t="s">
        <v>15</v>
      </c>
      <c r="E193" s="181"/>
      <c r="F193" s="181">
        <f>5.64</f>
        <v>5.64</v>
      </c>
      <c r="G193" s="182">
        <f>E188*F193</f>
        <v>1.12236</v>
      </c>
    </row>
    <row r="194" spans="1:7" ht="15">
      <c r="A194" s="12" t="s">
        <v>0</v>
      </c>
      <c r="B194" s="13" t="s">
        <v>0</v>
      </c>
      <c r="C194" s="13" t="s">
        <v>17</v>
      </c>
      <c r="D194" s="13" t="s">
        <v>15</v>
      </c>
      <c r="E194" s="181"/>
      <c r="F194" s="181">
        <f>15.54</f>
        <v>15.54</v>
      </c>
      <c r="G194" s="182">
        <f>E188*F194</f>
        <v>3.09246</v>
      </c>
    </row>
    <row r="195" spans="1:7" ht="15">
      <c r="A195" s="12" t="s">
        <v>0</v>
      </c>
      <c r="B195" s="13" t="s">
        <v>0</v>
      </c>
      <c r="C195" s="13" t="s">
        <v>18</v>
      </c>
      <c r="D195" s="13" t="s">
        <v>8</v>
      </c>
      <c r="E195" s="181"/>
      <c r="F195" s="181">
        <f>29.75</f>
        <v>29.75</v>
      </c>
      <c r="G195" s="182">
        <f>E188*F195</f>
        <v>5.92025</v>
      </c>
    </row>
    <row r="196" spans="1:7" ht="15">
      <c r="A196" s="12" t="s">
        <v>0</v>
      </c>
      <c r="B196" s="13" t="s">
        <v>0</v>
      </c>
      <c r="C196" s="13" t="s">
        <v>19</v>
      </c>
      <c r="D196" s="13" t="s">
        <v>20</v>
      </c>
      <c r="E196" s="181"/>
      <c r="F196" s="181">
        <f>3.7</f>
        <v>3.7</v>
      </c>
      <c r="G196" s="182">
        <f>E188*F196</f>
        <v>0.7363000000000001</v>
      </c>
    </row>
    <row r="197" spans="1:7" ht="15">
      <c r="A197" s="12" t="s">
        <v>0</v>
      </c>
      <c r="B197" s="13" t="s">
        <v>0</v>
      </c>
      <c r="C197" s="13" t="s">
        <v>126</v>
      </c>
      <c r="D197" s="13" t="s">
        <v>20</v>
      </c>
      <c r="E197" s="181"/>
      <c r="F197" s="181">
        <f>2.739</f>
        <v>2.739</v>
      </c>
      <c r="G197" s="182">
        <f>E188*F197</f>
        <v>0.545061</v>
      </c>
    </row>
    <row r="198" spans="1:7" ht="15">
      <c r="A198" s="12" t="s">
        <v>0</v>
      </c>
      <c r="B198" s="13" t="s">
        <v>0</v>
      </c>
      <c r="C198" s="13" t="s">
        <v>127</v>
      </c>
      <c r="D198" s="13" t="s">
        <v>20</v>
      </c>
      <c r="E198" s="181"/>
      <c r="F198" s="181">
        <f>0.722</f>
        <v>0.722</v>
      </c>
      <c r="G198" s="182">
        <f>E188*F198</f>
        <v>0.143678</v>
      </c>
    </row>
    <row r="199" spans="1:7" ht="15">
      <c r="A199" s="12" t="s">
        <v>0</v>
      </c>
      <c r="B199" s="13" t="s">
        <v>0</v>
      </c>
      <c r="C199" s="13" t="s">
        <v>0</v>
      </c>
      <c r="D199" s="13" t="s">
        <v>0</v>
      </c>
      <c r="E199" s="181"/>
      <c r="F199" s="181"/>
      <c r="G199" s="182"/>
    </row>
    <row r="200" spans="1:7" ht="15">
      <c r="A200" s="12" t="s">
        <v>128</v>
      </c>
      <c r="B200" s="13" t="s">
        <v>129</v>
      </c>
      <c r="C200" s="13" t="s">
        <v>130</v>
      </c>
      <c r="D200" s="13" t="s">
        <v>131</v>
      </c>
      <c r="E200" s="181">
        <f>'Du toan chi tiet'!E56</f>
        <v>18.24</v>
      </c>
      <c r="F200" s="181"/>
      <c r="G200" s="182"/>
    </row>
    <row r="201" spans="1:7" ht="15">
      <c r="A201" s="12" t="s">
        <v>0</v>
      </c>
      <c r="B201" s="13" t="s">
        <v>0</v>
      </c>
      <c r="C201" s="13" t="s">
        <v>132</v>
      </c>
      <c r="D201" s="13" t="s">
        <v>0</v>
      </c>
      <c r="E201" s="181"/>
      <c r="F201" s="181"/>
      <c r="G201" s="182"/>
    </row>
    <row r="202" spans="1:7" ht="15">
      <c r="A202" s="12" t="s">
        <v>0</v>
      </c>
      <c r="B202" s="13" t="s">
        <v>0</v>
      </c>
      <c r="C202" s="13" t="s">
        <v>133</v>
      </c>
      <c r="D202" s="13" t="s">
        <v>15</v>
      </c>
      <c r="E202" s="181"/>
      <c r="F202" s="181">
        <f>0.113</f>
        <v>0.113</v>
      </c>
      <c r="G202" s="182">
        <f>E200*F202</f>
        <v>2.06112</v>
      </c>
    </row>
    <row r="203" spans="1:7" ht="15">
      <c r="A203" s="12" t="s">
        <v>0</v>
      </c>
      <c r="B203" s="13" t="s">
        <v>0</v>
      </c>
      <c r="C203" s="13" t="s">
        <v>134</v>
      </c>
      <c r="D203" s="13" t="s">
        <v>15</v>
      </c>
      <c r="E203" s="181"/>
      <c r="F203" s="181">
        <f>0.21</f>
        <v>0.21</v>
      </c>
      <c r="G203" s="182">
        <f>E200*F203</f>
        <v>3.8303999999999996</v>
      </c>
    </row>
    <row r="204" spans="1:7" ht="15">
      <c r="A204" s="12" t="s">
        <v>0</v>
      </c>
      <c r="B204" s="13" t="s">
        <v>0</v>
      </c>
      <c r="C204" s="13" t="s">
        <v>40</v>
      </c>
      <c r="D204" s="13" t="s">
        <v>8</v>
      </c>
      <c r="E204" s="181"/>
      <c r="F204" s="181">
        <f>0.094</f>
        <v>0.094</v>
      </c>
      <c r="G204" s="182">
        <f>E200*F204</f>
        <v>1.7145599999999999</v>
      </c>
    </row>
    <row r="205" spans="1:7" ht="15">
      <c r="A205" s="12" t="s">
        <v>0</v>
      </c>
      <c r="B205" s="13" t="s">
        <v>0</v>
      </c>
      <c r="C205" s="13" t="s">
        <v>0</v>
      </c>
      <c r="D205" s="13" t="s">
        <v>0</v>
      </c>
      <c r="E205" s="181"/>
      <c r="F205" s="181"/>
      <c r="G205" s="182"/>
    </row>
    <row r="206" spans="1:7" ht="15">
      <c r="A206" s="12" t="s">
        <v>135</v>
      </c>
      <c r="B206" s="13" t="s">
        <v>136</v>
      </c>
      <c r="C206" s="13" t="s">
        <v>137</v>
      </c>
      <c r="D206" s="13" t="s">
        <v>36</v>
      </c>
      <c r="E206" s="181">
        <f>'Du toan chi tiet'!E58</f>
        <v>0.199</v>
      </c>
      <c r="F206" s="181"/>
      <c r="G206" s="182"/>
    </row>
    <row r="207" spans="1:7" ht="15">
      <c r="A207" s="12" t="s">
        <v>0</v>
      </c>
      <c r="B207" s="13" t="s">
        <v>0</v>
      </c>
      <c r="C207" s="13" t="s">
        <v>138</v>
      </c>
      <c r="D207" s="13" t="s">
        <v>139</v>
      </c>
      <c r="E207" s="181"/>
      <c r="F207" s="181">
        <f>48</f>
        <v>48</v>
      </c>
      <c r="G207" s="182">
        <f>E206*F207</f>
        <v>9.552</v>
      </c>
    </row>
    <row r="208" spans="1:7" ht="15">
      <c r="A208" s="12" t="s">
        <v>0</v>
      </c>
      <c r="B208" s="13" t="s">
        <v>0</v>
      </c>
      <c r="C208" s="13" t="s">
        <v>17</v>
      </c>
      <c r="D208" s="13" t="s">
        <v>15</v>
      </c>
      <c r="E208" s="181"/>
      <c r="F208" s="181">
        <f>6</f>
        <v>6</v>
      </c>
      <c r="G208" s="182">
        <f>E206*F208</f>
        <v>1.194</v>
      </c>
    </row>
    <row r="209" spans="1:7" ht="15">
      <c r="A209" s="12" t="s">
        <v>0</v>
      </c>
      <c r="B209" s="13" t="s">
        <v>0</v>
      </c>
      <c r="C209" s="13" t="s">
        <v>16</v>
      </c>
      <c r="D209" s="13" t="s">
        <v>15</v>
      </c>
      <c r="E209" s="181"/>
      <c r="F209" s="181">
        <f>0.15</f>
        <v>0.15</v>
      </c>
      <c r="G209" s="182">
        <f>E206*F209</f>
        <v>0.02985</v>
      </c>
    </row>
    <row r="210" spans="1:7" ht="15">
      <c r="A210" s="12" t="s">
        <v>0</v>
      </c>
      <c r="B210" s="13" t="s">
        <v>0</v>
      </c>
      <c r="C210" s="13" t="s">
        <v>18</v>
      </c>
      <c r="D210" s="13" t="s">
        <v>8</v>
      </c>
      <c r="E210" s="181"/>
      <c r="F210" s="181">
        <f>2.73</f>
        <v>2.73</v>
      </c>
      <c r="G210" s="182">
        <f>E206*F210</f>
        <v>0.54327</v>
      </c>
    </row>
    <row r="211" spans="1:7" ht="15">
      <c r="A211" s="12" t="s">
        <v>0</v>
      </c>
      <c r="B211" s="13" t="s">
        <v>0</v>
      </c>
      <c r="C211" s="13" t="s">
        <v>19</v>
      </c>
      <c r="D211" s="13" t="s">
        <v>20</v>
      </c>
      <c r="E211" s="181"/>
      <c r="F211" s="181">
        <f>2</f>
        <v>2</v>
      </c>
      <c r="G211" s="182">
        <f>E206*F211</f>
        <v>0.398</v>
      </c>
    </row>
    <row r="212" spans="1:7" ht="15">
      <c r="A212" s="12" t="s">
        <v>0</v>
      </c>
      <c r="B212" s="13" t="s">
        <v>0</v>
      </c>
      <c r="C212" s="13" t="s">
        <v>0</v>
      </c>
      <c r="D212" s="13" t="s">
        <v>0</v>
      </c>
      <c r="E212" s="181"/>
      <c r="F212" s="181"/>
      <c r="G212" s="182"/>
    </row>
    <row r="213" spans="1:7" ht="15">
      <c r="A213" s="12" t="s">
        <v>140</v>
      </c>
      <c r="B213" s="13" t="s">
        <v>141</v>
      </c>
      <c r="C213" s="13" t="s">
        <v>142</v>
      </c>
      <c r="D213" s="13" t="s">
        <v>12</v>
      </c>
      <c r="E213" s="181">
        <f>'Du toan chi tiet'!E60</f>
        <v>58.9</v>
      </c>
      <c r="F213" s="181"/>
      <c r="G213" s="182"/>
    </row>
    <row r="214" spans="1:7" ht="15">
      <c r="A214" s="12" t="s">
        <v>0</v>
      </c>
      <c r="B214" s="13" t="s">
        <v>0</v>
      </c>
      <c r="C214" s="13" t="s">
        <v>143</v>
      </c>
      <c r="D214" s="13" t="s">
        <v>0</v>
      </c>
      <c r="E214" s="181"/>
      <c r="F214" s="181"/>
      <c r="G214" s="182"/>
    </row>
    <row r="215" spans="1:7" ht="15">
      <c r="A215" s="12" t="s">
        <v>0</v>
      </c>
      <c r="B215" s="13" t="s">
        <v>0</v>
      </c>
      <c r="C215" s="13" t="s">
        <v>144</v>
      </c>
      <c r="D215" s="13" t="s">
        <v>145</v>
      </c>
      <c r="E215" s="181"/>
      <c r="F215" s="181">
        <f>1.185</f>
        <v>1.185</v>
      </c>
      <c r="G215" s="182">
        <f>E213*F215</f>
        <v>69.7965</v>
      </c>
    </row>
    <row r="216" spans="1:7" ht="15">
      <c r="A216" s="12" t="s">
        <v>0</v>
      </c>
      <c r="B216" s="13" t="s">
        <v>0</v>
      </c>
      <c r="C216" s="13" t="s">
        <v>146</v>
      </c>
      <c r="D216" s="13" t="s">
        <v>139</v>
      </c>
      <c r="E216" s="181"/>
      <c r="F216" s="181">
        <f>4</f>
        <v>4</v>
      </c>
      <c r="G216" s="182">
        <f>E213*F216</f>
        <v>235.6</v>
      </c>
    </row>
    <row r="217" spans="1:7" ht="15">
      <c r="A217" s="12" t="s">
        <v>0</v>
      </c>
      <c r="B217" s="13" t="s">
        <v>0</v>
      </c>
      <c r="C217" s="13" t="s">
        <v>147</v>
      </c>
      <c r="D217" s="13" t="s">
        <v>139</v>
      </c>
      <c r="E217" s="181"/>
      <c r="F217" s="181">
        <f>4.5</f>
        <v>4.5</v>
      </c>
      <c r="G217" s="182">
        <f>E213*F217</f>
        <v>265.05</v>
      </c>
    </row>
    <row r="218" spans="1:7" ht="15">
      <c r="A218" s="12" t="s">
        <v>0</v>
      </c>
      <c r="B218" s="13" t="s">
        <v>0</v>
      </c>
      <c r="C218" s="13" t="s">
        <v>40</v>
      </c>
      <c r="D218" s="13" t="s">
        <v>8</v>
      </c>
      <c r="E218" s="181"/>
      <c r="F218" s="181">
        <f>0.045</f>
        <v>0.045</v>
      </c>
      <c r="G218" s="182">
        <f>E213*F218</f>
        <v>2.6504999999999996</v>
      </c>
    </row>
    <row r="219" spans="1:7" ht="15">
      <c r="A219" s="12" t="s">
        <v>0</v>
      </c>
      <c r="B219" s="13" t="s">
        <v>0</v>
      </c>
      <c r="C219" s="13" t="s">
        <v>0</v>
      </c>
      <c r="D219" s="13" t="s">
        <v>0</v>
      </c>
      <c r="E219" s="181"/>
      <c r="F219" s="181"/>
      <c r="G219" s="182"/>
    </row>
    <row r="220" spans="1:7" ht="15">
      <c r="A220" s="12" t="s">
        <v>148</v>
      </c>
      <c r="B220" s="13" t="s">
        <v>149</v>
      </c>
      <c r="C220" s="13" t="s">
        <v>150</v>
      </c>
      <c r="D220" s="13" t="s">
        <v>12</v>
      </c>
      <c r="E220" s="181">
        <f>'Du toan chi tiet'!E62</f>
        <v>5.45</v>
      </c>
      <c r="F220" s="181"/>
      <c r="G220" s="182"/>
    </row>
    <row r="221" spans="1:7" ht="15">
      <c r="A221" s="12" t="s">
        <v>0</v>
      </c>
      <c r="B221" s="13" t="s">
        <v>0</v>
      </c>
      <c r="C221" s="13" t="s">
        <v>151</v>
      </c>
      <c r="D221" s="13" t="s">
        <v>0</v>
      </c>
      <c r="E221" s="181"/>
      <c r="F221" s="181"/>
      <c r="G221" s="182"/>
    </row>
    <row r="222" spans="1:7" ht="15">
      <c r="A222" s="12" t="s">
        <v>0</v>
      </c>
      <c r="B222" s="13" t="s">
        <v>0</v>
      </c>
      <c r="C222" s="13" t="s">
        <v>152</v>
      </c>
      <c r="D222" s="13" t="s">
        <v>145</v>
      </c>
      <c r="E222" s="181"/>
      <c r="F222" s="181">
        <f>1.335</f>
        <v>1.335</v>
      </c>
      <c r="G222" s="182">
        <f>E220*F222</f>
        <v>7.27575</v>
      </c>
    </row>
    <row r="223" spans="1:7" ht="15">
      <c r="A223" s="12" t="s">
        <v>0</v>
      </c>
      <c r="B223" s="13" t="s">
        <v>0</v>
      </c>
      <c r="C223" s="13" t="s">
        <v>147</v>
      </c>
      <c r="D223" s="13" t="s">
        <v>139</v>
      </c>
      <c r="E223" s="181"/>
      <c r="F223" s="181">
        <f>3.2</f>
        <v>3.2</v>
      </c>
      <c r="G223" s="182">
        <f>E220*F223</f>
        <v>17.44</v>
      </c>
    </row>
    <row r="224" spans="1:7" ht="15">
      <c r="A224" s="12" t="s">
        <v>0</v>
      </c>
      <c r="B224" s="13" t="s">
        <v>0</v>
      </c>
      <c r="C224" s="13" t="s">
        <v>40</v>
      </c>
      <c r="D224" s="13" t="s">
        <v>8</v>
      </c>
      <c r="E224" s="181"/>
      <c r="F224" s="181">
        <f>0.064</f>
        <v>0.064</v>
      </c>
      <c r="G224" s="182">
        <f>E220*F224</f>
        <v>0.3488</v>
      </c>
    </row>
    <row r="225" spans="1:7" ht="15">
      <c r="A225" s="12" t="s">
        <v>0</v>
      </c>
      <c r="B225" s="13" t="s">
        <v>0</v>
      </c>
      <c r="C225" s="13" t="s">
        <v>0</v>
      </c>
      <c r="D225" s="13" t="s">
        <v>0</v>
      </c>
      <c r="E225" s="181"/>
      <c r="F225" s="181"/>
      <c r="G225" s="182"/>
    </row>
    <row r="226" spans="1:7" ht="15">
      <c r="A226" s="12" t="s">
        <v>153</v>
      </c>
      <c r="B226" s="13" t="s">
        <v>154</v>
      </c>
      <c r="C226" s="13" t="s">
        <v>155</v>
      </c>
      <c r="D226" s="13" t="s">
        <v>12</v>
      </c>
      <c r="E226" s="181">
        <f>'Du toan chi tiet'!E64</f>
        <v>54.88</v>
      </c>
      <c r="F226" s="181"/>
      <c r="G226" s="182"/>
    </row>
    <row r="227" spans="1:7" ht="15">
      <c r="A227" s="12" t="s">
        <v>0</v>
      </c>
      <c r="B227" s="13" t="s">
        <v>0</v>
      </c>
      <c r="C227" s="13" t="s">
        <v>156</v>
      </c>
      <c r="D227" s="13" t="s">
        <v>0</v>
      </c>
      <c r="E227" s="181"/>
      <c r="F227" s="181"/>
      <c r="G227" s="182"/>
    </row>
    <row r="228" spans="1:7" ht="15">
      <c r="A228" s="12" t="s">
        <v>0</v>
      </c>
      <c r="B228" s="13" t="s">
        <v>0</v>
      </c>
      <c r="C228" s="13" t="s">
        <v>157</v>
      </c>
      <c r="D228" s="13" t="s">
        <v>145</v>
      </c>
      <c r="E228" s="181"/>
      <c r="F228" s="181">
        <f>1.01</f>
        <v>1.01</v>
      </c>
      <c r="G228" s="182">
        <f>E226*F228</f>
        <v>55.4288</v>
      </c>
    </row>
    <row r="229" spans="1:7" ht="15">
      <c r="A229" s="12" t="s">
        <v>0</v>
      </c>
      <c r="B229" s="13" t="s">
        <v>0</v>
      </c>
      <c r="C229" s="13" t="s">
        <v>52</v>
      </c>
      <c r="D229" s="13" t="s">
        <v>15</v>
      </c>
      <c r="E229" s="181"/>
      <c r="F229" s="181">
        <f>0.025*264</f>
        <v>6.6000000000000005</v>
      </c>
      <c r="G229" s="182">
        <f>E226*F229</f>
        <v>362.208</v>
      </c>
    </row>
    <row r="230" spans="1:7" ht="15">
      <c r="A230" s="12" t="s">
        <v>0</v>
      </c>
      <c r="B230" s="13" t="s">
        <v>0</v>
      </c>
      <c r="C230" s="13" t="s">
        <v>158</v>
      </c>
      <c r="D230" s="13" t="s">
        <v>27</v>
      </c>
      <c r="E230" s="181"/>
      <c r="F230" s="181">
        <f>0.025*1.19</f>
        <v>0.02975</v>
      </c>
      <c r="G230" s="182">
        <f>E226*F230</f>
        <v>1.63268</v>
      </c>
    </row>
    <row r="231" spans="1:7" ht="15">
      <c r="A231" s="12" t="s">
        <v>0</v>
      </c>
      <c r="B231" s="13" t="s">
        <v>0</v>
      </c>
      <c r="C231" s="13" t="s">
        <v>29</v>
      </c>
      <c r="D231" s="13" t="s">
        <v>27</v>
      </c>
      <c r="E231" s="181"/>
      <c r="F231" s="181">
        <f>0.025*0.275</f>
        <v>0.006875000000000001</v>
      </c>
      <c r="G231" s="182">
        <f>E226*F231</f>
        <v>0.3773000000000001</v>
      </c>
    </row>
    <row r="232" spans="1:7" ht="15">
      <c r="A232" s="12" t="s">
        <v>0</v>
      </c>
      <c r="B232" s="13" t="s">
        <v>0</v>
      </c>
      <c r="C232" s="13" t="s">
        <v>25</v>
      </c>
      <c r="D232" s="13" t="s">
        <v>15</v>
      </c>
      <c r="E232" s="181"/>
      <c r="F232" s="181">
        <f>0.65</f>
        <v>0.65</v>
      </c>
      <c r="G232" s="182">
        <f>E226*F232</f>
        <v>35.672000000000004</v>
      </c>
    </row>
    <row r="233" spans="1:7" ht="15">
      <c r="A233" s="12" t="s">
        <v>0</v>
      </c>
      <c r="B233" s="13" t="s">
        <v>0</v>
      </c>
      <c r="C233" s="13" t="s">
        <v>159</v>
      </c>
      <c r="D233" s="13" t="s">
        <v>15</v>
      </c>
      <c r="E233" s="181"/>
      <c r="F233" s="181">
        <f>0.1</f>
        <v>0.1</v>
      </c>
      <c r="G233" s="182">
        <f>E226*F233</f>
        <v>5.488</v>
      </c>
    </row>
    <row r="234" spans="1:7" ht="15">
      <c r="A234" s="12" t="s">
        <v>0</v>
      </c>
      <c r="B234" s="13" t="s">
        <v>0</v>
      </c>
      <c r="C234" s="13" t="s">
        <v>18</v>
      </c>
      <c r="D234" s="13" t="s">
        <v>8</v>
      </c>
      <c r="E234" s="181"/>
      <c r="F234" s="181">
        <f>0.14</f>
        <v>0.14</v>
      </c>
      <c r="G234" s="182">
        <f>E226*F234</f>
        <v>7.683200000000001</v>
      </c>
    </row>
    <row r="235" spans="1:7" ht="15">
      <c r="A235" s="12" t="s">
        <v>0</v>
      </c>
      <c r="B235" s="13" t="s">
        <v>0</v>
      </c>
      <c r="C235" s="13" t="s">
        <v>160</v>
      </c>
      <c r="D235" s="13" t="s">
        <v>20</v>
      </c>
      <c r="E235" s="181"/>
      <c r="F235" s="181">
        <f>0.04</f>
        <v>0.04</v>
      </c>
      <c r="G235" s="182">
        <f>E226*F235</f>
        <v>2.1952000000000003</v>
      </c>
    </row>
    <row r="236" spans="1:7" ht="15">
      <c r="A236" s="12" t="s">
        <v>0</v>
      </c>
      <c r="B236" s="13" t="s">
        <v>0</v>
      </c>
      <c r="C236" s="13" t="s">
        <v>0</v>
      </c>
      <c r="D236" s="13" t="s">
        <v>0</v>
      </c>
      <c r="E236" s="181"/>
      <c r="F236" s="181"/>
      <c r="G236" s="182"/>
    </row>
    <row r="237" spans="1:7" ht="15">
      <c r="A237" s="12" t="s">
        <v>161</v>
      </c>
      <c r="B237" s="13" t="s">
        <v>162</v>
      </c>
      <c r="C237" s="13" t="s">
        <v>163</v>
      </c>
      <c r="D237" s="13" t="s">
        <v>12</v>
      </c>
      <c r="E237" s="181">
        <f>'Du toan chi tiet'!E66</f>
        <v>4.236</v>
      </c>
      <c r="F237" s="181"/>
      <c r="G237" s="182"/>
    </row>
    <row r="238" spans="1:7" ht="15">
      <c r="A238" s="12" t="s">
        <v>0</v>
      </c>
      <c r="B238" s="13" t="s">
        <v>0</v>
      </c>
      <c r="C238" s="13" t="s">
        <v>164</v>
      </c>
      <c r="D238" s="13" t="s">
        <v>0</v>
      </c>
      <c r="E238" s="181"/>
      <c r="F238" s="181"/>
      <c r="G238" s="182"/>
    </row>
    <row r="239" spans="1:7" ht="15">
      <c r="A239" s="12" t="s">
        <v>0</v>
      </c>
      <c r="B239" s="13" t="s">
        <v>0</v>
      </c>
      <c r="C239" s="13" t="s">
        <v>165</v>
      </c>
      <c r="D239" s="13" t="s">
        <v>145</v>
      </c>
      <c r="E239" s="181"/>
      <c r="F239" s="181">
        <f>1.01</f>
        <v>1.01</v>
      </c>
      <c r="G239" s="182">
        <f>E237*F239</f>
        <v>4.27836</v>
      </c>
    </row>
    <row r="240" spans="1:7" ht="15">
      <c r="A240" s="12" t="s">
        <v>0</v>
      </c>
      <c r="B240" s="13" t="s">
        <v>0</v>
      </c>
      <c r="C240" s="13" t="s">
        <v>52</v>
      </c>
      <c r="D240" s="13" t="s">
        <v>15</v>
      </c>
      <c r="E240" s="181"/>
      <c r="F240" s="181">
        <f>0.013*264</f>
        <v>3.432</v>
      </c>
      <c r="G240" s="182">
        <f>E237*F240</f>
        <v>14.537951999999999</v>
      </c>
    </row>
    <row r="241" spans="1:7" ht="15">
      <c r="A241" s="12" t="s">
        <v>0</v>
      </c>
      <c r="B241" s="13" t="s">
        <v>0</v>
      </c>
      <c r="C241" s="13" t="s">
        <v>158</v>
      </c>
      <c r="D241" s="13" t="s">
        <v>27</v>
      </c>
      <c r="E241" s="181"/>
      <c r="F241" s="181">
        <f>0.013*1.19</f>
        <v>0.01547</v>
      </c>
      <c r="G241" s="182">
        <f>E237*F241</f>
        <v>0.06553091999999999</v>
      </c>
    </row>
    <row r="242" spans="1:7" ht="15">
      <c r="A242" s="12" t="s">
        <v>0</v>
      </c>
      <c r="B242" s="13" t="s">
        <v>0</v>
      </c>
      <c r="C242" s="13" t="s">
        <v>29</v>
      </c>
      <c r="D242" s="13" t="s">
        <v>27</v>
      </c>
      <c r="E242" s="181"/>
      <c r="F242" s="181">
        <f>0.013*0.275</f>
        <v>0.003575</v>
      </c>
      <c r="G242" s="182">
        <f>E237*F242</f>
        <v>0.0151437</v>
      </c>
    </row>
    <row r="243" spans="1:7" ht="15">
      <c r="A243" s="12" t="s">
        <v>0</v>
      </c>
      <c r="B243" s="13" t="s">
        <v>0</v>
      </c>
      <c r="C243" s="13" t="s">
        <v>25</v>
      </c>
      <c r="D243" s="13" t="s">
        <v>15</v>
      </c>
      <c r="E243" s="181"/>
      <c r="F243" s="181">
        <f>0.75</f>
        <v>0.75</v>
      </c>
      <c r="G243" s="182">
        <f>E237*F243</f>
        <v>3.1769999999999996</v>
      </c>
    </row>
    <row r="244" spans="1:7" ht="15">
      <c r="A244" s="12" t="s">
        <v>0</v>
      </c>
      <c r="B244" s="13" t="s">
        <v>0</v>
      </c>
      <c r="C244" s="13" t="s">
        <v>159</v>
      </c>
      <c r="D244" s="13" t="s">
        <v>15</v>
      </c>
      <c r="E244" s="181"/>
      <c r="F244" s="181">
        <f>0.15</f>
        <v>0.15</v>
      </c>
      <c r="G244" s="182">
        <f>E237*F244</f>
        <v>0.6354</v>
      </c>
    </row>
    <row r="245" spans="1:7" ht="15">
      <c r="A245" s="12" t="s">
        <v>0</v>
      </c>
      <c r="B245" s="13" t="s">
        <v>0</v>
      </c>
      <c r="C245" s="13" t="s">
        <v>18</v>
      </c>
      <c r="D245" s="13" t="s">
        <v>8</v>
      </c>
      <c r="E245" s="181"/>
      <c r="F245" s="181">
        <f>0.39</f>
        <v>0.39</v>
      </c>
      <c r="G245" s="182">
        <f>E237*F245</f>
        <v>1.65204</v>
      </c>
    </row>
    <row r="246" spans="1:7" ht="15">
      <c r="A246" s="12" t="s">
        <v>0</v>
      </c>
      <c r="B246" s="13" t="s">
        <v>0</v>
      </c>
      <c r="C246" s="13" t="s">
        <v>160</v>
      </c>
      <c r="D246" s="13" t="s">
        <v>20</v>
      </c>
      <c r="E246" s="181"/>
      <c r="F246" s="181">
        <f>0.2</f>
        <v>0.2</v>
      </c>
      <c r="G246" s="182">
        <f>E237*F246</f>
        <v>0.8472</v>
      </c>
    </row>
    <row r="247" spans="1:7" ht="15">
      <c r="A247" s="12" t="s">
        <v>0</v>
      </c>
      <c r="B247" s="13" t="s">
        <v>0</v>
      </c>
      <c r="C247" s="13" t="s">
        <v>0</v>
      </c>
      <c r="D247" s="13" t="s">
        <v>0</v>
      </c>
      <c r="E247" s="181"/>
      <c r="F247" s="181"/>
      <c r="G247" s="182"/>
    </row>
    <row r="248" spans="1:7" ht="15">
      <c r="A248" s="12" t="s">
        <v>166</v>
      </c>
      <c r="B248" s="13" t="s">
        <v>167</v>
      </c>
      <c r="C248" s="13" t="s">
        <v>168</v>
      </c>
      <c r="D248" s="13" t="s">
        <v>169</v>
      </c>
      <c r="E248" s="181">
        <f>'Du toan chi tiet'!E68</f>
        <v>105.84</v>
      </c>
      <c r="F248" s="181"/>
      <c r="G248" s="182"/>
    </row>
    <row r="249" spans="1:7" ht="15">
      <c r="A249" s="12" t="s">
        <v>0</v>
      </c>
      <c r="B249" s="13" t="s">
        <v>0</v>
      </c>
      <c r="C249" s="13" t="s">
        <v>170</v>
      </c>
      <c r="D249" s="13" t="s">
        <v>0</v>
      </c>
      <c r="E249" s="181"/>
      <c r="F249" s="181"/>
      <c r="G249" s="182"/>
    </row>
    <row r="250" spans="1:7" ht="15">
      <c r="A250" s="12" t="s">
        <v>0</v>
      </c>
      <c r="B250" s="13" t="s">
        <v>0</v>
      </c>
      <c r="C250" s="13" t="s">
        <v>70</v>
      </c>
      <c r="D250" s="13" t="s">
        <v>27</v>
      </c>
      <c r="E250" s="181"/>
      <c r="F250" s="181">
        <f>0.00035</f>
        <v>0.00035</v>
      </c>
      <c r="G250" s="182">
        <f>E248*F250</f>
        <v>0.037044</v>
      </c>
    </row>
    <row r="251" spans="1:7" ht="15">
      <c r="A251" s="12" t="s">
        <v>0</v>
      </c>
      <c r="B251" s="13" t="s">
        <v>0</v>
      </c>
      <c r="C251" s="13" t="s">
        <v>171</v>
      </c>
      <c r="D251" s="13" t="s">
        <v>15</v>
      </c>
      <c r="E251" s="181"/>
      <c r="F251" s="181">
        <f>0.095</f>
        <v>0.095</v>
      </c>
      <c r="G251" s="182">
        <f>E248*F251</f>
        <v>10.0548</v>
      </c>
    </row>
    <row r="252" spans="1:7" ht="15">
      <c r="A252" s="12" t="s">
        <v>0</v>
      </c>
      <c r="B252" s="13" t="s">
        <v>0</v>
      </c>
      <c r="C252" s="13" t="s">
        <v>172</v>
      </c>
      <c r="D252" s="13" t="s">
        <v>15</v>
      </c>
      <c r="E252" s="181"/>
      <c r="F252" s="181">
        <f>0.015</f>
        <v>0.015</v>
      </c>
      <c r="G252" s="182">
        <f>E248*F252</f>
        <v>1.5876</v>
      </c>
    </row>
    <row r="253" spans="1:7" ht="15">
      <c r="A253" s="12" t="s">
        <v>0</v>
      </c>
      <c r="B253" s="13" t="s">
        <v>0</v>
      </c>
      <c r="C253" s="13" t="s">
        <v>16</v>
      </c>
      <c r="D253" s="13" t="s">
        <v>15</v>
      </c>
      <c r="E253" s="181"/>
      <c r="F253" s="181">
        <f>0.03</f>
        <v>0.03</v>
      </c>
      <c r="G253" s="182">
        <f>E248*F253</f>
        <v>3.1752</v>
      </c>
    </row>
    <row r="254" spans="1:7" ht="15">
      <c r="A254" s="12" t="s">
        <v>0</v>
      </c>
      <c r="B254" s="13" t="s">
        <v>0</v>
      </c>
      <c r="C254" s="13" t="s">
        <v>40</v>
      </c>
      <c r="D254" s="13" t="s">
        <v>8</v>
      </c>
      <c r="E254" s="181"/>
      <c r="F254" s="181">
        <f>0.055</f>
        <v>0.055</v>
      </c>
      <c r="G254" s="182">
        <f>E248*F254</f>
        <v>5.8212</v>
      </c>
    </row>
    <row r="255" spans="1:7" ht="15">
      <c r="A255" s="12" t="s">
        <v>0</v>
      </c>
      <c r="B255" s="13" t="s">
        <v>0</v>
      </c>
      <c r="C255" s="13" t="s">
        <v>0</v>
      </c>
      <c r="D255" s="13" t="s">
        <v>0</v>
      </c>
      <c r="E255" s="181"/>
      <c r="F255" s="181"/>
      <c r="G255" s="182"/>
    </row>
    <row r="256" spans="1:7" ht="15">
      <c r="A256" s="12" t="s">
        <v>173</v>
      </c>
      <c r="B256" s="13" t="s">
        <v>174</v>
      </c>
      <c r="C256" s="13" t="s">
        <v>175</v>
      </c>
      <c r="D256" s="13" t="s">
        <v>131</v>
      </c>
      <c r="E256" s="181">
        <f>'Du toan chi tiet'!E70</f>
        <v>207.62</v>
      </c>
      <c r="F256" s="181"/>
      <c r="G256" s="182"/>
    </row>
    <row r="257" spans="1:7" ht="15">
      <c r="A257" s="12" t="s">
        <v>0</v>
      </c>
      <c r="B257" s="13" t="s">
        <v>0</v>
      </c>
      <c r="C257" s="13" t="s">
        <v>176</v>
      </c>
      <c r="D257" s="13" t="s">
        <v>0</v>
      </c>
      <c r="E257" s="181"/>
      <c r="F257" s="181"/>
      <c r="G257" s="182"/>
    </row>
    <row r="258" spans="1:7" ht="15">
      <c r="A258" s="12" t="s">
        <v>0</v>
      </c>
      <c r="B258" s="13" t="s">
        <v>0</v>
      </c>
      <c r="C258" s="13" t="s">
        <v>177</v>
      </c>
      <c r="D258" s="13" t="s">
        <v>178</v>
      </c>
      <c r="E258" s="181"/>
      <c r="F258" s="181">
        <f>0.15</f>
        <v>0.15</v>
      </c>
      <c r="G258" s="182">
        <f>E256*F258</f>
        <v>31.143</v>
      </c>
    </row>
    <row r="259" spans="1:7" ht="15">
      <c r="A259" s="12" t="s">
        <v>0</v>
      </c>
      <c r="B259" s="13" t="s">
        <v>0</v>
      </c>
      <c r="C259" s="13" t="s">
        <v>179</v>
      </c>
      <c r="D259" s="13" t="s">
        <v>178</v>
      </c>
      <c r="E259" s="181"/>
      <c r="F259" s="181">
        <f>0.237</f>
        <v>0.237</v>
      </c>
      <c r="G259" s="182">
        <f>E256*F259</f>
        <v>49.20594</v>
      </c>
    </row>
    <row r="260" spans="1:7" ht="15">
      <c r="A260" s="12" t="s">
        <v>0</v>
      </c>
      <c r="B260" s="13" t="s">
        <v>0</v>
      </c>
      <c r="C260" s="13" t="s">
        <v>40</v>
      </c>
      <c r="D260" s="13" t="s">
        <v>8</v>
      </c>
      <c r="E260" s="181"/>
      <c r="F260" s="181">
        <f>0.073</f>
        <v>0.073</v>
      </c>
      <c r="G260" s="182">
        <f>E256*F260</f>
        <v>15.15626</v>
      </c>
    </row>
    <row r="261" spans="1:7" ht="15">
      <c r="A261" s="12" t="s">
        <v>0</v>
      </c>
      <c r="B261" s="13" t="s">
        <v>0</v>
      </c>
      <c r="C261" s="13" t="s">
        <v>0</v>
      </c>
      <c r="D261" s="13" t="s">
        <v>0</v>
      </c>
      <c r="E261" s="181"/>
      <c r="F261" s="181"/>
      <c r="G261" s="182"/>
    </row>
    <row r="262" spans="1:7" ht="15">
      <c r="A262" s="12" t="s">
        <v>180</v>
      </c>
      <c r="B262" s="13" t="s">
        <v>181</v>
      </c>
      <c r="C262" s="13" t="s">
        <v>182</v>
      </c>
      <c r="D262" s="13" t="s">
        <v>12</v>
      </c>
      <c r="E262" s="181">
        <f>'Du toan chi tiet'!E72</f>
        <v>98.04</v>
      </c>
      <c r="F262" s="181"/>
      <c r="G262" s="182"/>
    </row>
    <row r="263" spans="1:7" ht="15">
      <c r="A263" s="12" t="s">
        <v>0</v>
      </c>
      <c r="B263" s="13" t="s">
        <v>0</v>
      </c>
      <c r="C263" s="13" t="s">
        <v>183</v>
      </c>
      <c r="D263" s="13" t="s">
        <v>0</v>
      </c>
      <c r="E263" s="181"/>
      <c r="F263" s="181"/>
      <c r="G263" s="182"/>
    </row>
    <row r="264" spans="1:7" ht="15">
      <c r="A264" s="12" t="s">
        <v>0</v>
      </c>
      <c r="B264" s="13" t="s">
        <v>0</v>
      </c>
      <c r="C264" s="13" t="s">
        <v>52</v>
      </c>
      <c r="D264" s="13" t="s">
        <v>15</v>
      </c>
      <c r="E264" s="181"/>
      <c r="F264" s="181">
        <f>0.017*264</f>
        <v>4.488</v>
      </c>
      <c r="G264" s="182">
        <f>E262*F264</f>
        <v>440.0035200000001</v>
      </c>
    </row>
    <row r="265" spans="1:7" ht="15">
      <c r="A265" s="12" t="s">
        <v>0</v>
      </c>
      <c r="B265" s="13" t="s">
        <v>0</v>
      </c>
      <c r="C265" s="13" t="s">
        <v>158</v>
      </c>
      <c r="D265" s="13" t="s">
        <v>27</v>
      </c>
      <c r="E265" s="181"/>
      <c r="F265" s="181">
        <f>0.017*1.19</f>
        <v>0.02023</v>
      </c>
      <c r="G265" s="182">
        <f>E262*F265</f>
        <v>1.9833492000000004</v>
      </c>
    </row>
    <row r="266" spans="1:7" ht="15">
      <c r="A266" s="12" t="s">
        <v>0</v>
      </c>
      <c r="B266" s="13" t="s">
        <v>0</v>
      </c>
      <c r="C266" s="13" t="s">
        <v>29</v>
      </c>
      <c r="D266" s="13" t="s">
        <v>27</v>
      </c>
      <c r="E266" s="181"/>
      <c r="F266" s="181">
        <f>0.017*0.275</f>
        <v>0.004675</v>
      </c>
      <c r="G266" s="182">
        <f>E262*F266</f>
        <v>0.45833700000000005</v>
      </c>
    </row>
    <row r="267" spans="1:7" ht="15">
      <c r="A267" s="12" t="s">
        <v>0</v>
      </c>
      <c r="B267" s="13" t="s">
        <v>0</v>
      </c>
      <c r="C267" s="13" t="s">
        <v>40</v>
      </c>
      <c r="D267" s="13" t="s">
        <v>8</v>
      </c>
      <c r="E267" s="181"/>
      <c r="F267" s="181">
        <f>0.3</f>
        <v>0.3</v>
      </c>
      <c r="G267" s="182">
        <f>E262*F267</f>
        <v>29.412</v>
      </c>
    </row>
    <row r="268" spans="1:7" ht="15">
      <c r="A268" s="12" t="s">
        <v>0</v>
      </c>
      <c r="B268" s="13" t="s">
        <v>0</v>
      </c>
      <c r="C268" s="13" t="s">
        <v>0</v>
      </c>
      <c r="D268" s="13" t="s">
        <v>0</v>
      </c>
      <c r="E268" s="181"/>
      <c r="F268" s="181"/>
      <c r="G268" s="182"/>
    </row>
    <row r="269" spans="1:7" ht="15">
      <c r="A269" s="12" t="s">
        <v>184</v>
      </c>
      <c r="B269" s="13" t="s">
        <v>185</v>
      </c>
      <c r="C269" s="13" t="s">
        <v>186</v>
      </c>
      <c r="D269" s="13" t="s">
        <v>12</v>
      </c>
      <c r="E269" s="181">
        <f>'Du toan chi tiet'!E74</f>
        <v>109.58</v>
      </c>
      <c r="F269" s="181"/>
      <c r="G269" s="182"/>
    </row>
    <row r="270" spans="1:7" ht="15">
      <c r="A270" s="12" t="s">
        <v>0</v>
      </c>
      <c r="B270" s="13" t="s">
        <v>0</v>
      </c>
      <c r="C270" s="13" t="s">
        <v>183</v>
      </c>
      <c r="D270" s="13" t="s">
        <v>0</v>
      </c>
      <c r="E270" s="181"/>
      <c r="F270" s="181"/>
      <c r="G270" s="182"/>
    </row>
    <row r="271" spans="1:7" ht="15">
      <c r="A271" s="12" t="s">
        <v>0</v>
      </c>
      <c r="B271" s="13" t="s">
        <v>0</v>
      </c>
      <c r="C271" s="13" t="s">
        <v>52</v>
      </c>
      <c r="D271" s="13" t="s">
        <v>15</v>
      </c>
      <c r="E271" s="181"/>
      <c r="F271" s="181">
        <f>0.017*264</f>
        <v>4.488</v>
      </c>
      <c r="G271" s="182">
        <f>E269*F271</f>
        <v>491.79504000000003</v>
      </c>
    </row>
    <row r="272" spans="1:7" ht="15">
      <c r="A272" s="12" t="s">
        <v>0</v>
      </c>
      <c r="B272" s="13" t="s">
        <v>0</v>
      </c>
      <c r="C272" s="13" t="s">
        <v>158</v>
      </c>
      <c r="D272" s="13" t="s">
        <v>27</v>
      </c>
      <c r="E272" s="181"/>
      <c r="F272" s="181">
        <f>0.017*1.19</f>
        <v>0.02023</v>
      </c>
      <c r="G272" s="182">
        <f>E269*F272</f>
        <v>2.2168034000000003</v>
      </c>
    </row>
    <row r="273" spans="1:7" ht="15">
      <c r="A273" s="12" t="s">
        <v>0</v>
      </c>
      <c r="B273" s="13" t="s">
        <v>0</v>
      </c>
      <c r="C273" s="13" t="s">
        <v>29</v>
      </c>
      <c r="D273" s="13" t="s">
        <v>27</v>
      </c>
      <c r="E273" s="181"/>
      <c r="F273" s="181">
        <f>0.017*0.275</f>
        <v>0.004675</v>
      </c>
      <c r="G273" s="182">
        <f>E269*F273</f>
        <v>0.5122865</v>
      </c>
    </row>
    <row r="274" spans="1:7" ht="15">
      <c r="A274" s="12" t="s">
        <v>0</v>
      </c>
      <c r="B274" s="13" t="s">
        <v>0</v>
      </c>
      <c r="C274" s="13" t="s">
        <v>40</v>
      </c>
      <c r="D274" s="13" t="s">
        <v>8</v>
      </c>
      <c r="E274" s="181"/>
      <c r="F274" s="181">
        <f>0.23</f>
        <v>0.23</v>
      </c>
      <c r="G274" s="182">
        <f>E269*F274</f>
        <v>25.203400000000002</v>
      </c>
    </row>
    <row r="275" spans="1:7" ht="15">
      <c r="A275" s="12" t="s">
        <v>0</v>
      </c>
      <c r="B275" s="13" t="s">
        <v>0</v>
      </c>
      <c r="C275" s="13" t="s">
        <v>0</v>
      </c>
      <c r="D275" s="13" t="s">
        <v>0</v>
      </c>
      <c r="E275" s="181"/>
      <c r="F275" s="181"/>
      <c r="G275" s="182"/>
    </row>
    <row r="276" spans="1:7" ht="15">
      <c r="A276" s="12" t="s">
        <v>187</v>
      </c>
      <c r="B276" s="13" t="s">
        <v>188</v>
      </c>
      <c r="C276" s="13" t="s">
        <v>189</v>
      </c>
      <c r="D276" s="13" t="s">
        <v>12</v>
      </c>
      <c r="E276" s="181">
        <f>'Du toan chi tiet'!E76</f>
        <v>7.8</v>
      </c>
      <c r="F276" s="181"/>
      <c r="G276" s="182"/>
    </row>
    <row r="277" spans="1:7" ht="15">
      <c r="A277" s="12" t="s">
        <v>0</v>
      </c>
      <c r="B277" s="13" t="s">
        <v>0</v>
      </c>
      <c r="C277" s="13" t="s">
        <v>190</v>
      </c>
      <c r="D277" s="13" t="s">
        <v>0</v>
      </c>
      <c r="E277" s="181"/>
      <c r="F277" s="181"/>
      <c r="G277" s="182"/>
    </row>
    <row r="278" spans="1:7" ht="15">
      <c r="A278" s="12" t="s">
        <v>0</v>
      </c>
      <c r="B278" s="13" t="s">
        <v>0</v>
      </c>
      <c r="C278" s="13" t="s">
        <v>191</v>
      </c>
      <c r="D278" s="13" t="s">
        <v>12</v>
      </c>
      <c r="E278" s="181"/>
      <c r="F278" s="181">
        <f>1</f>
        <v>1</v>
      </c>
      <c r="G278" s="182">
        <f>E276*F278</f>
        <v>7.8</v>
      </c>
    </row>
    <row r="279" spans="1:7" ht="15">
      <c r="A279" s="12" t="s">
        <v>0</v>
      </c>
      <c r="B279" s="13" t="s">
        <v>0</v>
      </c>
      <c r="C279" s="13" t="s">
        <v>0</v>
      </c>
      <c r="D279" s="13" t="s">
        <v>0</v>
      </c>
      <c r="E279" s="181"/>
      <c r="F279" s="181"/>
      <c r="G279" s="182"/>
    </row>
    <row r="280" spans="1:7" ht="15">
      <c r="A280" s="12" t="s">
        <v>192</v>
      </c>
      <c r="B280" s="13" t="s">
        <v>193</v>
      </c>
      <c r="C280" s="13" t="s">
        <v>194</v>
      </c>
      <c r="D280" s="13" t="s">
        <v>195</v>
      </c>
      <c r="E280" s="181">
        <f>'Du toan chi tiet'!E78</f>
        <v>2</v>
      </c>
      <c r="F280" s="181"/>
      <c r="G280" s="182"/>
    </row>
    <row r="281" spans="1:7" ht="15">
      <c r="A281" s="12" t="s">
        <v>0</v>
      </c>
      <c r="B281" s="13" t="s">
        <v>0</v>
      </c>
      <c r="C281" s="13" t="s">
        <v>196</v>
      </c>
      <c r="D281" s="13" t="s">
        <v>195</v>
      </c>
      <c r="E281" s="181"/>
      <c r="F281" s="181">
        <f>1</f>
        <v>1</v>
      </c>
      <c r="G281" s="182">
        <f>E280*F281</f>
        <v>2</v>
      </c>
    </row>
    <row r="282" spans="1:7" ht="15">
      <c r="A282" s="12" t="s">
        <v>0</v>
      </c>
      <c r="B282" s="13" t="s">
        <v>0</v>
      </c>
      <c r="C282" s="13" t="s">
        <v>0</v>
      </c>
      <c r="D282" s="13" t="s">
        <v>0</v>
      </c>
      <c r="E282" s="181"/>
      <c r="F282" s="181"/>
      <c r="G282" s="182"/>
    </row>
    <row r="283" spans="1:7" ht="15">
      <c r="A283" s="12" t="s">
        <v>197</v>
      </c>
      <c r="B283" s="13" t="s">
        <v>198</v>
      </c>
      <c r="C283" s="13" t="s">
        <v>199</v>
      </c>
      <c r="D283" s="13" t="s">
        <v>12</v>
      </c>
      <c r="E283" s="181">
        <f>'Du toan chi tiet'!E80</f>
        <v>2.64</v>
      </c>
      <c r="F283" s="181"/>
      <c r="G283" s="182"/>
    </row>
    <row r="284" spans="1:7" ht="15">
      <c r="A284" s="12" t="s">
        <v>0</v>
      </c>
      <c r="B284" s="13" t="s">
        <v>0</v>
      </c>
      <c r="C284" s="13" t="s">
        <v>190</v>
      </c>
      <c r="D284" s="13" t="s">
        <v>0</v>
      </c>
      <c r="E284" s="181"/>
      <c r="F284" s="181"/>
      <c r="G284" s="182"/>
    </row>
    <row r="285" spans="1:7" ht="15">
      <c r="A285" s="12" t="s">
        <v>0</v>
      </c>
      <c r="B285" s="13" t="s">
        <v>0</v>
      </c>
      <c r="C285" s="13" t="s">
        <v>200</v>
      </c>
      <c r="D285" s="13" t="s">
        <v>12</v>
      </c>
      <c r="E285" s="181"/>
      <c r="F285" s="181">
        <f>1</f>
        <v>1</v>
      </c>
      <c r="G285" s="182">
        <f>E283*F285</f>
        <v>2.64</v>
      </c>
    </row>
    <row r="286" spans="1:7" ht="15">
      <c r="A286" s="12" t="s">
        <v>0</v>
      </c>
      <c r="B286" s="13" t="s">
        <v>0</v>
      </c>
      <c r="C286" s="13" t="s">
        <v>0</v>
      </c>
      <c r="D286" s="13" t="s">
        <v>0</v>
      </c>
      <c r="E286" s="181"/>
      <c r="F286" s="181"/>
      <c r="G286" s="182"/>
    </row>
    <row r="287" spans="1:7" ht="15">
      <c r="A287" s="12" t="s">
        <v>201</v>
      </c>
      <c r="B287" s="13" t="s">
        <v>202</v>
      </c>
      <c r="C287" s="13" t="s">
        <v>203</v>
      </c>
      <c r="D287" s="13" t="s">
        <v>195</v>
      </c>
      <c r="E287" s="181">
        <f>'Du toan chi tiet'!E82</f>
        <v>1</v>
      </c>
      <c r="F287" s="181"/>
      <c r="G287" s="182"/>
    </row>
    <row r="288" spans="1:7" ht="15">
      <c r="A288" s="12" t="s">
        <v>0</v>
      </c>
      <c r="B288" s="13" t="s">
        <v>0</v>
      </c>
      <c r="C288" s="13" t="s">
        <v>204</v>
      </c>
      <c r="D288" s="13" t="s">
        <v>195</v>
      </c>
      <c r="E288" s="181"/>
      <c r="F288" s="181">
        <f>1</f>
        <v>1</v>
      </c>
      <c r="G288" s="182">
        <f>E287*F288</f>
        <v>1</v>
      </c>
    </row>
    <row r="289" spans="1:7" ht="15">
      <c r="A289" s="12" t="s">
        <v>0</v>
      </c>
      <c r="B289" s="13" t="s">
        <v>0</v>
      </c>
      <c r="C289" s="13" t="s">
        <v>0</v>
      </c>
      <c r="D289" s="13" t="s">
        <v>0</v>
      </c>
      <c r="E289" s="181"/>
      <c r="F289" s="181"/>
      <c r="G289" s="182"/>
    </row>
    <row r="290" spans="1:7" ht="15">
      <c r="A290" s="12" t="s">
        <v>205</v>
      </c>
      <c r="B290" s="13" t="s">
        <v>206</v>
      </c>
      <c r="C290" s="13" t="s">
        <v>207</v>
      </c>
      <c r="D290" s="13" t="s">
        <v>208</v>
      </c>
      <c r="E290" s="181">
        <f>'Du toan chi tiet'!E85</f>
        <v>6</v>
      </c>
      <c r="F290" s="181"/>
      <c r="G290" s="182"/>
    </row>
    <row r="291" spans="1:7" ht="15">
      <c r="A291" s="12" t="s">
        <v>0</v>
      </c>
      <c r="B291" s="13" t="s">
        <v>0</v>
      </c>
      <c r="C291" s="13" t="s">
        <v>209</v>
      </c>
      <c r="D291" s="13" t="s">
        <v>0</v>
      </c>
      <c r="E291" s="181"/>
      <c r="F291" s="181"/>
      <c r="G291" s="182"/>
    </row>
    <row r="292" spans="1:7" ht="15">
      <c r="A292" s="12" t="s">
        <v>0</v>
      </c>
      <c r="B292" s="13" t="s">
        <v>0</v>
      </c>
      <c r="C292" s="13" t="s">
        <v>210</v>
      </c>
      <c r="D292" s="13" t="s">
        <v>195</v>
      </c>
      <c r="E292" s="181"/>
      <c r="F292" s="181">
        <f>1</f>
        <v>1</v>
      </c>
      <c r="G292" s="182">
        <f>E290*F292</f>
        <v>6</v>
      </c>
    </row>
    <row r="293" spans="1:7" ht="15">
      <c r="A293" s="12" t="s">
        <v>0</v>
      </c>
      <c r="B293" s="13" t="s">
        <v>0</v>
      </c>
      <c r="C293" s="13" t="s">
        <v>40</v>
      </c>
      <c r="D293" s="13" t="s">
        <v>8</v>
      </c>
      <c r="E293" s="181"/>
      <c r="F293" s="181">
        <f>0.19</f>
        <v>0.19</v>
      </c>
      <c r="G293" s="182">
        <f>E290*F293</f>
        <v>1.1400000000000001</v>
      </c>
    </row>
    <row r="294" spans="1:7" ht="15">
      <c r="A294" s="12" t="s">
        <v>0</v>
      </c>
      <c r="B294" s="13" t="s">
        <v>0</v>
      </c>
      <c r="C294" s="13" t="s">
        <v>0</v>
      </c>
      <c r="D294" s="13" t="s">
        <v>0</v>
      </c>
      <c r="E294" s="181"/>
      <c r="F294" s="181"/>
      <c r="G294" s="182"/>
    </row>
    <row r="295" spans="1:7" ht="15">
      <c r="A295" s="12" t="s">
        <v>211</v>
      </c>
      <c r="B295" s="13" t="s">
        <v>212</v>
      </c>
      <c r="C295" s="13" t="s">
        <v>213</v>
      </c>
      <c r="D295" s="13" t="s">
        <v>139</v>
      </c>
      <c r="E295" s="181">
        <f>'Du toan chi tiet'!E87</f>
        <v>3</v>
      </c>
      <c r="F295" s="181"/>
      <c r="G295" s="182"/>
    </row>
    <row r="296" spans="1:7" ht="15">
      <c r="A296" s="12" t="s">
        <v>0</v>
      </c>
      <c r="B296" s="13" t="s">
        <v>0</v>
      </c>
      <c r="C296" s="13" t="s">
        <v>214</v>
      </c>
      <c r="D296" s="13" t="s">
        <v>0</v>
      </c>
      <c r="E296" s="181"/>
      <c r="F296" s="181"/>
      <c r="G296" s="182"/>
    </row>
    <row r="297" spans="1:7" ht="15">
      <c r="A297" s="12" t="s">
        <v>0</v>
      </c>
      <c r="B297" s="13" t="s">
        <v>0</v>
      </c>
      <c r="C297" s="13" t="s">
        <v>215</v>
      </c>
      <c r="D297" s="13" t="s">
        <v>139</v>
      </c>
      <c r="E297" s="181"/>
      <c r="F297" s="181">
        <f>2</f>
        <v>2</v>
      </c>
      <c r="G297" s="182">
        <f>E295*F297</f>
        <v>6</v>
      </c>
    </row>
    <row r="298" spans="1:7" ht="15">
      <c r="A298" s="12" t="s">
        <v>0</v>
      </c>
      <c r="B298" s="13" t="s">
        <v>0</v>
      </c>
      <c r="C298" s="13" t="s">
        <v>216</v>
      </c>
      <c r="D298" s="13" t="s">
        <v>139</v>
      </c>
      <c r="E298" s="181"/>
      <c r="F298" s="181">
        <f>1</f>
        <v>1</v>
      </c>
      <c r="G298" s="182">
        <f>E295*F298</f>
        <v>3</v>
      </c>
    </row>
    <row r="299" spans="1:7" ht="15">
      <c r="A299" s="12" t="s">
        <v>0</v>
      </c>
      <c r="B299" s="13" t="s">
        <v>0</v>
      </c>
      <c r="C299" s="13" t="s">
        <v>217</v>
      </c>
      <c r="D299" s="13" t="s">
        <v>139</v>
      </c>
      <c r="E299" s="181"/>
      <c r="F299" s="181">
        <f>1</f>
        <v>1</v>
      </c>
      <c r="G299" s="182">
        <f>E295*F299</f>
        <v>3</v>
      </c>
    </row>
    <row r="300" spans="1:7" ht="15">
      <c r="A300" s="12" t="s">
        <v>0</v>
      </c>
      <c r="B300" s="13" t="s">
        <v>0</v>
      </c>
      <c r="C300" s="13" t="s">
        <v>40</v>
      </c>
      <c r="D300" s="13" t="s">
        <v>8</v>
      </c>
      <c r="E300" s="181"/>
      <c r="F300" s="181">
        <f>0.088</f>
        <v>0.088</v>
      </c>
      <c r="G300" s="182">
        <f>E295*F300</f>
        <v>0.264</v>
      </c>
    </row>
    <row r="301" spans="1:7" ht="15">
      <c r="A301" s="12" t="s">
        <v>0</v>
      </c>
      <c r="B301" s="13" t="s">
        <v>0</v>
      </c>
      <c r="C301" s="13" t="s">
        <v>0</v>
      </c>
      <c r="D301" s="13" t="s">
        <v>0</v>
      </c>
      <c r="E301" s="181"/>
      <c r="F301" s="181"/>
      <c r="G301" s="182"/>
    </row>
    <row r="302" spans="1:7" ht="15">
      <c r="A302" s="12" t="s">
        <v>218</v>
      </c>
      <c r="B302" s="13" t="s">
        <v>219</v>
      </c>
      <c r="C302" s="13" t="s">
        <v>220</v>
      </c>
      <c r="D302" s="13" t="s">
        <v>221</v>
      </c>
      <c r="E302" s="181">
        <f>'Du toan chi tiet'!E89</f>
        <v>21</v>
      </c>
      <c r="F302" s="181"/>
      <c r="G302" s="182"/>
    </row>
    <row r="303" spans="1:7" ht="15">
      <c r="A303" s="12" t="s">
        <v>0</v>
      </c>
      <c r="B303" s="13" t="s">
        <v>0</v>
      </c>
      <c r="C303" s="13" t="s">
        <v>222</v>
      </c>
      <c r="D303" s="13" t="s">
        <v>0</v>
      </c>
      <c r="E303" s="181"/>
      <c r="F303" s="181"/>
      <c r="G303" s="182"/>
    </row>
    <row r="304" spans="1:7" ht="15">
      <c r="A304" s="12" t="s">
        <v>0</v>
      </c>
      <c r="B304" s="13" t="s">
        <v>0</v>
      </c>
      <c r="C304" s="13" t="s">
        <v>223</v>
      </c>
      <c r="D304" s="13" t="s">
        <v>224</v>
      </c>
      <c r="E304" s="181"/>
      <c r="F304" s="181">
        <f>1.01</f>
        <v>1.01</v>
      </c>
      <c r="G304" s="182">
        <f>E302*F304</f>
        <v>21.21</v>
      </c>
    </row>
    <row r="305" spans="1:7" ht="15">
      <c r="A305" s="12" t="s">
        <v>0</v>
      </c>
      <c r="B305" s="13" t="s">
        <v>0</v>
      </c>
      <c r="C305" s="13" t="s">
        <v>40</v>
      </c>
      <c r="D305" s="13" t="s">
        <v>8</v>
      </c>
      <c r="E305" s="181"/>
      <c r="F305" s="181">
        <f>0.024</f>
        <v>0.024</v>
      </c>
      <c r="G305" s="182">
        <f>E302*F305</f>
        <v>0.504</v>
      </c>
    </row>
    <row r="306" spans="1:7" ht="15">
      <c r="A306" s="12" t="s">
        <v>0</v>
      </c>
      <c r="B306" s="13" t="s">
        <v>0</v>
      </c>
      <c r="C306" s="13" t="s">
        <v>0</v>
      </c>
      <c r="D306" s="13" t="s">
        <v>0</v>
      </c>
      <c r="E306" s="181"/>
      <c r="F306" s="181"/>
      <c r="G306" s="182"/>
    </row>
    <row r="307" spans="1:7" ht="15">
      <c r="A307" s="12" t="s">
        <v>225</v>
      </c>
      <c r="B307" s="13" t="s">
        <v>226</v>
      </c>
      <c r="C307" s="13" t="s">
        <v>227</v>
      </c>
      <c r="D307" s="13" t="s">
        <v>228</v>
      </c>
      <c r="E307" s="181">
        <f>'Du toan chi tiet'!E91</f>
        <v>21</v>
      </c>
      <c r="F307" s="181"/>
      <c r="G307" s="182"/>
    </row>
    <row r="308" spans="1:7" ht="15">
      <c r="A308" s="12" t="s">
        <v>0</v>
      </c>
      <c r="B308" s="13" t="s">
        <v>0</v>
      </c>
      <c r="C308" s="13" t="s">
        <v>229</v>
      </c>
      <c r="D308" s="13" t="s">
        <v>0</v>
      </c>
      <c r="E308" s="181"/>
      <c r="F308" s="181"/>
      <c r="G308" s="182"/>
    </row>
    <row r="309" spans="1:7" ht="15">
      <c r="A309" s="12" t="s">
        <v>0</v>
      </c>
      <c r="B309" s="13" t="s">
        <v>0</v>
      </c>
      <c r="C309" s="13" t="s">
        <v>230</v>
      </c>
      <c r="D309" s="13" t="s">
        <v>224</v>
      </c>
      <c r="E309" s="181"/>
      <c r="F309" s="181">
        <f>1.02</f>
        <v>1.02</v>
      </c>
      <c r="G309" s="182">
        <f>E307*F309</f>
        <v>21.42</v>
      </c>
    </row>
    <row r="310" spans="1:7" ht="15">
      <c r="A310" s="12" t="s">
        <v>0</v>
      </c>
      <c r="B310" s="13" t="s">
        <v>0</v>
      </c>
      <c r="C310" s="13" t="s">
        <v>40</v>
      </c>
      <c r="D310" s="13" t="s">
        <v>8</v>
      </c>
      <c r="E310" s="181"/>
      <c r="F310" s="181">
        <f>0.034</f>
        <v>0.034</v>
      </c>
      <c r="G310" s="182">
        <f>E307*F310</f>
        <v>0.7140000000000001</v>
      </c>
    </row>
    <row r="311" spans="1:7" ht="15">
      <c r="A311" s="12" t="s">
        <v>0</v>
      </c>
      <c r="B311" s="13" t="s">
        <v>0</v>
      </c>
      <c r="C311" s="13" t="s">
        <v>231</v>
      </c>
      <c r="D311" s="13" t="s">
        <v>20</v>
      </c>
      <c r="E311" s="181"/>
      <c r="F311" s="181">
        <f>0.01</f>
        <v>0.01</v>
      </c>
      <c r="G311" s="182">
        <f>E307*F311</f>
        <v>0.21</v>
      </c>
    </row>
    <row r="312" spans="1:7" ht="15">
      <c r="A312" s="12" t="s">
        <v>0</v>
      </c>
      <c r="B312" s="13" t="s">
        <v>0</v>
      </c>
      <c r="C312" s="13" t="s">
        <v>0</v>
      </c>
      <c r="D312" s="13" t="s">
        <v>0</v>
      </c>
      <c r="E312" s="181"/>
      <c r="F312" s="181"/>
      <c r="G312" s="182"/>
    </row>
    <row r="313" spans="1:7" ht="15">
      <c r="A313" s="12" t="s">
        <v>0</v>
      </c>
      <c r="B313" s="13" t="s">
        <v>0</v>
      </c>
      <c r="C313" s="13" t="s">
        <v>0</v>
      </c>
      <c r="D313" s="13" t="s">
        <v>0</v>
      </c>
      <c r="E313" s="181"/>
      <c r="F313" s="181"/>
      <c r="G313" s="182"/>
    </row>
    <row r="314" spans="1:7" ht="15.75">
      <c r="A314" s="8" t="s">
        <v>0</v>
      </c>
      <c r="B314" s="9" t="s">
        <v>0</v>
      </c>
      <c r="C314" s="9" t="s">
        <v>232</v>
      </c>
      <c r="D314" s="9" t="s">
        <v>0</v>
      </c>
      <c r="E314" s="179"/>
      <c r="F314" s="179"/>
      <c r="G314" s="180"/>
    </row>
    <row r="315" spans="1:7" ht="15">
      <c r="A315" s="12" t="s">
        <v>0</v>
      </c>
      <c r="B315" s="13" t="s">
        <v>0</v>
      </c>
      <c r="C315" s="13" t="s">
        <v>0</v>
      </c>
      <c r="D315" s="13" t="s">
        <v>0</v>
      </c>
      <c r="E315" s="181"/>
      <c r="F315" s="181"/>
      <c r="G315" s="182"/>
    </row>
    <row r="316" spans="1:7" ht="15">
      <c r="A316" s="12" t="s">
        <v>233</v>
      </c>
      <c r="B316" s="13" t="s">
        <v>234</v>
      </c>
      <c r="C316" s="13" t="s">
        <v>235</v>
      </c>
      <c r="D316" s="13" t="s">
        <v>236</v>
      </c>
      <c r="E316" s="181">
        <f>'Du toan chi tiet'!E95</f>
        <v>1</v>
      </c>
      <c r="F316" s="181"/>
      <c r="G316" s="182"/>
    </row>
    <row r="317" spans="1:7" ht="15">
      <c r="A317" s="12" t="s">
        <v>0</v>
      </c>
      <c r="B317" s="13" t="s">
        <v>0</v>
      </c>
      <c r="C317" s="13" t="s">
        <v>237</v>
      </c>
      <c r="D317" s="13" t="s">
        <v>0</v>
      </c>
      <c r="E317" s="181"/>
      <c r="F317" s="181"/>
      <c r="G317" s="182"/>
    </row>
    <row r="318" spans="1:7" ht="15">
      <c r="A318" s="12" t="s">
        <v>0</v>
      </c>
      <c r="B318" s="13" t="s">
        <v>0</v>
      </c>
      <c r="C318" s="13" t="s">
        <v>7</v>
      </c>
      <c r="D318" s="13" t="s">
        <v>8</v>
      </c>
      <c r="E318" s="181"/>
      <c r="F318" s="181">
        <f>0.31</f>
        <v>0.31</v>
      </c>
      <c r="G318" s="182">
        <f>E316*F318</f>
        <v>0.31</v>
      </c>
    </row>
    <row r="319" spans="1:7" ht="15">
      <c r="A319" s="12" t="s">
        <v>0</v>
      </c>
      <c r="B319" s="13" t="s">
        <v>0</v>
      </c>
      <c r="C319" s="13" t="s">
        <v>0</v>
      </c>
      <c r="D319" s="13" t="s">
        <v>0</v>
      </c>
      <c r="E319" s="181"/>
      <c r="F319" s="181"/>
      <c r="G319" s="182"/>
    </row>
    <row r="320" spans="1:7" ht="15">
      <c r="A320" s="12" t="s">
        <v>238</v>
      </c>
      <c r="B320" s="13" t="s">
        <v>239</v>
      </c>
      <c r="C320" s="13" t="s">
        <v>235</v>
      </c>
      <c r="D320" s="13" t="s">
        <v>27</v>
      </c>
      <c r="E320" s="181">
        <f>'Du toan chi tiet'!E97</f>
        <v>1</v>
      </c>
      <c r="F320" s="181"/>
      <c r="G320" s="182"/>
    </row>
    <row r="321" spans="1:7" ht="15">
      <c r="A321" s="12" t="s">
        <v>0</v>
      </c>
      <c r="B321" s="13" t="s">
        <v>0</v>
      </c>
      <c r="C321" s="13" t="s">
        <v>240</v>
      </c>
      <c r="D321" s="13" t="s">
        <v>0</v>
      </c>
      <c r="E321" s="181"/>
      <c r="F321" s="181"/>
      <c r="G321" s="182"/>
    </row>
    <row r="322" spans="1:7" ht="15">
      <c r="A322" s="12" t="s">
        <v>0</v>
      </c>
      <c r="B322" s="13" t="s">
        <v>0</v>
      </c>
      <c r="C322" s="13" t="s">
        <v>7</v>
      </c>
      <c r="D322" s="13" t="s">
        <v>8</v>
      </c>
      <c r="E322" s="181"/>
      <c r="F322" s="181">
        <f>0.09</f>
        <v>0.09</v>
      </c>
      <c r="G322" s="182">
        <f>E320*F322</f>
        <v>0.09</v>
      </c>
    </row>
    <row r="323" spans="1:7" ht="15">
      <c r="A323" s="12" t="s">
        <v>0</v>
      </c>
      <c r="B323" s="13" t="s">
        <v>0</v>
      </c>
      <c r="C323" s="13" t="s">
        <v>0</v>
      </c>
      <c r="D323" s="13" t="s">
        <v>0</v>
      </c>
      <c r="E323" s="181"/>
      <c r="F323" s="181"/>
      <c r="G323" s="182"/>
    </row>
    <row r="324" spans="1:7" ht="15">
      <c r="A324" s="12" t="s">
        <v>241</v>
      </c>
      <c r="B324" s="13" t="s">
        <v>242</v>
      </c>
      <c r="C324" s="13" t="s">
        <v>235</v>
      </c>
      <c r="D324" s="13" t="s">
        <v>243</v>
      </c>
      <c r="E324" s="181">
        <f>'Du toan chi tiet'!E99</f>
        <v>1</v>
      </c>
      <c r="F324" s="181"/>
      <c r="G324" s="182"/>
    </row>
    <row r="325" spans="1:7" ht="15">
      <c r="A325" s="12" t="s">
        <v>0</v>
      </c>
      <c r="B325" s="13" t="s">
        <v>0</v>
      </c>
      <c r="C325" s="13" t="s">
        <v>244</v>
      </c>
      <c r="D325" s="13" t="s">
        <v>0</v>
      </c>
      <c r="E325" s="181"/>
      <c r="F325" s="181"/>
      <c r="G325" s="182"/>
    </row>
    <row r="326" spans="1:7" ht="15">
      <c r="A326" s="12" t="s">
        <v>0</v>
      </c>
      <c r="B326" s="13" t="s">
        <v>0</v>
      </c>
      <c r="C326" s="13" t="s">
        <v>7</v>
      </c>
      <c r="D326" s="13" t="s">
        <v>8</v>
      </c>
      <c r="E326" s="181"/>
      <c r="F326" s="181">
        <f>0.21</f>
        <v>0.21</v>
      </c>
      <c r="G326" s="182">
        <f>E324*F326</f>
        <v>0.21</v>
      </c>
    </row>
    <row r="327" spans="1:7" ht="15">
      <c r="A327" s="12" t="s">
        <v>0</v>
      </c>
      <c r="B327" s="13" t="s">
        <v>0</v>
      </c>
      <c r="C327" s="13" t="s">
        <v>0</v>
      </c>
      <c r="D327" s="13" t="s">
        <v>0</v>
      </c>
      <c r="E327" s="181"/>
      <c r="F327" s="181"/>
      <c r="G327" s="182"/>
    </row>
    <row r="328" spans="1:7" ht="15">
      <c r="A328" s="12" t="s">
        <v>245</v>
      </c>
      <c r="B328" s="13" t="s">
        <v>246</v>
      </c>
      <c r="C328" s="13" t="s">
        <v>247</v>
      </c>
      <c r="D328" s="13" t="s">
        <v>248</v>
      </c>
      <c r="E328" s="181">
        <f>'Du toan chi tiet'!E101</f>
        <v>1</v>
      </c>
      <c r="F328" s="181"/>
      <c r="G328" s="182"/>
    </row>
    <row r="329" spans="1:7" ht="15">
      <c r="A329" s="12" t="s">
        <v>0</v>
      </c>
      <c r="B329" s="13" t="s">
        <v>0</v>
      </c>
      <c r="C329" s="13" t="s">
        <v>249</v>
      </c>
      <c r="D329" s="13" t="s">
        <v>0</v>
      </c>
      <c r="E329" s="181"/>
      <c r="F329" s="181"/>
      <c r="G329" s="182"/>
    </row>
    <row r="330" spans="1:7" ht="15">
      <c r="A330" s="12" t="s">
        <v>0</v>
      </c>
      <c r="B330" s="13" t="s">
        <v>0</v>
      </c>
      <c r="C330" s="13" t="s">
        <v>250</v>
      </c>
      <c r="D330" s="13" t="s">
        <v>20</v>
      </c>
      <c r="E330" s="181"/>
      <c r="F330" s="181">
        <f>0.027</f>
        <v>0.027</v>
      </c>
      <c r="G330" s="182">
        <f>E328*F330</f>
        <v>0.027</v>
      </c>
    </row>
    <row r="331" spans="1:7" ht="15">
      <c r="A331" s="12" t="s">
        <v>0</v>
      </c>
      <c r="B331" s="13" t="s">
        <v>0</v>
      </c>
      <c r="C331" s="13" t="s">
        <v>0</v>
      </c>
      <c r="D331" s="13" t="s">
        <v>0</v>
      </c>
      <c r="E331" s="181"/>
      <c r="F331" s="181"/>
      <c r="G331" s="182"/>
    </row>
    <row r="332" spans="1:7" ht="15">
      <c r="A332" s="12" t="s">
        <v>251</v>
      </c>
      <c r="B332" s="13" t="s">
        <v>252</v>
      </c>
      <c r="C332" s="13" t="s">
        <v>247</v>
      </c>
      <c r="D332" s="13" t="s">
        <v>248</v>
      </c>
      <c r="E332" s="181">
        <f>'Du toan chi tiet'!E103</f>
        <v>1</v>
      </c>
      <c r="F332" s="181"/>
      <c r="G332" s="182"/>
    </row>
    <row r="333" spans="1:7" ht="15">
      <c r="A333" s="12" t="s">
        <v>0</v>
      </c>
      <c r="B333" s="13" t="s">
        <v>0</v>
      </c>
      <c r="C333" s="13" t="s">
        <v>253</v>
      </c>
      <c r="D333" s="13" t="s">
        <v>0</v>
      </c>
      <c r="E333" s="181"/>
      <c r="F333" s="181"/>
      <c r="G333" s="182"/>
    </row>
    <row r="334" spans="1:7" ht="15">
      <c r="A334" s="12" t="s">
        <v>0</v>
      </c>
      <c r="B334" s="13" t="s">
        <v>0</v>
      </c>
      <c r="C334" s="13" t="s">
        <v>250</v>
      </c>
      <c r="D334" s="13" t="s">
        <v>20</v>
      </c>
      <c r="E334" s="181"/>
      <c r="F334" s="181">
        <f>0.019</f>
        <v>0.019</v>
      </c>
      <c r="G334" s="182">
        <f>E332*F334</f>
        <v>0.019</v>
      </c>
    </row>
    <row r="335" spans="1:7" ht="15">
      <c r="A335" s="12" t="s">
        <v>0</v>
      </c>
      <c r="B335" s="13" t="s">
        <v>0</v>
      </c>
      <c r="C335" s="13" t="s">
        <v>0</v>
      </c>
      <c r="D335" s="13" t="s">
        <v>0</v>
      </c>
      <c r="E335" s="181"/>
      <c r="F335" s="181"/>
      <c r="G335" s="182"/>
    </row>
    <row r="336" spans="1:7" ht="15">
      <c r="A336" s="12" t="s">
        <v>254</v>
      </c>
      <c r="B336" s="13" t="s">
        <v>255</v>
      </c>
      <c r="C336" s="13" t="s">
        <v>247</v>
      </c>
      <c r="D336" s="13" t="s">
        <v>248</v>
      </c>
      <c r="E336" s="181">
        <f>'Du toan chi tiet'!E105</f>
        <v>1</v>
      </c>
      <c r="F336" s="181"/>
      <c r="G336" s="182"/>
    </row>
    <row r="337" spans="1:7" ht="15">
      <c r="A337" s="12" t="s">
        <v>0</v>
      </c>
      <c r="B337" s="13" t="s">
        <v>0</v>
      </c>
      <c r="C337" s="13" t="s">
        <v>256</v>
      </c>
      <c r="D337" s="13" t="s">
        <v>0</v>
      </c>
      <c r="E337" s="181"/>
      <c r="F337" s="181"/>
      <c r="G337" s="182"/>
    </row>
    <row r="338" spans="1:7" ht="15">
      <c r="A338" s="12" t="s">
        <v>0</v>
      </c>
      <c r="B338" s="13" t="s">
        <v>0</v>
      </c>
      <c r="C338" s="13" t="s">
        <v>250</v>
      </c>
      <c r="D338" s="13" t="s">
        <v>20</v>
      </c>
      <c r="E338" s="181"/>
      <c r="F338" s="181">
        <f>0.014</f>
        <v>0.014</v>
      </c>
      <c r="G338" s="182">
        <f>E336*F338</f>
        <v>0.014</v>
      </c>
    </row>
    <row r="339" spans="1:7" ht="15">
      <c r="A339" s="12" t="s">
        <v>0</v>
      </c>
      <c r="B339" s="13" t="s">
        <v>0</v>
      </c>
      <c r="C339" s="13" t="s">
        <v>0</v>
      </c>
      <c r="D339" s="13" t="s">
        <v>0</v>
      </c>
      <c r="E339" s="181"/>
      <c r="F339" s="181"/>
      <c r="G339" s="182"/>
    </row>
    <row r="340" spans="1:7" ht="15">
      <c r="A340" s="12" t="s">
        <v>257</v>
      </c>
      <c r="B340" s="13" t="s">
        <v>258</v>
      </c>
      <c r="C340" s="13" t="s">
        <v>259</v>
      </c>
      <c r="D340" s="13" t="s">
        <v>248</v>
      </c>
      <c r="E340" s="181">
        <f>'Du toan chi tiet'!E107</f>
        <v>1</v>
      </c>
      <c r="F340" s="181"/>
      <c r="G340" s="182"/>
    </row>
    <row r="341" spans="1:7" ht="15">
      <c r="A341" s="12" t="s">
        <v>0</v>
      </c>
      <c r="B341" s="13" t="s">
        <v>0</v>
      </c>
      <c r="C341" s="13" t="s">
        <v>249</v>
      </c>
      <c r="D341" s="13" t="s">
        <v>0</v>
      </c>
      <c r="E341" s="181"/>
      <c r="F341" s="181"/>
      <c r="G341" s="182"/>
    </row>
    <row r="342" spans="1:7" ht="15">
      <c r="A342" s="12" t="s">
        <v>0</v>
      </c>
      <c r="B342" s="13" t="s">
        <v>0</v>
      </c>
      <c r="C342" s="13" t="s">
        <v>260</v>
      </c>
      <c r="D342" s="13" t="s">
        <v>20</v>
      </c>
      <c r="E342" s="181"/>
      <c r="F342" s="181">
        <f>0.076</f>
        <v>0.076</v>
      </c>
      <c r="G342" s="182">
        <f>E340*F342</f>
        <v>0.076</v>
      </c>
    </row>
    <row r="343" spans="1:7" ht="15">
      <c r="A343" s="12" t="s">
        <v>0</v>
      </c>
      <c r="B343" s="13" t="s">
        <v>0</v>
      </c>
      <c r="C343" s="13" t="s">
        <v>0</v>
      </c>
      <c r="D343" s="13" t="s">
        <v>0</v>
      </c>
      <c r="E343" s="181"/>
      <c r="F343" s="181"/>
      <c r="G343" s="182"/>
    </row>
    <row r="344" spans="1:7" ht="15">
      <c r="A344" s="12" t="s">
        <v>261</v>
      </c>
      <c r="B344" s="13" t="s">
        <v>262</v>
      </c>
      <c r="C344" s="13" t="s">
        <v>259</v>
      </c>
      <c r="D344" s="13" t="s">
        <v>263</v>
      </c>
      <c r="E344" s="181">
        <f>'Du toan chi tiet'!E109</f>
        <v>1</v>
      </c>
      <c r="F344" s="181"/>
      <c r="G344" s="182"/>
    </row>
    <row r="345" spans="1:7" ht="15">
      <c r="A345" s="12" t="s">
        <v>0</v>
      </c>
      <c r="B345" s="13" t="s">
        <v>0</v>
      </c>
      <c r="C345" s="13" t="s">
        <v>253</v>
      </c>
      <c r="D345" s="13" t="s">
        <v>0</v>
      </c>
      <c r="E345" s="181"/>
      <c r="F345" s="181"/>
      <c r="G345" s="182"/>
    </row>
    <row r="346" spans="1:7" ht="15">
      <c r="A346" s="12" t="s">
        <v>0</v>
      </c>
      <c r="B346" s="13" t="s">
        <v>0</v>
      </c>
      <c r="C346" s="13" t="s">
        <v>260</v>
      </c>
      <c r="D346" s="13" t="s">
        <v>20</v>
      </c>
      <c r="E346" s="181"/>
      <c r="F346" s="181">
        <f>0.055</f>
        <v>0.055</v>
      </c>
      <c r="G346" s="182">
        <f>E344*F346</f>
        <v>0.055</v>
      </c>
    </row>
    <row r="347" spans="1:7" ht="15">
      <c r="A347" s="12" t="s">
        <v>0</v>
      </c>
      <c r="B347" s="13" t="s">
        <v>0</v>
      </c>
      <c r="C347" s="13" t="s">
        <v>0</v>
      </c>
      <c r="D347" s="13" t="s">
        <v>0</v>
      </c>
      <c r="E347" s="181"/>
      <c r="F347" s="181"/>
      <c r="G347" s="182"/>
    </row>
    <row r="348" spans="1:7" ht="15">
      <c r="A348" s="12" t="s">
        <v>264</v>
      </c>
      <c r="B348" s="13" t="s">
        <v>265</v>
      </c>
      <c r="C348" s="13" t="s">
        <v>259</v>
      </c>
      <c r="D348" s="13" t="s">
        <v>263</v>
      </c>
      <c r="E348" s="181">
        <f>'Du toan chi tiet'!E111</f>
        <v>1</v>
      </c>
      <c r="F348" s="181"/>
      <c r="G348" s="182"/>
    </row>
    <row r="349" spans="1:7" ht="15">
      <c r="A349" s="12" t="s">
        <v>0</v>
      </c>
      <c r="B349" s="13" t="s">
        <v>0</v>
      </c>
      <c r="C349" s="13" t="s">
        <v>256</v>
      </c>
      <c r="D349" s="13" t="s">
        <v>0</v>
      </c>
      <c r="E349" s="181"/>
      <c r="F349" s="181"/>
      <c r="G349" s="182"/>
    </row>
    <row r="350" spans="1:7" ht="15">
      <c r="A350" s="12" t="s">
        <v>0</v>
      </c>
      <c r="B350" s="13" t="s">
        <v>0</v>
      </c>
      <c r="C350" s="13" t="s">
        <v>260</v>
      </c>
      <c r="D350" s="13" t="s">
        <v>20</v>
      </c>
      <c r="E350" s="181"/>
      <c r="F350" s="181">
        <f>0.037</f>
        <v>0.037</v>
      </c>
      <c r="G350" s="182">
        <f>E348*F350</f>
        <v>0.037</v>
      </c>
    </row>
    <row r="351" spans="1:7" ht="15">
      <c r="A351" s="12" t="s">
        <v>0</v>
      </c>
      <c r="B351" s="13" t="s">
        <v>0</v>
      </c>
      <c r="C351" s="13" t="s">
        <v>0</v>
      </c>
      <c r="D351" s="13" t="s">
        <v>0</v>
      </c>
      <c r="E351" s="181"/>
      <c r="F351" s="181"/>
      <c r="G351" s="182"/>
    </row>
    <row r="352" spans="1:7" ht="15">
      <c r="A352" s="12" t="s">
        <v>266</v>
      </c>
      <c r="B352" s="13" t="s">
        <v>267</v>
      </c>
      <c r="C352" s="13" t="s">
        <v>268</v>
      </c>
      <c r="D352" s="13" t="s">
        <v>263</v>
      </c>
      <c r="E352" s="181">
        <f>'Du toan chi tiet'!E113</f>
        <v>1</v>
      </c>
      <c r="F352" s="181"/>
      <c r="G352" s="182"/>
    </row>
    <row r="353" spans="1:7" ht="15">
      <c r="A353" s="12" t="s">
        <v>0</v>
      </c>
      <c r="B353" s="13" t="s">
        <v>0</v>
      </c>
      <c r="C353" s="13" t="s">
        <v>249</v>
      </c>
      <c r="D353" s="13" t="s">
        <v>0</v>
      </c>
      <c r="E353" s="181"/>
      <c r="F353" s="181"/>
      <c r="G353" s="182"/>
    </row>
    <row r="354" spans="1:7" ht="15">
      <c r="A354" s="12" t="s">
        <v>0</v>
      </c>
      <c r="B354" s="13" t="s">
        <v>0</v>
      </c>
      <c r="C354" s="13" t="s">
        <v>250</v>
      </c>
      <c r="D354" s="13" t="s">
        <v>20</v>
      </c>
      <c r="E354" s="181"/>
      <c r="F354" s="181">
        <f>0.03</f>
        <v>0.03</v>
      </c>
      <c r="G354" s="182">
        <f>E352*F354</f>
        <v>0.03</v>
      </c>
    </row>
    <row r="355" spans="1:7" ht="15">
      <c r="A355" s="12" t="s">
        <v>0</v>
      </c>
      <c r="B355" s="13" t="s">
        <v>0</v>
      </c>
      <c r="C355" s="13" t="s">
        <v>0</v>
      </c>
      <c r="D355" s="13" t="s">
        <v>0</v>
      </c>
      <c r="E355" s="181"/>
      <c r="F355" s="181"/>
      <c r="G355" s="182"/>
    </row>
    <row r="356" spans="1:7" ht="15">
      <c r="A356" s="12" t="s">
        <v>269</v>
      </c>
      <c r="B356" s="13" t="s">
        <v>270</v>
      </c>
      <c r="C356" s="13" t="s">
        <v>268</v>
      </c>
      <c r="D356" s="13" t="s">
        <v>248</v>
      </c>
      <c r="E356" s="181">
        <f>'Du toan chi tiet'!E115</f>
        <v>1</v>
      </c>
      <c r="F356" s="181"/>
      <c r="G356" s="182"/>
    </row>
    <row r="357" spans="1:7" ht="15">
      <c r="A357" s="12" t="s">
        <v>0</v>
      </c>
      <c r="B357" s="13" t="s">
        <v>0</v>
      </c>
      <c r="C357" s="13" t="s">
        <v>253</v>
      </c>
      <c r="D357" s="13" t="s">
        <v>0</v>
      </c>
      <c r="E357" s="181"/>
      <c r="F357" s="181"/>
      <c r="G357" s="182"/>
    </row>
    <row r="358" spans="1:7" ht="15">
      <c r="A358" s="12" t="s">
        <v>0</v>
      </c>
      <c r="B358" s="13" t="s">
        <v>0</v>
      </c>
      <c r="C358" s="13" t="s">
        <v>250</v>
      </c>
      <c r="D358" s="13" t="s">
        <v>20</v>
      </c>
      <c r="E358" s="181"/>
      <c r="F358" s="181">
        <f>0.021</f>
        <v>0.021</v>
      </c>
      <c r="G358" s="182">
        <f>E356*F358</f>
        <v>0.021</v>
      </c>
    </row>
    <row r="359" spans="1:7" ht="15">
      <c r="A359" s="12" t="s">
        <v>0</v>
      </c>
      <c r="B359" s="13" t="s">
        <v>0</v>
      </c>
      <c r="C359" s="13" t="s">
        <v>0</v>
      </c>
      <c r="D359" s="13" t="s">
        <v>0</v>
      </c>
      <c r="E359" s="181"/>
      <c r="F359" s="181"/>
      <c r="G359" s="182"/>
    </row>
    <row r="360" spans="1:7" ht="15">
      <c r="A360" s="12" t="s">
        <v>271</v>
      </c>
      <c r="B360" s="13" t="s">
        <v>272</v>
      </c>
      <c r="C360" s="13" t="s">
        <v>268</v>
      </c>
      <c r="D360" s="13" t="s">
        <v>248</v>
      </c>
      <c r="E360" s="181">
        <f>'Du toan chi tiet'!E117</f>
        <v>1</v>
      </c>
      <c r="F360" s="181"/>
      <c r="G360" s="182"/>
    </row>
    <row r="361" spans="1:7" ht="15">
      <c r="A361" s="12" t="s">
        <v>0</v>
      </c>
      <c r="B361" s="13" t="s">
        <v>0</v>
      </c>
      <c r="C361" s="13" t="s">
        <v>256</v>
      </c>
      <c r="D361" s="13" t="s">
        <v>0</v>
      </c>
      <c r="E361" s="181"/>
      <c r="F361" s="181"/>
      <c r="G361" s="182"/>
    </row>
    <row r="362" spans="1:7" ht="15">
      <c r="A362" s="12" t="s">
        <v>0</v>
      </c>
      <c r="B362" s="13" t="s">
        <v>0</v>
      </c>
      <c r="C362" s="13" t="s">
        <v>250</v>
      </c>
      <c r="D362" s="13" t="s">
        <v>20</v>
      </c>
      <c r="E362" s="181"/>
      <c r="F362" s="181">
        <f>0.015</f>
        <v>0.015</v>
      </c>
      <c r="G362" s="182">
        <f>E360*F362</f>
        <v>0.015</v>
      </c>
    </row>
    <row r="363" spans="1:7" ht="15">
      <c r="A363" s="12" t="s">
        <v>0</v>
      </c>
      <c r="B363" s="13" t="s">
        <v>0</v>
      </c>
      <c r="C363" s="13" t="s">
        <v>0</v>
      </c>
      <c r="D363" s="13" t="s">
        <v>0</v>
      </c>
      <c r="E363" s="181"/>
      <c r="F363" s="181"/>
      <c r="G363" s="182"/>
    </row>
    <row r="364" spans="1:7" ht="15">
      <c r="A364" s="12" t="s">
        <v>273</v>
      </c>
      <c r="B364" s="13" t="s">
        <v>274</v>
      </c>
      <c r="C364" s="13" t="s">
        <v>275</v>
      </c>
      <c r="D364" s="13" t="s">
        <v>248</v>
      </c>
      <c r="E364" s="181">
        <f>'Du toan chi tiet'!E119</f>
        <v>1</v>
      </c>
      <c r="F364" s="181"/>
      <c r="G364" s="182"/>
    </row>
    <row r="365" spans="1:7" ht="15">
      <c r="A365" s="12" t="s">
        <v>0</v>
      </c>
      <c r="B365" s="13" t="s">
        <v>0</v>
      </c>
      <c r="C365" s="13" t="s">
        <v>249</v>
      </c>
      <c r="D365" s="13" t="s">
        <v>0</v>
      </c>
      <c r="E365" s="181"/>
      <c r="F365" s="181"/>
      <c r="G365" s="182"/>
    </row>
    <row r="366" spans="1:7" ht="15">
      <c r="A366" s="12" t="s">
        <v>0</v>
      </c>
      <c r="B366" s="13" t="s">
        <v>0</v>
      </c>
      <c r="C366" s="13" t="s">
        <v>260</v>
      </c>
      <c r="D366" s="13" t="s">
        <v>20</v>
      </c>
      <c r="E366" s="181"/>
      <c r="F366" s="181">
        <f>0.108</f>
        <v>0.108</v>
      </c>
      <c r="G366" s="182">
        <f>E364*F366</f>
        <v>0.108</v>
      </c>
    </row>
    <row r="367" spans="1:7" ht="15">
      <c r="A367" s="12" t="s">
        <v>0</v>
      </c>
      <c r="B367" s="13" t="s">
        <v>0</v>
      </c>
      <c r="C367" s="13" t="s">
        <v>0</v>
      </c>
      <c r="D367" s="13" t="s">
        <v>0</v>
      </c>
      <c r="E367" s="181"/>
      <c r="F367" s="181"/>
      <c r="G367" s="182"/>
    </row>
    <row r="368" spans="1:7" ht="15">
      <c r="A368" s="12" t="s">
        <v>276</v>
      </c>
      <c r="B368" s="13" t="s">
        <v>277</v>
      </c>
      <c r="C368" s="13" t="s">
        <v>275</v>
      </c>
      <c r="D368" s="13" t="s">
        <v>263</v>
      </c>
      <c r="E368" s="181">
        <f>'Du toan chi tiet'!E121</f>
        <v>1</v>
      </c>
      <c r="F368" s="181"/>
      <c r="G368" s="182"/>
    </row>
    <row r="369" spans="1:7" ht="15">
      <c r="A369" s="12" t="s">
        <v>0</v>
      </c>
      <c r="B369" s="13" t="s">
        <v>0</v>
      </c>
      <c r="C369" s="13" t="s">
        <v>253</v>
      </c>
      <c r="D369" s="13" t="s">
        <v>0</v>
      </c>
      <c r="E369" s="181"/>
      <c r="F369" s="181"/>
      <c r="G369" s="182"/>
    </row>
    <row r="370" spans="1:7" ht="15">
      <c r="A370" s="12" t="s">
        <v>0</v>
      </c>
      <c r="B370" s="13" t="s">
        <v>0</v>
      </c>
      <c r="C370" s="13" t="s">
        <v>260</v>
      </c>
      <c r="D370" s="13" t="s">
        <v>20</v>
      </c>
      <c r="E370" s="181"/>
      <c r="F370" s="181">
        <f>0.078</f>
        <v>0.078</v>
      </c>
      <c r="G370" s="182">
        <f>E368*F370</f>
        <v>0.078</v>
      </c>
    </row>
    <row r="371" spans="1:7" ht="15">
      <c r="A371" s="12" t="s">
        <v>0</v>
      </c>
      <c r="B371" s="13" t="s">
        <v>0</v>
      </c>
      <c r="C371" s="13" t="s">
        <v>0</v>
      </c>
      <c r="D371" s="13" t="s">
        <v>0</v>
      </c>
      <c r="E371" s="181"/>
      <c r="F371" s="181"/>
      <c r="G371" s="182"/>
    </row>
    <row r="372" spans="1:7" ht="15">
      <c r="A372" s="12" t="s">
        <v>278</v>
      </c>
      <c r="B372" s="13" t="s">
        <v>279</v>
      </c>
      <c r="C372" s="13" t="s">
        <v>275</v>
      </c>
      <c r="D372" s="13" t="s">
        <v>263</v>
      </c>
      <c r="E372" s="181">
        <f>'Du toan chi tiet'!E123</f>
        <v>1</v>
      </c>
      <c r="F372" s="181"/>
      <c r="G372" s="182"/>
    </row>
    <row r="373" spans="1:7" ht="15">
      <c r="A373" s="12" t="s">
        <v>0</v>
      </c>
      <c r="B373" s="13" t="s">
        <v>0</v>
      </c>
      <c r="C373" s="13" t="s">
        <v>256</v>
      </c>
      <c r="D373" s="13" t="s">
        <v>0</v>
      </c>
      <c r="E373" s="181"/>
      <c r="F373" s="181"/>
      <c r="G373" s="182"/>
    </row>
    <row r="374" spans="1:7" ht="15">
      <c r="A374" s="12" t="s">
        <v>0</v>
      </c>
      <c r="B374" s="13" t="s">
        <v>0</v>
      </c>
      <c r="C374" s="13" t="s">
        <v>260</v>
      </c>
      <c r="D374" s="13" t="s">
        <v>20</v>
      </c>
      <c r="E374" s="181"/>
      <c r="F374" s="181">
        <f>0.053</f>
        <v>0.053</v>
      </c>
      <c r="G374" s="182">
        <f>E372*F374</f>
        <v>0.053</v>
      </c>
    </row>
    <row r="375" spans="1:7" ht="15">
      <c r="A375" s="12" t="s">
        <v>0</v>
      </c>
      <c r="B375" s="13" t="s">
        <v>0</v>
      </c>
      <c r="C375" s="13" t="s">
        <v>0</v>
      </c>
      <c r="D375" s="13" t="s">
        <v>0</v>
      </c>
      <c r="E375" s="181"/>
      <c r="F375" s="181"/>
      <c r="G375" s="182"/>
    </row>
    <row r="376" spans="1:7" ht="15">
      <c r="A376" s="12" t="s">
        <v>280</v>
      </c>
      <c r="B376" s="13" t="s">
        <v>281</v>
      </c>
      <c r="C376" s="13" t="s">
        <v>282</v>
      </c>
      <c r="D376" s="13" t="s">
        <v>263</v>
      </c>
      <c r="E376" s="181">
        <f>'Du toan chi tiet'!E125</f>
        <v>1</v>
      </c>
      <c r="F376" s="181"/>
      <c r="G376" s="182"/>
    </row>
    <row r="377" spans="1:7" ht="15">
      <c r="A377" s="12" t="s">
        <v>0</v>
      </c>
      <c r="B377" s="13" t="s">
        <v>0</v>
      </c>
      <c r="C377" s="13" t="s">
        <v>249</v>
      </c>
      <c r="D377" s="13" t="s">
        <v>0</v>
      </c>
      <c r="E377" s="181"/>
      <c r="F377" s="181"/>
      <c r="G377" s="182"/>
    </row>
    <row r="378" spans="1:7" ht="15">
      <c r="A378" s="12" t="s">
        <v>0</v>
      </c>
      <c r="B378" s="13" t="s">
        <v>0</v>
      </c>
      <c r="C378" s="13" t="s">
        <v>250</v>
      </c>
      <c r="D378" s="13" t="s">
        <v>20</v>
      </c>
      <c r="E378" s="181"/>
      <c r="F378" s="181">
        <f>0.034</f>
        <v>0.034</v>
      </c>
      <c r="G378" s="182">
        <f>E376*F378</f>
        <v>0.034</v>
      </c>
    </row>
    <row r="379" spans="1:7" ht="15">
      <c r="A379" s="12" t="s">
        <v>0</v>
      </c>
      <c r="B379" s="13" t="s">
        <v>0</v>
      </c>
      <c r="C379" s="13" t="s">
        <v>0</v>
      </c>
      <c r="D379" s="13" t="s">
        <v>0</v>
      </c>
      <c r="E379" s="181"/>
      <c r="F379" s="181"/>
      <c r="G379" s="182"/>
    </row>
    <row r="380" spans="1:7" ht="15">
      <c r="A380" s="12" t="s">
        <v>283</v>
      </c>
      <c r="B380" s="13" t="s">
        <v>284</v>
      </c>
      <c r="C380" s="13" t="s">
        <v>282</v>
      </c>
      <c r="D380" s="13" t="s">
        <v>248</v>
      </c>
      <c r="E380" s="181">
        <f>'Du toan chi tiet'!E127</f>
        <v>1</v>
      </c>
      <c r="F380" s="181"/>
      <c r="G380" s="182"/>
    </row>
    <row r="381" spans="1:7" ht="15">
      <c r="A381" s="12" t="s">
        <v>0</v>
      </c>
      <c r="B381" s="13" t="s">
        <v>0</v>
      </c>
      <c r="C381" s="13" t="s">
        <v>253</v>
      </c>
      <c r="D381" s="13" t="s">
        <v>0</v>
      </c>
      <c r="E381" s="181"/>
      <c r="F381" s="181"/>
      <c r="G381" s="182"/>
    </row>
    <row r="382" spans="1:7" ht="15">
      <c r="A382" s="12" t="s">
        <v>0</v>
      </c>
      <c r="B382" s="13" t="s">
        <v>0</v>
      </c>
      <c r="C382" s="13" t="s">
        <v>250</v>
      </c>
      <c r="D382" s="13" t="s">
        <v>20</v>
      </c>
      <c r="E382" s="181"/>
      <c r="F382" s="181">
        <f>0.025</f>
        <v>0.025</v>
      </c>
      <c r="G382" s="182">
        <f>E380*F382</f>
        <v>0.025</v>
      </c>
    </row>
    <row r="383" spans="1:7" ht="15">
      <c r="A383" s="12" t="s">
        <v>0</v>
      </c>
      <c r="B383" s="13" t="s">
        <v>0</v>
      </c>
      <c r="C383" s="13" t="s">
        <v>0</v>
      </c>
      <c r="D383" s="13" t="s">
        <v>0</v>
      </c>
      <c r="E383" s="181"/>
      <c r="F383" s="181"/>
      <c r="G383" s="182"/>
    </row>
    <row r="384" spans="1:7" ht="15">
      <c r="A384" s="12" t="s">
        <v>285</v>
      </c>
      <c r="B384" s="13" t="s">
        <v>286</v>
      </c>
      <c r="C384" s="13" t="s">
        <v>282</v>
      </c>
      <c r="D384" s="13" t="s">
        <v>248</v>
      </c>
      <c r="E384" s="181">
        <f>'Du toan chi tiet'!E129</f>
        <v>1</v>
      </c>
      <c r="F384" s="181"/>
      <c r="G384" s="182"/>
    </row>
    <row r="385" spans="1:7" ht="15">
      <c r="A385" s="12" t="s">
        <v>0</v>
      </c>
      <c r="B385" s="13" t="s">
        <v>0</v>
      </c>
      <c r="C385" s="13" t="s">
        <v>256</v>
      </c>
      <c r="D385" s="13" t="s">
        <v>0</v>
      </c>
      <c r="E385" s="181"/>
      <c r="F385" s="181"/>
      <c r="G385" s="182"/>
    </row>
    <row r="386" spans="1:7" ht="15">
      <c r="A386" s="12" t="s">
        <v>0</v>
      </c>
      <c r="B386" s="13" t="s">
        <v>0</v>
      </c>
      <c r="C386" s="13" t="s">
        <v>250</v>
      </c>
      <c r="D386" s="13" t="s">
        <v>20</v>
      </c>
      <c r="E386" s="181"/>
      <c r="F386" s="181">
        <f>0.018</f>
        <v>0.018</v>
      </c>
      <c r="G386" s="182">
        <f>E384*F386</f>
        <v>0.018</v>
      </c>
    </row>
    <row r="387" spans="1:7" ht="15">
      <c r="A387" s="12" t="s">
        <v>0</v>
      </c>
      <c r="B387" s="13" t="s">
        <v>0</v>
      </c>
      <c r="C387" s="13" t="s">
        <v>0</v>
      </c>
      <c r="D387" s="13" t="s">
        <v>0</v>
      </c>
      <c r="E387" s="181"/>
      <c r="F387" s="181"/>
      <c r="G387" s="182"/>
    </row>
    <row r="388" spans="1:7" ht="15">
      <c r="A388" s="12" t="s">
        <v>287</v>
      </c>
      <c r="B388" s="13" t="s">
        <v>288</v>
      </c>
      <c r="C388" s="13" t="s">
        <v>289</v>
      </c>
      <c r="D388" s="13" t="s">
        <v>248</v>
      </c>
      <c r="E388" s="181">
        <f>'Du toan chi tiet'!E131</f>
        <v>1</v>
      </c>
      <c r="F388" s="181"/>
      <c r="G388" s="182"/>
    </row>
    <row r="389" spans="1:7" ht="15">
      <c r="A389" s="12" t="s">
        <v>0</v>
      </c>
      <c r="B389" s="13" t="s">
        <v>0</v>
      </c>
      <c r="C389" s="13" t="s">
        <v>249</v>
      </c>
      <c r="D389" s="13" t="s">
        <v>0</v>
      </c>
      <c r="E389" s="181"/>
      <c r="F389" s="181"/>
      <c r="G389" s="182"/>
    </row>
    <row r="390" spans="1:7" ht="15">
      <c r="A390" s="12" t="s">
        <v>0</v>
      </c>
      <c r="B390" s="13" t="s">
        <v>0</v>
      </c>
      <c r="C390" s="13" t="s">
        <v>260</v>
      </c>
      <c r="D390" s="13" t="s">
        <v>20</v>
      </c>
      <c r="E390" s="181"/>
      <c r="F390" s="181">
        <f>0.022</f>
        <v>0.022</v>
      </c>
      <c r="G390" s="182">
        <f>E388*F390</f>
        <v>0.022</v>
      </c>
    </row>
    <row r="391" spans="1:7" ht="15">
      <c r="A391" s="12" t="s">
        <v>0</v>
      </c>
      <c r="B391" s="13" t="s">
        <v>0</v>
      </c>
      <c r="C391" s="13" t="s">
        <v>0</v>
      </c>
      <c r="D391" s="13" t="s">
        <v>0</v>
      </c>
      <c r="E391" s="181"/>
      <c r="F391" s="181"/>
      <c r="G391" s="182"/>
    </row>
    <row r="392" spans="1:7" ht="15">
      <c r="A392" s="12" t="s">
        <v>290</v>
      </c>
      <c r="B392" s="13" t="s">
        <v>291</v>
      </c>
      <c r="C392" s="13" t="s">
        <v>289</v>
      </c>
      <c r="D392" s="13" t="s">
        <v>263</v>
      </c>
      <c r="E392" s="181">
        <f>'Du toan chi tiet'!E133</f>
        <v>1</v>
      </c>
      <c r="F392" s="181"/>
      <c r="G392" s="182"/>
    </row>
    <row r="393" spans="1:7" ht="15">
      <c r="A393" s="12" t="s">
        <v>0</v>
      </c>
      <c r="B393" s="13" t="s">
        <v>0</v>
      </c>
      <c r="C393" s="13" t="s">
        <v>253</v>
      </c>
      <c r="D393" s="13" t="s">
        <v>0</v>
      </c>
      <c r="E393" s="181"/>
      <c r="F393" s="181"/>
      <c r="G393" s="182"/>
    </row>
    <row r="394" spans="1:7" ht="15">
      <c r="A394" s="12" t="s">
        <v>0</v>
      </c>
      <c r="B394" s="13" t="s">
        <v>0</v>
      </c>
      <c r="C394" s="13" t="s">
        <v>260</v>
      </c>
      <c r="D394" s="13" t="s">
        <v>20</v>
      </c>
      <c r="E394" s="181"/>
      <c r="F394" s="181">
        <f>0.016</f>
        <v>0.016</v>
      </c>
      <c r="G394" s="182">
        <f>E392*F394</f>
        <v>0.016</v>
      </c>
    </row>
    <row r="395" spans="1:7" ht="15">
      <c r="A395" s="12" t="s">
        <v>0</v>
      </c>
      <c r="B395" s="13" t="s">
        <v>0</v>
      </c>
      <c r="C395" s="13" t="s">
        <v>0</v>
      </c>
      <c r="D395" s="13" t="s">
        <v>0</v>
      </c>
      <c r="E395" s="181"/>
      <c r="F395" s="181"/>
      <c r="G395" s="182"/>
    </row>
    <row r="396" spans="1:7" ht="15">
      <c r="A396" s="12" t="s">
        <v>292</v>
      </c>
      <c r="B396" s="13" t="s">
        <v>293</v>
      </c>
      <c r="C396" s="13" t="s">
        <v>289</v>
      </c>
      <c r="D396" s="13" t="s">
        <v>263</v>
      </c>
      <c r="E396" s="181">
        <f>'Du toan chi tiet'!E135</f>
        <v>1</v>
      </c>
      <c r="F396" s="181"/>
      <c r="G396" s="182"/>
    </row>
    <row r="397" spans="1:7" ht="15">
      <c r="A397" s="12" t="s">
        <v>0</v>
      </c>
      <c r="B397" s="13" t="s">
        <v>0</v>
      </c>
      <c r="C397" s="13" t="s">
        <v>256</v>
      </c>
      <c r="D397" s="13" t="s">
        <v>0</v>
      </c>
      <c r="E397" s="181"/>
      <c r="F397" s="181"/>
      <c r="G397" s="182"/>
    </row>
    <row r="398" spans="1:7" ht="15">
      <c r="A398" s="12" t="s">
        <v>0</v>
      </c>
      <c r="B398" s="13" t="s">
        <v>0</v>
      </c>
      <c r="C398" s="13" t="s">
        <v>260</v>
      </c>
      <c r="D398" s="13" t="s">
        <v>20</v>
      </c>
      <c r="E398" s="181"/>
      <c r="F398" s="181">
        <f>0.011</f>
        <v>0.011</v>
      </c>
      <c r="G398" s="182">
        <f>E396*F398</f>
        <v>0.011</v>
      </c>
    </row>
    <row r="399" spans="1:7" ht="15">
      <c r="A399" s="12" t="s">
        <v>0</v>
      </c>
      <c r="B399" s="13" t="s">
        <v>0</v>
      </c>
      <c r="C399" s="13" t="s">
        <v>0</v>
      </c>
      <c r="D399" s="13" t="s">
        <v>0</v>
      </c>
      <c r="E399" s="181"/>
      <c r="F399" s="181"/>
      <c r="G399" s="182"/>
    </row>
    <row r="400" spans="1:7" ht="15">
      <c r="A400" s="12" t="s">
        <v>294</v>
      </c>
      <c r="B400" s="13" t="s">
        <v>295</v>
      </c>
      <c r="C400" s="13" t="s">
        <v>296</v>
      </c>
      <c r="D400" s="13" t="s">
        <v>263</v>
      </c>
      <c r="E400" s="181">
        <f>'Du toan chi tiet'!E137</f>
        <v>1</v>
      </c>
      <c r="F400" s="181"/>
      <c r="G400" s="182"/>
    </row>
    <row r="401" spans="1:7" ht="15">
      <c r="A401" s="12" t="s">
        <v>0</v>
      </c>
      <c r="B401" s="13" t="s">
        <v>0</v>
      </c>
      <c r="C401" s="13" t="s">
        <v>249</v>
      </c>
      <c r="D401" s="13" t="s">
        <v>0</v>
      </c>
      <c r="E401" s="181"/>
      <c r="F401" s="181"/>
      <c r="G401" s="182"/>
    </row>
    <row r="402" spans="1:7" ht="15">
      <c r="A402" s="12" t="s">
        <v>0</v>
      </c>
      <c r="B402" s="13" t="s">
        <v>0</v>
      </c>
      <c r="C402" s="13" t="s">
        <v>260</v>
      </c>
      <c r="D402" s="13" t="s">
        <v>20</v>
      </c>
      <c r="E402" s="181"/>
      <c r="F402" s="181">
        <f>0.024</f>
        <v>0.024</v>
      </c>
      <c r="G402" s="182">
        <f>E400*F402</f>
        <v>0.024</v>
      </c>
    </row>
    <row r="403" spans="1:7" ht="15">
      <c r="A403" s="12" t="s">
        <v>0</v>
      </c>
      <c r="B403" s="13" t="s">
        <v>0</v>
      </c>
      <c r="C403" s="13" t="s">
        <v>0</v>
      </c>
      <c r="D403" s="13" t="s">
        <v>0</v>
      </c>
      <c r="E403" s="181"/>
      <c r="F403" s="181"/>
      <c r="G403" s="182"/>
    </row>
    <row r="404" spans="1:7" ht="15">
      <c r="A404" s="12" t="s">
        <v>297</v>
      </c>
      <c r="B404" s="13" t="s">
        <v>298</v>
      </c>
      <c r="C404" s="13" t="s">
        <v>296</v>
      </c>
      <c r="D404" s="13" t="s">
        <v>263</v>
      </c>
      <c r="E404" s="181">
        <f>'Du toan chi tiet'!E139</f>
        <v>1</v>
      </c>
      <c r="F404" s="181"/>
      <c r="G404" s="182"/>
    </row>
    <row r="405" spans="1:7" ht="15">
      <c r="A405" s="12" t="s">
        <v>0</v>
      </c>
      <c r="B405" s="13" t="s">
        <v>0</v>
      </c>
      <c r="C405" s="13" t="s">
        <v>253</v>
      </c>
      <c r="D405" s="13" t="s">
        <v>0</v>
      </c>
      <c r="E405" s="181"/>
      <c r="F405" s="181"/>
      <c r="G405" s="182"/>
    </row>
    <row r="406" spans="1:7" ht="15">
      <c r="A406" s="12" t="s">
        <v>0</v>
      </c>
      <c r="B406" s="13" t="s">
        <v>0</v>
      </c>
      <c r="C406" s="13" t="s">
        <v>260</v>
      </c>
      <c r="D406" s="13" t="s">
        <v>20</v>
      </c>
      <c r="E406" s="181"/>
      <c r="F406" s="181">
        <f>0.018</f>
        <v>0.018</v>
      </c>
      <c r="G406" s="182">
        <f>E404*F406</f>
        <v>0.018</v>
      </c>
    </row>
    <row r="407" spans="1:7" ht="15">
      <c r="A407" s="12" t="s">
        <v>0</v>
      </c>
      <c r="B407" s="13" t="s">
        <v>0</v>
      </c>
      <c r="C407" s="13" t="s">
        <v>0</v>
      </c>
      <c r="D407" s="13" t="s">
        <v>0</v>
      </c>
      <c r="E407" s="181"/>
      <c r="F407" s="181"/>
      <c r="G407" s="182"/>
    </row>
    <row r="408" spans="1:7" ht="15">
      <c r="A408" s="12" t="s">
        <v>299</v>
      </c>
      <c r="B408" s="13" t="s">
        <v>300</v>
      </c>
      <c r="C408" s="13" t="s">
        <v>296</v>
      </c>
      <c r="D408" s="13" t="s">
        <v>263</v>
      </c>
      <c r="E408" s="181">
        <f>'Du toan chi tiet'!E141</f>
        <v>1</v>
      </c>
      <c r="F408" s="181"/>
      <c r="G408" s="182"/>
    </row>
    <row r="409" spans="1:7" ht="15">
      <c r="A409" s="12" t="s">
        <v>0</v>
      </c>
      <c r="B409" s="13" t="s">
        <v>0</v>
      </c>
      <c r="C409" s="13" t="s">
        <v>256</v>
      </c>
      <c r="D409" s="13" t="s">
        <v>0</v>
      </c>
      <c r="E409" s="181"/>
      <c r="F409" s="181"/>
      <c r="G409" s="182"/>
    </row>
    <row r="410" spans="1:7" ht="15">
      <c r="A410" s="12" t="s">
        <v>0</v>
      </c>
      <c r="B410" s="13" t="s">
        <v>0</v>
      </c>
      <c r="C410" s="13" t="s">
        <v>260</v>
      </c>
      <c r="D410" s="13" t="s">
        <v>20</v>
      </c>
      <c r="E410" s="181"/>
      <c r="F410" s="181">
        <f>0.011</f>
        <v>0.011</v>
      </c>
      <c r="G410" s="182">
        <f>E408*F410</f>
        <v>0.011</v>
      </c>
    </row>
    <row r="411" spans="1:7" ht="15">
      <c r="A411" s="12" t="s">
        <v>0</v>
      </c>
      <c r="B411" s="13" t="s">
        <v>0</v>
      </c>
      <c r="C411" s="13" t="s">
        <v>0</v>
      </c>
      <c r="D411" s="13" t="s">
        <v>0</v>
      </c>
      <c r="E411" s="181"/>
      <c r="F411" s="181"/>
      <c r="G411" s="182"/>
    </row>
    <row r="412" spans="1:7" ht="15">
      <c r="A412" s="12" t="s">
        <v>0</v>
      </c>
      <c r="B412" s="13" t="s">
        <v>0</v>
      </c>
      <c r="C412" s="13" t="s">
        <v>0</v>
      </c>
      <c r="D412" s="13" t="s">
        <v>0</v>
      </c>
      <c r="E412" s="181"/>
      <c r="F412" s="181"/>
      <c r="G412" s="182"/>
    </row>
    <row r="413" spans="1:7" ht="15">
      <c r="A413" s="12" t="s">
        <v>0</v>
      </c>
      <c r="B413" s="13" t="s">
        <v>0</v>
      </c>
      <c r="C413" s="13" t="s">
        <v>0</v>
      </c>
      <c r="D413" s="13" t="s">
        <v>0</v>
      </c>
      <c r="E413" s="181"/>
      <c r="F413" s="181"/>
      <c r="G413" s="182"/>
    </row>
    <row r="414" spans="1:7" ht="15.75" thickBot="1">
      <c r="A414" s="16" t="s">
        <v>0</v>
      </c>
      <c r="B414" s="17" t="s">
        <v>0</v>
      </c>
      <c r="C414" s="17" t="s">
        <v>0</v>
      </c>
      <c r="D414" s="17" t="s">
        <v>0</v>
      </c>
      <c r="E414" s="183"/>
      <c r="F414" s="183"/>
      <c r="G414" s="184"/>
    </row>
  </sheetData>
  <sheetProtection/>
  <mergeCells count="4">
    <mergeCell ref="A1:G1"/>
    <mergeCell ref="A3:G3"/>
    <mergeCell ref="A4:G4"/>
    <mergeCell ref="A5:G5"/>
  </mergeCells>
  <printOptions horizontalCentered="1"/>
  <pageMargins left="0.75" right="0.5" top="0.75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SAO VIET HUE</cp:lastModifiedBy>
  <cp:lastPrinted>2023-06-29T10:06:30Z</cp:lastPrinted>
  <dcterms:created xsi:type="dcterms:W3CDTF">2023-06-29T03:51:59Z</dcterms:created>
  <dcterms:modified xsi:type="dcterms:W3CDTF">2023-06-29T10:09:32Z</dcterms:modified>
  <cp:category/>
  <cp:version/>
  <cp:contentType/>
  <cp:contentStatus/>
</cp:coreProperties>
</file>