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1"/>
  </bookViews>
  <sheets>
    <sheet name="LCNT" sheetId="1" r:id="rId1"/>
    <sheet name="Tong du toan" sheetId="2" r:id="rId2"/>
    <sheet name="CP Xay lap" sheetId="3" r:id="rId3"/>
    <sheet name="Du toan chi tiet" sheetId="4" r:id="rId4"/>
    <sheet name="Phan tich don gia" sheetId="5" r:id="rId5"/>
    <sheet name="Gia NC,CM" sheetId="6" r:id="rId6"/>
    <sheet name="Gia VL" sheetId="7" r:id="rId7"/>
    <sheet name="KL,Tien luong" sheetId="8" r:id="rId8"/>
    <sheet name="Tong hop KL VL,NC,M" sheetId="9" r:id="rId9"/>
    <sheet name="Phan tich KL VL,NC,M" sheetId="10" r:id="rId10"/>
  </sheets>
  <definedNames>
    <definedName name="_xlnm.Print_Titles" localSheetId="2">'CP Xay lap'!$7:$7</definedName>
    <definedName name="_xlnm.Print_Titles" localSheetId="3">'Du toan chi tiet'!$7:$8</definedName>
    <definedName name="_xlnm.Print_Titles" localSheetId="5">'Gia NC,CM'!$7:$7</definedName>
    <definedName name="_xlnm.Print_Titles" localSheetId="6">'Gia VL'!$7:$7</definedName>
    <definedName name="_xlnm.Print_Titles" localSheetId="7">'KL,Tien luong'!$7:$7</definedName>
    <definedName name="_xlnm.Print_Titles" localSheetId="4">'Phan tich don gia'!$7:$7</definedName>
    <definedName name="_xlnm.Print_Titles" localSheetId="9">'Phan tich KL VL,NC,M'!$7:$7</definedName>
    <definedName name="_xlnm.Print_Titles" localSheetId="1">'Tong du toan'!$11:$11</definedName>
    <definedName name="_xlnm.Print_Titles" localSheetId="8">'Tong hop KL VL,NC,M'!$7:$7</definedName>
  </definedNames>
  <calcPr fullCalcOnLoad="1"/>
</workbook>
</file>

<file path=xl/sharedStrings.xml><?xml version="1.0" encoding="utf-8"?>
<sst xmlns="http://schemas.openxmlformats.org/spreadsheetml/2006/main" count="3923" uniqueCount="609">
  <si>
    <t/>
  </si>
  <si>
    <t>*\1- §iÖn chiÕu s¸ng:</t>
  </si>
  <si>
    <t>1</t>
  </si>
  <si>
    <t>AB.25103</t>
  </si>
  <si>
    <t>§µo mãng cét ®Ìn, tñ ®iÖn b»ng m¸y ®µo &lt;= 0.4m3</t>
  </si>
  <si>
    <t>1 m3</t>
  </si>
  <si>
    <t>§Êt cÊp III</t>
  </si>
  <si>
    <t xml:space="preserve">   - Nh©n c«ng bËc 3.0/7N1</t>
  </si>
  <si>
    <t>C«ng</t>
  </si>
  <si>
    <t xml:space="preserve">   - M¸y ®µo 0.4m3</t>
  </si>
  <si>
    <t>Ca</t>
  </si>
  <si>
    <t>2</t>
  </si>
  <si>
    <t>AB.11503</t>
  </si>
  <si>
    <t>§µo kªnh r·nh tiÕp ®Þa b»ng thñ c«ng</t>
  </si>
  <si>
    <t>3</t>
  </si>
  <si>
    <t>TT.KM</t>
  </si>
  <si>
    <t>Khung mãng M24x300x300x750</t>
  </si>
  <si>
    <t>Bé</t>
  </si>
  <si>
    <t xml:space="preserve">   - Khung mãng M24x300x300x750</t>
  </si>
  <si>
    <t>4</t>
  </si>
  <si>
    <t>TT.KMT§</t>
  </si>
  <si>
    <t>Khung mãng tñ ®iÖn M24x300x300x750 + §ë tñ ®iÖn</t>
  </si>
  <si>
    <t xml:space="preserve">   - §ë tñ ®iÖn chiÕu s¸ng (m¹ kÏm)</t>
  </si>
  <si>
    <t>Kg</t>
  </si>
  <si>
    <t>5</t>
  </si>
  <si>
    <t>BA.14305</t>
  </si>
  <si>
    <t>L§ èng nhùa xo¾n HDPE F65/50 b¶o hé d©y dÉn</t>
  </si>
  <si>
    <t>1 m</t>
  </si>
  <si>
    <t xml:space="preserve">   - èng nhùa HDPE F65/50 b¶o hé</t>
  </si>
  <si>
    <t>m</t>
  </si>
  <si>
    <t xml:space="preserve">   - Nh©n c«ng bËc 3.5/7N2</t>
  </si>
  <si>
    <t xml:space="preserve">   - M¸y khoan bª t«ng cÇm tay 0.62KW</t>
  </si>
  <si>
    <t>6</t>
  </si>
  <si>
    <t>AF.11231</t>
  </si>
  <si>
    <t>Bª t«ng mãng cét, tñ ®iÖn</t>
  </si>
  <si>
    <t>V÷a bª t«ng ®¸ 2x4M150</t>
  </si>
  <si>
    <t xml:space="preserve">   - Xi m¨ng PCB40</t>
  </si>
  <si>
    <t xml:space="preserve">   - C¸t ®óc</t>
  </si>
  <si>
    <t>m3</t>
  </si>
  <si>
    <t xml:space="preserve">   - §¸ d¨m 2x4</t>
  </si>
  <si>
    <t xml:space="preserve">   - N­íc</t>
  </si>
  <si>
    <t xml:space="preserve">   - Nh©n c«ng bËc 3.0/7N2</t>
  </si>
  <si>
    <t xml:space="preserve">   - M¸y trén BT 250 l</t>
  </si>
  <si>
    <t xml:space="preserve">   - M¸y ®Çm dïi 1.5KW</t>
  </si>
  <si>
    <t>7</t>
  </si>
  <si>
    <t>AF.81122</t>
  </si>
  <si>
    <t>V¸n khu«n mãng cét</t>
  </si>
  <si>
    <t>1 m2</t>
  </si>
  <si>
    <t xml:space="preserve">   - Gç v¸n</t>
  </si>
  <si>
    <t xml:space="preserve">   - Gç ®µ nÑp</t>
  </si>
  <si>
    <t xml:space="preserve">   - Gç chèng</t>
  </si>
  <si>
    <t xml:space="preserve">   - §inh</t>
  </si>
  <si>
    <t>8</t>
  </si>
  <si>
    <t>AB.65110</t>
  </si>
  <si>
    <t>§¾p ®Êt hè mãng, r·nh tiÕp ®Êt</t>
  </si>
  <si>
    <t>§é chÆt yªu cÇu K=0.85</t>
  </si>
  <si>
    <t xml:space="preserve">   - M¸y ®Çm ®Êt cÇm tay 70kg</t>
  </si>
  <si>
    <t>9</t>
  </si>
  <si>
    <t>TT.K§</t>
  </si>
  <si>
    <t>Khoan qua ®­êng nhùa</t>
  </si>
  <si>
    <t xml:space="preserve">   - Mòi khoan hîp kim</t>
  </si>
  <si>
    <t xml:space="preserve">   - Nh©n c«ng bËc 4/7N2</t>
  </si>
  <si>
    <t xml:space="preserve">   - M¸y khoan gang</t>
  </si>
  <si>
    <t>10</t>
  </si>
  <si>
    <t>TT.D60</t>
  </si>
  <si>
    <t>L¾p ®Æt èng thÐp D60 b¨ng ®­êng</t>
  </si>
  <si>
    <t xml:space="preserve">   - èng èng thÐp tr¸ng kÏm D60</t>
  </si>
  <si>
    <t>11</t>
  </si>
  <si>
    <t>TT.K§T</t>
  </si>
  <si>
    <t>Khãa ®ai thÐp</t>
  </si>
  <si>
    <t xml:space="preserve">   - Khãa ®ai thÐp</t>
  </si>
  <si>
    <t>12</t>
  </si>
  <si>
    <t>TT.§TKR</t>
  </si>
  <si>
    <t>§ai thÐp kh«ng rØ</t>
  </si>
  <si>
    <t xml:space="preserve">   - §ai thÐp kh«ng rØ</t>
  </si>
  <si>
    <t>13</t>
  </si>
  <si>
    <t>BA.21203</t>
  </si>
  <si>
    <t>L¾p cét thÐp trßn cao 7m D160/78 - 3mm</t>
  </si>
  <si>
    <t>1 Cét</t>
  </si>
  <si>
    <t xml:space="preserve">   - Cét thÐp trßn cao 7m D160/78 - 3mm</t>
  </si>
  <si>
    <t>Cét</t>
  </si>
  <si>
    <t xml:space="preserve">   - CÇn trôc « t« 3T</t>
  </si>
  <si>
    <t>14</t>
  </si>
  <si>
    <t>BA.23103</t>
  </si>
  <si>
    <t>L¾p ®Æt cÇn ®Ìn CD-04 cao 2m, v­¬n 1,5m, dµy 3mm</t>
  </si>
  <si>
    <t>1 CÇn</t>
  </si>
  <si>
    <t xml:space="preserve">   - CÇn ®Ìn CD-04 cao 2m, v­¬n 1,5m, dµy 3mm</t>
  </si>
  <si>
    <t xml:space="preserve">   - Xe n©ng 12m</t>
  </si>
  <si>
    <t>15</t>
  </si>
  <si>
    <t>BA.23301</t>
  </si>
  <si>
    <t>L¾p ®Ìn chiÕu s¸ng ®­êng phè Led 100W</t>
  </si>
  <si>
    <t>1 Bé</t>
  </si>
  <si>
    <t xml:space="preserve">   - §Ìn chiÕu s¸ng ®­êng phè Led 100W</t>
  </si>
  <si>
    <t>16</t>
  </si>
  <si>
    <t>BA.37201</t>
  </si>
  <si>
    <t>L¾p ®Æt tñ ®iÖn chiÕu s¸ng PLC T§-03</t>
  </si>
  <si>
    <t>1 tñ</t>
  </si>
  <si>
    <t xml:space="preserve">   - Tñ ®iÖn chiÕu s¸ng PLC T§-03</t>
  </si>
  <si>
    <t>17</t>
  </si>
  <si>
    <t>BA.25101</t>
  </si>
  <si>
    <t>L¾p ®Æt tiÕp ®Þa cho cét thÐp RAT</t>
  </si>
  <si>
    <t xml:space="preserve">   - ThÐp tiÕp ®Þa m¹ kÏm</t>
  </si>
  <si>
    <t xml:space="preserve">   - M¸y hµn 23KW</t>
  </si>
  <si>
    <t>18</t>
  </si>
  <si>
    <t>BA.25101a</t>
  </si>
  <si>
    <t>L¾p ®Æt tiÕp ®Þa cho tñ §KCS</t>
  </si>
  <si>
    <t>19</t>
  </si>
  <si>
    <t>BA.25301</t>
  </si>
  <si>
    <t>L¾p ®Æt tiÕp ®Þa lÆp l¹i R2LL</t>
  </si>
  <si>
    <t xml:space="preserve">   - §Çu cèt ®ång M10</t>
  </si>
  <si>
    <t>C¸i</t>
  </si>
  <si>
    <t xml:space="preserve">   - D©y ®ång trÇn M10</t>
  </si>
  <si>
    <t xml:space="preserve">   - Xe n©ng 9m</t>
  </si>
  <si>
    <t>20</t>
  </si>
  <si>
    <t>TT.RanhCap</t>
  </si>
  <si>
    <t>R·nh c¸p ngÇm chiÕu s¸ng</t>
  </si>
  <si>
    <t xml:space="preserve">   - C¸t xay</t>
  </si>
  <si>
    <t xml:space="preserve">   - G¹ch thÎ</t>
  </si>
  <si>
    <t>viªn</t>
  </si>
  <si>
    <t>21</t>
  </si>
  <si>
    <t>AF.11321</t>
  </si>
  <si>
    <t>Bª t«ng hoµn tr¶ vØa hÌ</t>
  </si>
  <si>
    <t xml:space="preserve">   - M¸y ®Çm bµn 1KW</t>
  </si>
  <si>
    <t>22</t>
  </si>
  <si>
    <t>AK.51244</t>
  </si>
  <si>
    <t>L¸t G¹ch Terrazzo, VXM M75 hoµn tr¶ vØa hÌ</t>
  </si>
  <si>
    <t xml:space="preserve">   - G¹ch Terrazzo 30x30x3cm</t>
  </si>
  <si>
    <t>m2</t>
  </si>
  <si>
    <t xml:space="preserve">   - Xi m¨ng PCB30</t>
  </si>
  <si>
    <t xml:space="preserve">   - C¸t t«</t>
  </si>
  <si>
    <t xml:space="preserve">   - Xi m¨ng tr¾ng</t>
  </si>
  <si>
    <t xml:space="preserve">   - Nh©n c«ng bËc 4.0/7N2</t>
  </si>
  <si>
    <t xml:space="preserve">   - M¸y c¾t g¹ch 1.7KW</t>
  </si>
  <si>
    <t>23</t>
  </si>
  <si>
    <t>BA.33001</t>
  </si>
  <si>
    <t>R¶i c¸p ngÇm CXV/DSTA/PVC 4x10-0,6/1kV</t>
  </si>
  <si>
    <t xml:space="preserve">   - C¸p ngÇm CXV/DSTA/PVC 4x10-0,6/1kV</t>
  </si>
  <si>
    <t>24</t>
  </si>
  <si>
    <t>BA.33001a</t>
  </si>
  <si>
    <t>R¶i d©y ®ång trÇn M10</t>
  </si>
  <si>
    <t>25</t>
  </si>
  <si>
    <t>BA.36201</t>
  </si>
  <si>
    <t>Luån d©y c¸p lªn ®Ìn CVV3x1,5</t>
  </si>
  <si>
    <t xml:space="preserve">   - C¸p lªn ®Ìn CVV3x1,5</t>
  </si>
  <si>
    <t>26</t>
  </si>
  <si>
    <t>BA.33001b</t>
  </si>
  <si>
    <t>C¸p ®Êu nèi tõ c«ng t¬ 3 pha xuèng tñ §KCS</t>
  </si>
  <si>
    <t>Cu/CXV/DSTA/PVC 4x16-0,6/1kV</t>
  </si>
  <si>
    <t xml:space="preserve">   - C¸p Cu/CXV/DSTA/PVC 4x16-0,6/1kV</t>
  </si>
  <si>
    <t>27</t>
  </si>
  <si>
    <t>BA.35101</t>
  </si>
  <si>
    <t>L¾p b¶ng ®iÖn cöa cét trô §1</t>
  </si>
  <si>
    <t>1 B¶ng</t>
  </si>
  <si>
    <t xml:space="preserve">   - Aptomat 1 cùc 6A-4,5kA</t>
  </si>
  <si>
    <t xml:space="preserve">   - B¶ng gæ phÝp 200x80x10</t>
  </si>
  <si>
    <t xml:space="preserve">   - CÇu ®Êu d©y</t>
  </si>
  <si>
    <t xml:space="preserve">   - Bulon M8x30</t>
  </si>
  <si>
    <t xml:space="preserve">   - §Çu cèt ®ång M8</t>
  </si>
  <si>
    <t>28</t>
  </si>
  <si>
    <t>BA.35101a</t>
  </si>
  <si>
    <t>L¾p b¶ng ®iÖn cöa cét trô §3</t>
  </si>
  <si>
    <t>29</t>
  </si>
  <si>
    <t>BA.34001</t>
  </si>
  <si>
    <t>Luån ®Çu c¸p ngÇm cöa cét</t>
  </si>
  <si>
    <t>1 §Çu</t>
  </si>
  <si>
    <t>30</t>
  </si>
  <si>
    <t>BA.35201</t>
  </si>
  <si>
    <t>L¾p cöa cét</t>
  </si>
  <si>
    <t>1 cöa</t>
  </si>
  <si>
    <t xml:space="preserve">   - Cöa cét</t>
  </si>
  <si>
    <t>31</t>
  </si>
  <si>
    <t>EC.22010</t>
  </si>
  <si>
    <t>ThÝ nghiÖm ®iÖn trë tiÕp ®Êt cét ®iÖn (cét thÐp)</t>
  </si>
  <si>
    <t>VÞ trÝ</t>
  </si>
  <si>
    <t xml:space="preserve">   - D©y ®iÖn Cu/PVC 1x6 mm2</t>
  </si>
  <si>
    <t xml:space="preserve">   - Kü s­ bËc 3.0/8</t>
  </si>
  <si>
    <t xml:space="preserve">   - Hîp bé ®o ®iÖn trë tiÕp ®Þa</t>
  </si>
  <si>
    <t xml:space="preserve">   - M¸y ®o ®iÖn trë tiÕp xóc</t>
  </si>
  <si>
    <t>*\2- C­íc vËn chuyÓn:</t>
  </si>
  <si>
    <t>32</t>
  </si>
  <si>
    <t>AM.23111</t>
  </si>
  <si>
    <t>VËn chuyÓn c¸t x©y dùng = « t« tù ®æ 7T</t>
  </si>
  <si>
    <t>10m3/km</t>
  </si>
  <si>
    <t>Trong ph¹m vi &lt;=1km</t>
  </si>
  <si>
    <t xml:space="preserve">   - ¤ t« tù ®æ 7T</t>
  </si>
  <si>
    <t>33</t>
  </si>
  <si>
    <t>AM.23112</t>
  </si>
  <si>
    <t>Trong ph¹m vi &lt;=10km</t>
  </si>
  <si>
    <t>34</t>
  </si>
  <si>
    <t>AM.23113</t>
  </si>
  <si>
    <t>Trong ph¹m vi &lt;=60km</t>
  </si>
  <si>
    <t>35</t>
  </si>
  <si>
    <t>AM.23411</t>
  </si>
  <si>
    <t>VËn chuyÓn ®¸ d¨m c¸c lo¹i = « t« tù ®æ 7T</t>
  </si>
  <si>
    <t>36</t>
  </si>
  <si>
    <t>AM.23412</t>
  </si>
  <si>
    <t>37</t>
  </si>
  <si>
    <t>AM.23413</t>
  </si>
  <si>
    <t>38</t>
  </si>
  <si>
    <t>AM.24511</t>
  </si>
  <si>
    <t>V/chuyÓn thÐp c¸c lo¹i= « t« vËn t¶i thïng 7T</t>
  </si>
  <si>
    <t>10tÊn/km</t>
  </si>
  <si>
    <t xml:space="preserve">   - ¤ t« vËn t¶i thïng 7T</t>
  </si>
  <si>
    <t>39</t>
  </si>
  <si>
    <t>AM.24512</t>
  </si>
  <si>
    <t>40</t>
  </si>
  <si>
    <t>AM.24513</t>
  </si>
  <si>
    <t>41</t>
  </si>
  <si>
    <t>AM.24711</t>
  </si>
  <si>
    <t>V/chuyÓn gç c¸c lo¹i= « t« vËn t¶i thïng 7T</t>
  </si>
  <si>
    <t>42</t>
  </si>
  <si>
    <t>AM.24712</t>
  </si>
  <si>
    <t>43</t>
  </si>
  <si>
    <t>AM.24713</t>
  </si>
  <si>
    <t>44</t>
  </si>
  <si>
    <t>AM.11242</t>
  </si>
  <si>
    <t>Bèc xÕp vËt liÖu kh¸c b»ng thñ c«ng</t>
  </si>
  <si>
    <t>TÊn</t>
  </si>
  <si>
    <t>Bèc xuèng - Xi m¨ng bao</t>
  </si>
  <si>
    <t>45</t>
  </si>
  <si>
    <t>AM.11252</t>
  </si>
  <si>
    <t>Bèc xuèng - Gç c¸c lo¹i</t>
  </si>
  <si>
    <t>46</t>
  </si>
  <si>
    <t>AM.11282</t>
  </si>
  <si>
    <t>Bèc xuèng - ThÐp c¸c lo¹i</t>
  </si>
  <si>
    <t>G</t>
  </si>
  <si>
    <t>6.</t>
  </si>
  <si>
    <t>DP1</t>
  </si>
  <si>
    <t xml:space="preserve">  - Do yÕu tè khèi l­îng ph¸t sinh</t>
  </si>
  <si>
    <t xml:space="preserve"> DP1</t>
  </si>
  <si>
    <t>G5</t>
  </si>
  <si>
    <t>Chi phÝ dù phßng:</t>
  </si>
  <si>
    <t>5.</t>
  </si>
  <si>
    <t>K4</t>
  </si>
  <si>
    <t xml:space="preserve">  - Chi phÝ thÈm ®Þnh gi¸</t>
  </si>
  <si>
    <t>K3</t>
  </si>
  <si>
    <t xml:space="preserve">  - Chi phÝ thÈm tra phª duyÖt quyÕt to¸n</t>
  </si>
  <si>
    <t>K2</t>
  </si>
  <si>
    <t xml:space="preserve">  - Chi phÝ b¶o hiÓm c«ng tr×nh</t>
  </si>
  <si>
    <t>K1</t>
  </si>
  <si>
    <t xml:space="preserve">  - PhÝ thÈm ®Þnh BCKT-KT</t>
  </si>
  <si>
    <t xml:space="preserve"> K1+...+K4</t>
  </si>
  <si>
    <t>G4</t>
  </si>
  <si>
    <t>Chi phÝ kh¸c:</t>
  </si>
  <si>
    <t>4.</t>
  </si>
  <si>
    <t xml:space="preserve"> G1*2.566%</t>
  </si>
  <si>
    <t>TV5</t>
  </si>
  <si>
    <t xml:space="preserve">  - Gi¸m s¸t thi c«ng x©y dùng</t>
  </si>
  <si>
    <t>TV4</t>
  </si>
  <si>
    <t xml:space="preserve">  - Chi phÝ ThÈm tra dù to¸n</t>
  </si>
  <si>
    <t>TV3</t>
  </si>
  <si>
    <t xml:space="preserve">  - Chi phÝ ThÈm tra thiÕt kÕ</t>
  </si>
  <si>
    <t xml:space="preserve"> G1*5.8%</t>
  </si>
  <si>
    <t>TV2</t>
  </si>
  <si>
    <t xml:space="preserve">  - LËp b¸o c¸o kinh tÕ kü thuËt</t>
  </si>
  <si>
    <t>TV1</t>
  </si>
  <si>
    <t xml:space="preserve">  - Kh¶o s¸t x©y dùng</t>
  </si>
  <si>
    <t xml:space="preserve"> TV1+...+TV5</t>
  </si>
  <si>
    <t>G3</t>
  </si>
  <si>
    <t>Chi phÝ t­ vÊn ®Çu t­ x©y dùng:</t>
  </si>
  <si>
    <t>3.</t>
  </si>
  <si>
    <t>G2</t>
  </si>
  <si>
    <t>Chi phÝ qu¶n lý dù ¸n:</t>
  </si>
  <si>
    <t>2.</t>
  </si>
  <si>
    <t xml:space="preserve">   A1</t>
  </si>
  <si>
    <t>A1</t>
  </si>
  <si>
    <t xml:space="preserve">  -1- §iÖn chiÕu s¸ng: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</si>
  <si>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</si>
  <si>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</si>
  <si>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</si>
  <si>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</si>
  <si>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</si>
  <si>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</si>
  <si>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</si>
  <si>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 xml:space="preserve"> G*10%</t>
  </si>
  <si>
    <t>VAT</t>
  </si>
  <si>
    <t>+ ThuÕ gi¸ trÞ gia t¨ng</t>
  </si>
  <si>
    <t xml:space="preserve"> T+GT+TL</t>
  </si>
  <si>
    <t xml:space="preserve"> - Chi phÝ x©y dùng tr­íc thuÕ</t>
  </si>
  <si>
    <t>*</t>
  </si>
  <si>
    <t xml:space="preserve"> (T+GT)*5.5%</t>
  </si>
  <si>
    <t>TL</t>
  </si>
  <si>
    <t>+ Thu nhËp chÞu thuÕ tÝnh tr­íc</t>
  </si>
  <si>
    <t xml:space="preserve"> T*2.00%</t>
  </si>
  <si>
    <t>TT</t>
  </si>
  <si>
    <t xml:space="preserve">   Chi phÝ c«ng viÖc kh«ng x¸c ®Þnh KLTK</t>
  </si>
  <si>
    <t xml:space="preserve"> T*2.2%</t>
  </si>
  <si>
    <t>LT</t>
  </si>
  <si>
    <t xml:space="preserve">   Chi phÝ nhµ t¹m, nhµ ®iÒu hµnh thi c«ng</t>
  </si>
  <si>
    <t xml:space="preserve"> T*5.5%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</si>
  <si>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</si>
  <si>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</si>
  <si>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</si>
  <si>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</si>
  <si>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</si>
  <si>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</si>
  <si>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</si>
  <si>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</si>
  <si>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</si>
  <si>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</si>
  <si>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</si>
  <si>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</si>
  <si>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</si>
  <si>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</si>
  <si>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</si>
  <si>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</si>
  <si>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</si>
  <si>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2</t>
  </si>
  <si>
    <t xml:space="preserve"> 1</t>
  </si>
  <si>
    <t>Bèc xuèng - ThÐp c¸c lo¹i: 1=1.000</t>
  </si>
  <si>
    <t xml:space="preserve"> 46</t>
  </si>
  <si>
    <t>Bèc xuèng - Gç c¸c lo¹i: 1=1.000</t>
  </si>
  <si>
    <t xml:space="preserve"> 45</t>
  </si>
  <si>
    <t>Bèc xuèng - Xi m¨ng bao: 1=1.000</t>
  </si>
  <si>
    <t xml:space="preserve"> 44</t>
  </si>
  <si>
    <t>Trong ph¹m vi &lt;=60km: 1=1.000</t>
  </si>
  <si>
    <t xml:space="preserve"> 43</t>
  </si>
  <si>
    <t>Trong ph¹m vi &lt;=10km: 1=1.000</t>
  </si>
  <si>
    <t xml:space="preserve"> 42</t>
  </si>
  <si>
    <t>Trong ph¹m vi &lt;=1km: 1=1.000</t>
  </si>
  <si>
    <t xml:space="preserve"> 41</t>
  </si>
  <si>
    <t xml:space="preserve"> 40</t>
  </si>
  <si>
    <t xml:space="preserve"> 39</t>
  </si>
  <si>
    <t xml:space="preserve"> 38</t>
  </si>
  <si>
    <t xml:space="preserve"> 37</t>
  </si>
  <si>
    <t xml:space="preserve"> 36</t>
  </si>
  <si>
    <t xml:space="preserve"> 35</t>
  </si>
  <si>
    <t xml:space="preserve"> 34</t>
  </si>
  <si>
    <t xml:space="preserve"> 33</t>
  </si>
  <si>
    <t xml:space="preserve"> 32</t>
  </si>
  <si>
    <t>: 17=17.000</t>
  </si>
  <si>
    <t xml:space="preserve"> 31</t>
  </si>
  <si>
    <t>: 15=15.000</t>
  </si>
  <si>
    <t xml:space="preserve"> 30</t>
  </si>
  <si>
    <t xml:space="preserve"> 29</t>
  </si>
  <si>
    <t>: 2=2.000</t>
  </si>
  <si>
    <t xml:space="preserve"> 28</t>
  </si>
  <si>
    <t>: 13=13.000</t>
  </si>
  <si>
    <t xml:space="preserve"> 27</t>
  </si>
  <si>
    <t>Cu/CXV/DSTA/PVC 4x16-0,6/1kV: 25=25.000</t>
  </si>
  <si>
    <t xml:space="preserve"> 26</t>
  </si>
  <si>
    <t>: 160=160.000</t>
  </si>
  <si>
    <t xml:space="preserve"> 25</t>
  </si>
  <si>
    <t>: 583=583.000</t>
  </si>
  <si>
    <t xml:space="preserve"> 24</t>
  </si>
  <si>
    <t xml:space="preserve"> 23</t>
  </si>
  <si>
    <t>: 444*0.4=177.600</t>
  </si>
  <si>
    <t xml:space="preserve"> 22</t>
  </si>
  <si>
    <t>V÷a bª t«ng ®¸ 2x4M150: 17.76=17.760</t>
  </si>
  <si>
    <t xml:space="preserve"> 21</t>
  </si>
  <si>
    <t>: 444=444.000</t>
  </si>
  <si>
    <t xml:space="preserve"> 20</t>
  </si>
  <si>
    <t xml:space="preserve"> 19</t>
  </si>
  <si>
    <t>: 1=1.000</t>
  </si>
  <si>
    <t xml:space="preserve"> 18</t>
  </si>
  <si>
    <t>: 14=14.000</t>
  </si>
  <si>
    <t xml:space="preserve"> 17</t>
  </si>
  <si>
    <t xml:space="preserve"> 16</t>
  </si>
  <si>
    <t xml:space="preserve"> 15</t>
  </si>
  <si>
    <t xml:space="preserve"> 14</t>
  </si>
  <si>
    <t xml:space="preserve"> 13</t>
  </si>
  <si>
    <t>: 4=4.000</t>
  </si>
  <si>
    <t xml:space="preserve"> 12</t>
  </si>
  <si>
    <t xml:space="preserve"> 11</t>
  </si>
  <si>
    <t>: 25=25.000</t>
  </si>
  <si>
    <t xml:space="preserve"> 10</t>
  </si>
  <si>
    <t xml:space="preserve">  9</t>
  </si>
  <si>
    <t>§é chÆt yªu cÇu K=0.85: 109.99=109.990</t>
  </si>
  <si>
    <t xml:space="preserve">  8</t>
  </si>
  <si>
    <t>: 49.34=49.340</t>
  </si>
  <si>
    <t xml:space="preserve">  7</t>
  </si>
  <si>
    <t>V÷a bª t«ng ®¸ 2x4M150: 10.22=10.220</t>
  </si>
  <si>
    <t xml:space="preserve">  6</t>
  </si>
  <si>
    <t>: 16*3=48.000</t>
  </si>
  <si>
    <t xml:space="preserve">  5</t>
  </si>
  <si>
    <t xml:space="preserve">  4</t>
  </si>
  <si>
    <t xml:space="preserve">  3</t>
  </si>
  <si>
    <t>§Êt cÊp III: 126.24=126.240</t>
  </si>
  <si>
    <t xml:space="preserve">  2</t>
  </si>
  <si>
    <t>§Êt cÊp III: 29.62=29.620</t>
  </si>
  <si>
    <t xml:space="preserve">  1</t>
  </si>
  <si>
    <t>B- Nh©n c«ng :</t>
  </si>
  <si>
    <t>C- M¸y thi c«ng :</t>
  </si>
  <si>
    <t xml:space="preserve"> C- M¸y thi c«ng :</t>
  </si>
  <si>
    <t xml:space="preserve"> B- Nh©n c«ng :</t>
  </si>
  <si>
    <t xml:space="preserve"> A- VËt liÖu :</t>
  </si>
  <si>
    <t>A- VËt liÖu :</t>
  </si>
  <si>
    <t>%</t>
  </si>
  <si>
    <t xml:space="preserve">   - VËt liÖu kh¸c</t>
  </si>
  <si>
    <t>madm</t>
  </si>
  <si>
    <t>1x2/4N4</t>
  </si>
  <si>
    <t>31*Diezel</t>
  </si>
  <si>
    <t>M106.0105</t>
  </si>
  <si>
    <t>46*Diezel</t>
  </si>
  <si>
    <t>M106.0203</t>
  </si>
  <si>
    <t>1x1/4N4+1x3/4N4</t>
  </si>
  <si>
    <t>25*Diezel</t>
  </si>
  <si>
    <t>M102.1801</t>
  </si>
  <si>
    <t>1x3/7N4</t>
  </si>
  <si>
    <t>4*Xang</t>
  </si>
  <si>
    <t>M101.0803</t>
  </si>
  <si>
    <t>7*KWh</t>
  </si>
  <si>
    <t>M112.1301</t>
  </si>
  <si>
    <t>5*KWh</t>
  </si>
  <si>
    <t>M112.1101</t>
  </si>
  <si>
    <t>1x4/7N4</t>
  </si>
  <si>
    <t>43*Diezel</t>
  </si>
  <si>
    <t>M101.0101</t>
  </si>
  <si>
    <t>11*KWh</t>
  </si>
  <si>
    <t>M104.0102</t>
  </si>
  <si>
    <t>1x4/7N4+1x7/7N4</t>
  </si>
  <si>
    <t>201*KWh</t>
  </si>
  <si>
    <t>M111.0201</t>
  </si>
  <si>
    <t>0.9*KWh</t>
  </si>
  <si>
    <t>M112.1701</t>
  </si>
  <si>
    <t>48*KWh</t>
  </si>
  <si>
    <t>M112.4003</t>
  </si>
  <si>
    <t>3*KWh</t>
  </si>
  <si>
    <t>M112.2102</t>
  </si>
  <si>
    <t>M112.0801</t>
  </si>
  <si>
    <t>M102.0101</t>
  </si>
  <si>
    <t>273769.7</t>
  </si>
  <si>
    <t>252200.0</t>
  </si>
  <si>
    <t>230630.3</t>
  </si>
  <si>
    <t>218559.2</t>
  </si>
  <si>
    <t>262620.0</t>
  </si>
  <si>
    <t xml:space="preserve">     0</t>
  </si>
  <si>
    <t>- èng èng thÐp tr¸ng kÏm D60</t>
  </si>
  <si>
    <t>- èng nhùa HDPE F65/50 b¶o hé</t>
  </si>
  <si>
    <t>- §Ìn chiÕu s¸ng ®­êng phè Led 100W</t>
  </si>
  <si>
    <t>- §ë tñ ®iÖn chiÕu s¸ng (m¹ kÏm)</t>
  </si>
  <si>
    <t>- §Çu cèt ®ång M8</t>
  </si>
  <si>
    <t>- §Çu cèt ®ång M10</t>
  </si>
  <si>
    <t>C«ng tr×nh</t>
  </si>
  <si>
    <t xml:space="preserve">  AM.23412: « t« tù ®æ 7T, cù ly &lt;10km</t>
  </si>
  <si>
    <t>Tr­êng S¬n</t>
  </si>
  <si>
    <t xml:space="preserve">  AM.23411: « t« tù ®æ 7T, cù ly &lt;1km</t>
  </si>
  <si>
    <t xml:space="preserve">     9</t>
  </si>
  <si>
    <t>- §¸ d¨m 2x4</t>
  </si>
  <si>
    <t>- §inh</t>
  </si>
  <si>
    <t>- §ai thÐp kh«ng rØ</t>
  </si>
  <si>
    <t>- Xi m¨ng tr¾ng</t>
  </si>
  <si>
    <t xml:space="preserve">  AM.11242: thñ c«ng - bèc xuèng xe</t>
  </si>
  <si>
    <t>- Xi m¨ng PCB40</t>
  </si>
  <si>
    <t>- Xi m¨ng PCB30</t>
  </si>
  <si>
    <t>- Tñ ®iÖn chiÕu s¸ng PLC T§-03</t>
  </si>
  <si>
    <t>- ThÐp tiÕp ®Þa m¹ kÏm</t>
  </si>
  <si>
    <t>- N­íc</t>
  </si>
  <si>
    <t>- Mòi khoan hîp kim</t>
  </si>
  <si>
    <t>- Khãa ®ai thÐp</t>
  </si>
  <si>
    <t>- Khung mãng M24x300x300x750</t>
  </si>
  <si>
    <t>- Gç ®µ nÑp</t>
  </si>
  <si>
    <t>- Gç v¸n</t>
  </si>
  <si>
    <t>- Gç chèng</t>
  </si>
  <si>
    <t>- G¹ch thÎ</t>
  </si>
  <si>
    <t>- G¹ch Terrazzo 30x30x3cm</t>
  </si>
  <si>
    <t>- D©y ®ång trÇn M10</t>
  </si>
  <si>
    <t>- D©y ®iÖn Cu/PVC 1x6 mm2</t>
  </si>
  <si>
    <t>- Cöa cét</t>
  </si>
  <si>
    <t>- Cét thÐp trßn cao 7m D160/78 - 3mm</t>
  </si>
  <si>
    <t>- CÇu ®Êu d©y</t>
  </si>
  <si>
    <t>- CÇn ®Ìn CD-04 cao 2m, v­¬n 1,5m, dµy 3mm</t>
  </si>
  <si>
    <t xml:space="preserve">  AM.23112: « t« tù ®æ 7T, cù ly &lt;10km</t>
  </si>
  <si>
    <t>An Lç</t>
  </si>
  <si>
    <t xml:space="preserve">  AM.23111: « t« tù ®æ 7T, cù ly &lt;1km</t>
  </si>
  <si>
    <t xml:space="preserve">     5</t>
  </si>
  <si>
    <t>- C¸t ®óc</t>
  </si>
  <si>
    <t>- C¸t xay</t>
  </si>
  <si>
    <t>- C¸t t«</t>
  </si>
  <si>
    <t>- C¸p ngÇm CXV/DSTA/PVC 4x10-0,6/1kV</t>
  </si>
  <si>
    <t>- C¸p lªn ®Ìn CVV3x1,5</t>
  </si>
  <si>
    <t>- C¸p Cu/CXV/DSTA/PVC 4x16-0,6/1kV</t>
  </si>
  <si>
    <t>- B¶ng gæ phÝp 200x80x10</t>
  </si>
  <si>
    <t>- Bulon M8x30</t>
  </si>
  <si>
    <t>- Aptomat 1 cùc 6A-4,5kA</t>
  </si>
  <si>
    <t>*C - XE MAY</t>
  </si>
  <si>
    <t>*B - NH¢N C¤NG</t>
  </si>
  <si>
    <t>*A - V¢T LI£U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</si>
  <si>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</si>
  <si>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</si>
  <si>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</si>
  <si>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</si>
  <si>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</si>
  <si>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</si>
  <si>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</si>
  <si>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</si>
  <si>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</si>
  <si>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</si>
  <si>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</si>
  <si>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</si>
  <si>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Céng hoµ x· héi chñ nghÜa ViÖt Nam</t>
  </si>
  <si>
    <t>§éc lËp - Tù do - H¹nh phóc</t>
  </si>
  <si>
    <t>=======@@@=======</t>
  </si>
  <si>
    <t>C«ng tr×nh: §IÖN CHIÕU S¸NG §¦êNG THUËN THI£N, PH¦êNG H¦¥NG V¡N</t>
  </si>
  <si>
    <t>§ÞA §IÓM: PH¦êNG H¦¥NG V¡N, THÞ X· H¦¥NG TRµ, TØNH THõA THI£N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</si>
  <si>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</si>
  <si>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</si>
  <si>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</si>
  <si>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</si>
  <si>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</si>
  <si>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</si>
  <si>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</si>
  <si>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</si>
  <si>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</si>
  <si>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</si>
  <si>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</si>
  <si>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</si>
  <si>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</si>
  <si>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</si>
  <si>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</si>
  <si>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</si>
  <si>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</si>
  <si>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</si>
  <si>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</si>
  <si>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</si>
  <si>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</si>
  <si>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</si>
  <si>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</si>
  <si>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</si>
  <si>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</si>
  <si>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</si>
  <si>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</si>
  <si>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</si>
  <si>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</si>
  <si>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</si>
  <si>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</si>
  <si>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</si>
  <si>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</si>
  <si>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</si>
  <si>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</si>
  <si>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</si>
  <si>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</si>
  <si>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</si>
  <si>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</si>
  <si>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</si>
  <si>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</si>
  <si>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</si>
  <si>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</si>
  <si>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</si>
  <si>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</si>
  <si>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</si>
  <si>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</si>
  <si>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</si>
  <si>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</si>
  <si>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</si>
  <si>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</si>
  <si>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</si>
  <si>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</si>
  <si>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</si>
  <si>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</si>
  <si>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</si>
  <si>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</si>
  <si>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</si>
  <si>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</si>
  <si>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</si>
  <si>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</si>
  <si>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</si>
  <si>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</si>
  <si>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</si>
  <si>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</si>
  <si>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</si>
  <si>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</si>
  <si>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 xml:space="preserve"> G*8%</t>
  </si>
  <si>
    <t xml:space="preserve"> G1*2.901%/1.08</t>
  </si>
  <si>
    <t>Tèi thiÓu</t>
  </si>
  <si>
    <t xml:space="preserve"> G1*0.25%</t>
  </si>
  <si>
    <t xml:space="preserve"> (G-G5)*0.57%</t>
  </si>
  <si>
    <t>T¹m tÝnh</t>
  </si>
  <si>
    <t xml:space="preserve"> (G1+...+G5)</t>
  </si>
  <si>
    <t>§· thÈm tra</t>
  </si>
  <si>
    <t xml:space="preserve">KẾ HOẠCH LỰA CHỌN NHÀ THẦU </t>
  </si>
  <si>
    <t>(Kèm theo Quyết định số        /QĐ-UBND ngày         /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</si>
  <si>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</si>
  <si>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</si>
  <si>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</si>
  <si>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</si>
  <si>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</si>
  <si>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</si>
  <si>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</si>
  <si>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</si>
  <si>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</si>
  <si>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I</t>
  </si>
  <si>
    <t>Phần công việc đã thực hiện</t>
  </si>
  <si>
    <t>Đã thực hiện</t>
  </si>
  <si>
    <t>Gói thầu số 02: Thẩm tra thiết kế BVTC và dự toán</t>
  </si>
  <si>
    <t>II</t>
  </si>
  <si>
    <t>Phần công việc thuộc kế hoạch lựa chọn nhà thầu</t>
  </si>
  <si>
    <t xml:space="preserve">Gói thầu số 03: Toàn bộ phần xây lắp </t>
  </si>
  <si>
    <t>Chỉ định thầu</t>
  </si>
  <si>
    <t>Quý III/2023</t>
  </si>
  <si>
    <t>Trọn gói</t>
  </si>
  <si>
    <t xml:space="preserve">Gói thầu số 04: Giám sát thi công </t>
  </si>
  <si>
    <t>Gói thầu số 05: Bảo hiểm công trình</t>
  </si>
  <si>
    <t>III</t>
  </si>
  <si>
    <t>Phần công việc không áp dụng được một trong các hình thức lựa chọn nhà thầu</t>
  </si>
  <si>
    <t>Chủ đầu tư và các cơ quan liên quan thực hiện</t>
  </si>
  <si>
    <t>IV</t>
  </si>
  <si>
    <t>Dự phòng</t>
  </si>
  <si>
    <t>Tổng cộng</t>
  </si>
  <si>
    <t>BẢNG TỔNG MỨC ĐẦU TƯ</t>
  </si>
  <si>
    <t>ĐVT: đồng.</t>
  </si>
  <si>
    <t>Dù phßng</t>
  </si>
  <si>
    <t>Tæng céng(1+2+3+4+5)</t>
  </si>
  <si>
    <t xml:space="preserve"> A1</t>
  </si>
  <si>
    <t>(Kèm theo Quyết định số         /QĐ-UBND ngày         /      /2023 của UBND thị xã Hương Trà)</t>
  </si>
  <si>
    <t>Gói thầu số 01: Khảo sát, lập báo cáo kinh tế kỹ thuật</t>
  </si>
  <si>
    <t>Quản lý dự án; Thẩm định BCKTKT; Thẩm tra, phê duyệt quyết toán; Thẩm định giá</t>
  </si>
  <si>
    <t>Bổ sung có mục tiêu của tỉnh 900 triệu đồng, phần còn lại ngân sách phường Hương Văn</t>
  </si>
  <si>
    <t>100 ngày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</si>
</sst>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69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12"/>
      <name val=".VnTimeH"/>
      <family val="2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1"/>
      <color indexed="8"/>
      <name val=".VnTimeH"/>
      <family val="2"/>
    </font>
    <font>
      <b/>
      <i/>
      <sz val="12"/>
      <color indexed="8"/>
      <name val=".VnTime"/>
      <family val="2"/>
    </font>
    <font>
      <b/>
      <sz val="13"/>
      <color indexed="8"/>
      <name val=".VnArialH"/>
      <family val="2"/>
    </font>
    <font>
      <u val="single"/>
      <sz val="12"/>
      <color indexed="30"/>
      <name val=".VnTime"/>
      <family val="2"/>
    </font>
    <font>
      <u val="single"/>
      <sz val="12"/>
      <color indexed="25"/>
      <name val=".VnTime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i/>
      <sz val="13"/>
      <color theme="1"/>
      <name val="Times New Roman"/>
      <family val="1"/>
    </font>
    <font>
      <b/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5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3" fontId="55" fillId="0" borderId="17" xfId="0" applyNumberFormat="1" applyFont="1" applyBorder="1" applyAlignment="1">
      <alignment/>
    </xf>
    <xf numFmtId="3" fontId="55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55" fillId="0" borderId="21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165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165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58" fillId="0" borderId="22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165" fontId="58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165" fontId="59" fillId="0" borderId="11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165" fontId="58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8" fillId="0" borderId="15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165" fontId="59" fillId="0" borderId="17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8" xfId="0" applyNumberFormat="1" applyFont="1" applyBorder="1" applyAlignment="1">
      <alignment/>
    </xf>
    <xf numFmtId="164" fontId="58" fillId="0" borderId="0" xfId="0" applyNumberFormat="1" applyFont="1" applyAlignment="1">
      <alignment horizontal="right"/>
    </xf>
    <xf numFmtId="164" fontId="59" fillId="0" borderId="17" xfId="0" applyNumberFormat="1" applyFont="1" applyBorder="1" applyAlignment="1">
      <alignment horizontal="right"/>
    </xf>
    <xf numFmtId="164" fontId="58" fillId="0" borderId="11" xfId="0" applyNumberFormat="1" applyFont="1" applyBorder="1" applyAlignment="1">
      <alignment horizontal="right"/>
    </xf>
    <xf numFmtId="164" fontId="59" fillId="0" borderId="11" xfId="0" applyNumberFormat="1" applyFont="1" applyBorder="1" applyAlignment="1">
      <alignment horizontal="right"/>
    </xf>
    <xf numFmtId="164" fontId="58" fillId="0" borderId="14" xfId="0" applyNumberFormat="1" applyFont="1" applyBorder="1" applyAlignment="1">
      <alignment horizontal="right"/>
    </xf>
    <xf numFmtId="164" fontId="59" fillId="0" borderId="0" xfId="0" applyNumberFormat="1" applyFont="1" applyAlignment="1">
      <alignment horizontal="right"/>
    </xf>
    <xf numFmtId="165" fontId="59" fillId="0" borderId="24" xfId="0" applyNumberFormat="1" applyFont="1" applyBorder="1" applyAlignment="1">
      <alignment horizontal="center" vertical="center"/>
    </xf>
    <xf numFmtId="3" fontId="59" fillId="0" borderId="24" xfId="0" applyNumberFormat="1" applyFont="1" applyBorder="1" applyAlignment="1">
      <alignment horizontal="center" vertical="center"/>
    </xf>
    <xf numFmtId="3" fontId="59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55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55" fillId="0" borderId="0" xfId="0" applyNumberFormat="1" applyFont="1" applyAlignment="1">
      <alignment/>
    </xf>
    <xf numFmtId="166" fontId="55" fillId="0" borderId="20" xfId="0" applyNumberFormat="1" applyFont="1" applyBorder="1" applyAlignment="1">
      <alignment horizontal="center" vertical="center"/>
    </xf>
    <xf numFmtId="165" fontId="55" fillId="0" borderId="20" xfId="0" applyNumberFormat="1" applyFont="1" applyBorder="1" applyAlignment="1">
      <alignment horizontal="center" vertical="center"/>
    </xf>
    <xf numFmtId="165" fontId="55" fillId="0" borderId="2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165" fontId="60" fillId="0" borderId="0" xfId="0" applyNumberFormat="1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4" fontId="60" fillId="0" borderId="11" xfId="0" applyNumberFormat="1" applyFont="1" applyBorder="1" applyAlignment="1">
      <alignment/>
    </xf>
    <xf numFmtId="165" fontId="60" fillId="0" borderId="11" xfId="0" applyNumberFormat="1" applyFont="1" applyBorder="1" applyAlignment="1">
      <alignment/>
    </xf>
    <xf numFmtId="165" fontId="60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3" fontId="60" fillId="0" borderId="14" xfId="0" applyNumberFormat="1" applyFont="1" applyBorder="1" applyAlignment="1">
      <alignment/>
    </xf>
    <xf numFmtId="4" fontId="60" fillId="0" borderId="14" xfId="0" applyNumberFormat="1" applyFont="1" applyBorder="1" applyAlignment="1">
      <alignment/>
    </xf>
    <xf numFmtId="165" fontId="60" fillId="0" borderId="14" xfId="0" applyNumberFormat="1" applyFont="1" applyBorder="1" applyAlignment="1">
      <alignment/>
    </xf>
    <xf numFmtId="165" fontId="60" fillId="0" borderId="15" xfId="0" applyNumberFormat="1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3" fontId="60" fillId="0" borderId="17" xfId="0" applyNumberFormat="1" applyFont="1" applyBorder="1" applyAlignment="1">
      <alignment/>
    </xf>
    <xf numFmtId="4" fontId="60" fillId="0" borderId="17" xfId="0" applyNumberFormat="1" applyFont="1" applyBorder="1" applyAlignment="1">
      <alignment/>
    </xf>
    <xf numFmtId="165" fontId="60" fillId="0" borderId="17" xfId="0" applyNumberFormat="1" applyFont="1" applyBorder="1" applyAlignment="1">
      <alignment/>
    </xf>
    <xf numFmtId="165" fontId="60" fillId="0" borderId="18" xfId="0" applyNumberFormat="1" applyFont="1" applyBorder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165" fontId="61" fillId="0" borderId="0" xfId="0" applyNumberFormat="1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3" fontId="61" fillId="0" borderId="20" xfId="0" applyNumberFormat="1" applyFont="1" applyBorder="1" applyAlignment="1">
      <alignment horizontal="center" vertical="center" wrapText="1"/>
    </xf>
    <xf numFmtId="4" fontId="61" fillId="0" borderId="20" xfId="0" applyNumberFormat="1" applyFont="1" applyBorder="1" applyAlignment="1">
      <alignment horizontal="center" vertical="center" wrapText="1"/>
    </xf>
    <xf numFmtId="165" fontId="61" fillId="0" borderId="20" xfId="0" applyNumberFormat="1" applyFont="1" applyBorder="1" applyAlignment="1">
      <alignment horizontal="center" vertical="center" wrapText="1"/>
    </xf>
    <xf numFmtId="165" fontId="61" fillId="0" borderId="21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/>
    </xf>
    <xf numFmtId="4" fontId="58" fillId="0" borderId="23" xfId="0" applyNumberFormat="1" applyFont="1" applyBorder="1" applyAlignment="1">
      <alignment/>
    </xf>
    <xf numFmtId="165" fontId="62" fillId="0" borderId="11" xfId="0" applyNumberFormat="1" applyFont="1" applyBorder="1" applyAlignment="1">
      <alignment/>
    </xf>
    <xf numFmtId="165" fontId="62" fillId="0" borderId="12" xfId="0" applyNumberFormat="1" applyFont="1" applyBorder="1" applyAlignment="1">
      <alignment/>
    </xf>
    <xf numFmtId="165" fontId="58" fillId="0" borderId="12" xfId="0" applyNumberFormat="1" applyFont="1" applyBorder="1" applyAlignment="1">
      <alignment/>
    </xf>
    <xf numFmtId="165" fontId="62" fillId="0" borderId="14" xfId="0" applyNumberFormat="1" applyFont="1" applyBorder="1" applyAlignment="1">
      <alignment/>
    </xf>
    <xf numFmtId="165" fontId="62" fillId="0" borderId="15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11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4" fontId="58" fillId="0" borderId="0" xfId="0" applyNumberFormat="1" applyFont="1" applyAlignment="1">
      <alignment horizontal="center"/>
    </xf>
    <xf numFmtId="4" fontId="58" fillId="0" borderId="11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right"/>
    </xf>
    <xf numFmtId="165" fontId="58" fillId="0" borderId="17" xfId="0" applyNumberFormat="1" applyFont="1" applyBorder="1" applyAlignment="1">
      <alignment/>
    </xf>
    <xf numFmtId="4" fontId="58" fillId="0" borderId="17" xfId="0" applyNumberFormat="1" applyFont="1" applyBorder="1" applyAlignment="1">
      <alignment horizontal="center"/>
    </xf>
    <xf numFmtId="165" fontId="62" fillId="0" borderId="17" xfId="0" applyNumberFormat="1" applyFont="1" applyBorder="1" applyAlignment="1">
      <alignment/>
    </xf>
    <xf numFmtId="165" fontId="62" fillId="0" borderId="18" xfId="0" applyNumberFormat="1" applyFont="1" applyBorder="1" applyAlignment="1">
      <alignment/>
    </xf>
    <xf numFmtId="0" fontId="59" fillId="0" borderId="0" xfId="0" applyFont="1" applyAlignment="1">
      <alignment horizontal="right"/>
    </xf>
    <xf numFmtId="4" fontId="59" fillId="0" borderId="0" xfId="0" applyNumberFormat="1" applyFont="1" applyAlignment="1">
      <alignment horizontal="center"/>
    </xf>
    <xf numFmtId="0" fontId="63" fillId="0" borderId="20" xfId="0" applyFont="1" applyBorder="1" applyAlignment="1">
      <alignment horizontal="center" vertical="center" wrapText="1"/>
    </xf>
    <xf numFmtId="165" fontId="63" fillId="0" borderId="20" xfId="0" applyNumberFormat="1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165" fontId="59" fillId="0" borderId="20" xfId="0" applyNumberFormat="1" applyFont="1" applyBorder="1" applyAlignment="1">
      <alignment horizontal="center" vertical="center" wrapText="1"/>
    </xf>
    <xf numFmtId="165" fontId="59" fillId="0" borderId="20" xfId="0" applyNumberFormat="1" applyFont="1" applyBorder="1" applyAlignment="1">
      <alignment horizontal="center" vertical="center"/>
    </xf>
    <xf numFmtId="165" fontId="59" fillId="0" borderId="21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right"/>
    </xf>
    <xf numFmtId="4" fontId="58" fillId="0" borderId="23" xfId="0" applyNumberFormat="1" applyFont="1" applyBorder="1" applyAlignment="1">
      <alignment horizontal="right"/>
    </xf>
    <xf numFmtId="164" fontId="58" fillId="0" borderId="26" xfId="0" applyNumberFormat="1" applyFont="1" applyBorder="1" applyAlignment="1">
      <alignment horizontal="right"/>
    </xf>
    <xf numFmtId="4" fontId="59" fillId="0" borderId="0" xfId="0" applyNumberFormat="1" applyFont="1" applyAlignment="1">
      <alignment horizontal="right"/>
    </xf>
    <xf numFmtId="4" fontId="59" fillId="0" borderId="0" xfId="0" applyNumberFormat="1" applyFont="1" applyAlignment="1">
      <alignment/>
    </xf>
    <xf numFmtId="4" fontId="59" fillId="0" borderId="20" xfId="0" applyNumberFormat="1" applyFont="1" applyBorder="1" applyAlignment="1">
      <alignment horizontal="center" vertical="center" wrapText="1"/>
    </xf>
    <xf numFmtId="4" fontId="59" fillId="0" borderId="20" xfId="0" applyNumberFormat="1" applyFont="1" applyBorder="1" applyAlignment="1">
      <alignment horizontal="center" vertical="center"/>
    </xf>
    <xf numFmtId="164" fontId="59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5" fillId="0" borderId="11" xfId="0" applyNumberFormat="1" applyFont="1" applyBorder="1" applyAlignment="1">
      <alignment/>
    </xf>
    <xf numFmtId="4" fontId="55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55" fillId="0" borderId="17" xfId="0" applyNumberFormat="1" applyFont="1" applyBorder="1" applyAlignment="1">
      <alignment/>
    </xf>
    <xf numFmtId="4" fontId="55" fillId="0" borderId="18" xfId="0" applyNumberFormat="1" applyFont="1" applyBorder="1" applyAlignment="1">
      <alignment/>
    </xf>
    <xf numFmtId="4" fontId="55" fillId="0" borderId="20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55" fillId="0" borderId="11" xfId="0" applyNumberFormat="1" applyFont="1" applyBorder="1" applyAlignment="1">
      <alignment/>
    </xf>
    <xf numFmtId="164" fontId="55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55" fillId="0" borderId="17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 horizontal="center" vertical="center"/>
    </xf>
    <xf numFmtId="164" fontId="55" fillId="0" borderId="21" xfId="0" applyNumberFormat="1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/>
    </xf>
    <xf numFmtId="165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164" fontId="3" fillId="0" borderId="27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 quotePrefix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164" fontId="59" fillId="0" borderId="30" xfId="0" applyNumberFormat="1" applyFont="1" applyBorder="1" applyAlignment="1">
      <alignment horizontal="center" vertical="center" wrapText="1"/>
    </xf>
    <xf numFmtId="165" fontId="59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59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7">
      <selection activeCell="K14" sqref="K14"/>
    </sheetView>
  </sheetViews>
  <sheetFormatPr defaultColWidth="8.796875" defaultRowHeight="15"/>
  <cols>
    <col min="1" max="1" width="5.09765625" style="196" customWidth="1"/>
    <col min="2" max="2" width="40" style="196" customWidth="1"/>
    <col min="3" max="3" width="10.8984375" style="196" customWidth="1"/>
    <col min="4" max="4" width="12.09765625" style="230" customWidth="1"/>
    <col min="5" max="5" width="17" style="231" customWidth="1"/>
    <col min="6" max="6" width="12.09765625" style="231" customWidth="1"/>
    <col min="7" max="7" width="13.19921875" style="231" bestFit="1" customWidth="1"/>
    <col min="8" max="8" width="11.5" style="232" customWidth="1"/>
    <col min="9" max="9" width="12" style="232" customWidth="1"/>
    <col min="10" max="16384" width="9" style="196" customWidth="1"/>
  </cols>
  <sheetData>
    <row r="1" spans="1:256" ht="18.75">
      <c r="A1" s="234" t="s">
        <v>570</v>
      </c>
      <c r="B1" s="234"/>
      <c r="C1" s="234"/>
      <c r="D1" s="234"/>
      <c r="E1" s="234"/>
      <c r="F1" s="234"/>
      <c r="G1" s="234"/>
      <c r="H1" s="234"/>
      <c r="I1" s="234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  <c r="IV1" s="190"/>
    </row>
    <row r="2" spans="1:256" ht="18.75">
      <c r="A2" s="235" t="str">
        <f>+'Tong du toan'!A7:G7</f>
        <v>C«ng tr×nh: §IÖN CHIÕU S¸NG §¦êNG THUËN THI£N, PH¦êNG H¦¥NG V¡N</v>
      </c>
      <c r="B2" s="235"/>
      <c r="C2" s="235"/>
      <c r="D2" s="235"/>
      <c r="E2" s="235"/>
      <c r="F2" s="235"/>
      <c r="G2" s="235"/>
      <c r="H2" s="235"/>
      <c r="I2" s="235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ht="18.75">
      <c r="A3" s="236" t="s">
        <v>571</v>
      </c>
      <c r="B3" s="236"/>
      <c r="C3" s="236"/>
      <c r="D3" s="236"/>
      <c r="E3" s="236"/>
      <c r="F3" s="236"/>
      <c r="G3" s="236"/>
      <c r="H3" s="236"/>
      <c r="I3" s="236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9" ht="15">
      <c r="A4" s="192"/>
      <c r="B4" s="192"/>
      <c r="C4" s="192"/>
      <c r="D4" s="193"/>
      <c r="E4" s="194"/>
      <c r="F4" s="194"/>
      <c r="G4" s="194"/>
      <c r="H4" s="195"/>
      <c r="I4" s="195"/>
    </row>
    <row r="5" spans="1:256" ht="93.75">
      <c r="A5" s="197" t="s">
        <v>572</v>
      </c>
      <c r="B5" s="197" t="s">
        <v>573</v>
      </c>
      <c r="C5" s="197" t="s">
        <v>574</v>
      </c>
      <c r="D5" s="197" t="s">
        <v>575</v>
      </c>
      <c r="E5" s="197" t="s">
        <v>576</v>
      </c>
      <c r="F5" s="197" t="s">
        <v>577</v>
      </c>
      <c r="G5" s="197" t="s">
        <v>578</v>
      </c>
      <c r="H5" s="197" t="s">
        <v>579</v>
      </c>
      <c r="I5" s="197" t="s">
        <v>580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</row>
    <row r="6" spans="1:9" ht="18.75">
      <c r="A6" s="198" t="s">
        <v>581</v>
      </c>
      <c r="B6" s="199" t="s">
        <v>582</v>
      </c>
      <c r="C6" s="200">
        <f>+SUM(C7:C8)</f>
        <v>0</v>
      </c>
      <c r="D6" s="237" t="s">
        <v>607</v>
      </c>
      <c r="E6" s="201"/>
      <c r="F6" s="201"/>
      <c r="G6" s="201"/>
      <c r="H6" s="202"/>
      <c r="I6" s="202"/>
    </row>
    <row r="7" spans="1:9" ht="37.5">
      <c r="A7" s="203" t="s">
        <v>2</v>
      </c>
      <c r="B7" s="204" t="s">
        <v>605</v>
      </c>
      <c r="C7" s="205">
        <f>+'Tong du toan'!M15/1000</f>
        <v>0</v>
      </c>
      <c r="D7" s="238"/>
      <c r="E7" s="206"/>
      <c r="F7" s="206"/>
      <c r="G7" s="207" t="s">
        <v>583</v>
      </c>
      <c r="H7" s="208"/>
      <c r="I7" s="208"/>
    </row>
    <row r="8" spans="1:9" ht="37.5">
      <c r="A8" s="203">
        <v>2</v>
      </c>
      <c r="B8" s="204" t="s">
        <v>584</v>
      </c>
      <c r="C8" s="205">
        <f>+'Tong du toan'!M16/1000</f>
        <v>0</v>
      </c>
      <c r="D8" s="238"/>
      <c r="E8" s="206"/>
      <c r="F8" s="206"/>
      <c r="G8" s="207" t="s">
        <v>583</v>
      </c>
      <c r="H8" s="208"/>
      <c r="I8" s="208"/>
    </row>
    <row r="9" spans="1:256" ht="37.5">
      <c r="A9" s="198" t="s">
        <v>585</v>
      </c>
      <c r="B9" s="209" t="s">
        <v>586</v>
      </c>
      <c r="C9" s="200">
        <f>+SUM(C10:C12)</f>
        <v>0</v>
      </c>
      <c r="D9" s="238"/>
      <c r="E9" s="201"/>
      <c r="F9" s="201"/>
      <c r="G9" s="201"/>
      <c r="H9" s="202"/>
      <c r="I9" s="20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pans="1:256" ht="18.75">
      <c r="A10" s="203">
        <v>1</v>
      </c>
      <c r="B10" s="204" t="s">
        <v>587</v>
      </c>
      <c r="C10" s="205">
        <f>+'Tong du toan'!M17/1000</f>
        <v>0</v>
      </c>
      <c r="D10" s="238"/>
      <c r="E10" s="210" t="s">
        <v>588</v>
      </c>
      <c r="F10" s="211"/>
      <c r="G10" s="210" t="s">
        <v>589</v>
      </c>
      <c r="H10" s="212" t="s">
        <v>590</v>
      </c>
      <c r="I10" s="212" t="s">
        <v>608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</row>
    <row r="11" spans="1:256" ht="18.75">
      <c r="A11" s="203">
        <v>2</v>
      </c>
      <c r="B11" s="204" t="s">
        <v>591</v>
      </c>
      <c r="C11" s="205">
        <f>+'Tong du toan'!M18/1000</f>
        <v>0</v>
      </c>
      <c r="D11" s="238"/>
      <c r="E11" s="210" t="s">
        <v>588</v>
      </c>
      <c r="F11" s="211"/>
      <c r="G11" s="210" t="s">
        <v>589</v>
      </c>
      <c r="H11" s="212" t="s">
        <v>590</v>
      </c>
      <c r="I11" s="212" t="s">
        <v>608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  <c r="IV11" s="213"/>
    </row>
    <row r="12" spans="1:256" ht="18.75">
      <c r="A12" s="203">
        <v>3</v>
      </c>
      <c r="B12" s="204" t="s">
        <v>592</v>
      </c>
      <c r="C12" s="205">
        <f>+'Tong du toan'!M19/1000</f>
        <v>0</v>
      </c>
      <c r="D12" s="238"/>
      <c r="E12" s="210" t="s">
        <v>588</v>
      </c>
      <c r="F12" s="211"/>
      <c r="G12" s="210" t="s">
        <v>589</v>
      </c>
      <c r="H12" s="212" t="s">
        <v>590</v>
      </c>
      <c r="I12" s="212" t="s">
        <v>608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</row>
    <row r="13" spans="1:9" ht="56.25">
      <c r="A13" s="198" t="s">
        <v>593</v>
      </c>
      <c r="B13" s="209" t="s">
        <v>594</v>
      </c>
      <c r="C13" s="200">
        <f>+C14</f>
        <v>0</v>
      </c>
      <c r="D13" s="238"/>
      <c r="E13" s="201"/>
      <c r="F13" s="201"/>
      <c r="G13" s="201"/>
      <c r="H13" s="202"/>
      <c r="I13" s="202"/>
    </row>
    <row r="14" spans="1:256" ht="56.25">
      <c r="A14" s="214">
        <v>1</v>
      </c>
      <c r="B14" s="215" t="s">
        <v>606</v>
      </c>
      <c r="C14" s="216">
        <f>+'Tong du toan'!M20/1000</f>
        <v>0</v>
      </c>
      <c r="D14" s="238"/>
      <c r="E14" s="217" t="s">
        <v>595</v>
      </c>
      <c r="F14" s="218"/>
      <c r="G14" s="218"/>
      <c r="H14" s="219"/>
      <c r="I14" s="219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0"/>
    </row>
    <row r="15" spans="1:256" ht="18.75">
      <c r="A15" s="221" t="s">
        <v>596</v>
      </c>
      <c r="B15" s="222" t="s">
        <v>597</v>
      </c>
      <c r="C15" s="223">
        <f>+'Tong du toan'!M21/1000</f>
        <v>0</v>
      </c>
      <c r="D15" s="224"/>
      <c r="E15" s="225"/>
      <c r="F15" s="225"/>
      <c r="G15" s="225"/>
      <c r="H15" s="226"/>
      <c r="I15" s="226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  <c r="IV15" s="227"/>
    </row>
    <row r="16" spans="1:9" ht="18.75">
      <c r="A16" s="228" t="s">
        <v>0</v>
      </c>
      <c r="B16" s="209" t="s">
        <v>598</v>
      </c>
      <c r="C16" s="200">
        <f>+C13+C9+C6+C15</f>
        <v>0</v>
      </c>
      <c r="D16" s="229"/>
      <c r="E16" s="206"/>
      <c r="F16" s="206"/>
      <c r="G16" s="206"/>
      <c r="H16" s="208"/>
      <c r="I16" s="208"/>
    </row>
  </sheetData>
  <sheetProtection/>
  <mergeCells count="4">
    <mergeCell ref="A1:I1"/>
    <mergeCell ref="A2:I2"/>
    <mergeCell ref="A3:I3"/>
    <mergeCell ref="D6:D14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1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78" customWidth="1"/>
    <col min="7" max="7" width="13.5" style="178" customWidth="1"/>
    <col min="8" max="16384" width="9" style="6" customWidth="1"/>
  </cols>
  <sheetData>
    <row r="1" spans="1:7" ht="21">
      <c r="A1" s="245" t="s">
        <v>561</v>
      </c>
      <c r="B1" s="245"/>
      <c r="C1" s="245"/>
      <c r="D1" s="245"/>
      <c r="E1" s="245"/>
      <c r="F1" s="245"/>
      <c r="G1" s="245"/>
    </row>
    <row r="2" spans="1:7" ht="15.75">
      <c r="A2" s="2"/>
      <c r="B2" s="2"/>
      <c r="C2" s="2"/>
      <c r="D2" s="2"/>
      <c r="E2" s="3"/>
      <c r="F2" s="3"/>
      <c r="G2" s="3"/>
    </row>
    <row r="3" spans="1:7" s="39" customFormat="1" ht="16.5">
      <c r="A3" s="244" t="s">
        <v>493</v>
      </c>
      <c r="B3" s="244"/>
      <c r="C3" s="244"/>
      <c r="D3" s="244"/>
      <c r="E3" s="244"/>
      <c r="F3" s="244"/>
      <c r="G3" s="244"/>
    </row>
    <row r="4" spans="1:7" s="39" customFormat="1" ht="16.5">
      <c r="A4" s="244" t="s">
        <v>494</v>
      </c>
      <c r="B4" s="244"/>
      <c r="C4" s="244"/>
      <c r="D4" s="244"/>
      <c r="E4" s="244"/>
      <c r="F4" s="244"/>
      <c r="G4" s="244"/>
    </row>
    <row r="5" spans="1:7" s="39" customFormat="1" ht="16.5">
      <c r="A5" s="244"/>
      <c r="B5" s="244"/>
      <c r="C5" s="244"/>
      <c r="D5" s="244"/>
      <c r="E5" s="244"/>
      <c r="F5" s="244"/>
      <c r="G5" s="244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34" t="s">
        <v>284</v>
      </c>
      <c r="B7" s="36" t="s">
        <v>505</v>
      </c>
      <c r="C7" s="35" t="s">
        <v>506</v>
      </c>
      <c r="D7" s="36" t="s">
        <v>515</v>
      </c>
      <c r="E7" s="187" t="s">
        <v>560</v>
      </c>
      <c r="F7" s="187" t="s">
        <v>516</v>
      </c>
      <c r="G7" s="188" t="s">
        <v>557</v>
      </c>
    </row>
    <row r="8" spans="1:7" ht="15.75">
      <c r="A8" s="20" t="s">
        <v>0</v>
      </c>
      <c r="B8" s="21" t="s">
        <v>0</v>
      </c>
      <c r="C8" s="21" t="s">
        <v>1</v>
      </c>
      <c r="D8" s="21" t="s">
        <v>0</v>
      </c>
      <c r="E8" s="185"/>
      <c r="F8" s="185"/>
      <c r="G8" s="186"/>
    </row>
    <row r="9" spans="1:7" ht="15">
      <c r="A9" s="12" t="s">
        <v>0</v>
      </c>
      <c r="B9" s="13" t="s">
        <v>0</v>
      </c>
      <c r="C9" s="13" t="s">
        <v>0</v>
      </c>
      <c r="D9" s="13" t="s">
        <v>0</v>
      </c>
      <c r="E9" s="181"/>
      <c r="F9" s="181"/>
      <c r="G9" s="182"/>
    </row>
    <row r="10" spans="1:7" ht="15">
      <c r="A10" s="12" t="s">
        <v>2</v>
      </c>
      <c r="B10" s="13" t="s">
        <v>3</v>
      </c>
      <c r="C10" s="13" t="s">
        <v>4</v>
      </c>
      <c r="D10" s="13" t="s">
        <v>5</v>
      </c>
      <c r="E10" s="181">
        <f>'Du toan chi tiet'!E10</f>
        <v>29.62</v>
      </c>
      <c r="F10" s="181"/>
      <c r="G10" s="182"/>
    </row>
    <row r="11" spans="1:7" ht="15">
      <c r="A11" s="12" t="s">
        <v>0</v>
      </c>
      <c r="B11" s="13" t="s">
        <v>0</v>
      </c>
      <c r="C11" s="13" t="s">
        <v>6</v>
      </c>
      <c r="D11" s="13" t="s">
        <v>0</v>
      </c>
      <c r="E11" s="181"/>
      <c r="F11" s="181"/>
      <c r="G11" s="182"/>
    </row>
    <row r="12" spans="1:7" ht="15">
      <c r="A12" s="12" t="s">
        <v>0</v>
      </c>
      <c r="B12" s="13" t="s">
        <v>0</v>
      </c>
      <c r="C12" s="13" t="s">
        <v>7</v>
      </c>
      <c r="D12" s="13" t="s">
        <v>8</v>
      </c>
      <c r="E12" s="181"/>
      <c r="F12" s="181">
        <f>0.0461</f>
        <v>0.0461</v>
      </c>
      <c r="G12" s="182">
        <f>E10*F12</f>
        <v>1.365482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181"/>
      <c r="F13" s="181">
        <f>0.00897</f>
        <v>0.00897</v>
      </c>
      <c r="G13" s="182">
        <f>E10*F13</f>
        <v>0.2656914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181"/>
      <c r="F14" s="181"/>
      <c r="G14" s="182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181">
        <f>'Du toan chi tiet'!E12</f>
        <v>126.24</v>
      </c>
      <c r="F15" s="181"/>
      <c r="G15" s="182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181"/>
      <c r="F16" s="181"/>
      <c r="G16" s="182"/>
    </row>
    <row r="17" spans="1:7" ht="15">
      <c r="A17" s="12" t="s">
        <v>0</v>
      </c>
      <c r="B17" s="13" t="s">
        <v>0</v>
      </c>
      <c r="C17" s="13" t="s">
        <v>7</v>
      </c>
      <c r="D17" s="13" t="s">
        <v>8</v>
      </c>
      <c r="E17" s="181"/>
      <c r="F17" s="181">
        <f>1.62</f>
        <v>1.62</v>
      </c>
      <c r="G17" s="182">
        <f>E15*F17</f>
        <v>204.5088</v>
      </c>
    </row>
    <row r="18" spans="1:7" ht="15">
      <c r="A18" s="12" t="s">
        <v>0</v>
      </c>
      <c r="B18" s="13" t="s">
        <v>0</v>
      </c>
      <c r="C18" s="13" t="s">
        <v>0</v>
      </c>
      <c r="D18" s="13" t="s">
        <v>0</v>
      </c>
      <c r="E18" s="181"/>
      <c r="F18" s="181"/>
      <c r="G18" s="182"/>
    </row>
    <row r="19" spans="1:7" ht="15">
      <c r="A19" s="12" t="s">
        <v>14</v>
      </c>
      <c r="B19" s="13" t="s">
        <v>15</v>
      </c>
      <c r="C19" s="13" t="s">
        <v>16</v>
      </c>
      <c r="D19" s="13" t="s">
        <v>17</v>
      </c>
      <c r="E19" s="181">
        <f>'Du toan chi tiet'!E14</f>
        <v>15</v>
      </c>
      <c r="F19" s="181"/>
      <c r="G19" s="182"/>
    </row>
    <row r="20" spans="1:7" ht="15">
      <c r="A20" s="12" t="s">
        <v>0</v>
      </c>
      <c r="B20" s="13" t="s">
        <v>0</v>
      </c>
      <c r="C20" s="13" t="s">
        <v>18</v>
      </c>
      <c r="D20" s="13" t="s">
        <v>17</v>
      </c>
      <c r="E20" s="181"/>
      <c r="F20" s="181">
        <f>1</f>
        <v>1</v>
      </c>
      <c r="G20" s="182">
        <f>E19*F20</f>
        <v>15</v>
      </c>
    </row>
    <row r="21" spans="1:7" ht="15">
      <c r="A21" s="12" t="s">
        <v>0</v>
      </c>
      <c r="B21" s="13" t="s">
        <v>0</v>
      </c>
      <c r="C21" s="13" t="s">
        <v>0</v>
      </c>
      <c r="D21" s="13" t="s">
        <v>0</v>
      </c>
      <c r="E21" s="181"/>
      <c r="F21" s="181"/>
      <c r="G21" s="182"/>
    </row>
    <row r="22" spans="1:7" ht="15">
      <c r="A22" s="12" t="s">
        <v>19</v>
      </c>
      <c r="B22" s="13" t="s">
        <v>20</v>
      </c>
      <c r="C22" s="13" t="s">
        <v>21</v>
      </c>
      <c r="D22" s="13" t="s">
        <v>17</v>
      </c>
      <c r="E22" s="181">
        <f>'Du toan chi tiet'!E16</f>
        <v>1</v>
      </c>
      <c r="F22" s="181"/>
      <c r="G22" s="182"/>
    </row>
    <row r="23" spans="1:7" ht="15">
      <c r="A23" s="12" t="s">
        <v>0</v>
      </c>
      <c r="B23" s="13" t="s">
        <v>0</v>
      </c>
      <c r="C23" s="13" t="s">
        <v>18</v>
      </c>
      <c r="D23" s="13" t="s">
        <v>17</v>
      </c>
      <c r="E23" s="181"/>
      <c r="F23" s="181">
        <f>1</f>
        <v>1</v>
      </c>
      <c r="G23" s="182">
        <f>E22*F23</f>
        <v>1</v>
      </c>
    </row>
    <row r="24" spans="1:7" ht="15">
      <c r="A24" s="12" t="s">
        <v>0</v>
      </c>
      <c r="B24" s="13" t="s">
        <v>0</v>
      </c>
      <c r="C24" s="13" t="s">
        <v>22</v>
      </c>
      <c r="D24" s="13" t="s">
        <v>23</v>
      </c>
      <c r="E24" s="181"/>
      <c r="F24" s="181">
        <f>39.8</f>
        <v>39.8</v>
      </c>
      <c r="G24" s="182">
        <f>E22*F24</f>
        <v>39.8</v>
      </c>
    </row>
    <row r="25" spans="1:7" ht="15">
      <c r="A25" s="12" t="s">
        <v>0</v>
      </c>
      <c r="B25" s="13" t="s">
        <v>0</v>
      </c>
      <c r="C25" s="13" t="s">
        <v>0</v>
      </c>
      <c r="D25" s="13" t="s">
        <v>0</v>
      </c>
      <c r="E25" s="181"/>
      <c r="F25" s="181"/>
      <c r="G25" s="182"/>
    </row>
    <row r="26" spans="1:7" ht="15">
      <c r="A26" s="12" t="s">
        <v>24</v>
      </c>
      <c r="B26" s="13" t="s">
        <v>25</v>
      </c>
      <c r="C26" s="13" t="s">
        <v>26</v>
      </c>
      <c r="D26" s="13" t="s">
        <v>27</v>
      </c>
      <c r="E26" s="181">
        <f>'Du toan chi tiet'!E18</f>
        <v>48</v>
      </c>
      <c r="F26" s="181"/>
      <c r="G26" s="182"/>
    </row>
    <row r="27" spans="1:7" ht="15">
      <c r="A27" s="12" t="s">
        <v>0</v>
      </c>
      <c r="B27" s="13" t="s">
        <v>0</v>
      </c>
      <c r="C27" s="13" t="s">
        <v>28</v>
      </c>
      <c r="D27" s="13" t="s">
        <v>29</v>
      </c>
      <c r="E27" s="181"/>
      <c r="F27" s="181">
        <f>1.02</f>
        <v>1.02</v>
      </c>
      <c r="G27" s="182">
        <f>E26*F27</f>
        <v>48.96</v>
      </c>
    </row>
    <row r="28" spans="1:7" ht="15">
      <c r="A28" s="12" t="s">
        <v>0</v>
      </c>
      <c r="B28" s="13" t="s">
        <v>0</v>
      </c>
      <c r="C28" s="13" t="s">
        <v>30</v>
      </c>
      <c r="D28" s="13" t="s">
        <v>8</v>
      </c>
      <c r="E28" s="181"/>
      <c r="F28" s="181">
        <f>0.054</f>
        <v>0.054</v>
      </c>
      <c r="G28" s="182">
        <f>E26*F28</f>
        <v>2.592</v>
      </c>
    </row>
    <row r="29" spans="1:7" ht="15">
      <c r="A29" s="12" t="s">
        <v>0</v>
      </c>
      <c r="B29" s="13" t="s">
        <v>0</v>
      </c>
      <c r="C29" s="13" t="s">
        <v>31</v>
      </c>
      <c r="D29" s="13" t="s">
        <v>10</v>
      </c>
      <c r="E29" s="181"/>
      <c r="F29" s="181">
        <f>0.017</f>
        <v>0.017</v>
      </c>
      <c r="G29" s="182">
        <f>E26*F29</f>
        <v>0.8160000000000001</v>
      </c>
    </row>
    <row r="30" spans="1:7" ht="15">
      <c r="A30" s="12" t="s">
        <v>0</v>
      </c>
      <c r="B30" s="13" t="s">
        <v>0</v>
      </c>
      <c r="C30" s="13" t="s">
        <v>0</v>
      </c>
      <c r="D30" s="13" t="s">
        <v>0</v>
      </c>
      <c r="E30" s="181"/>
      <c r="F30" s="181"/>
      <c r="G30" s="182"/>
    </row>
    <row r="31" spans="1:7" ht="15">
      <c r="A31" s="12" t="s">
        <v>32</v>
      </c>
      <c r="B31" s="13" t="s">
        <v>33</v>
      </c>
      <c r="C31" s="13" t="s">
        <v>34</v>
      </c>
      <c r="D31" s="13" t="s">
        <v>5</v>
      </c>
      <c r="E31" s="181">
        <f>'Du toan chi tiet'!E20</f>
        <v>10.22</v>
      </c>
      <c r="F31" s="181"/>
      <c r="G31" s="182"/>
    </row>
    <row r="32" spans="1:7" ht="15">
      <c r="A32" s="12" t="s">
        <v>0</v>
      </c>
      <c r="B32" s="13" t="s">
        <v>0</v>
      </c>
      <c r="C32" s="13" t="s">
        <v>35</v>
      </c>
      <c r="D32" s="13" t="s">
        <v>0</v>
      </c>
      <c r="E32" s="181"/>
      <c r="F32" s="181"/>
      <c r="G32" s="182"/>
    </row>
    <row r="33" spans="1:7" ht="15">
      <c r="A33" s="12" t="s">
        <v>0</v>
      </c>
      <c r="B33" s="13" t="s">
        <v>0</v>
      </c>
      <c r="C33" s="13" t="s">
        <v>36</v>
      </c>
      <c r="D33" s="13" t="s">
        <v>23</v>
      </c>
      <c r="E33" s="181"/>
      <c r="F33" s="181">
        <f>1.025*205</f>
        <v>210.12499999999997</v>
      </c>
      <c r="G33" s="182">
        <f>E31*F33</f>
        <v>2147.4775</v>
      </c>
    </row>
    <row r="34" spans="1:7" ht="15">
      <c r="A34" s="12" t="s">
        <v>0</v>
      </c>
      <c r="B34" s="13" t="s">
        <v>0</v>
      </c>
      <c r="C34" s="13" t="s">
        <v>37</v>
      </c>
      <c r="D34" s="13" t="s">
        <v>38</v>
      </c>
      <c r="E34" s="181"/>
      <c r="F34" s="181">
        <f>1.025*0.549</f>
        <v>0.562725</v>
      </c>
      <c r="G34" s="182">
        <f>E31*F34</f>
        <v>5.751049500000001</v>
      </c>
    </row>
    <row r="35" spans="1:7" ht="15">
      <c r="A35" s="12" t="s">
        <v>0</v>
      </c>
      <c r="B35" s="13" t="s">
        <v>0</v>
      </c>
      <c r="C35" s="13" t="s">
        <v>39</v>
      </c>
      <c r="D35" s="13" t="s">
        <v>38</v>
      </c>
      <c r="E35" s="181"/>
      <c r="F35" s="181">
        <f>1.025*0.89</f>
        <v>0.9122499999999999</v>
      </c>
      <c r="G35" s="182">
        <f>E31*F35</f>
        <v>9.323195</v>
      </c>
    </row>
    <row r="36" spans="1:7" ht="15">
      <c r="A36" s="12" t="s">
        <v>0</v>
      </c>
      <c r="B36" s="13" t="s">
        <v>0</v>
      </c>
      <c r="C36" s="13" t="s">
        <v>40</v>
      </c>
      <c r="D36" s="13" t="s">
        <v>38</v>
      </c>
      <c r="E36" s="181"/>
      <c r="F36" s="181">
        <f>1.025*0.172</f>
        <v>0.17629999999999996</v>
      </c>
      <c r="G36" s="182">
        <f>E31*F36</f>
        <v>1.8017859999999997</v>
      </c>
    </row>
    <row r="37" spans="1:7" ht="15">
      <c r="A37" s="12" t="s">
        <v>0</v>
      </c>
      <c r="B37" s="13" t="s">
        <v>0</v>
      </c>
      <c r="C37" s="13" t="s">
        <v>41</v>
      </c>
      <c r="D37" s="13" t="s">
        <v>8</v>
      </c>
      <c r="E37" s="181"/>
      <c r="F37" s="181">
        <f>1.23</f>
        <v>1.23</v>
      </c>
      <c r="G37" s="182">
        <f>E31*F37</f>
        <v>12.5706</v>
      </c>
    </row>
    <row r="38" spans="1:7" ht="15">
      <c r="A38" s="12" t="s">
        <v>0</v>
      </c>
      <c r="B38" s="13" t="s">
        <v>0</v>
      </c>
      <c r="C38" s="13" t="s">
        <v>42</v>
      </c>
      <c r="D38" s="13" t="s">
        <v>10</v>
      </c>
      <c r="E38" s="181"/>
      <c r="F38" s="181">
        <f>0.095</f>
        <v>0.095</v>
      </c>
      <c r="G38" s="182">
        <f>E31*F38</f>
        <v>0.9709000000000001</v>
      </c>
    </row>
    <row r="39" spans="1:7" ht="15">
      <c r="A39" s="12" t="s">
        <v>0</v>
      </c>
      <c r="B39" s="13" t="s">
        <v>0</v>
      </c>
      <c r="C39" s="13" t="s">
        <v>43</v>
      </c>
      <c r="D39" s="13" t="s">
        <v>10</v>
      </c>
      <c r="E39" s="181"/>
      <c r="F39" s="181">
        <f>0.089</f>
        <v>0.089</v>
      </c>
      <c r="G39" s="182">
        <f>E31*F39</f>
        <v>0.90958</v>
      </c>
    </row>
    <row r="40" spans="1:7" ht="15">
      <c r="A40" s="12" t="s">
        <v>0</v>
      </c>
      <c r="B40" s="13" t="s">
        <v>0</v>
      </c>
      <c r="C40" s="13" t="s">
        <v>0</v>
      </c>
      <c r="D40" s="13" t="s">
        <v>0</v>
      </c>
      <c r="E40" s="181"/>
      <c r="F40" s="181"/>
      <c r="G40" s="182"/>
    </row>
    <row r="41" spans="1:7" ht="15">
      <c r="A41" s="12" t="s">
        <v>44</v>
      </c>
      <c r="B41" s="13" t="s">
        <v>45</v>
      </c>
      <c r="C41" s="13" t="s">
        <v>46</v>
      </c>
      <c r="D41" s="13" t="s">
        <v>47</v>
      </c>
      <c r="E41" s="181">
        <f>'Du toan chi tiet'!E22</f>
        <v>49.34</v>
      </c>
      <c r="F41" s="181"/>
      <c r="G41" s="182"/>
    </row>
    <row r="42" spans="1:7" ht="15">
      <c r="A42" s="12" t="s">
        <v>0</v>
      </c>
      <c r="B42" s="13" t="s">
        <v>0</v>
      </c>
      <c r="C42" s="13" t="s">
        <v>48</v>
      </c>
      <c r="D42" s="13" t="s">
        <v>38</v>
      </c>
      <c r="E42" s="181"/>
      <c r="F42" s="181">
        <f>0.00794</f>
        <v>0.00794</v>
      </c>
      <c r="G42" s="182">
        <f>E41*F42</f>
        <v>0.3917596</v>
      </c>
    </row>
    <row r="43" spans="1:7" ht="15">
      <c r="A43" s="12" t="s">
        <v>0</v>
      </c>
      <c r="B43" s="13" t="s">
        <v>0</v>
      </c>
      <c r="C43" s="13" t="s">
        <v>49</v>
      </c>
      <c r="D43" s="13" t="s">
        <v>38</v>
      </c>
      <c r="E43" s="181"/>
      <c r="F43" s="181">
        <f>0.0021</f>
        <v>0.0021</v>
      </c>
      <c r="G43" s="182">
        <f>E41*F43</f>
        <v>0.103614</v>
      </c>
    </row>
    <row r="44" spans="1:7" ht="15">
      <c r="A44" s="12" t="s">
        <v>0</v>
      </c>
      <c r="B44" s="13" t="s">
        <v>0</v>
      </c>
      <c r="C44" s="13" t="s">
        <v>50</v>
      </c>
      <c r="D44" s="13" t="s">
        <v>38</v>
      </c>
      <c r="E44" s="181"/>
      <c r="F44" s="181">
        <f>0.00335</f>
        <v>0.00335</v>
      </c>
      <c r="G44" s="182">
        <f>E41*F44</f>
        <v>0.16528900000000002</v>
      </c>
    </row>
    <row r="45" spans="1:7" ht="15">
      <c r="A45" s="12" t="s">
        <v>0</v>
      </c>
      <c r="B45" s="13" t="s">
        <v>0</v>
      </c>
      <c r="C45" s="13" t="s">
        <v>51</v>
      </c>
      <c r="D45" s="13" t="s">
        <v>23</v>
      </c>
      <c r="E45" s="181"/>
      <c r="F45" s="181">
        <f>0.15</f>
        <v>0.15</v>
      </c>
      <c r="G45" s="182">
        <f>E41*F45</f>
        <v>7.401</v>
      </c>
    </row>
    <row r="46" spans="1:7" ht="15">
      <c r="A46" s="12" t="s">
        <v>0</v>
      </c>
      <c r="B46" s="13" t="s">
        <v>0</v>
      </c>
      <c r="C46" s="13" t="s">
        <v>30</v>
      </c>
      <c r="D46" s="13" t="s">
        <v>8</v>
      </c>
      <c r="E46" s="181"/>
      <c r="F46" s="181">
        <f>0.297</f>
        <v>0.297</v>
      </c>
      <c r="G46" s="182">
        <f>E41*F46</f>
        <v>14.65398</v>
      </c>
    </row>
    <row r="47" spans="1:7" ht="15">
      <c r="A47" s="12" t="s">
        <v>0</v>
      </c>
      <c r="B47" s="13" t="s">
        <v>0</v>
      </c>
      <c r="C47" s="13" t="s">
        <v>0</v>
      </c>
      <c r="D47" s="13" t="s">
        <v>0</v>
      </c>
      <c r="E47" s="181"/>
      <c r="F47" s="181"/>
      <c r="G47" s="182"/>
    </row>
    <row r="48" spans="1:7" ht="15">
      <c r="A48" s="12" t="s">
        <v>52</v>
      </c>
      <c r="B48" s="13" t="s">
        <v>53</v>
      </c>
      <c r="C48" s="13" t="s">
        <v>54</v>
      </c>
      <c r="D48" s="13" t="s">
        <v>5</v>
      </c>
      <c r="E48" s="181">
        <f>'Du toan chi tiet'!E24</f>
        <v>109.99</v>
      </c>
      <c r="F48" s="181"/>
      <c r="G48" s="182"/>
    </row>
    <row r="49" spans="1:7" ht="15">
      <c r="A49" s="12" t="s">
        <v>0</v>
      </c>
      <c r="B49" s="13" t="s">
        <v>0</v>
      </c>
      <c r="C49" s="13" t="s">
        <v>55</v>
      </c>
      <c r="D49" s="13" t="s">
        <v>0</v>
      </c>
      <c r="E49" s="181"/>
      <c r="F49" s="181"/>
      <c r="G49" s="182"/>
    </row>
    <row r="50" spans="1:7" ht="15">
      <c r="A50" s="12" t="s">
        <v>0</v>
      </c>
      <c r="B50" s="13" t="s">
        <v>0</v>
      </c>
      <c r="C50" s="13" t="s">
        <v>7</v>
      </c>
      <c r="D50" s="13" t="s">
        <v>8</v>
      </c>
      <c r="E50" s="181"/>
      <c r="F50" s="181">
        <f>0.0539</f>
        <v>0.0539</v>
      </c>
      <c r="G50" s="182">
        <f>E48*F50</f>
        <v>5.928461</v>
      </c>
    </row>
    <row r="51" spans="1:7" ht="15">
      <c r="A51" s="12" t="s">
        <v>0</v>
      </c>
      <c r="B51" s="13" t="s">
        <v>0</v>
      </c>
      <c r="C51" s="13" t="s">
        <v>56</v>
      </c>
      <c r="D51" s="13" t="s">
        <v>10</v>
      </c>
      <c r="E51" s="181"/>
      <c r="F51" s="181">
        <f>0.0335</f>
        <v>0.0335</v>
      </c>
      <c r="G51" s="182">
        <f>E48*F51</f>
        <v>3.684665</v>
      </c>
    </row>
    <row r="52" spans="1:7" ht="15">
      <c r="A52" s="12" t="s">
        <v>0</v>
      </c>
      <c r="B52" s="13" t="s">
        <v>0</v>
      </c>
      <c r="C52" s="13" t="s">
        <v>0</v>
      </c>
      <c r="D52" s="13" t="s">
        <v>0</v>
      </c>
      <c r="E52" s="181"/>
      <c r="F52" s="181"/>
      <c r="G52" s="182"/>
    </row>
    <row r="53" spans="1:7" ht="15">
      <c r="A53" s="12" t="s">
        <v>57</v>
      </c>
      <c r="B53" s="13" t="s">
        <v>58</v>
      </c>
      <c r="C53" s="13" t="s">
        <v>59</v>
      </c>
      <c r="D53" s="13" t="s">
        <v>27</v>
      </c>
      <c r="E53" s="181">
        <f>'Du toan chi tiet'!E26</f>
        <v>25</v>
      </c>
      <c r="F53" s="181"/>
      <c r="G53" s="182"/>
    </row>
    <row r="54" spans="1:7" ht="15">
      <c r="A54" s="12" t="s">
        <v>0</v>
      </c>
      <c r="B54" s="13" t="s">
        <v>0</v>
      </c>
      <c r="C54" s="13" t="s">
        <v>60</v>
      </c>
      <c r="D54" s="13" t="s">
        <v>17</v>
      </c>
      <c r="E54" s="181"/>
      <c r="F54" s="181">
        <f>0.07</f>
        <v>0.07</v>
      </c>
      <c r="G54" s="182">
        <f>E53*F54</f>
        <v>1.7500000000000002</v>
      </c>
    </row>
    <row r="55" spans="1:7" ht="15">
      <c r="A55" s="12" t="s">
        <v>0</v>
      </c>
      <c r="B55" s="13" t="s">
        <v>0</v>
      </c>
      <c r="C55" s="13" t="s">
        <v>61</v>
      </c>
      <c r="D55" s="13" t="s">
        <v>8</v>
      </c>
      <c r="E55" s="181"/>
      <c r="F55" s="181">
        <f>3.22</f>
        <v>3.22</v>
      </c>
      <c r="G55" s="182">
        <f>E53*F55</f>
        <v>80.5</v>
      </c>
    </row>
    <row r="56" spans="1:7" ht="15">
      <c r="A56" s="12" t="s">
        <v>0</v>
      </c>
      <c r="B56" s="13" t="s">
        <v>0</v>
      </c>
      <c r="C56" s="13" t="s">
        <v>62</v>
      </c>
      <c r="D56" s="13" t="s">
        <v>10</v>
      </c>
      <c r="E56" s="181"/>
      <c r="F56" s="181">
        <f>0.18</f>
        <v>0.18</v>
      </c>
      <c r="G56" s="182">
        <f>E53*F56</f>
        <v>4.5</v>
      </c>
    </row>
    <row r="57" spans="1:7" ht="15">
      <c r="A57" s="12" t="s">
        <v>0</v>
      </c>
      <c r="B57" s="13" t="s">
        <v>0</v>
      </c>
      <c r="C57" s="13" t="s">
        <v>0</v>
      </c>
      <c r="D57" s="13" t="s">
        <v>0</v>
      </c>
      <c r="E57" s="181"/>
      <c r="F57" s="181"/>
      <c r="G57" s="182"/>
    </row>
    <row r="58" spans="1:7" ht="15">
      <c r="A58" s="12" t="s">
        <v>63</v>
      </c>
      <c r="B58" s="13" t="s">
        <v>64</v>
      </c>
      <c r="C58" s="13" t="s">
        <v>65</v>
      </c>
      <c r="D58" s="13" t="s">
        <v>27</v>
      </c>
      <c r="E58" s="181">
        <f>'Du toan chi tiet'!E28</f>
        <v>25</v>
      </c>
      <c r="F58" s="181"/>
      <c r="G58" s="182"/>
    </row>
    <row r="59" spans="1:7" ht="15">
      <c r="A59" s="12" t="s">
        <v>0</v>
      </c>
      <c r="B59" s="13" t="s">
        <v>0</v>
      </c>
      <c r="C59" s="13" t="s">
        <v>66</v>
      </c>
      <c r="D59" s="13" t="s">
        <v>29</v>
      </c>
      <c r="E59" s="181"/>
      <c r="F59" s="181">
        <f>1.02</f>
        <v>1.02</v>
      </c>
      <c r="G59" s="182">
        <f>E58*F59</f>
        <v>25.5</v>
      </c>
    </row>
    <row r="60" spans="1:7" ht="15">
      <c r="A60" s="12" t="s">
        <v>0</v>
      </c>
      <c r="B60" s="13" t="s">
        <v>0</v>
      </c>
      <c r="C60" s="13" t="s">
        <v>30</v>
      </c>
      <c r="D60" s="13" t="s">
        <v>8</v>
      </c>
      <c r="E60" s="181"/>
      <c r="F60" s="181">
        <f>0.054</f>
        <v>0.054</v>
      </c>
      <c r="G60" s="182">
        <f>E58*F60</f>
        <v>1.35</v>
      </c>
    </row>
    <row r="61" spans="1:7" ht="15">
      <c r="A61" s="12" t="s">
        <v>0</v>
      </c>
      <c r="B61" s="13" t="s">
        <v>0</v>
      </c>
      <c r="C61" s="13" t="s">
        <v>31</v>
      </c>
      <c r="D61" s="13" t="s">
        <v>10</v>
      </c>
      <c r="E61" s="181"/>
      <c r="F61" s="181">
        <f>0.017</f>
        <v>0.017</v>
      </c>
      <c r="G61" s="182">
        <f>E58*F61</f>
        <v>0.42500000000000004</v>
      </c>
    </row>
    <row r="62" spans="1:7" ht="15">
      <c r="A62" s="12" t="s">
        <v>0</v>
      </c>
      <c r="B62" s="13" t="s">
        <v>0</v>
      </c>
      <c r="C62" s="13" t="s">
        <v>0</v>
      </c>
      <c r="D62" s="13" t="s">
        <v>0</v>
      </c>
      <c r="E62" s="181"/>
      <c r="F62" s="181"/>
      <c r="G62" s="182"/>
    </row>
    <row r="63" spans="1:7" ht="15">
      <c r="A63" s="12" t="s">
        <v>67</v>
      </c>
      <c r="B63" s="13" t="s">
        <v>68</v>
      </c>
      <c r="C63" s="13" t="s">
        <v>69</v>
      </c>
      <c r="D63" s="13" t="s">
        <v>27</v>
      </c>
      <c r="E63" s="181">
        <f>'Du toan chi tiet'!E30</f>
        <v>4</v>
      </c>
      <c r="F63" s="181"/>
      <c r="G63" s="182"/>
    </row>
    <row r="64" spans="1:7" ht="15">
      <c r="A64" s="12" t="s">
        <v>0</v>
      </c>
      <c r="B64" s="13" t="s">
        <v>0</v>
      </c>
      <c r="C64" s="13" t="s">
        <v>70</v>
      </c>
      <c r="D64" s="13" t="s">
        <v>17</v>
      </c>
      <c r="E64" s="181"/>
      <c r="F64" s="181">
        <f>1</f>
        <v>1</v>
      </c>
      <c r="G64" s="182">
        <f>E63*F64</f>
        <v>4</v>
      </c>
    </row>
    <row r="65" spans="1:7" ht="15">
      <c r="A65" s="12" t="s">
        <v>0</v>
      </c>
      <c r="B65" s="13" t="s">
        <v>0</v>
      </c>
      <c r="C65" s="13" t="s">
        <v>0</v>
      </c>
      <c r="D65" s="13" t="s">
        <v>0</v>
      </c>
      <c r="E65" s="181"/>
      <c r="F65" s="181"/>
      <c r="G65" s="182"/>
    </row>
    <row r="66" spans="1:7" ht="15">
      <c r="A66" s="12" t="s">
        <v>71</v>
      </c>
      <c r="B66" s="13" t="s">
        <v>72</v>
      </c>
      <c r="C66" s="13" t="s">
        <v>73</v>
      </c>
      <c r="D66" s="13" t="s">
        <v>17</v>
      </c>
      <c r="E66" s="181">
        <f>'Du toan chi tiet'!E32</f>
        <v>4</v>
      </c>
      <c r="F66" s="181"/>
      <c r="G66" s="182"/>
    </row>
    <row r="67" spans="1:7" ht="15">
      <c r="A67" s="12" t="s">
        <v>0</v>
      </c>
      <c r="B67" s="13" t="s">
        <v>0</v>
      </c>
      <c r="C67" s="13" t="s">
        <v>74</v>
      </c>
      <c r="D67" s="13" t="s">
        <v>17</v>
      </c>
      <c r="E67" s="181"/>
      <c r="F67" s="181">
        <f>1</f>
        <v>1</v>
      </c>
      <c r="G67" s="182">
        <f>E66*F67</f>
        <v>4</v>
      </c>
    </row>
    <row r="68" spans="1:7" ht="15">
      <c r="A68" s="12" t="s">
        <v>0</v>
      </c>
      <c r="B68" s="13" t="s">
        <v>0</v>
      </c>
      <c r="C68" s="13" t="s">
        <v>0</v>
      </c>
      <c r="D68" s="13" t="s">
        <v>0</v>
      </c>
      <c r="E68" s="181"/>
      <c r="F68" s="181"/>
      <c r="G68" s="182"/>
    </row>
    <row r="69" spans="1:7" ht="15">
      <c r="A69" s="12" t="s">
        <v>75</v>
      </c>
      <c r="B69" s="13" t="s">
        <v>76</v>
      </c>
      <c r="C69" s="13" t="s">
        <v>77</v>
      </c>
      <c r="D69" s="13" t="s">
        <v>78</v>
      </c>
      <c r="E69" s="181">
        <f>'Du toan chi tiet'!E34</f>
        <v>15</v>
      </c>
      <c r="F69" s="181"/>
      <c r="G69" s="182"/>
    </row>
    <row r="70" spans="1:7" ht="15">
      <c r="A70" s="12" t="s">
        <v>0</v>
      </c>
      <c r="B70" s="13" t="s">
        <v>0</v>
      </c>
      <c r="C70" s="13" t="s">
        <v>79</v>
      </c>
      <c r="D70" s="13" t="s">
        <v>80</v>
      </c>
      <c r="E70" s="181"/>
      <c r="F70" s="181">
        <f>1</f>
        <v>1</v>
      </c>
      <c r="G70" s="182">
        <f>E69*F70</f>
        <v>15</v>
      </c>
    </row>
    <row r="71" spans="1:7" ht="15">
      <c r="A71" s="12" t="s">
        <v>0</v>
      </c>
      <c r="B71" s="13" t="s">
        <v>0</v>
      </c>
      <c r="C71" s="13" t="s">
        <v>30</v>
      </c>
      <c r="D71" s="13" t="s">
        <v>8</v>
      </c>
      <c r="E71" s="181"/>
      <c r="F71" s="181">
        <f>1.38</f>
        <v>1.38</v>
      </c>
      <c r="G71" s="182">
        <f>E69*F71</f>
        <v>20.7</v>
      </c>
    </row>
    <row r="72" spans="1:7" ht="15">
      <c r="A72" s="12" t="s">
        <v>0</v>
      </c>
      <c r="B72" s="13" t="s">
        <v>0</v>
      </c>
      <c r="C72" s="13" t="s">
        <v>81</v>
      </c>
      <c r="D72" s="13" t="s">
        <v>10</v>
      </c>
      <c r="E72" s="181"/>
      <c r="F72" s="181">
        <f>0.1</f>
        <v>0.1</v>
      </c>
      <c r="G72" s="182">
        <f>E69*F72</f>
        <v>1.5</v>
      </c>
    </row>
    <row r="73" spans="1:7" ht="15">
      <c r="A73" s="12" t="s">
        <v>0</v>
      </c>
      <c r="B73" s="13" t="s">
        <v>0</v>
      </c>
      <c r="C73" s="13" t="s">
        <v>0</v>
      </c>
      <c r="D73" s="13" t="s">
        <v>0</v>
      </c>
      <c r="E73" s="181"/>
      <c r="F73" s="181"/>
      <c r="G73" s="182"/>
    </row>
    <row r="74" spans="1:7" ht="15">
      <c r="A74" s="12" t="s">
        <v>82</v>
      </c>
      <c r="B74" s="13" t="s">
        <v>83</v>
      </c>
      <c r="C74" s="13" t="s">
        <v>84</v>
      </c>
      <c r="D74" s="13" t="s">
        <v>85</v>
      </c>
      <c r="E74" s="181">
        <f>'Du toan chi tiet'!E36</f>
        <v>15</v>
      </c>
      <c r="F74" s="181"/>
      <c r="G74" s="182"/>
    </row>
    <row r="75" spans="1:7" ht="15">
      <c r="A75" s="12" t="s">
        <v>0</v>
      </c>
      <c r="B75" s="13" t="s">
        <v>0</v>
      </c>
      <c r="C75" s="13" t="s">
        <v>86</v>
      </c>
      <c r="D75" s="13" t="s">
        <v>17</v>
      </c>
      <c r="E75" s="181"/>
      <c r="F75" s="181">
        <f>1</f>
        <v>1</v>
      </c>
      <c r="G75" s="182">
        <f>E74*F75</f>
        <v>15</v>
      </c>
    </row>
    <row r="76" spans="1:7" ht="15">
      <c r="A76" s="12" t="s">
        <v>0</v>
      </c>
      <c r="B76" s="13" t="s">
        <v>0</v>
      </c>
      <c r="C76" s="13" t="s">
        <v>30</v>
      </c>
      <c r="D76" s="13" t="s">
        <v>8</v>
      </c>
      <c r="E76" s="181"/>
      <c r="F76" s="181">
        <f>0.74</f>
        <v>0.74</v>
      </c>
      <c r="G76" s="182">
        <f>E74*F76</f>
        <v>11.1</v>
      </c>
    </row>
    <row r="77" spans="1:7" ht="15">
      <c r="A77" s="12" t="s">
        <v>0</v>
      </c>
      <c r="B77" s="13" t="s">
        <v>0</v>
      </c>
      <c r="C77" s="13" t="s">
        <v>87</v>
      </c>
      <c r="D77" s="13" t="s">
        <v>10</v>
      </c>
      <c r="E77" s="181"/>
      <c r="F77" s="181">
        <f>0.15</f>
        <v>0.15</v>
      </c>
      <c r="G77" s="182">
        <f>E74*F77</f>
        <v>2.25</v>
      </c>
    </row>
    <row r="78" spans="1:7" ht="15">
      <c r="A78" s="12" t="s">
        <v>0</v>
      </c>
      <c r="B78" s="13" t="s">
        <v>0</v>
      </c>
      <c r="C78" s="13" t="s">
        <v>0</v>
      </c>
      <c r="D78" s="13" t="s">
        <v>0</v>
      </c>
      <c r="E78" s="181"/>
      <c r="F78" s="181"/>
      <c r="G78" s="182"/>
    </row>
    <row r="79" spans="1:7" ht="15">
      <c r="A79" s="12" t="s">
        <v>88</v>
      </c>
      <c r="B79" s="13" t="s">
        <v>89</v>
      </c>
      <c r="C79" s="13" t="s">
        <v>90</v>
      </c>
      <c r="D79" s="13" t="s">
        <v>91</v>
      </c>
      <c r="E79" s="181">
        <f>'Du toan chi tiet'!E38</f>
        <v>15</v>
      </c>
      <c r="F79" s="181"/>
      <c r="G79" s="182"/>
    </row>
    <row r="80" spans="1:7" ht="15">
      <c r="A80" s="12" t="s">
        <v>0</v>
      </c>
      <c r="B80" s="13" t="s">
        <v>0</v>
      </c>
      <c r="C80" s="13" t="s">
        <v>92</v>
      </c>
      <c r="D80" s="13" t="s">
        <v>17</v>
      </c>
      <c r="E80" s="181"/>
      <c r="F80" s="181">
        <f>1</f>
        <v>1</v>
      </c>
      <c r="G80" s="182">
        <f>E79*F80</f>
        <v>15</v>
      </c>
    </row>
    <row r="81" spans="1:7" ht="15">
      <c r="A81" s="12" t="s">
        <v>0</v>
      </c>
      <c r="B81" s="13" t="s">
        <v>0</v>
      </c>
      <c r="C81" s="13" t="s">
        <v>30</v>
      </c>
      <c r="D81" s="13" t="s">
        <v>8</v>
      </c>
      <c r="E81" s="181"/>
      <c r="F81" s="181">
        <f>0.26</f>
        <v>0.26</v>
      </c>
      <c r="G81" s="182">
        <f>E79*F81</f>
        <v>3.9000000000000004</v>
      </c>
    </row>
    <row r="82" spans="1:7" ht="15">
      <c r="A82" s="12" t="s">
        <v>0</v>
      </c>
      <c r="B82" s="13" t="s">
        <v>0</v>
      </c>
      <c r="C82" s="13" t="s">
        <v>87</v>
      </c>
      <c r="D82" s="13" t="s">
        <v>10</v>
      </c>
      <c r="E82" s="181"/>
      <c r="F82" s="181">
        <f>0.13</f>
        <v>0.13</v>
      </c>
      <c r="G82" s="182">
        <f>E79*F82</f>
        <v>1.9500000000000002</v>
      </c>
    </row>
    <row r="83" spans="1:7" ht="15">
      <c r="A83" s="12" t="s">
        <v>0</v>
      </c>
      <c r="B83" s="13" t="s">
        <v>0</v>
      </c>
      <c r="C83" s="13" t="s">
        <v>0</v>
      </c>
      <c r="D83" s="13" t="s">
        <v>0</v>
      </c>
      <c r="E83" s="181"/>
      <c r="F83" s="181"/>
      <c r="G83" s="182"/>
    </row>
    <row r="84" spans="1:7" ht="15">
      <c r="A84" s="12" t="s">
        <v>93</v>
      </c>
      <c r="B84" s="13" t="s">
        <v>94</v>
      </c>
      <c r="C84" s="13" t="s">
        <v>95</v>
      </c>
      <c r="D84" s="13" t="s">
        <v>96</v>
      </c>
      <c r="E84" s="181">
        <f>'Du toan chi tiet'!E40</f>
        <v>1</v>
      </c>
      <c r="F84" s="181"/>
      <c r="G84" s="182"/>
    </row>
    <row r="85" spans="1:7" ht="15">
      <c r="A85" s="12" t="s">
        <v>0</v>
      </c>
      <c r="B85" s="13" t="s">
        <v>0</v>
      </c>
      <c r="C85" s="13" t="s">
        <v>97</v>
      </c>
      <c r="D85" s="13" t="s">
        <v>17</v>
      </c>
      <c r="E85" s="181"/>
      <c r="F85" s="181">
        <f>1</f>
        <v>1</v>
      </c>
      <c r="G85" s="182">
        <f>E84*F85</f>
        <v>1</v>
      </c>
    </row>
    <row r="86" spans="1:7" ht="15">
      <c r="A86" s="12" t="s">
        <v>0</v>
      </c>
      <c r="B86" s="13" t="s">
        <v>0</v>
      </c>
      <c r="C86" s="13" t="s">
        <v>30</v>
      </c>
      <c r="D86" s="13" t="s">
        <v>8</v>
      </c>
      <c r="E86" s="181"/>
      <c r="F86" s="181">
        <f>1.53</f>
        <v>1.53</v>
      </c>
      <c r="G86" s="182">
        <f>E84*F86</f>
        <v>1.53</v>
      </c>
    </row>
    <row r="87" spans="1:7" ht="15">
      <c r="A87" s="12" t="s">
        <v>0</v>
      </c>
      <c r="B87" s="13" t="s">
        <v>0</v>
      </c>
      <c r="C87" s="13" t="s">
        <v>0</v>
      </c>
      <c r="D87" s="13" t="s">
        <v>0</v>
      </c>
      <c r="E87" s="181"/>
      <c r="F87" s="181"/>
      <c r="G87" s="182"/>
    </row>
    <row r="88" spans="1:7" ht="15">
      <c r="A88" s="12" t="s">
        <v>98</v>
      </c>
      <c r="B88" s="13" t="s">
        <v>99</v>
      </c>
      <c r="C88" s="13" t="s">
        <v>100</v>
      </c>
      <c r="D88" s="13" t="s">
        <v>91</v>
      </c>
      <c r="E88" s="181">
        <f>'Du toan chi tiet'!E42</f>
        <v>14</v>
      </c>
      <c r="F88" s="181"/>
      <c r="G88" s="182"/>
    </row>
    <row r="89" spans="1:7" ht="15">
      <c r="A89" s="12" t="s">
        <v>0</v>
      </c>
      <c r="B89" s="13" t="s">
        <v>0</v>
      </c>
      <c r="C89" s="13" t="s">
        <v>101</v>
      </c>
      <c r="D89" s="13" t="s">
        <v>23</v>
      </c>
      <c r="E89" s="181"/>
      <c r="F89" s="181">
        <f>13.68</f>
        <v>13.68</v>
      </c>
      <c r="G89" s="182">
        <f>E88*F89</f>
        <v>191.51999999999998</v>
      </c>
    </row>
    <row r="90" spans="1:7" ht="15">
      <c r="A90" s="12" t="s">
        <v>0</v>
      </c>
      <c r="B90" s="13" t="s">
        <v>0</v>
      </c>
      <c r="C90" s="13" t="s">
        <v>30</v>
      </c>
      <c r="D90" s="13" t="s">
        <v>8</v>
      </c>
      <c r="E90" s="181"/>
      <c r="F90" s="181">
        <f>0.31</f>
        <v>0.31</v>
      </c>
      <c r="G90" s="182">
        <f>E88*F90</f>
        <v>4.34</v>
      </c>
    </row>
    <row r="91" spans="1:7" ht="15">
      <c r="A91" s="12" t="s">
        <v>0</v>
      </c>
      <c r="B91" s="13" t="s">
        <v>0</v>
      </c>
      <c r="C91" s="13" t="s">
        <v>102</v>
      </c>
      <c r="D91" s="13" t="s">
        <v>10</v>
      </c>
      <c r="E91" s="181"/>
      <c r="F91" s="181">
        <f>0.1</f>
        <v>0.1</v>
      </c>
      <c r="G91" s="182">
        <f>E88*F91</f>
        <v>1.4000000000000001</v>
      </c>
    </row>
    <row r="92" spans="1:7" ht="15">
      <c r="A92" s="12" t="s">
        <v>0</v>
      </c>
      <c r="B92" s="13" t="s">
        <v>0</v>
      </c>
      <c r="C92" s="13" t="s">
        <v>0</v>
      </c>
      <c r="D92" s="13" t="s">
        <v>0</v>
      </c>
      <c r="E92" s="181"/>
      <c r="F92" s="181"/>
      <c r="G92" s="182"/>
    </row>
    <row r="93" spans="1:7" ht="15">
      <c r="A93" s="12" t="s">
        <v>103</v>
      </c>
      <c r="B93" s="13" t="s">
        <v>104</v>
      </c>
      <c r="C93" s="13" t="s">
        <v>105</v>
      </c>
      <c r="D93" s="13" t="s">
        <v>91</v>
      </c>
      <c r="E93" s="181">
        <f>'Du toan chi tiet'!E44</f>
        <v>1</v>
      </c>
      <c r="F93" s="181"/>
      <c r="G93" s="182"/>
    </row>
    <row r="94" spans="1:7" ht="15">
      <c r="A94" s="12" t="s">
        <v>0</v>
      </c>
      <c r="B94" s="13" t="s">
        <v>0</v>
      </c>
      <c r="C94" s="13" t="s">
        <v>101</v>
      </c>
      <c r="D94" s="13" t="s">
        <v>23</v>
      </c>
      <c r="E94" s="181"/>
      <c r="F94" s="181">
        <f>13.68</f>
        <v>13.68</v>
      </c>
      <c r="G94" s="182">
        <f>E93*F94</f>
        <v>13.68</v>
      </c>
    </row>
    <row r="95" spans="1:7" ht="15">
      <c r="A95" s="12" t="s">
        <v>0</v>
      </c>
      <c r="B95" s="13" t="s">
        <v>0</v>
      </c>
      <c r="C95" s="13" t="s">
        <v>30</v>
      </c>
      <c r="D95" s="13" t="s">
        <v>8</v>
      </c>
      <c r="E95" s="181"/>
      <c r="F95" s="181">
        <f>0.31</f>
        <v>0.31</v>
      </c>
      <c r="G95" s="182">
        <f>E93*F95</f>
        <v>0.31</v>
      </c>
    </row>
    <row r="96" spans="1:7" ht="15">
      <c r="A96" s="12" t="s">
        <v>0</v>
      </c>
      <c r="B96" s="13" t="s">
        <v>0</v>
      </c>
      <c r="C96" s="13" t="s">
        <v>102</v>
      </c>
      <c r="D96" s="13" t="s">
        <v>10</v>
      </c>
      <c r="E96" s="181"/>
      <c r="F96" s="181">
        <f>0.1</f>
        <v>0.1</v>
      </c>
      <c r="G96" s="182">
        <f>E93*F96</f>
        <v>0.1</v>
      </c>
    </row>
    <row r="97" spans="1:7" ht="15">
      <c r="A97" s="12" t="s">
        <v>0</v>
      </c>
      <c r="B97" s="13" t="s">
        <v>0</v>
      </c>
      <c r="C97" s="13" t="s">
        <v>0</v>
      </c>
      <c r="D97" s="13" t="s">
        <v>0</v>
      </c>
      <c r="E97" s="181"/>
      <c r="F97" s="181"/>
      <c r="G97" s="182"/>
    </row>
    <row r="98" spans="1:7" ht="15">
      <c r="A98" s="12" t="s">
        <v>106</v>
      </c>
      <c r="B98" s="13" t="s">
        <v>107</v>
      </c>
      <c r="C98" s="13" t="s">
        <v>108</v>
      </c>
      <c r="D98" s="13" t="s">
        <v>91</v>
      </c>
      <c r="E98" s="181">
        <f>'Du toan chi tiet'!E46</f>
        <v>2</v>
      </c>
      <c r="F98" s="181"/>
      <c r="G98" s="182"/>
    </row>
    <row r="99" spans="1:7" ht="15">
      <c r="A99" s="12" t="s">
        <v>0</v>
      </c>
      <c r="B99" s="13" t="s">
        <v>0</v>
      </c>
      <c r="C99" s="13" t="s">
        <v>101</v>
      </c>
      <c r="D99" s="13" t="s">
        <v>23</v>
      </c>
      <c r="E99" s="181"/>
      <c r="F99" s="181">
        <f>67.9</f>
        <v>67.9</v>
      </c>
      <c r="G99" s="182">
        <f>E98*F99</f>
        <v>135.8</v>
      </c>
    </row>
    <row r="100" spans="1:7" ht="15">
      <c r="A100" s="12" t="s">
        <v>0</v>
      </c>
      <c r="B100" s="13" t="s">
        <v>0</v>
      </c>
      <c r="C100" s="13" t="s">
        <v>109</v>
      </c>
      <c r="D100" s="13" t="s">
        <v>110</v>
      </c>
      <c r="E100" s="181"/>
      <c r="F100" s="181">
        <f>2</f>
        <v>2</v>
      </c>
      <c r="G100" s="182">
        <f>E98*F100</f>
        <v>4</v>
      </c>
    </row>
    <row r="101" spans="1:7" ht="15">
      <c r="A101" s="12" t="s">
        <v>0</v>
      </c>
      <c r="B101" s="13" t="s">
        <v>0</v>
      </c>
      <c r="C101" s="13" t="s">
        <v>111</v>
      </c>
      <c r="D101" s="13" t="s">
        <v>29</v>
      </c>
      <c r="E101" s="181"/>
      <c r="F101" s="181">
        <f>2.5</f>
        <v>2.5</v>
      </c>
      <c r="G101" s="182">
        <f>E98*F101</f>
        <v>5</v>
      </c>
    </row>
    <row r="102" spans="1:7" ht="15">
      <c r="A102" s="12" t="s">
        <v>0</v>
      </c>
      <c r="B102" s="13" t="s">
        <v>0</v>
      </c>
      <c r="C102" s="13" t="s">
        <v>30</v>
      </c>
      <c r="D102" s="13" t="s">
        <v>8</v>
      </c>
      <c r="E102" s="181"/>
      <c r="F102" s="181">
        <f>0.33</f>
        <v>0.33</v>
      </c>
      <c r="G102" s="182">
        <f>E98*F102</f>
        <v>0.66</v>
      </c>
    </row>
    <row r="103" spans="1:7" ht="15">
      <c r="A103" s="12" t="s">
        <v>0</v>
      </c>
      <c r="B103" s="13" t="s">
        <v>0</v>
      </c>
      <c r="C103" s="13" t="s">
        <v>102</v>
      </c>
      <c r="D103" s="13" t="s">
        <v>10</v>
      </c>
      <c r="E103" s="181"/>
      <c r="F103" s="181">
        <f>0.3</f>
        <v>0.3</v>
      </c>
      <c r="G103" s="182">
        <f>E98*F103</f>
        <v>0.6</v>
      </c>
    </row>
    <row r="104" spans="1:7" ht="15">
      <c r="A104" s="12" t="s">
        <v>0</v>
      </c>
      <c r="B104" s="13" t="s">
        <v>0</v>
      </c>
      <c r="C104" s="13" t="s">
        <v>112</v>
      </c>
      <c r="D104" s="13" t="s">
        <v>10</v>
      </c>
      <c r="E104" s="181"/>
      <c r="F104" s="181">
        <f>0.15</f>
        <v>0.15</v>
      </c>
      <c r="G104" s="182">
        <f>E98*F104</f>
        <v>0.3</v>
      </c>
    </row>
    <row r="105" spans="1:7" ht="15">
      <c r="A105" s="12" t="s">
        <v>0</v>
      </c>
      <c r="B105" s="13" t="s">
        <v>0</v>
      </c>
      <c r="C105" s="13" t="s">
        <v>0</v>
      </c>
      <c r="D105" s="13" t="s">
        <v>0</v>
      </c>
      <c r="E105" s="181"/>
      <c r="F105" s="181"/>
      <c r="G105" s="182"/>
    </row>
    <row r="106" spans="1:7" ht="15">
      <c r="A106" s="12" t="s">
        <v>113</v>
      </c>
      <c r="B106" s="13" t="s">
        <v>114</v>
      </c>
      <c r="C106" s="13" t="s">
        <v>115</v>
      </c>
      <c r="D106" s="13" t="s">
        <v>29</v>
      </c>
      <c r="E106" s="181">
        <f>'Du toan chi tiet'!E48</f>
        <v>444</v>
      </c>
      <c r="F106" s="181"/>
      <c r="G106" s="182"/>
    </row>
    <row r="107" spans="1:7" ht="15">
      <c r="A107" s="12" t="s">
        <v>0</v>
      </c>
      <c r="B107" s="13" t="s">
        <v>0</v>
      </c>
      <c r="C107" s="13" t="s">
        <v>28</v>
      </c>
      <c r="D107" s="13" t="s">
        <v>29</v>
      </c>
      <c r="E107" s="181"/>
      <c r="F107" s="181">
        <f>1.02</f>
        <v>1.02</v>
      </c>
      <c r="G107" s="182">
        <f>E106*F107</f>
        <v>452.88</v>
      </c>
    </row>
    <row r="108" spans="1:7" ht="15">
      <c r="A108" s="12" t="s">
        <v>0</v>
      </c>
      <c r="B108" s="13" t="s">
        <v>0</v>
      </c>
      <c r="C108" s="13" t="s">
        <v>116</v>
      </c>
      <c r="D108" s="13" t="s">
        <v>38</v>
      </c>
      <c r="E108" s="181"/>
      <c r="F108" s="181">
        <f>0.1</f>
        <v>0.1</v>
      </c>
      <c r="G108" s="182">
        <f>E106*F108</f>
        <v>44.400000000000006</v>
      </c>
    </row>
    <row r="109" spans="1:7" ht="15">
      <c r="A109" s="12" t="s">
        <v>0</v>
      </c>
      <c r="B109" s="13" t="s">
        <v>0</v>
      </c>
      <c r="C109" s="13" t="s">
        <v>117</v>
      </c>
      <c r="D109" s="13" t="s">
        <v>118</v>
      </c>
      <c r="E109" s="181"/>
      <c r="F109" s="181">
        <f>5</f>
        <v>5</v>
      </c>
      <c r="G109" s="182">
        <f>E106*F109</f>
        <v>2220</v>
      </c>
    </row>
    <row r="110" spans="1:7" ht="15">
      <c r="A110" s="12" t="s">
        <v>0</v>
      </c>
      <c r="B110" s="13" t="s">
        <v>0</v>
      </c>
      <c r="C110" s="13" t="s">
        <v>30</v>
      </c>
      <c r="D110" s="13" t="s">
        <v>8</v>
      </c>
      <c r="E110" s="181"/>
      <c r="F110" s="181">
        <f>0.054</f>
        <v>0.054</v>
      </c>
      <c r="G110" s="182">
        <f>E106*F110</f>
        <v>23.976</v>
      </c>
    </row>
    <row r="111" spans="1:7" ht="15">
      <c r="A111" s="12" t="s">
        <v>0</v>
      </c>
      <c r="B111" s="13" t="s">
        <v>0</v>
      </c>
      <c r="C111" s="13" t="s">
        <v>31</v>
      </c>
      <c r="D111" s="13" t="s">
        <v>10</v>
      </c>
      <c r="E111" s="181"/>
      <c r="F111" s="181">
        <f>0.017</f>
        <v>0.017</v>
      </c>
      <c r="G111" s="182">
        <f>E106*F111</f>
        <v>7.548000000000001</v>
      </c>
    </row>
    <row r="112" spans="1:7" ht="15">
      <c r="A112" s="12" t="s">
        <v>0</v>
      </c>
      <c r="B112" s="13" t="s">
        <v>0</v>
      </c>
      <c r="C112" s="13" t="s">
        <v>0</v>
      </c>
      <c r="D112" s="13" t="s">
        <v>0</v>
      </c>
      <c r="E112" s="181"/>
      <c r="F112" s="181"/>
      <c r="G112" s="182"/>
    </row>
    <row r="113" spans="1:7" ht="15">
      <c r="A113" s="12" t="s">
        <v>119</v>
      </c>
      <c r="B113" s="13" t="s">
        <v>120</v>
      </c>
      <c r="C113" s="13" t="s">
        <v>121</v>
      </c>
      <c r="D113" s="13" t="s">
        <v>5</v>
      </c>
      <c r="E113" s="181">
        <f>'Du toan chi tiet'!E50</f>
        <v>17.76</v>
      </c>
      <c r="F113" s="181"/>
      <c r="G113" s="182"/>
    </row>
    <row r="114" spans="1:7" ht="15">
      <c r="A114" s="12" t="s">
        <v>0</v>
      </c>
      <c r="B114" s="13" t="s">
        <v>0</v>
      </c>
      <c r="C114" s="13" t="s">
        <v>35</v>
      </c>
      <c r="D114" s="13" t="s">
        <v>0</v>
      </c>
      <c r="E114" s="181"/>
      <c r="F114" s="181"/>
      <c r="G114" s="182"/>
    </row>
    <row r="115" spans="1:7" ht="15">
      <c r="A115" s="12" t="s">
        <v>0</v>
      </c>
      <c r="B115" s="13" t="s">
        <v>0</v>
      </c>
      <c r="C115" s="13" t="s">
        <v>36</v>
      </c>
      <c r="D115" s="13" t="s">
        <v>23</v>
      </c>
      <c r="E115" s="181"/>
      <c r="F115" s="181">
        <f>1.025*205</f>
        <v>210.12499999999997</v>
      </c>
      <c r="G115" s="182">
        <f>E113*F115</f>
        <v>3731.8199999999997</v>
      </c>
    </row>
    <row r="116" spans="1:7" ht="15">
      <c r="A116" s="12" t="s">
        <v>0</v>
      </c>
      <c r="B116" s="13" t="s">
        <v>0</v>
      </c>
      <c r="C116" s="13" t="s">
        <v>37</v>
      </c>
      <c r="D116" s="13" t="s">
        <v>38</v>
      </c>
      <c r="E116" s="181"/>
      <c r="F116" s="181">
        <f>1.025*0.549</f>
        <v>0.562725</v>
      </c>
      <c r="G116" s="182">
        <f>E113*F116</f>
        <v>9.993996000000001</v>
      </c>
    </row>
    <row r="117" spans="1:7" ht="15">
      <c r="A117" s="12" t="s">
        <v>0</v>
      </c>
      <c r="B117" s="13" t="s">
        <v>0</v>
      </c>
      <c r="C117" s="13" t="s">
        <v>39</v>
      </c>
      <c r="D117" s="13" t="s">
        <v>38</v>
      </c>
      <c r="E117" s="181"/>
      <c r="F117" s="181">
        <f>1.025*0.89</f>
        <v>0.9122499999999999</v>
      </c>
      <c r="G117" s="182">
        <f>E113*F117</f>
        <v>16.20156</v>
      </c>
    </row>
    <row r="118" spans="1:7" ht="15">
      <c r="A118" s="12" t="s">
        <v>0</v>
      </c>
      <c r="B118" s="13" t="s">
        <v>0</v>
      </c>
      <c r="C118" s="13" t="s">
        <v>40</v>
      </c>
      <c r="D118" s="13" t="s">
        <v>38</v>
      </c>
      <c r="E118" s="181"/>
      <c r="F118" s="181">
        <f>1.025*0.172</f>
        <v>0.17629999999999996</v>
      </c>
      <c r="G118" s="182">
        <f>E113*F118</f>
        <v>3.1310879999999996</v>
      </c>
    </row>
    <row r="119" spans="1:7" ht="15">
      <c r="A119" s="12" t="s">
        <v>0</v>
      </c>
      <c r="B119" s="13" t="s">
        <v>0</v>
      </c>
      <c r="C119" s="13" t="s">
        <v>41</v>
      </c>
      <c r="D119" s="13" t="s">
        <v>8</v>
      </c>
      <c r="E119" s="181"/>
      <c r="F119" s="181">
        <f>1.19</f>
        <v>1.19</v>
      </c>
      <c r="G119" s="182">
        <f>E113*F119</f>
        <v>21.1344</v>
      </c>
    </row>
    <row r="120" spans="1:7" ht="15">
      <c r="A120" s="12" t="s">
        <v>0</v>
      </c>
      <c r="B120" s="13" t="s">
        <v>0</v>
      </c>
      <c r="C120" s="13" t="s">
        <v>42</v>
      </c>
      <c r="D120" s="13" t="s">
        <v>10</v>
      </c>
      <c r="E120" s="181"/>
      <c r="F120" s="181">
        <f>0.095</f>
        <v>0.095</v>
      </c>
      <c r="G120" s="182">
        <f>E113*F120</f>
        <v>1.6872000000000003</v>
      </c>
    </row>
    <row r="121" spans="1:7" ht="15">
      <c r="A121" s="12" t="s">
        <v>0</v>
      </c>
      <c r="B121" s="13" t="s">
        <v>0</v>
      </c>
      <c r="C121" s="13" t="s">
        <v>122</v>
      </c>
      <c r="D121" s="13" t="s">
        <v>10</v>
      </c>
      <c r="E121" s="181"/>
      <c r="F121" s="181">
        <f>0.089</f>
        <v>0.089</v>
      </c>
      <c r="G121" s="182">
        <f>E113*F121</f>
        <v>1.58064</v>
      </c>
    </row>
    <row r="122" spans="1:7" ht="15">
      <c r="A122" s="12" t="s">
        <v>0</v>
      </c>
      <c r="B122" s="13" t="s">
        <v>0</v>
      </c>
      <c r="C122" s="13" t="s">
        <v>0</v>
      </c>
      <c r="D122" s="13" t="s">
        <v>0</v>
      </c>
      <c r="E122" s="181"/>
      <c r="F122" s="181"/>
      <c r="G122" s="182"/>
    </row>
    <row r="123" spans="1:7" ht="15">
      <c r="A123" s="12" t="s">
        <v>123</v>
      </c>
      <c r="B123" s="13" t="s">
        <v>124</v>
      </c>
      <c r="C123" s="13" t="s">
        <v>125</v>
      </c>
      <c r="D123" s="13" t="s">
        <v>47</v>
      </c>
      <c r="E123" s="181">
        <f>'Du toan chi tiet'!E52</f>
        <v>177.6</v>
      </c>
      <c r="F123" s="181"/>
      <c r="G123" s="182"/>
    </row>
    <row r="124" spans="1:7" ht="15">
      <c r="A124" s="12" t="s">
        <v>0</v>
      </c>
      <c r="B124" s="13" t="s">
        <v>0</v>
      </c>
      <c r="C124" s="13" t="s">
        <v>126</v>
      </c>
      <c r="D124" s="13" t="s">
        <v>127</v>
      </c>
      <c r="E124" s="181"/>
      <c r="F124" s="181">
        <f>1.01</f>
        <v>1.01</v>
      </c>
      <c r="G124" s="182">
        <f>E123*F124</f>
        <v>179.376</v>
      </c>
    </row>
    <row r="125" spans="1:7" ht="15">
      <c r="A125" s="12" t="s">
        <v>0</v>
      </c>
      <c r="B125" s="13" t="s">
        <v>0</v>
      </c>
      <c r="C125" s="13" t="s">
        <v>128</v>
      </c>
      <c r="D125" s="13" t="s">
        <v>23</v>
      </c>
      <c r="E125" s="181"/>
      <c r="F125" s="181">
        <f>0.025*338</f>
        <v>8.450000000000001</v>
      </c>
      <c r="G125" s="182">
        <f>E123*F125</f>
        <v>1500.7200000000003</v>
      </c>
    </row>
    <row r="126" spans="1:7" ht="15">
      <c r="A126" s="12" t="s">
        <v>0</v>
      </c>
      <c r="B126" s="13" t="s">
        <v>0</v>
      </c>
      <c r="C126" s="13" t="s">
        <v>129</v>
      </c>
      <c r="D126" s="13" t="s">
        <v>38</v>
      </c>
      <c r="E126" s="181"/>
      <c r="F126" s="181">
        <f>0.025*1.149</f>
        <v>0.028725</v>
      </c>
      <c r="G126" s="182">
        <f>E123*F126</f>
        <v>5.10156</v>
      </c>
    </row>
    <row r="127" spans="1:7" ht="15">
      <c r="A127" s="12" t="s">
        <v>0</v>
      </c>
      <c r="B127" s="13" t="s">
        <v>0</v>
      </c>
      <c r="C127" s="13" t="s">
        <v>40</v>
      </c>
      <c r="D127" s="13" t="s">
        <v>38</v>
      </c>
      <c r="E127" s="181"/>
      <c r="F127" s="181">
        <f>0.025*0.272</f>
        <v>0.0068000000000000005</v>
      </c>
      <c r="G127" s="182">
        <f>E123*F127</f>
        <v>1.20768</v>
      </c>
    </row>
    <row r="128" spans="1:7" ht="15">
      <c r="A128" s="12" t="s">
        <v>0</v>
      </c>
      <c r="B128" s="13" t="s">
        <v>0</v>
      </c>
      <c r="C128" s="13" t="s">
        <v>36</v>
      </c>
      <c r="D128" s="13" t="s">
        <v>23</v>
      </c>
      <c r="E128" s="181"/>
      <c r="F128" s="181">
        <f>0.8</f>
        <v>0.8</v>
      </c>
      <c r="G128" s="182">
        <f>E123*F128</f>
        <v>142.08</v>
      </c>
    </row>
    <row r="129" spans="1:7" ht="15">
      <c r="A129" s="12" t="s">
        <v>0</v>
      </c>
      <c r="B129" s="13" t="s">
        <v>0</v>
      </c>
      <c r="C129" s="13" t="s">
        <v>130</v>
      </c>
      <c r="D129" s="13" t="s">
        <v>23</v>
      </c>
      <c r="E129" s="181"/>
      <c r="F129" s="181">
        <f>0.16</f>
        <v>0.16</v>
      </c>
      <c r="G129" s="182">
        <f>E123*F129</f>
        <v>28.416</v>
      </c>
    </row>
    <row r="130" spans="1:7" ht="15">
      <c r="A130" s="12" t="s">
        <v>0</v>
      </c>
      <c r="B130" s="13" t="s">
        <v>0</v>
      </c>
      <c r="C130" s="13" t="s">
        <v>131</v>
      </c>
      <c r="D130" s="13" t="s">
        <v>8</v>
      </c>
      <c r="E130" s="181"/>
      <c r="F130" s="181">
        <f>0.17</f>
        <v>0.17</v>
      </c>
      <c r="G130" s="182">
        <f>E123*F130</f>
        <v>30.192</v>
      </c>
    </row>
    <row r="131" spans="1:7" ht="15">
      <c r="A131" s="12" t="s">
        <v>0</v>
      </c>
      <c r="B131" s="13" t="s">
        <v>0</v>
      </c>
      <c r="C131" s="13" t="s">
        <v>132</v>
      </c>
      <c r="D131" s="13" t="s">
        <v>10</v>
      </c>
      <c r="E131" s="181"/>
      <c r="F131" s="181">
        <f>0.03</f>
        <v>0.03</v>
      </c>
      <c r="G131" s="182">
        <f>E123*F131</f>
        <v>5.327999999999999</v>
      </c>
    </row>
    <row r="132" spans="1:7" ht="15">
      <c r="A132" s="12" t="s">
        <v>0</v>
      </c>
      <c r="B132" s="13" t="s">
        <v>0</v>
      </c>
      <c r="C132" s="13" t="s">
        <v>0</v>
      </c>
      <c r="D132" s="13" t="s">
        <v>0</v>
      </c>
      <c r="E132" s="181"/>
      <c r="F132" s="181"/>
      <c r="G132" s="182"/>
    </row>
    <row r="133" spans="1:7" ht="15">
      <c r="A133" s="12" t="s">
        <v>133</v>
      </c>
      <c r="B133" s="13" t="s">
        <v>134</v>
      </c>
      <c r="C133" s="13" t="s">
        <v>135</v>
      </c>
      <c r="D133" s="13" t="s">
        <v>27</v>
      </c>
      <c r="E133" s="181">
        <f>'Du toan chi tiet'!E54</f>
        <v>583</v>
      </c>
      <c r="F133" s="181"/>
      <c r="G133" s="182"/>
    </row>
    <row r="134" spans="1:7" ht="15">
      <c r="A134" s="12" t="s">
        <v>0</v>
      </c>
      <c r="B134" s="13" t="s">
        <v>0</v>
      </c>
      <c r="C134" s="13" t="s">
        <v>136</v>
      </c>
      <c r="D134" s="13" t="s">
        <v>29</v>
      </c>
      <c r="E134" s="181"/>
      <c r="F134" s="181">
        <f>1.015</f>
        <v>1.015</v>
      </c>
      <c r="G134" s="182">
        <f>E133*F134</f>
        <v>591.7449999999999</v>
      </c>
    </row>
    <row r="135" spans="1:7" ht="15">
      <c r="A135" s="12" t="s">
        <v>0</v>
      </c>
      <c r="B135" s="13" t="s">
        <v>0</v>
      </c>
      <c r="C135" s="13" t="s">
        <v>30</v>
      </c>
      <c r="D135" s="13" t="s">
        <v>8</v>
      </c>
      <c r="E135" s="181"/>
      <c r="F135" s="181">
        <f>0.0098</f>
        <v>0.0098</v>
      </c>
      <c r="G135" s="182">
        <f>E133*F135</f>
        <v>5.7134</v>
      </c>
    </row>
    <row r="136" spans="1:7" ht="15">
      <c r="A136" s="12" t="s">
        <v>0</v>
      </c>
      <c r="B136" s="13" t="s">
        <v>0</v>
      </c>
      <c r="C136" s="13" t="s">
        <v>0</v>
      </c>
      <c r="D136" s="13" t="s">
        <v>0</v>
      </c>
      <c r="E136" s="181"/>
      <c r="F136" s="181"/>
      <c r="G136" s="182"/>
    </row>
    <row r="137" spans="1:7" ht="15">
      <c r="A137" s="12" t="s">
        <v>137</v>
      </c>
      <c r="B137" s="13" t="s">
        <v>138</v>
      </c>
      <c r="C137" s="13" t="s">
        <v>139</v>
      </c>
      <c r="D137" s="13" t="s">
        <v>27</v>
      </c>
      <c r="E137" s="181">
        <f>'Du toan chi tiet'!E56</f>
        <v>583</v>
      </c>
      <c r="F137" s="181"/>
      <c r="G137" s="182"/>
    </row>
    <row r="138" spans="1:7" ht="15">
      <c r="A138" s="12" t="s">
        <v>0</v>
      </c>
      <c r="B138" s="13" t="s">
        <v>0</v>
      </c>
      <c r="C138" s="13" t="s">
        <v>111</v>
      </c>
      <c r="D138" s="13" t="s">
        <v>29</v>
      </c>
      <c r="E138" s="181"/>
      <c r="F138" s="181">
        <f>1.015</f>
        <v>1.015</v>
      </c>
      <c r="G138" s="182">
        <f>E137*F138</f>
        <v>591.7449999999999</v>
      </c>
    </row>
    <row r="139" spans="1:7" ht="15">
      <c r="A139" s="12" t="s">
        <v>0</v>
      </c>
      <c r="B139" s="13" t="s">
        <v>0</v>
      </c>
      <c r="C139" s="13" t="s">
        <v>30</v>
      </c>
      <c r="D139" s="13" t="s">
        <v>8</v>
      </c>
      <c r="E139" s="181"/>
      <c r="F139" s="181">
        <f>0.0098</f>
        <v>0.0098</v>
      </c>
      <c r="G139" s="182">
        <f>E137*F139</f>
        <v>5.7134</v>
      </c>
    </row>
    <row r="140" spans="1:7" ht="15">
      <c r="A140" s="12" t="s">
        <v>0</v>
      </c>
      <c r="B140" s="13" t="s">
        <v>0</v>
      </c>
      <c r="C140" s="13" t="s">
        <v>0</v>
      </c>
      <c r="D140" s="13" t="s">
        <v>0</v>
      </c>
      <c r="E140" s="181"/>
      <c r="F140" s="181"/>
      <c r="G140" s="182"/>
    </row>
    <row r="141" spans="1:7" ht="15">
      <c r="A141" s="12" t="s">
        <v>140</v>
      </c>
      <c r="B141" s="13" t="s">
        <v>141</v>
      </c>
      <c r="C141" s="13" t="s">
        <v>142</v>
      </c>
      <c r="D141" s="13" t="s">
        <v>27</v>
      </c>
      <c r="E141" s="181">
        <f>'Du toan chi tiet'!E58</f>
        <v>160</v>
      </c>
      <c r="F141" s="181"/>
      <c r="G141" s="182"/>
    </row>
    <row r="142" spans="1:7" ht="15">
      <c r="A142" s="12" t="s">
        <v>0</v>
      </c>
      <c r="B142" s="13" t="s">
        <v>0</v>
      </c>
      <c r="C142" s="13" t="s">
        <v>143</v>
      </c>
      <c r="D142" s="13" t="s">
        <v>29</v>
      </c>
      <c r="E142" s="181"/>
      <c r="F142" s="181">
        <f>1.015</f>
        <v>1.015</v>
      </c>
      <c r="G142" s="182">
        <f>E141*F142</f>
        <v>162.39999999999998</v>
      </c>
    </row>
    <row r="143" spans="1:7" ht="15">
      <c r="A143" s="12" t="s">
        <v>0</v>
      </c>
      <c r="B143" s="13" t="s">
        <v>0</v>
      </c>
      <c r="C143" s="13" t="s">
        <v>30</v>
      </c>
      <c r="D143" s="13" t="s">
        <v>8</v>
      </c>
      <c r="E143" s="181"/>
      <c r="F143" s="181">
        <f>0.013</f>
        <v>0.013</v>
      </c>
      <c r="G143" s="182">
        <f>E141*F143</f>
        <v>2.08</v>
      </c>
    </row>
    <row r="144" spans="1:7" ht="15">
      <c r="A144" s="12" t="s">
        <v>0</v>
      </c>
      <c r="B144" s="13" t="s">
        <v>0</v>
      </c>
      <c r="C144" s="13" t="s">
        <v>0</v>
      </c>
      <c r="D144" s="13" t="s">
        <v>0</v>
      </c>
      <c r="E144" s="181"/>
      <c r="F144" s="181"/>
      <c r="G144" s="182"/>
    </row>
    <row r="145" spans="1:7" ht="15">
      <c r="A145" s="12" t="s">
        <v>144</v>
      </c>
      <c r="B145" s="13" t="s">
        <v>145</v>
      </c>
      <c r="C145" s="13" t="s">
        <v>146</v>
      </c>
      <c r="D145" s="13" t="s">
        <v>27</v>
      </c>
      <c r="E145" s="181">
        <f>'Du toan chi tiet'!E60</f>
        <v>25</v>
      </c>
      <c r="F145" s="181"/>
      <c r="G145" s="182"/>
    </row>
    <row r="146" spans="1:7" ht="15">
      <c r="A146" s="12" t="s">
        <v>0</v>
      </c>
      <c r="B146" s="13" t="s">
        <v>0</v>
      </c>
      <c r="C146" s="13" t="s">
        <v>147</v>
      </c>
      <c r="D146" s="13" t="s">
        <v>0</v>
      </c>
      <c r="E146" s="181"/>
      <c r="F146" s="181"/>
      <c r="G146" s="182"/>
    </row>
    <row r="147" spans="1:7" ht="15">
      <c r="A147" s="12" t="s">
        <v>0</v>
      </c>
      <c r="B147" s="13" t="s">
        <v>0</v>
      </c>
      <c r="C147" s="13" t="s">
        <v>148</v>
      </c>
      <c r="D147" s="13" t="s">
        <v>29</v>
      </c>
      <c r="E147" s="181"/>
      <c r="F147" s="181">
        <f>1.015</f>
        <v>1.015</v>
      </c>
      <c r="G147" s="182">
        <f>E145*F147</f>
        <v>25.374999999999996</v>
      </c>
    </row>
    <row r="148" spans="1:7" ht="15">
      <c r="A148" s="12" t="s">
        <v>0</v>
      </c>
      <c r="B148" s="13" t="s">
        <v>0</v>
      </c>
      <c r="C148" s="13" t="s">
        <v>30</v>
      </c>
      <c r="D148" s="13" t="s">
        <v>8</v>
      </c>
      <c r="E148" s="181"/>
      <c r="F148" s="181">
        <f>0.0098</f>
        <v>0.0098</v>
      </c>
      <c r="G148" s="182">
        <f>E145*F148</f>
        <v>0.245</v>
      </c>
    </row>
    <row r="149" spans="1:7" ht="15">
      <c r="A149" s="12" t="s">
        <v>0</v>
      </c>
      <c r="B149" s="13" t="s">
        <v>0</v>
      </c>
      <c r="C149" s="13" t="s">
        <v>0</v>
      </c>
      <c r="D149" s="13" t="s">
        <v>0</v>
      </c>
      <c r="E149" s="181"/>
      <c r="F149" s="181"/>
      <c r="G149" s="182"/>
    </row>
    <row r="150" spans="1:7" ht="15">
      <c r="A150" s="12" t="s">
        <v>149</v>
      </c>
      <c r="B150" s="13" t="s">
        <v>150</v>
      </c>
      <c r="C150" s="13" t="s">
        <v>151</v>
      </c>
      <c r="D150" s="13" t="s">
        <v>152</v>
      </c>
      <c r="E150" s="181">
        <f>'Du toan chi tiet'!E62</f>
        <v>13</v>
      </c>
      <c r="F150" s="181"/>
      <c r="G150" s="182"/>
    </row>
    <row r="151" spans="1:7" ht="15">
      <c r="A151" s="12" t="s">
        <v>0</v>
      </c>
      <c r="B151" s="13" t="s">
        <v>0</v>
      </c>
      <c r="C151" s="13" t="s">
        <v>153</v>
      </c>
      <c r="D151" s="13" t="s">
        <v>110</v>
      </c>
      <c r="E151" s="181"/>
      <c r="F151" s="181">
        <f>2</f>
        <v>2</v>
      </c>
      <c r="G151" s="182">
        <f>E150*F151</f>
        <v>26</v>
      </c>
    </row>
    <row r="152" spans="1:7" ht="15">
      <c r="A152" s="12" t="s">
        <v>0</v>
      </c>
      <c r="B152" s="13" t="s">
        <v>0</v>
      </c>
      <c r="C152" s="13" t="s">
        <v>154</v>
      </c>
      <c r="D152" s="13" t="s">
        <v>110</v>
      </c>
      <c r="E152" s="181"/>
      <c r="F152" s="181">
        <f>1</f>
        <v>1</v>
      </c>
      <c r="G152" s="182">
        <f>E150*F152</f>
        <v>13</v>
      </c>
    </row>
    <row r="153" spans="1:7" ht="15">
      <c r="A153" s="12" t="s">
        <v>0</v>
      </c>
      <c r="B153" s="13" t="s">
        <v>0</v>
      </c>
      <c r="C153" s="13" t="s">
        <v>155</v>
      </c>
      <c r="D153" s="13" t="s">
        <v>110</v>
      </c>
      <c r="E153" s="181"/>
      <c r="F153" s="181">
        <f>1</f>
        <v>1</v>
      </c>
      <c r="G153" s="182">
        <f>E150*F153</f>
        <v>13</v>
      </c>
    </row>
    <row r="154" spans="1:7" ht="15">
      <c r="A154" s="12" t="s">
        <v>0</v>
      </c>
      <c r="B154" s="13" t="s">
        <v>0</v>
      </c>
      <c r="C154" s="13" t="s">
        <v>156</v>
      </c>
      <c r="D154" s="13" t="s">
        <v>17</v>
      </c>
      <c r="E154" s="181"/>
      <c r="F154" s="181">
        <f>1</f>
        <v>1</v>
      </c>
      <c r="G154" s="182">
        <f>E150*F154</f>
        <v>13</v>
      </c>
    </row>
    <row r="155" spans="1:7" ht="15">
      <c r="A155" s="12" t="s">
        <v>0</v>
      </c>
      <c r="B155" s="13" t="s">
        <v>0</v>
      </c>
      <c r="C155" s="13" t="s">
        <v>157</v>
      </c>
      <c r="D155" s="13" t="s">
        <v>110</v>
      </c>
      <c r="E155" s="181"/>
      <c r="F155" s="181">
        <f>2</f>
        <v>2</v>
      </c>
      <c r="G155" s="182">
        <f>E150*F155</f>
        <v>26</v>
      </c>
    </row>
    <row r="156" spans="1:7" ht="15">
      <c r="A156" s="12" t="s">
        <v>0</v>
      </c>
      <c r="B156" s="13" t="s">
        <v>0</v>
      </c>
      <c r="C156" s="13" t="s">
        <v>109</v>
      </c>
      <c r="D156" s="13" t="s">
        <v>110</v>
      </c>
      <c r="E156" s="181"/>
      <c r="F156" s="181">
        <f>8</f>
        <v>8</v>
      </c>
      <c r="G156" s="182">
        <f>E150*F156</f>
        <v>104</v>
      </c>
    </row>
    <row r="157" spans="1:7" ht="15">
      <c r="A157" s="12" t="s">
        <v>0</v>
      </c>
      <c r="B157" s="13" t="s">
        <v>0</v>
      </c>
      <c r="C157" s="13" t="s">
        <v>30</v>
      </c>
      <c r="D157" s="13" t="s">
        <v>8</v>
      </c>
      <c r="E157" s="181"/>
      <c r="F157" s="181">
        <f>0.1</f>
        <v>0.1</v>
      </c>
      <c r="G157" s="182">
        <f>E150*F157</f>
        <v>1.3</v>
      </c>
    </row>
    <row r="158" spans="1:7" ht="15">
      <c r="A158" s="12" t="s">
        <v>0</v>
      </c>
      <c r="B158" s="13" t="s">
        <v>0</v>
      </c>
      <c r="C158" s="13" t="s">
        <v>0</v>
      </c>
      <c r="D158" s="13" t="s">
        <v>0</v>
      </c>
      <c r="E158" s="181"/>
      <c r="F158" s="181"/>
      <c r="G158" s="182"/>
    </row>
    <row r="159" spans="1:7" ht="15">
      <c r="A159" s="12" t="s">
        <v>158</v>
      </c>
      <c r="B159" s="13" t="s">
        <v>159</v>
      </c>
      <c r="C159" s="13" t="s">
        <v>160</v>
      </c>
      <c r="D159" s="13" t="s">
        <v>152</v>
      </c>
      <c r="E159" s="181">
        <f>'Du toan chi tiet'!E64</f>
        <v>2</v>
      </c>
      <c r="F159" s="181"/>
      <c r="G159" s="182"/>
    </row>
    <row r="160" spans="1:7" ht="15">
      <c r="A160" s="12" t="s">
        <v>0</v>
      </c>
      <c r="B160" s="13" t="s">
        <v>0</v>
      </c>
      <c r="C160" s="13" t="s">
        <v>153</v>
      </c>
      <c r="D160" s="13" t="s">
        <v>110</v>
      </c>
      <c r="E160" s="181"/>
      <c r="F160" s="181">
        <f>2</f>
        <v>2</v>
      </c>
      <c r="G160" s="182">
        <f>E159*F160</f>
        <v>4</v>
      </c>
    </row>
    <row r="161" spans="1:7" ht="15">
      <c r="A161" s="12" t="s">
        <v>0</v>
      </c>
      <c r="B161" s="13" t="s">
        <v>0</v>
      </c>
      <c r="C161" s="13" t="s">
        <v>154</v>
      </c>
      <c r="D161" s="13" t="s">
        <v>110</v>
      </c>
      <c r="E161" s="181"/>
      <c r="F161" s="181">
        <f>1</f>
        <v>1</v>
      </c>
      <c r="G161" s="182">
        <f>E159*F161</f>
        <v>2</v>
      </c>
    </row>
    <row r="162" spans="1:7" ht="15">
      <c r="A162" s="12" t="s">
        <v>0</v>
      </c>
      <c r="B162" s="13" t="s">
        <v>0</v>
      </c>
      <c r="C162" s="13" t="s">
        <v>155</v>
      </c>
      <c r="D162" s="13" t="s">
        <v>110</v>
      </c>
      <c r="E162" s="181"/>
      <c r="F162" s="181">
        <f>1</f>
        <v>1</v>
      </c>
      <c r="G162" s="182">
        <f>E159*F162</f>
        <v>2</v>
      </c>
    </row>
    <row r="163" spans="1:7" ht="15">
      <c r="A163" s="12" t="s">
        <v>0</v>
      </c>
      <c r="B163" s="13" t="s">
        <v>0</v>
      </c>
      <c r="C163" s="13" t="s">
        <v>156</v>
      </c>
      <c r="D163" s="13" t="s">
        <v>17</v>
      </c>
      <c r="E163" s="181"/>
      <c r="F163" s="181">
        <f>1</f>
        <v>1</v>
      </c>
      <c r="G163" s="182">
        <f>E159*F163</f>
        <v>2</v>
      </c>
    </row>
    <row r="164" spans="1:7" ht="15">
      <c r="A164" s="12" t="s">
        <v>0</v>
      </c>
      <c r="B164" s="13" t="s">
        <v>0</v>
      </c>
      <c r="C164" s="13" t="s">
        <v>157</v>
      </c>
      <c r="D164" s="13" t="s">
        <v>110</v>
      </c>
      <c r="E164" s="181"/>
      <c r="F164" s="181">
        <f>1</f>
        <v>1</v>
      </c>
      <c r="G164" s="182">
        <f>E159*F164</f>
        <v>2</v>
      </c>
    </row>
    <row r="165" spans="1:7" ht="15">
      <c r="A165" s="12" t="s">
        <v>0</v>
      </c>
      <c r="B165" s="13" t="s">
        <v>0</v>
      </c>
      <c r="C165" s="13" t="s">
        <v>109</v>
      </c>
      <c r="D165" s="13" t="s">
        <v>110</v>
      </c>
      <c r="E165" s="181"/>
      <c r="F165" s="181">
        <f>4</f>
        <v>4</v>
      </c>
      <c r="G165" s="182">
        <f>E159*F165</f>
        <v>8</v>
      </c>
    </row>
    <row r="166" spans="1:7" ht="15">
      <c r="A166" s="12" t="s">
        <v>0</v>
      </c>
      <c r="B166" s="13" t="s">
        <v>0</v>
      </c>
      <c r="C166" s="13" t="s">
        <v>30</v>
      </c>
      <c r="D166" s="13" t="s">
        <v>8</v>
      </c>
      <c r="E166" s="181"/>
      <c r="F166" s="181">
        <f>0.1</f>
        <v>0.1</v>
      </c>
      <c r="G166" s="182">
        <f>E159*F166</f>
        <v>0.2</v>
      </c>
    </row>
    <row r="167" spans="1:7" ht="15">
      <c r="A167" s="12" t="s">
        <v>0</v>
      </c>
      <c r="B167" s="13" t="s">
        <v>0</v>
      </c>
      <c r="C167" s="13" t="s">
        <v>0</v>
      </c>
      <c r="D167" s="13" t="s">
        <v>0</v>
      </c>
      <c r="E167" s="181"/>
      <c r="F167" s="181"/>
      <c r="G167" s="182"/>
    </row>
    <row r="168" spans="1:7" ht="15">
      <c r="A168" s="12" t="s">
        <v>161</v>
      </c>
      <c r="B168" s="13" t="s">
        <v>162</v>
      </c>
      <c r="C168" s="13" t="s">
        <v>163</v>
      </c>
      <c r="D168" s="13" t="s">
        <v>164</v>
      </c>
      <c r="E168" s="181">
        <f>'Du toan chi tiet'!E66</f>
        <v>15</v>
      </c>
      <c r="F168" s="181"/>
      <c r="G168" s="182"/>
    </row>
    <row r="169" spans="1:7" ht="15">
      <c r="A169" s="12" t="s">
        <v>0</v>
      </c>
      <c r="B169" s="13" t="s">
        <v>0</v>
      </c>
      <c r="C169" s="13" t="s">
        <v>30</v>
      </c>
      <c r="D169" s="13" t="s">
        <v>8</v>
      </c>
      <c r="E169" s="181"/>
      <c r="F169" s="181">
        <f>0.13</f>
        <v>0.13</v>
      </c>
      <c r="G169" s="182">
        <f>E168*F169</f>
        <v>1.9500000000000002</v>
      </c>
    </row>
    <row r="170" spans="1:7" ht="15">
      <c r="A170" s="12" t="s">
        <v>0</v>
      </c>
      <c r="B170" s="13" t="s">
        <v>0</v>
      </c>
      <c r="C170" s="13" t="s">
        <v>0</v>
      </c>
      <c r="D170" s="13" t="s">
        <v>0</v>
      </c>
      <c r="E170" s="181"/>
      <c r="F170" s="181"/>
      <c r="G170" s="182"/>
    </row>
    <row r="171" spans="1:7" ht="15">
      <c r="A171" s="12" t="s">
        <v>165</v>
      </c>
      <c r="B171" s="13" t="s">
        <v>166</v>
      </c>
      <c r="C171" s="13" t="s">
        <v>167</v>
      </c>
      <c r="D171" s="13" t="s">
        <v>168</v>
      </c>
      <c r="E171" s="181">
        <f>'Du toan chi tiet'!E68</f>
        <v>15</v>
      </c>
      <c r="F171" s="181"/>
      <c r="G171" s="182"/>
    </row>
    <row r="172" spans="1:7" ht="15">
      <c r="A172" s="12" t="s">
        <v>0</v>
      </c>
      <c r="B172" s="13" t="s">
        <v>0</v>
      </c>
      <c r="C172" s="13" t="s">
        <v>169</v>
      </c>
      <c r="D172" s="13" t="s">
        <v>110</v>
      </c>
      <c r="E172" s="181"/>
      <c r="F172" s="181">
        <f>1</f>
        <v>1</v>
      </c>
      <c r="G172" s="182">
        <f>E171*F172</f>
        <v>15</v>
      </c>
    </row>
    <row r="173" spans="1:7" ht="15">
      <c r="A173" s="12" t="s">
        <v>0</v>
      </c>
      <c r="B173" s="13" t="s">
        <v>0</v>
      </c>
      <c r="C173" s="13" t="s">
        <v>30</v>
      </c>
      <c r="D173" s="13" t="s">
        <v>8</v>
      </c>
      <c r="E173" s="181"/>
      <c r="F173" s="181">
        <f>0.2</f>
        <v>0.2</v>
      </c>
      <c r="G173" s="182">
        <f>E171*F173</f>
        <v>3</v>
      </c>
    </row>
    <row r="174" spans="1:7" ht="15">
      <c r="A174" s="12" t="s">
        <v>0</v>
      </c>
      <c r="B174" s="13" t="s">
        <v>0</v>
      </c>
      <c r="C174" s="13" t="s">
        <v>102</v>
      </c>
      <c r="D174" s="13" t="s">
        <v>10</v>
      </c>
      <c r="E174" s="181"/>
      <c r="F174" s="181">
        <f>0.1</f>
        <v>0.1</v>
      </c>
      <c r="G174" s="182">
        <f>E171*F174</f>
        <v>1.5</v>
      </c>
    </row>
    <row r="175" spans="1:7" ht="15">
      <c r="A175" s="12" t="s">
        <v>0</v>
      </c>
      <c r="B175" s="13" t="s">
        <v>0</v>
      </c>
      <c r="C175" s="13" t="s">
        <v>0</v>
      </c>
      <c r="D175" s="13" t="s">
        <v>0</v>
      </c>
      <c r="E175" s="181"/>
      <c r="F175" s="181"/>
      <c r="G175" s="182"/>
    </row>
    <row r="176" spans="1:7" ht="15">
      <c r="A176" s="12" t="s">
        <v>170</v>
      </c>
      <c r="B176" s="13" t="s">
        <v>171</v>
      </c>
      <c r="C176" s="13" t="s">
        <v>172</v>
      </c>
      <c r="D176" s="13" t="s">
        <v>173</v>
      </c>
      <c r="E176" s="181">
        <f>'Du toan chi tiet'!E70</f>
        <v>17</v>
      </c>
      <c r="F176" s="181"/>
      <c r="G176" s="182"/>
    </row>
    <row r="177" spans="1:7" ht="15">
      <c r="A177" s="12" t="s">
        <v>0</v>
      </c>
      <c r="B177" s="13" t="s">
        <v>0</v>
      </c>
      <c r="C177" s="13" t="s">
        <v>174</v>
      </c>
      <c r="D177" s="13" t="s">
        <v>29</v>
      </c>
      <c r="E177" s="181"/>
      <c r="F177" s="181">
        <f>8</f>
        <v>8</v>
      </c>
      <c r="G177" s="182">
        <f>E176*F177</f>
        <v>136</v>
      </c>
    </row>
    <row r="178" spans="1:7" ht="15">
      <c r="A178" s="12" t="s">
        <v>0</v>
      </c>
      <c r="B178" s="13" t="s">
        <v>0</v>
      </c>
      <c r="C178" s="13" t="s">
        <v>175</v>
      </c>
      <c r="D178" s="13" t="s">
        <v>8</v>
      </c>
      <c r="E178" s="181"/>
      <c r="F178" s="181">
        <f>0.69</f>
        <v>0.69</v>
      </c>
      <c r="G178" s="182">
        <f>E176*F178</f>
        <v>11.729999999999999</v>
      </c>
    </row>
    <row r="179" spans="1:7" ht="15">
      <c r="A179" s="12" t="s">
        <v>0</v>
      </c>
      <c r="B179" s="13" t="s">
        <v>0</v>
      </c>
      <c r="C179" s="13" t="s">
        <v>61</v>
      </c>
      <c r="D179" s="13" t="s">
        <v>8</v>
      </c>
      <c r="E179" s="181"/>
      <c r="F179" s="181">
        <f>0.54</f>
        <v>0.54</v>
      </c>
      <c r="G179" s="182">
        <f>E176*F179</f>
        <v>9.18</v>
      </c>
    </row>
    <row r="180" spans="1:7" ht="15">
      <c r="A180" s="12" t="s">
        <v>0</v>
      </c>
      <c r="B180" s="13" t="s">
        <v>0</v>
      </c>
      <c r="C180" s="13" t="s">
        <v>176</v>
      </c>
      <c r="D180" s="13" t="s">
        <v>10</v>
      </c>
      <c r="E180" s="181"/>
      <c r="F180" s="181">
        <f>0.281</f>
        <v>0.281</v>
      </c>
      <c r="G180" s="182">
        <f>E176*F180</f>
        <v>4.777</v>
      </c>
    </row>
    <row r="181" spans="1:7" ht="15">
      <c r="A181" s="12" t="s">
        <v>0</v>
      </c>
      <c r="B181" s="13" t="s">
        <v>0</v>
      </c>
      <c r="C181" s="13" t="s">
        <v>177</v>
      </c>
      <c r="D181" s="13" t="s">
        <v>10</v>
      </c>
      <c r="E181" s="181"/>
      <c r="F181" s="181">
        <f>0.063</f>
        <v>0.063</v>
      </c>
      <c r="G181" s="182">
        <f>E176*F181</f>
        <v>1.071</v>
      </c>
    </row>
    <row r="182" spans="1:7" ht="15">
      <c r="A182" s="12" t="s">
        <v>0</v>
      </c>
      <c r="B182" s="13" t="s">
        <v>0</v>
      </c>
      <c r="C182" s="13" t="s">
        <v>0</v>
      </c>
      <c r="D182" s="13" t="s">
        <v>0</v>
      </c>
      <c r="E182" s="181"/>
      <c r="F182" s="181"/>
      <c r="G182" s="182"/>
    </row>
    <row r="183" spans="1:7" ht="15.75">
      <c r="A183" s="8" t="s">
        <v>0</v>
      </c>
      <c r="B183" s="9" t="s">
        <v>0</v>
      </c>
      <c r="C183" s="9" t="s">
        <v>178</v>
      </c>
      <c r="D183" s="9" t="s">
        <v>0</v>
      </c>
      <c r="E183" s="179"/>
      <c r="F183" s="179"/>
      <c r="G183" s="180"/>
    </row>
    <row r="184" spans="1:7" ht="15">
      <c r="A184" s="12" t="s">
        <v>0</v>
      </c>
      <c r="B184" s="13" t="s">
        <v>0</v>
      </c>
      <c r="C184" s="13" t="s">
        <v>0</v>
      </c>
      <c r="D184" s="13" t="s">
        <v>0</v>
      </c>
      <c r="E184" s="181"/>
      <c r="F184" s="181"/>
      <c r="G184" s="182"/>
    </row>
    <row r="185" spans="1:7" ht="15">
      <c r="A185" s="12" t="s">
        <v>179</v>
      </c>
      <c r="B185" s="13" t="s">
        <v>180</v>
      </c>
      <c r="C185" s="13" t="s">
        <v>181</v>
      </c>
      <c r="D185" s="13" t="s">
        <v>182</v>
      </c>
      <c r="E185" s="181">
        <f>'Du toan chi tiet'!E73</f>
        <v>1</v>
      </c>
      <c r="F185" s="181"/>
      <c r="G185" s="182"/>
    </row>
    <row r="186" spans="1:7" ht="15">
      <c r="A186" s="12" t="s">
        <v>0</v>
      </c>
      <c r="B186" s="13" t="s">
        <v>0</v>
      </c>
      <c r="C186" s="13" t="s">
        <v>183</v>
      </c>
      <c r="D186" s="13" t="s">
        <v>0</v>
      </c>
      <c r="E186" s="181"/>
      <c r="F186" s="181"/>
      <c r="G186" s="182"/>
    </row>
    <row r="187" spans="1:7" ht="15">
      <c r="A187" s="12" t="s">
        <v>0</v>
      </c>
      <c r="B187" s="13" t="s">
        <v>0</v>
      </c>
      <c r="C187" s="13" t="s">
        <v>184</v>
      </c>
      <c r="D187" s="13" t="s">
        <v>10</v>
      </c>
      <c r="E187" s="181"/>
      <c r="F187" s="181">
        <f>0.027</f>
        <v>0.027</v>
      </c>
      <c r="G187" s="182">
        <f>E185*F187</f>
        <v>0.027</v>
      </c>
    </row>
    <row r="188" spans="1:7" ht="15">
      <c r="A188" s="12" t="s">
        <v>0</v>
      </c>
      <c r="B188" s="13" t="s">
        <v>0</v>
      </c>
      <c r="C188" s="13" t="s">
        <v>0</v>
      </c>
      <c r="D188" s="13" t="s">
        <v>0</v>
      </c>
      <c r="E188" s="181"/>
      <c r="F188" s="181"/>
      <c r="G188" s="182"/>
    </row>
    <row r="189" spans="1:7" ht="15">
      <c r="A189" s="12" t="s">
        <v>185</v>
      </c>
      <c r="B189" s="13" t="s">
        <v>186</v>
      </c>
      <c r="C189" s="13" t="s">
        <v>181</v>
      </c>
      <c r="D189" s="13" t="s">
        <v>182</v>
      </c>
      <c r="E189" s="181">
        <f>'Du toan chi tiet'!E75</f>
        <v>1</v>
      </c>
      <c r="F189" s="181"/>
      <c r="G189" s="182"/>
    </row>
    <row r="190" spans="1:7" ht="15">
      <c r="A190" s="12" t="s">
        <v>0</v>
      </c>
      <c r="B190" s="13" t="s">
        <v>0</v>
      </c>
      <c r="C190" s="13" t="s">
        <v>187</v>
      </c>
      <c r="D190" s="13" t="s">
        <v>0</v>
      </c>
      <c r="E190" s="181"/>
      <c r="F190" s="181"/>
      <c r="G190" s="182"/>
    </row>
    <row r="191" spans="1:7" ht="15">
      <c r="A191" s="12" t="s">
        <v>0</v>
      </c>
      <c r="B191" s="13" t="s">
        <v>0</v>
      </c>
      <c r="C191" s="13" t="s">
        <v>184</v>
      </c>
      <c r="D191" s="13" t="s">
        <v>10</v>
      </c>
      <c r="E191" s="181"/>
      <c r="F191" s="181">
        <f>0.019</f>
        <v>0.019</v>
      </c>
      <c r="G191" s="182">
        <f>E189*F191</f>
        <v>0.019</v>
      </c>
    </row>
    <row r="192" spans="1:7" ht="15">
      <c r="A192" s="12" t="s">
        <v>0</v>
      </c>
      <c r="B192" s="13" t="s">
        <v>0</v>
      </c>
      <c r="C192" s="13" t="s">
        <v>0</v>
      </c>
      <c r="D192" s="13" t="s">
        <v>0</v>
      </c>
      <c r="E192" s="181"/>
      <c r="F192" s="181"/>
      <c r="G192" s="182"/>
    </row>
    <row r="193" spans="1:7" ht="15">
      <c r="A193" s="12" t="s">
        <v>188</v>
      </c>
      <c r="B193" s="13" t="s">
        <v>189</v>
      </c>
      <c r="C193" s="13" t="s">
        <v>181</v>
      </c>
      <c r="D193" s="13" t="s">
        <v>182</v>
      </c>
      <c r="E193" s="181">
        <f>'Du toan chi tiet'!E77</f>
        <v>1</v>
      </c>
      <c r="F193" s="181"/>
      <c r="G193" s="182"/>
    </row>
    <row r="194" spans="1:7" ht="15">
      <c r="A194" s="12" t="s">
        <v>0</v>
      </c>
      <c r="B194" s="13" t="s">
        <v>0</v>
      </c>
      <c r="C194" s="13" t="s">
        <v>190</v>
      </c>
      <c r="D194" s="13" t="s">
        <v>0</v>
      </c>
      <c r="E194" s="181"/>
      <c r="F194" s="181"/>
      <c r="G194" s="182"/>
    </row>
    <row r="195" spans="1:7" ht="15">
      <c r="A195" s="12" t="s">
        <v>0</v>
      </c>
      <c r="B195" s="13" t="s">
        <v>0</v>
      </c>
      <c r="C195" s="13" t="s">
        <v>184</v>
      </c>
      <c r="D195" s="13" t="s">
        <v>10</v>
      </c>
      <c r="E195" s="181"/>
      <c r="F195" s="181">
        <f>0.014</f>
        <v>0.014</v>
      </c>
      <c r="G195" s="182">
        <f>E193*F195</f>
        <v>0.014</v>
      </c>
    </row>
    <row r="196" spans="1:7" ht="15">
      <c r="A196" s="12" t="s">
        <v>0</v>
      </c>
      <c r="B196" s="13" t="s">
        <v>0</v>
      </c>
      <c r="C196" s="13" t="s">
        <v>0</v>
      </c>
      <c r="D196" s="13" t="s">
        <v>0</v>
      </c>
      <c r="E196" s="181"/>
      <c r="F196" s="181"/>
      <c r="G196" s="182"/>
    </row>
    <row r="197" spans="1:7" ht="15">
      <c r="A197" s="12" t="s">
        <v>191</v>
      </c>
      <c r="B197" s="13" t="s">
        <v>192</v>
      </c>
      <c r="C197" s="13" t="s">
        <v>193</v>
      </c>
      <c r="D197" s="13" t="s">
        <v>182</v>
      </c>
      <c r="E197" s="181">
        <f>'Du toan chi tiet'!E79</f>
        <v>1</v>
      </c>
      <c r="F197" s="181"/>
      <c r="G197" s="182"/>
    </row>
    <row r="198" spans="1:7" ht="15">
      <c r="A198" s="12" t="s">
        <v>0</v>
      </c>
      <c r="B198" s="13" t="s">
        <v>0</v>
      </c>
      <c r="C198" s="13" t="s">
        <v>183</v>
      </c>
      <c r="D198" s="13" t="s">
        <v>0</v>
      </c>
      <c r="E198" s="181"/>
      <c r="F198" s="181"/>
      <c r="G198" s="182"/>
    </row>
    <row r="199" spans="1:7" ht="15">
      <c r="A199" s="12" t="s">
        <v>0</v>
      </c>
      <c r="B199" s="13" t="s">
        <v>0</v>
      </c>
      <c r="C199" s="13" t="s">
        <v>184</v>
      </c>
      <c r="D199" s="13" t="s">
        <v>10</v>
      </c>
      <c r="E199" s="181"/>
      <c r="F199" s="181">
        <f>0.034</f>
        <v>0.034</v>
      </c>
      <c r="G199" s="182">
        <f>E197*F199</f>
        <v>0.034</v>
      </c>
    </row>
    <row r="200" spans="1:7" ht="15">
      <c r="A200" s="12" t="s">
        <v>0</v>
      </c>
      <c r="B200" s="13" t="s">
        <v>0</v>
      </c>
      <c r="C200" s="13" t="s">
        <v>0</v>
      </c>
      <c r="D200" s="13" t="s">
        <v>0</v>
      </c>
      <c r="E200" s="181"/>
      <c r="F200" s="181"/>
      <c r="G200" s="182"/>
    </row>
    <row r="201" spans="1:7" ht="15">
      <c r="A201" s="12" t="s">
        <v>194</v>
      </c>
      <c r="B201" s="13" t="s">
        <v>195</v>
      </c>
      <c r="C201" s="13" t="s">
        <v>193</v>
      </c>
      <c r="D201" s="13" t="s">
        <v>182</v>
      </c>
      <c r="E201" s="181">
        <f>'Du toan chi tiet'!E81</f>
        <v>1</v>
      </c>
      <c r="F201" s="181"/>
      <c r="G201" s="182"/>
    </row>
    <row r="202" spans="1:7" ht="15">
      <c r="A202" s="12" t="s">
        <v>0</v>
      </c>
      <c r="B202" s="13" t="s">
        <v>0</v>
      </c>
      <c r="C202" s="13" t="s">
        <v>187</v>
      </c>
      <c r="D202" s="13" t="s">
        <v>0</v>
      </c>
      <c r="E202" s="181"/>
      <c r="F202" s="181"/>
      <c r="G202" s="182"/>
    </row>
    <row r="203" spans="1:7" ht="15">
      <c r="A203" s="12" t="s">
        <v>0</v>
      </c>
      <c r="B203" s="13" t="s">
        <v>0</v>
      </c>
      <c r="C203" s="13" t="s">
        <v>184</v>
      </c>
      <c r="D203" s="13" t="s">
        <v>10</v>
      </c>
      <c r="E203" s="181"/>
      <c r="F203" s="181">
        <f>0.025</f>
        <v>0.025</v>
      </c>
      <c r="G203" s="182">
        <f>E201*F203</f>
        <v>0.025</v>
      </c>
    </row>
    <row r="204" spans="1:7" ht="15">
      <c r="A204" s="12" t="s">
        <v>0</v>
      </c>
      <c r="B204" s="13" t="s">
        <v>0</v>
      </c>
      <c r="C204" s="13" t="s">
        <v>0</v>
      </c>
      <c r="D204" s="13" t="s">
        <v>0</v>
      </c>
      <c r="E204" s="181"/>
      <c r="F204" s="181"/>
      <c r="G204" s="182"/>
    </row>
    <row r="205" spans="1:7" ht="15">
      <c r="A205" s="12" t="s">
        <v>196</v>
      </c>
      <c r="B205" s="13" t="s">
        <v>197</v>
      </c>
      <c r="C205" s="13" t="s">
        <v>193</v>
      </c>
      <c r="D205" s="13" t="s">
        <v>182</v>
      </c>
      <c r="E205" s="181">
        <f>'Du toan chi tiet'!E83</f>
        <v>1</v>
      </c>
      <c r="F205" s="181"/>
      <c r="G205" s="182"/>
    </row>
    <row r="206" spans="1:7" ht="15">
      <c r="A206" s="12" t="s">
        <v>0</v>
      </c>
      <c r="B206" s="13" t="s">
        <v>0</v>
      </c>
      <c r="C206" s="13" t="s">
        <v>190</v>
      </c>
      <c r="D206" s="13" t="s">
        <v>0</v>
      </c>
      <c r="E206" s="181"/>
      <c r="F206" s="181"/>
      <c r="G206" s="182"/>
    </row>
    <row r="207" spans="1:7" ht="15">
      <c r="A207" s="12" t="s">
        <v>0</v>
      </c>
      <c r="B207" s="13" t="s">
        <v>0</v>
      </c>
      <c r="C207" s="13" t="s">
        <v>184</v>
      </c>
      <c r="D207" s="13" t="s">
        <v>10</v>
      </c>
      <c r="E207" s="181"/>
      <c r="F207" s="181">
        <f>0.018</f>
        <v>0.018</v>
      </c>
      <c r="G207" s="182">
        <f>E205*F207</f>
        <v>0.018</v>
      </c>
    </row>
    <row r="208" spans="1:7" ht="15">
      <c r="A208" s="12" t="s">
        <v>0</v>
      </c>
      <c r="B208" s="13" t="s">
        <v>0</v>
      </c>
      <c r="C208" s="13" t="s">
        <v>0</v>
      </c>
      <c r="D208" s="13" t="s">
        <v>0</v>
      </c>
      <c r="E208" s="181"/>
      <c r="F208" s="181"/>
      <c r="G208" s="182"/>
    </row>
    <row r="209" spans="1:7" ht="15">
      <c r="A209" s="12" t="s">
        <v>198</v>
      </c>
      <c r="B209" s="13" t="s">
        <v>199</v>
      </c>
      <c r="C209" s="13" t="s">
        <v>200</v>
      </c>
      <c r="D209" s="13" t="s">
        <v>201</v>
      </c>
      <c r="E209" s="181">
        <f>'Du toan chi tiet'!E85</f>
        <v>1</v>
      </c>
      <c r="F209" s="181"/>
      <c r="G209" s="182"/>
    </row>
    <row r="210" spans="1:7" ht="15">
      <c r="A210" s="12" t="s">
        <v>0</v>
      </c>
      <c r="B210" s="13" t="s">
        <v>0</v>
      </c>
      <c r="C210" s="13" t="s">
        <v>183</v>
      </c>
      <c r="D210" s="13" t="s">
        <v>0</v>
      </c>
      <c r="E210" s="181"/>
      <c r="F210" s="181"/>
      <c r="G210" s="182"/>
    </row>
    <row r="211" spans="1:7" ht="15">
      <c r="A211" s="12" t="s">
        <v>0</v>
      </c>
      <c r="B211" s="13" t="s">
        <v>0</v>
      </c>
      <c r="C211" s="13" t="s">
        <v>202</v>
      </c>
      <c r="D211" s="13" t="s">
        <v>10</v>
      </c>
      <c r="E211" s="181"/>
      <c r="F211" s="181">
        <f>0.022</f>
        <v>0.022</v>
      </c>
      <c r="G211" s="182">
        <f>E209*F211</f>
        <v>0.022</v>
      </c>
    </row>
    <row r="212" spans="1:7" ht="15">
      <c r="A212" s="12" t="s">
        <v>0</v>
      </c>
      <c r="B212" s="13" t="s">
        <v>0</v>
      </c>
      <c r="C212" s="13" t="s">
        <v>0</v>
      </c>
      <c r="D212" s="13" t="s">
        <v>0</v>
      </c>
      <c r="E212" s="181"/>
      <c r="F212" s="181"/>
      <c r="G212" s="182"/>
    </row>
    <row r="213" spans="1:7" ht="15">
      <c r="A213" s="12" t="s">
        <v>203</v>
      </c>
      <c r="B213" s="13" t="s">
        <v>204</v>
      </c>
      <c r="C213" s="13" t="s">
        <v>200</v>
      </c>
      <c r="D213" s="13" t="s">
        <v>201</v>
      </c>
      <c r="E213" s="181">
        <f>'Du toan chi tiet'!E87</f>
        <v>1</v>
      </c>
      <c r="F213" s="181"/>
      <c r="G213" s="182"/>
    </row>
    <row r="214" spans="1:7" ht="15">
      <c r="A214" s="12" t="s">
        <v>0</v>
      </c>
      <c r="B214" s="13" t="s">
        <v>0</v>
      </c>
      <c r="C214" s="13" t="s">
        <v>187</v>
      </c>
      <c r="D214" s="13" t="s">
        <v>0</v>
      </c>
      <c r="E214" s="181"/>
      <c r="F214" s="181"/>
      <c r="G214" s="182"/>
    </row>
    <row r="215" spans="1:7" ht="15">
      <c r="A215" s="12" t="s">
        <v>0</v>
      </c>
      <c r="B215" s="13" t="s">
        <v>0</v>
      </c>
      <c r="C215" s="13" t="s">
        <v>202</v>
      </c>
      <c r="D215" s="13" t="s">
        <v>10</v>
      </c>
      <c r="E215" s="181"/>
      <c r="F215" s="181">
        <f>0.016</f>
        <v>0.016</v>
      </c>
      <c r="G215" s="182">
        <f>E213*F215</f>
        <v>0.016</v>
      </c>
    </row>
    <row r="216" spans="1:7" ht="15">
      <c r="A216" s="12" t="s">
        <v>0</v>
      </c>
      <c r="B216" s="13" t="s">
        <v>0</v>
      </c>
      <c r="C216" s="13" t="s">
        <v>0</v>
      </c>
      <c r="D216" s="13" t="s">
        <v>0</v>
      </c>
      <c r="E216" s="181"/>
      <c r="F216" s="181"/>
      <c r="G216" s="182"/>
    </row>
    <row r="217" spans="1:7" ht="15">
      <c r="A217" s="12" t="s">
        <v>205</v>
      </c>
      <c r="B217" s="13" t="s">
        <v>206</v>
      </c>
      <c r="C217" s="13" t="s">
        <v>200</v>
      </c>
      <c r="D217" s="13" t="s">
        <v>201</v>
      </c>
      <c r="E217" s="181">
        <f>'Du toan chi tiet'!E89</f>
        <v>1</v>
      </c>
      <c r="F217" s="181"/>
      <c r="G217" s="182"/>
    </row>
    <row r="218" spans="1:7" ht="15">
      <c r="A218" s="12" t="s">
        <v>0</v>
      </c>
      <c r="B218" s="13" t="s">
        <v>0</v>
      </c>
      <c r="C218" s="13" t="s">
        <v>190</v>
      </c>
      <c r="D218" s="13" t="s">
        <v>0</v>
      </c>
      <c r="E218" s="181"/>
      <c r="F218" s="181"/>
      <c r="G218" s="182"/>
    </row>
    <row r="219" spans="1:7" ht="15">
      <c r="A219" s="12" t="s">
        <v>0</v>
      </c>
      <c r="B219" s="13" t="s">
        <v>0</v>
      </c>
      <c r="C219" s="13" t="s">
        <v>202</v>
      </c>
      <c r="D219" s="13" t="s">
        <v>10</v>
      </c>
      <c r="E219" s="181"/>
      <c r="F219" s="181">
        <f>0.011</f>
        <v>0.011</v>
      </c>
      <c r="G219" s="182">
        <f>E217*F219</f>
        <v>0.011</v>
      </c>
    </row>
    <row r="220" spans="1:7" ht="15">
      <c r="A220" s="12" t="s">
        <v>0</v>
      </c>
      <c r="B220" s="13" t="s">
        <v>0</v>
      </c>
      <c r="C220" s="13" t="s">
        <v>0</v>
      </c>
      <c r="D220" s="13" t="s">
        <v>0</v>
      </c>
      <c r="E220" s="181"/>
      <c r="F220" s="181"/>
      <c r="G220" s="182"/>
    </row>
    <row r="221" spans="1:7" ht="15">
      <c r="A221" s="12" t="s">
        <v>207</v>
      </c>
      <c r="B221" s="13" t="s">
        <v>208</v>
      </c>
      <c r="C221" s="13" t="s">
        <v>209</v>
      </c>
      <c r="D221" s="13" t="s">
        <v>201</v>
      </c>
      <c r="E221" s="181">
        <f>'Du toan chi tiet'!E91</f>
        <v>1</v>
      </c>
      <c r="F221" s="181"/>
      <c r="G221" s="182"/>
    </row>
    <row r="222" spans="1:7" ht="15">
      <c r="A222" s="12" t="s">
        <v>0</v>
      </c>
      <c r="B222" s="13" t="s">
        <v>0</v>
      </c>
      <c r="C222" s="13" t="s">
        <v>183</v>
      </c>
      <c r="D222" s="13" t="s">
        <v>0</v>
      </c>
      <c r="E222" s="181"/>
      <c r="F222" s="181"/>
      <c r="G222" s="182"/>
    </row>
    <row r="223" spans="1:7" ht="15">
      <c r="A223" s="12" t="s">
        <v>0</v>
      </c>
      <c r="B223" s="13" t="s">
        <v>0</v>
      </c>
      <c r="C223" s="13" t="s">
        <v>202</v>
      </c>
      <c r="D223" s="13" t="s">
        <v>10</v>
      </c>
      <c r="E223" s="181"/>
      <c r="F223" s="181">
        <f>0.024</f>
        <v>0.024</v>
      </c>
      <c r="G223" s="182">
        <f>E221*F223</f>
        <v>0.024</v>
      </c>
    </row>
    <row r="224" spans="1:7" ht="15">
      <c r="A224" s="12" t="s">
        <v>0</v>
      </c>
      <c r="B224" s="13" t="s">
        <v>0</v>
      </c>
      <c r="C224" s="13" t="s">
        <v>0</v>
      </c>
      <c r="D224" s="13" t="s">
        <v>0</v>
      </c>
      <c r="E224" s="181"/>
      <c r="F224" s="181"/>
      <c r="G224" s="182"/>
    </row>
    <row r="225" spans="1:7" ht="15">
      <c r="A225" s="12" t="s">
        <v>210</v>
      </c>
      <c r="B225" s="13" t="s">
        <v>211</v>
      </c>
      <c r="C225" s="13" t="s">
        <v>209</v>
      </c>
      <c r="D225" s="13" t="s">
        <v>201</v>
      </c>
      <c r="E225" s="181">
        <f>'Du toan chi tiet'!E93</f>
        <v>1</v>
      </c>
      <c r="F225" s="181"/>
      <c r="G225" s="182"/>
    </row>
    <row r="226" spans="1:7" ht="15">
      <c r="A226" s="12" t="s">
        <v>0</v>
      </c>
      <c r="B226" s="13" t="s">
        <v>0</v>
      </c>
      <c r="C226" s="13" t="s">
        <v>187</v>
      </c>
      <c r="D226" s="13" t="s">
        <v>0</v>
      </c>
      <c r="E226" s="181"/>
      <c r="F226" s="181"/>
      <c r="G226" s="182"/>
    </row>
    <row r="227" spans="1:7" ht="15">
      <c r="A227" s="12" t="s">
        <v>0</v>
      </c>
      <c r="B227" s="13" t="s">
        <v>0</v>
      </c>
      <c r="C227" s="13" t="s">
        <v>202</v>
      </c>
      <c r="D227" s="13" t="s">
        <v>10</v>
      </c>
      <c r="E227" s="181"/>
      <c r="F227" s="181">
        <f>0.018</f>
        <v>0.018</v>
      </c>
      <c r="G227" s="182">
        <f>E225*F227</f>
        <v>0.018</v>
      </c>
    </row>
    <row r="228" spans="1:7" ht="15">
      <c r="A228" s="12" t="s">
        <v>0</v>
      </c>
      <c r="B228" s="13" t="s">
        <v>0</v>
      </c>
      <c r="C228" s="13" t="s">
        <v>0</v>
      </c>
      <c r="D228" s="13" t="s">
        <v>0</v>
      </c>
      <c r="E228" s="181"/>
      <c r="F228" s="181"/>
      <c r="G228" s="182"/>
    </row>
    <row r="229" spans="1:7" ht="15">
      <c r="A229" s="12" t="s">
        <v>212</v>
      </c>
      <c r="B229" s="13" t="s">
        <v>213</v>
      </c>
      <c r="C229" s="13" t="s">
        <v>209</v>
      </c>
      <c r="D229" s="13" t="s">
        <v>201</v>
      </c>
      <c r="E229" s="181">
        <f>'Du toan chi tiet'!E95</f>
        <v>1</v>
      </c>
      <c r="F229" s="181"/>
      <c r="G229" s="182"/>
    </row>
    <row r="230" spans="1:7" ht="15">
      <c r="A230" s="12" t="s">
        <v>0</v>
      </c>
      <c r="B230" s="13" t="s">
        <v>0</v>
      </c>
      <c r="C230" s="13" t="s">
        <v>190</v>
      </c>
      <c r="D230" s="13" t="s">
        <v>0</v>
      </c>
      <c r="E230" s="181"/>
      <c r="F230" s="181"/>
      <c r="G230" s="182"/>
    </row>
    <row r="231" spans="1:7" ht="15">
      <c r="A231" s="12" t="s">
        <v>0</v>
      </c>
      <c r="B231" s="13" t="s">
        <v>0</v>
      </c>
      <c r="C231" s="13" t="s">
        <v>202</v>
      </c>
      <c r="D231" s="13" t="s">
        <v>10</v>
      </c>
      <c r="E231" s="181"/>
      <c r="F231" s="181">
        <f>0.011</f>
        <v>0.011</v>
      </c>
      <c r="G231" s="182">
        <f>E229*F231</f>
        <v>0.011</v>
      </c>
    </row>
    <row r="232" spans="1:7" ht="15">
      <c r="A232" s="12" t="s">
        <v>0</v>
      </c>
      <c r="B232" s="13" t="s">
        <v>0</v>
      </c>
      <c r="C232" s="13" t="s">
        <v>0</v>
      </c>
      <c r="D232" s="13" t="s">
        <v>0</v>
      </c>
      <c r="E232" s="181"/>
      <c r="F232" s="181"/>
      <c r="G232" s="182"/>
    </row>
    <row r="233" spans="1:7" ht="15">
      <c r="A233" s="12" t="s">
        <v>214</v>
      </c>
      <c r="B233" s="13" t="s">
        <v>215</v>
      </c>
      <c r="C233" s="13" t="s">
        <v>216</v>
      </c>
      <c r="D233" s="13" t="s">
        <v>217</v>
      </c>
      <c r="E233" s="181">
        <f>'Du toan chi tiet'!E97</f>
        <v>1</v>
      </c>
      <c r="F233" s="181"/>
      <c r="G233" s="182"/>
    </row>
    <row r="234" spans="1:7" ht="15">
      <c r="A234" s="12" t="s">
        <v>0</v>
      </c>
      <c r="B234" s="13" t="s">
        <v>0</v>
      </c>
      <c r="C234" s="13" t="s">
        <v>218</v>
      </c>
      <c r="D234" s="13" t="s">
        <v>0</v>
      </c>
      <c r="E234" s="181"/>
      <c r="F234" s="181"/>
      <c r="G234" s="182"/>
    </row>
    <row r="235" spans="1:7" ht="15">
      <c r="A235" s="12" t="s">
        <v>0</v>
      </c>
      <c r="B235" s="13" t="s">
        <v>0</v>
      </c>
      <c r="C235" s="13" t="s">
        <v>7</v>
      </c>
      <c r="D235" s="13" t="s">
        <v>8</v>
      </c>
      <c r="E235" s="181"/>
      <c r="F235" s="181">
        <f>0.11</f>
        <v>0.11</v>
      </c>
      <c r="G235" s="182">
        <f>E233*F235</f>
        <v>0.11</v>
      </c>
    </row>
    <row r="236" spans="1:7" ht="15">
      <c r="A236" s="12" t="s">
        <v>0</v>
      </c>
      <c r="B236" s="13" t="s">
        <v>0</v>
      </c>
      <c r="C236" s="13" t="s">
        <v>0</v>
      </c>
      <c r="D236" s="13" t="s">
        <v>0</v>
      </c>
      <c r="E236" s="181"/>
      <c r="F236" s="181"/>
      <c r="G236" s="182"/>
    </row>
    <row r="237" spans="1:7" ht="15">
      <c r="A237" s="12" t="s">
        <v>219</v>
      </c>
      <c r="B237" s="13" t="s">
        <v>220</v>
      </c>
      <c r="C237" s="13" t="s">
        <v>216</v>
      </c>
      <c r="D237" s="13" t="s">
        <v>38</v>
      </c>
      <c r="E237" s="181">
        <f>'Du toan chi tiet'!E99</f>
        <v>1</v>
      </c>
      <c r="F237" s="181"/>
      <c r="G237" s="182"/>
    </row>
    <row r="238" spans="1:7" ht="15">
      <c r="A238" s="12" t="s">
        <v>0</v>
      </c>
      <c r="B238" s="13" t="s">
        <v>0</v>
      </c>
      <c r="C238" s="13" t="s">
        <v>221</v>
      </c>
      <c r="D238" s="13" t="s">
        <v>0</v>
      </c>
      <c r="E238" s="181"/>
      <c r="F238" s="181"/>
      <c r="G238" s="182"/>
    </row>
    <row r="239" spans="1:7" ht="15">
      <c r="A239" s="12" t="s">
        <v>0</v>
      </c>
      <c r="B239" s="13" t="s">
        <v>0</v>
      </c>
      <c r="C239" s="13" t="s">
        <v>7</v>
      </c>
      <c r="D239" s="13" t="s">
        <v>8</v>
      </c>
      <c r="E239" s="181"/>
      <c r="F239" s="181">
        <f>0.09</f>
        <v>0.09</v>
      </c>
      <c r="G239" s="182">
        <f>E237*F239</f>
        <v>0.09</v>
      </c>
    </row>
    <row r="240" spans="1:7" ht="15">
      <c r="A240" s="12" t="s">
        <v>0</v>
      </c>
      <c r="B240" s="13" t="s">
        <v>0</v>
      </c>
      <c r="C240" s="13" t="s">
        <v>0</v>
      </c>
      <c r="D240" s="13" t="s">
        <v>0</v>
      </c>
      <c r="E240" s="181"/>
      <c r="F240" s="181"/>
      <c r="G240" s="182"/>
    </row>
    <row r="241" spans="1:7" ht="15">
      <c r="A241" s="12" t="s">
        <v>222</v>
      </c>
      <c r="B241" s="13" t="s">
        <v>223</v>
      </c>
      <c r="C241" s="13" t="s">
        <v>216</v>
      </c>
      <c r="D241" s="13" t="s">
        <v>217</v>
      </c>
      <c r="E241" s="181">
        <f>'Du toan chi tiet'!E101</f>
        <v>1</v>
      </c>
      <c r="F241" s="181"/>
      <c r="G241" s="182"/>
    </row>
    <row r="242" spans="1:7" ht="15">
      <c r="A242" s="12" t="s">
        <v>0</v>
      </c>
      <c r="B242" s="13" t="s">
        <v>0</v>
      </c>
      <c r="C242" s="13" t="s">
        <v>224</v>
      </c>
      <c r="D242" s="13" t="s">
        <v>0</v>
      </c>
      <c r="E242" s="181"/>
      <c r="F242" s="181"/>
      <c r="G242" s="182"/>
    </row>
    <row r="243" spans="1:7" ht="15">
      <c r="A243" s="12" t="s">
        <v>0</v>
      </c>
      <c r="B243" s="13" t="s">
        <v>0</v>
      </c>
      <c r="C243" s="13" t="s">
        <v>7</v>
      </c>
      <c r="D243" s="13" t="s">
        <v>8</v>
      </c>
      <c r="E243" s="181"/>
      <c r="F243" s="181">
        <f>0.21</f>
        <v>0.21</v>
      </c>
      <c r="G243" s="182">
        <f>E241*F243</f>
        <v>0.21</v>
      </c>
    </row>
    <row r="244" spans="1:7" ht="15">
      <c r="A244" s="12" t="s">
        <v>0</v>
      </c>
      <c r="B244" s="13" t="s">
        <v>0</v>
      </c>
      <c r="C244" s="13" t="s">
        <v>0</v>
      </c>
      <c r="D244" s="13" t="s">
        <v>0</v>
      </c>
      <c r="E244" s="181"/>
      <c r="F244" s="181"/>
      <c r="G244" s="182"/>
    </row>
    <row r="245" spans="1:7" ht="15">
      <c r="A245" s="12" t="s">
        <v>0</v>
      </c>
      <c r="B245" s="13" t="s">
        <v>0</v>
      </c>
      <c r="C245" s="13" t="s">
        <v>0</v>
      </c>
      <c r="D245" s="13" t="s">
        <v>0</v>
      </c>
      <c r="E245" s="181"/>
      <c r="F245" s="181"/>
      <c r="G245" s="182"/>
    </row>
    <row r="246" spans="1:7" ht="15">
      <c r="A246" s="12" t="s">
        <v>0</v>
      </c>
      <c r="B246" s="13" t="s">
        <v>0</v>
      </c>
      <c r="C246" s="13" t="s">
        <v>0</v>
      </c>
      <c r="D246" s="13" t="s">
        <v>0</v>
      </c>
      <c r="E246" s="181"/>
      <c r="F246" s="181"/>
      <c r="G246" s="182"/>
    </row>
    <row r="247" spans="1:7" ht="15">
      <c r="A247" s="12" t="s">
        <v>0</v>
      </c>
      <c r="B247" s="13" t="s">
        <v>0</v>
      </c>
      <c r="C247" s="13" t="s">
        <v>0</v>
      </c>
      <c r="D247" s="13" t="s">
        <v>0</v>
      </c>
      <c r="E247" s="181"/>
      <c r="F247" s="181"/>
      <c r="G247" s="182"/>
    </row>
    <row r="248" spans="1:7" ht="15">
      <c r="A248" s="12" t="s">
        <v>0</v>
      </c>
      <c r="B248" s="13" t="s">
        <v>0</v>
      </c>
      <c r="C248" s="13" t="s">
        <v>0</v>
      </c>
      <c r="D248" s="13" t="s">
        <v>0</v>
      </c>
      <c r="E248" s="181"/>
      <c r="F248" s="181"/>
      <c r="G248" s="182"/>
    </row>
    <row r="249" spans="1:7" ht="15">
      <c r="A249" s="12" t="s">
        <v>0</v>
      </c>
      <c r="B249" s="13" t="s">
        <v>0</v>
      </c>
      <c r="C249" s="13" t="s">
        <v>0</v>
      </c>
      <c r="D249" s="13" t="s">
        <v>0</v>
      </c>
      <c r="E249" s="181"/>
      <c r="F249" s="181"/>
      <c r="G249" s="182"/>
    </row>
    <row r="250" spans="1:7" ht="15">
      <c r="A250" s="12" t="s">
        <v>0</v>
      </c>
      <c r="B250" s="13" t="s">
        <v>0</v>
      </c>
      <c r="C250" s="13" t="s">
        <v>0</v>
      </c>
      <c r="D250" s="13" t="s">
        <v>0</v>
      </c>
      <c r="E250" s="181"/>
      <c r="F250" s="181"/>
      <c r="G250" s="182"/>
    </row>
    <row r="251" spans="1:7" ht="15.75" thickBot="1">
      <c r="A251" s="16" t="s">
        <v>0</v>
      </c>
      <c r="B251" s="17" t="s">
        <v>0</v>
      </c>
      <c r="C251" s="17" t="s">
        <v>0</v>
      </c>
      <c r="D251" s="17" t="s">
        <v>0</v>
      </c>
      <c r="E251" s="183"/>
      <c r="F251" s="183"/>
      <c r="G251" s="184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PageLayoutView="0" workbookViewId="0" topLeftCell="A7">
      <selection activeCell="P21" sqref="P21"/>
    </sheetView>
  </sheetViews>
  <sheetFormatPr defaultColWidth="8.796875" defaultRowHeight="15"/>
  <cols>
    <col min="1" max="1" width="4.59765625" style="24" customWidth="1"/>
    <col min="2" max="2" width="33" style="6" customWidth="1"/>
    <col min="3" max="3" width="6.59765625" style="24" customWidth="1"/>
    <col min="4" max="4" width="20.19921875" style="6" customWidth="1"/>
    <col min="5" max="5" width="15.59765625" style="7" hidden="1" customWidth="1"/>
    <col min="6" max="6" width="5.59765625" style="24" hidden="1" customWidth="1"/>
    <col min="7" max="7" width="17.09765625" style="7" customWidth="1"/>
    <col min="8" max="8" width="9" style="6" customWidth="1"/>
    <col min="9" max="10" width="11.3984375" style="6" bestFit="1" customWidth="1"/>
    <col min="11" max="11" width="10.3984375" style="6" bestFit="1" customWidth="1"/>
    <col min="12" max="12" width="9" style="6" customWidth="1"/>
    <col min="13" max="13" width="10.8984375" style="6" bestFit="1" customWidth="1"/>
    <col min="14" max="16384" width="9" style="6" customWidth="1"/>
  </cols>
  <sheetData>
    <row r="1" spans="1:7" ht="15.75">
      <c r="A1" s="241" t="s">
        <v>490</v>
      </c>
      <c r="B1" s="241"/>
      <c r="C1" s="241"/>
      <c r="D1" s="241"/>
      <c r="E1" s="241"/>
      <c r="F1" s="241"/>
      <c r="G1" s="241"/>
    </row>
    <row r="2" spans="1:7" ht="15.75">
      <c r="A2" s="241" t="s">
        <v>491</v>
      </c>
      <c r="B2" s="241"/>
      <c r="C2" s="241"/>
      <c r="D2" s="241"/>
      <c r="E2" s="241"/>
      <c r="F2" s="241"/>
      <c r="G2" s="241"/>
    </row>
    <row r="3" spans="1:7" ht="15.75">
      <c r="A3" s="242" t="s">
        <v>492</v>
      </c>
      <c r="B3" s="242"/>
      <c r="C3" s="242"/>
      <c r="D3" s="242"/>
      <c r="E3" s="242"/>
      <c r="F3" s="242"/>
      <c r="G3" s="242"/>
    </row>
    <row r="4" spans="1:7" ht="6" customHeight="1">
      <c r="A4" s="33"/>
      <c r="B4" s="2"/>
      <c r="C4" s="33"/>
      <c r="D4" s="2"/>
      <c r="E4" s="4"/>
      <c r="F4" s="33"/>
      <c r="G4" s="4"/>
    </row>
    <row r="5" spans="1:7" ht="16.5">
      <c r="A5" s="243" t="s">
        <v>599</v>
      </c>
      <c r="B5" s="243"/>
      <c r="C5" s="243"/>
      <c r="D5" s="243"/>
      <c r="E5" s="243"/>
      <c r="F5" s="243"/>
      <c r="G5" s="243"/>
    </row>
    <row r="6" spans="1:7" ht="9" customHeight="1">
      <c r="A6" s="33"/>
      <c r="B6" s="2"/>
      <c r="C6" s="33"/>
      <c r="D6" s="2"/>
      <c r="E6" s="4"/>
      <c r="F6" s="33"/>
      <c r="G6" s="4"/>
    </row>
    <row r="7" spans="1:7" s="39" customFormat="1" ht="16.5">
      <c r="A7" s="244" t="s">
        <v>493</v>
      </c>
      <c r="B7" s="244"/>
      <c r="C7" s="244"/>
      <c r="D7" s="244"/>
      <c r="E7" s="244"/>
      <c r="F7" s="244"/>
      <c r="G7" s="244"/>
    </row>
    <row r="8" spans="1:7" s="39" customFormat="1" ht="16.5">
      <c r="A8" s="244" t="s">
        <v>494</v>
      </c>
      <c r="B8" s="244"/>
      <c r="C8" s="244"/>
      <c r="D8" s="244"/>
      <c r="E8" s="244"/>
      <c r="F8" s="244"/>
      <c r="G8" s="244"/>
    </row>
    <row r="9" spans="1:7" s="39" customFormat="1" ht="16.5">
      <c r="A9" s="239" t="s">
        <v>604</v>
      </c>
      <c r="B9" s="239"/>
      <c r="C9" s="239"/>
      <c r="D9" s="239"/>
      <c r="E9" s="239"/>
      <c r="F9" s="239"/>
      <c r="G9" s="239"/>
    </row>
    <row r="10" spans="1:7" ht="17.25" thickBot="1">
      <c r="A10" s="33"/>
      <c r="B10" s="2"/>
      <c r="C10" s="33"/>
      <c r="D10" s="2"/>
      <c r="E10" s="4"/>
      <c r="F10" s="33"/>
      <c r="G10" s="233" t="s">
        <v>600</v>
      </c>
    </row>
    <row r="11" spans="1:7" ht="36" customHeight="1">
      <c r="A11" s="34" t="s">
        <v>284</v>
      </c>
      <c r="B11" s="35" t="s">
        <v>495</v>
      </c>
      <c r="C11" s="36" t="s">
        <v>496</v>
      </c>
      <c r="D11" s="35" t="s">
        <v>497</v>
      </c>
      <c r="E11" s="37" t="s">
        <v>498</v>
      </c>
      <c r="F11" s="36" t="s">
        <v>499</v>
      </c>
      <c r="G11" s="38" t="s">
        <v>500</v>
      </c>
    </row>
    <row r="12" spans="1:13" ht="15.75">
      <c r="A12" s="25" t="s">
        <v>269</v>
      </c>
      <c r="B12" s="21" t="s">
        <v>268</v>
      </c>
      <c r="C12" s="29" t="s">
        <v>267</v>
      </c>
      <c r="D12" s="29" t="s">
        <v>603</v>
      </c>
      <c r="E12" s="22">
        <f>SUM(E13:E13)</f>
        <v>780852000</v>
      </c>
      <c r="F12" s="29"/>
      <c r="G12" s="23">
        <f aca="true" t="shared" si="0" ref="G12:G29">E12*(1+F12/100)</f>
        <v>780852000</v>
      </c>
      <c r="I12" s="257"/>
      <c r="J12" s="257"/>
      <c r="K12" s="257"/>
      <c r="L12" s="258"/>
      <c r="M12" s="258"/>
    </row>
    <row r="13" spans="1:13" ht="15">
      <c r="A13" s="26" t="s">
        <v>0</v>
      </c>
      <c r="B13" s="13" t="s">
        <v>266</v>
      </c>
      <c r="C13" s="30" t="s">
        <v>265</v>
      </c>
      <c r="D13" s="30" t="s">
        <v>264</v>
      </c>
      <c r="E13" s="14">
        <f>ROUND('CP Xay lap'!E20,-3)</f>
        <v>780852000</v>
      </c>
      <c r="F13" s="30"/>
      <c r="G13" s="15">
        <f t="shared" si="0"/>
        <v>780852000</v>
      </c>
      <c r="I13" s="257"/>
      <c r="J13" s="257"/>
      <c r="K13" s="257"/>
      <c r="L13" s="258"/>
      <c r="M13" s="258"/>
    </row>
    <row r="14" spans="1:13" ht="15.75">
      <c r="A14" s="27" t="s">
        <v>263</v>
      </c>
      <c r="B14" s="9" t="s">
        <v>262</v>
      </c>
      <c r="C14" s="31" t="s">
        <v>261</v>
      </c>
      <c r="D14" s="31" t="s">
        <v>563</v>
      </c>
      <c r="E14" s="10">
        <f>ROUND(E12*2.901%/1.08,-3)</f>
        <v>20975000</v>
      </c>
      <c r="F14" s="31"/>
      <c r="G14" s="11">
        <f t="shared" si="0"/>
        <v>20975000</v>
      </c>
      <c r="I14" s="257"/>
      <c r="J14" s="257"/>
      <c r="K14" s="257"/>
      <c r="L14" s="258"/>
      <c r="M14" s="258"/>
    </row>
    <row r="15" spans="1:13" ht="15.75">
      <c r="A15" s="27" t="s">
        <v>260</v>
      </c>
      <c r="B15" s="9" t="s">
        <v>259</v>
      </c>
      <c r="C15" s="31" t="s">
        <v>258</v>
      </c>
      <c r="D15" s="31" t="s">
        <v>257</v>
      </c>
      <c r="E15" s="10">
        <f>SUM(E16:E20)</f>
        <v>78049000</v>
      </c>
      <c r="F15" s="31"/>
      <c r="G15" s="11">
        <f t="shared" si="0"/>
        <v>78049000</v>
      </c>
      <c r="I15" s="257"/>
      <c r="J15" s="257"/>
      <c r="K15" s="257"/>
      <c r="L15" s="258"/>
      <c r="M15" s="257"/>
    </row>
    <row r="16" spans="1:13" ht="15">
      <c r="A16" s="26" t="s">
        <v>0</v>
      </c>
      <c r="B16" s="13" t="s">
        <v>256</v>
      </c>
      <c r="C16" s="30" t="s">
        <v>255</v>
      </c>
      <c r="D16" s="30" t="s">
        <v>569</v>
      </c>
      <c r="E16" s="189">
        <v>8323000</v>
      </c>
      <c r="F16" s="30"/>
      <c r="G16" s="15">
        <f t="shared" si="0"/>
        <v>8323000</v>
      </c>
      <c r="I16" s="257"/>
      <c r="J16" s="257"/>
      <c r="K16" s="257"/>
      <c r="L16" s="258"/>
      <c r="M16" s="257"/>
    </row>
    <row r="17" spans="1:13" ht="15.75">
      <c r="A17" s="26" t="s">
        <v>0</v>
      </c>
      <c r="B17" s="13" t="s">
        <v>254</v>
      </c>
      <c r="C17" s="30" t="s">
        <v>253</v>
      </c>
      <c r="D17" s="30" t="s">
        <v>252</v>
      </c>
      <c r="E17" s="14">
        <f>ROUND(E12*5.8/100,-3)</f>
        <v>45289000</v>
      </c>
      <c r="F17" s="30"/>
      <c r="G17" s="15">
        <f t="shared" si="0"/>
        <v>45289000</v>
      </c>
      <c r="I17" s="259"/>
      <c r="J17" s="259"/>
      <c r="K17" s="259"/>
      <c r="L17" s="258"/>
      <c r="M17" s="257"/>
    </row>
    <row r="18" spans="1:13" ht="15.75">
      <c r="A18" s="26" t="s">
        <v>0</v>
      </c>
      <c r="B18" s="13" t="s">
        <v>251</v>
      </c>
      <c r="C18" s="30" t="s">
        <v>250</v>
      </c>
      <c r="D18" s="30" t="s">
        <v>564</v>
      </c>
      <c r="E18" s="14">
        <f>2200000</f>
        <v>2200000</v>
      </c>
      <c r="F18" s="30"/>
      <c r="G18" s="15">
        <f t="shared" si="0"/>
        <v>2200000</v>
      </c>
      <c r="I18" s="259"/>
      <c r="J18" s="259"/>
      <c r="K18" s="259"/>
      <c r="L18" s="258"/>
      <c r="M18" s="257"/>
    </row>
    <row r="19" spans="1:13" ht="15.75">
      <c r="A19" s="26" t="s">
        <v>0</v>
      </c>
      <c r="B19" s="13" t="s">
        <v>249</v>
      </c>
      <c r="C19" s="30" t="s">
        <v>248</v>
      </c>
      <c r="D19" s="30" t="s">
        <v>564</v>
      </c>
      <c r="E19" s="14">
        <f>2200000</f>
        <v>2200000</v>
      </c>
      <c r="F19" s="30"/>
      <c r="G19" s="15">
        <f t="shared" si="0"/>
        <v>2200000</v>
      </c>
      <c r="I19" s="259"/>
      <c r="J19" s="259"/>
      <c r="K19" s="259"/>
      <c r="L19" s="258"/>
      <c r="M19" s="257"/>
    </row>
    <row r="20" spans="1:13" ht="15.75">
      <c r="A20" s="26" t="s">
        <v>0</v>
      </c>
      <c r="B20" s="13" t="s">
        <v>247</v>
      </c>
      <c r="C20" s="30" t="s">
        <v>246</v>
      </c>
      <c r="D20" s="30" t="s">
        <v>245</v>
      </c>
      <c r="E20" s="14">
        <f>ROUND(E12*2.566/100,-3)</f>
        <v>20037000</v>
      </c>
      <c r="F20" s="30"/>
      <c r="G20" s="15">
        <f t="shared" si="0"/>
        <v>20037000</v>
      </c>
      <c r="I20" s="259"/>
      <c r="J20" s="259"/>
      <c r="K20" s="259"/>
      <c r="L20" s="258"/>
      <c r="M20" s="257"/>
    </row>
    <row r="21" spans="1:13" ht="15.75">
      <c r="A21" s="27" t="s">
        <v>244</v>
      </c>
      <c r="B21" s="9" t="s">
        <v>243</v>
      </c>
      <c r="C21" s="31" t="s">
        <v>242</v>
      </c>
      <c r="D21" s="31" t="s">
        <v>241</v>
      </c>
      <c r="E21" s="10">
        <f>SUM(E22:E25)</f>
        <v>5452000</v>
      </c>
      <c r="F21" s="31"/>
      <c r="G21" s="11">
        <f t="shared" si="0"/>
        <v>5452000</v>
      </c>
      <c r="I21" s="259"/>
      <c r="J21" s="259"/>
      <c r="K21" s="259"/>
      <c r="L21" s="258"/>
      <c r="M21" s="257"/>
    </row>
    <row r="22" spans="1:13" ht="15.75">
      <c r="A22" s="26" t="s">
        <v>0</v>
      </c>
      <c r="B22" s="13" t="s">
        <v>240</v>
      </c>
      <c r="C22" s="30" t="s">
        <v>239</v>
      </c>
      <c r="D22" s="30" t="s">
        <v>564</v>
      </c>
      <c r="E22" s="14">
        <v>500000</v>
      </c>
      <c r="F22" s="30"/>
      <c r="G22" s="15">
        <f t="shared" si="0"/>
        <v>500000</v>
      </c>
      <c r="I22" s="259"/>
      <c r="J22" s="259"/>
      <c r="K22" s="259"/>
      <c r="L22" s="258"/>
      <c r="M22" s="257"/>
    </row>
    <row r="23" spans="1:13" ht="15.75">
      <c r="A23" s="26" t="s">
        <v>0</v>
      </c>
      <c r="B23" s="13" t="s">
        <v>238</v>
      </c>
      <c r="C23" s="30" t="s">
        <v>237</v>
      </c>
      <c r="D23" s="30" t="s">
        <v>565</v>
      </c>
      <c r="E23" s="14">
        <f>ROUND(E12*0.25/100,-3)</f>
        <v>1952000</v>
      </c>
      <c r="F23" s="30"/>
      <c r="G23" s="15">
        <f t="shared" si="0"/>
        <v>1952000</v>
      </c>
      <c r="I23" s="259"/>
      <c r="J23" s="259"/>
      <c r="K23" s="259"/>
      <c r="L23" s="258"/>
      <c r="M23" s="258"/>
    </row>
    <row r="24" spans="1:13" ht="15.75">
      <c r="A24" s="26" t="s">
        <v>0</v>
      </c>
      <c r="B24" s="13" t="s">
        <v>236</v>
      </c>
      <c r="C24" s="30" t="s">
        <v>235</v>
      </c>
      <c r="D24" s="30" t="s">
        <v>566</v>
      </c>
      <c r="E24" s="14">
        <f>ROUND(I27*0.57/100,-3)</f>
        <v>0</v>
      </c>
      <c r="F24" s="30"/>
      <c r="G24" s="15">
        <f t="shared" si="0"/>
        <v>0</v>
      </c>
      <c r="I24" s="259"/>
      <c r="J24" s="259"/>
      <c r="K24" s="259"/>
      <c r="L24" s="258"/>
      <c r="M24" s="258"/>
    </row>
    <row r="25" spans="1:13" ht="15.75">
      <c r="A25" s="26" t="s">
        <v>0</v>
      </c>
      <c r="B25" s="13" t="s">
        <v>234</v>
      </c>
      <c r="C25" s="30" t="s">
        <v>233</v>
      </c>
      <c r="D25" s="30" t="s">
        <v>567</v>
      </c>
      <c r="E25" s="14">
        <f>3000000</f>
        <v>3000000</v>
      </c>
      <c r="F25" s="30"/>
      <c r="G25" s="15">
        <f t="shared" si="0"/>
        <v>3000000</v>
      </c>
      <c r="I25" s="259"/>
      <c r="J25" s="259"/>
      <c r="K25" s="259"/>
      <c r="L25" s="258"/>
      <c r="M25" s="258"/>
    </row>
    <row r="26" spans="1:13" ht="15.75">
      <c r="A26" s="27" t="s">
        <v>232</v>
      </c>
      <c r="B26" s="9" t="s">
        <v>231</v>
      </c>
      <c r="C26" s="31" t="s">
        <v>230</v>
      </c>
      <c r="D26" s="31" t="s">
        <v>229</v>
      </c>
      <c r="E26" s="10">
        <f>E27</f>
        <v>-885328000</v>
      </c>
      <c r="F26" s="31"/>
      <c r="G26" s="11">
        <f t="shared" si="0"/>
        <v>-885328000</v>
      </c>
      <c r="I26" s="259"/>
      <c r="J26" s="259"/>
      <c r="K26" s="259"/>
      <c r="L26" s="258"/>
      <c r="M26" s="258"/>
    </row>
    <row r="27" spans="1:13" ht="15.75">
      <c r="A27" s="26" t="s">
        <v>0</v>
      </c>
      <c r="B27" s="13" t="s">
        <v>228</v>
      </c>
      <c r="C27" s="30" t="s">
        <v>227</v>
      </c>
      <c r="D27" s="30" t="s">
        <v>601</v>
      </c>
      <c r="E27" s="14">
        <f>I28-E12-E14-E15-E21</f>
        <v>-885328000</v>
      </c>
      <c r="F27" s="30"/>
      <c r="G27" s="15">
        <f t="shared" si="0"/>
        <v>-885328000</v>
      </c>
      <c r="I27" s="257"/>
      <c r="J27" s="259"/>
      <c r="K27" s="259"/>
      <c r="L27" s="258"/>
      <c r="M27" s="258"/>
    </row>
    <row r="28" spans="1:13" ht="15.75">
      <c r="A28" s="27" t="s">
        <v>226</v>
      </c>
      <c r="B28" s="9" t="s">
        <v>602</v>
      </c>
      <c r="C28" s="31" t="s">
        <v>225</v>
      </c>
      <c r="D28" s="31" t="s">
        <v>568</v>
      </c>
      <c r="E28" s="10">
        <f>ROUND(E12+E14+E15+E21+E26,-4)</f>
        <v>0</v>
      </c>
      <c r="F28" s="31"/>
      <c r="G28" s="11">
        <f t="shared" si="0"/>
        <v>0</v>
      </c>
      <c r="I28" s="259"/>
      <c r="J28" s="259"/>
      <c r="K28" s="259"/>
      <c r="L28" s="258"/>
      <c r="M28" s="258"/>
    </row>
    <row r="29" spans="1:13" ht="15.75" thickBot="1">
      <c r="A29" s="28" t="s">
        <v>0</v>
      </c>
      <c r="B29" s="17" t="s">
        <v>0</v>
      </c>
      <c r="C29" s="32" t="s">
        <v>0</v>
      </c>
      <c r="D29" s="17" t="s">
        <v>0</v>
      </c>
      <c r="E29" s="18"/>
      <c r="F29" s="32">
        <v>0</v>
      </c>
      <c r="G29" s="19">
        <f t="shared" si="0"/>
        <v>0</v>
      </c>
      <c r="I29" s="258"/>
      <c r="J29" s="258"/>
      <c r="K29" s="258"/>
      <c r="L29" s="258"/>
      <c r="M29" s="258"/>
    </row>
    <row r="31" spans="4:7" ht="15">
      <c r="D31" s="240"/>
      <c r="E31" s="240"/>
      <c r="F31" s="240"/>
      <c r="G31" s="240"/>
    </row>
    <row r="32" spans="4:7" ht="15.75">
      <c r="D32" s="241"/>
      <c r="E32" s="241"/>
      <c r="F32" s="241"/>
      <c r="G32" s="241"/>
    </row>
    <row r="33" spans="4:7" ht="15.75">
      <c r="D33" s="241"/>
      <c r="E33" s="241"/>
      <c r="F33" s="241"/>
      <c r="G33" s="241"/>
    </row>
  </sheetData>
  <sheetProtection/>
  <mergeCells count="10">
    <mergeCell ref="A9:G9"/>
    <mergeCell ref="D31:G31"/>
    <mergeCell ref="D32:G32"/>
    <mergeCell ref="D33:G33"/>
    <mergeCell ref="A1:G1"/>
    <mergeCell ref="A2:G2"/>
    <mergeCell ref="A3:G3"/>
    <mergeCell ref="A5:G5"/>
    <mergeCell ref="A7:G7"/>
    <mergeCell ref="A8:G8"/>
  </mergeCells>
  <printOptions horizontalCentered="1"/>
  <pageMargins left="0.5" right="0.2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4">
      <selection activeCell="E20" sqref="E20"/>
    </sheetView>
  </sheetViews>
  <sheetFormatPr defaultColWidth="8.796875" defaultRowHeight="15"/>
  <cols>
    <col min="1" max="1" width="4.59765625" style="24" customWidth="1"/>
    <col min="2" max="2" width="31.5" style="6" customWidth="1"/>
    <col min="3" max="3" width="5.5" style="24" customWidth="1"/>
    <col min="4" max="4" width="22.69921875" style="6" customWidth="1"/>
    <col min="5" max="5" width="16.3984375" style="7" customWidth="1"/>
    <col min="6" max="16384" width="9" style="6" customWidth="1"/>
  </cols>
  <sheetData>
    <row r="1" spans="1:5" ht="21">
      <c r="A1" s="245" t="s">
        <v>501</v>
      </c>
      <c r="B1" s="245"/>
      <c r="C1" s="245"/>
      <c r="D1" s="245"/>
      <c r="E1" s="245"/>
    </row>
    <row r="2" spans="1:5" ht="15.75">
      <c r="A2" s="33"/>
      <c r="B2" s="2"/>
      <c r="C2" s="33"/>
      <c r="D2" s="2"/>
      <c r="E2" s="4"/>
    </row>
    <row r="3" spans="1:5" s="39" customFormat="1" ht="16.5">
      <c r="A3" s="244" t="s">
        <v>493</v>
      </c>
      <c r="B3" s="244"/>
      <c r="C3" s="244"/>
      <c r="D3" s="244"/>
      <c r="E3" s="244"/>
    </row>
    <row r="4" spans="1:5" s="39" customFormat="1" ht="16.5">
      <c r="A4" s="244" t="s">
        <v>494</v>
      </c>
      <c r="B4" s="244"/>
      <c r="C4" s="244"/>
      <c r="D4" s="244"/>
      <c r="E4" s="244"/>
    </row>
    <row r="5" spans="1:5" s="39" customFormat="1" ht="16.5">
      <c r="A5" s="244"/>
      <c r="B5" s="244"/>
      <c r="C5" s="244"/>
      <c r="D5" s="244"/>
      <c r="E5" s="244"/>
    </row>
    <row r="6" spans="1:5" ht="16.5" thickBot="1">
      <c r="A6" s="33"/>
      <c r="B6" s="2"/>
      <c r="C6" s="33"/>
      <c r="D6" s="2"/>
      <c r="E6" s="4"/>
    </row>
    <row r="7" spans="1:5" ht="36" customHeight="1">
      <c r="A7" s="34" t="s">
        <v>284</v>
      </c>
      <c r="B7" s="35" t="s">
        <v>495</v>
      </c>
      <c r="C7" s="36" t="s">
        <v>496</v>
      </c>
      <c r="D7" s="35" t="s">
        <v>497</v>
      </c>
      <c r="E7" s="40" t="s">
        <v>502</v>
      </c>
    </row>
    <row r="8" spans="1:5" ht="15.75">
      <c r="A8" s="25" t="s">
        <v>308</v>
      </c>
      <c r="B8" s="21" t="s">
        <v>1</v>
      </c>
      <c r="C8" s="29" t="s">
        <v>0</v>
      </c>
      <c r="D8" s="21" t="s">
        <v>0</v>
      </c>
      <c r="E8" s="23"/>
    </row>
    <row r="9" spans="1:5" ht="15">
      <c r="A9" s="26" t="s">
        <v>0</v>
      </c>
      <c r="B9" s="13" t="s">
        <v>306</v>
      </c>
      <c r="C9" s="30" t="s">
        <v>305</v>
      </c>
      <c r="D9" s="13" t="s">
        <v>304</v>
      </c>
      <c r="E9" s="15">
        <f>E10+E11+E12</f>
        <v>624720888.0322555</v>
      </c>
    </row>
    <row r="10" spans="1:5" ht="15">
      <c r="A10" s="26" t="s">
        <v>0</v>
      </c>
      <c r="B10" s="13" t="s">
        <v>303</v>
      </c>
      <c r="C10" s="30" t="s">
        <v>302</v>
      </c>
      <c r="D10" s="13" t="s">
        <v>301</v>
      </c>
      <c r="E10" s="15">
        <f>'Du toan chi tiet'!I9</f>
        <v>489293359.6006306</v>
      </c>
    </row>
    <row r="11" spans="1:5" ht="15">
      <c r="A11" s="26" t="s">
        <v>0</v>
      </c>
      <c r="B11" s="13" t="s">
        <v>300</v>
      </c>
      <c r="C11" s="30" t="s">
        <v>299</v>
      </c>
      <c r="D11" s="13" t="s">
        <v>298</v>
      </c>
      <c r="E11" s="15">
        <f>'Du toan chi tiet'!J9</f>
        <v>92103560.02778558</v>
      </c>
    </row>
    <row r="12" spans="1:5" ht="15">
      <c r="A12" s="26" t="s">
        <v>0</v>
      </c>
      <c r="B12" s="13" t="s">
        <v>297</v>
      </c>
      <c r="C12" s="30" t="s">
        <v>296</v>
      </c>
      <c r="D12" s="13" t="s">
        <v>295</v>
      </c>
      <c r="E12" s="15">
        <f>'Du toan chi tiet'!K9</f>
        <v>43323968.40383931</v>
      </c>
    </row>
    <row r="13" spans="1:5" ht="15">
      <c r="A13" s="26" t="s">
        <v>0</v>
      </c>
      <c r="B13" s="13" t="s">
        <v>294</v>
      </c>
      <c r="C13" s="30" t="s">
        <v>293</v>
      </c>
      <c r="D13" s="13" t="s">
        <v>292</v>
      </c>
      <c r="E13" s="15">
        <f>E14+E15+E16</f>
        <v>60597926.13912879</v>
      </c>
    </row>
    <row r="14" spans="1:5" ht="15">
      <c r="A14" s="26" t="s">
        <v>0</v>
      </c>
      <c r="B14" s="13" t="s">
        <v>291</v>
      </c>
      <c r="C14" s="30" t="s">
        <v>290</v>
      </c>
      <c r="D14" s="13" t="s">
        <v>289</v>
      </c>
      <c r="E14" s="15">
        <f>E9*5.5/100</f>
        <v>34359648.841774054</v>
      </c>
    </row>
    <row r="15" spans="1:5" ht="15">
      <c r="A15" s="26" t="s">
        <v>0</v>
      </c>
      <c r="B15" s="13" t="s">
        <v>288</v>
      </c>
      <c r="C15" s="30" t="s">
        <v>287</v>
      </c>
      <c r="D15" s="13" t="s">
        <v>286</v>
      </c>
      <c r="E15" s="15">
        <f>E9*2.2/100</f>
        <v>13743859.536709623</v>
      </c>
    </row>
    <row r="16" spans="1:5" ht="15">
      <c r="A16" s="26" t="s">
        <v>0</v>
      </c>
      <c r="B16" s="13" t="s">
        <v>285</v>
      </c>
      <c r="C16" s="30" t="s">
        <v>284</v>
      </c>
      <c r="D16" s="13" t="s">
        <v>283</v>
      </c>
      <c r="E16" s="15">
        <f>E9*2/100</f>
        <v>12494417.76064511</v>
      </c>
    </row>
    <row r="17" spans="1:5" ht="15">
      <c r="A17" s="26" t="s">
        <v>0</v>
      </c>
      <c r="B17" s="13" t="s">
        <v>282</v>
      </c>
      <c r="C17" s="30" t="s">
        <v>281</v>
      </c>
      <c r="D17" s="13" t="s">
        <v>280</v>
      </c>
      <c r="E17" s="15">
        <f>(E9+E13)*5.5/100</f>
        <v>37692534.779426135</v>
      </c>
    </row>
    <row r="18" spans="1:5" ht="15.75">
      <c r="A18" s="27" t="s">
        <v>279</v>
      </c>
      <c r="B18" s="9" t="s">
        <v>278</v>
      </c>
      <c r="C18" s="31" t="s">
        <v>225</v>
      </c>
      <c r="D18" s="9" t="s">
        <v>277</v>
      </c>
      <c r="E18" s="11">
        <f>E9+E13+E17</f>
        <v>723011348.9508104</v>
      </c>
    </row>
    <row r="19" spans="1:5" ht="15">
      <c r="A19" s="26" t="s">
        <v>0</v>
      </c>
      <c r="B19" s="13" t="s">
        <v>276</v>
      </c>
      <c r="C19" s="30" t="s">
        <v>275</v>
      </c>
      <c r="D19" s="13" t="s">
        <v>562</v>
      </c>
      <c r="E19" s="15">
        <f>E18*8/100</f>
        <v>57840907.916064836</v>
      </c>
    </row>
    <row r="20" spans="1:5" ht="15.75">
      <c r="A20" s="27" t="s">
        <v>273</v>
      </c>
      <c r="B20" s="9" t="s">
        <v>272</v>
      </c>
      <c r="C20" s="31" t="s">
        <v>271</v>
      </c>
      <c r="D20" s="9" t="s">
        <v>270</v>
      </c>
      <c r="E20" s="11">
        <f>E18+E19</f>
        <v>780852256.8668753</v>
      </c>
    </row>
    <row r="21" spans="1:5" ht="15" hidden="1">
      <c r="A21" s="26" t="s">
        <v>0</v>
      </c>
      <c r="B21" s="13" t="s">
        <v>0</v>
      </c>
      <c r="C21" s="30" t="s">
        <v>0</v>
      </c>
      <c r="D21" s="13" t="s">
        <v>0</v>
      </c>
      <c r="E21" s="15"/>
    </row>
    <row r="22" spans="1:5" ht="15.75" hidden="1">
      <c r="A22" s="27" t="s">
        <v>307</v>
      </c>
      <c r="B22" s="9" t="s">
        <v>178</v>
      </c>
      <c r="C22" s="31" t="s">
        <v>0</v>
      </c>
      <c r="D22" s="9" t="s">
        <v>0</v>
      </c>
      <c r="E22" s="11"/>
    </row>
    <row r="23" spans="1:5" ht="15" hidden="1">
      <c r="A23" s="26" t="s">
        <v>0</v>
      </c>
      <c r="B23" s="13" t="s">
        <v>306</v>
      </c>
      <c r="C23" s="30" t="s">
        <v>305</v>
      </c>
      <c r="D23" s="13" t="s">
        <v>304</v>
      </c>
      <c r="E23" s="15">
        <f>E24+E25+E26</f>
        <v>457445.5533999999</v>
      </c>
    </row>
    <row r="24" spans="1:5" ht="15" hidden="1">
      <c r="A24" s="26" t="s">
        <v>0</v>
      </c>
      <c r="B24" s="13" t="s">
        <v>303</v>
      </c>
      <c r="C24" s="30" t="s">
        <v>302</v>
      </c>
      <c r="D24" s="13" t="s">
        <v>301</v>
      </c>
      <c r="E24" s="15">
        <f>'Du toan chi tiet'!I72</f>
        <v>0</v>
      </c>
    </row>
    <row r="25" spans="1:5" ht="15" hidden="1">
      <c r="A25" s="26" t="s">
        <v>0</v>
      </c>
      <c r="B25" s="13" t="s">
        <v>300</v>
      </c>
      <c r="C25" s="30" t="s">
        <v>299</v>
      </c>
      <c r="D25" s="13" t="s">
        <v>298</v>
      </c>
      <c r="E25" s="15">
        <f>'Du toan chi tiet'!J72</f>
        <v>89609.272</v>
      </c>
    </row>
    <row r="26" spans="1:5" ht="15" hidden="1">
      <c r="A26" s="26" t="s">
        <v>0</v>
      </c>
      <c r="B26" s="13" t="s">
        <v>297</v>
      </c>
      <c r="C26" s="30" t="s">
        <v>296</v>
      </c>
      <c r="D26" s="13" t="s">
        <v>295</v>
      </c>
      <c r="E26" s="15">
        <f>'Du toan chi tiet'!K72</f>
        <v>367836.2813999999</v>
      </c>
    </row>
    <row r="27" spans="1:5" ht="15" hidden="1">
      <c r="A27" s="26" t="s">
        <v>0</v>
      </c>
      <c r="B27" s="13" t="s">
        <v>294</v>
      </c>
      <c r="C27" s="30" t="s">
        <v>293</v>
      </c>
      <c r="D27" s="13" t="s">
        <v>292</v>
      </c>
      <c r="E27" s="15">
        <f>E28+E29+E30</f>
        <v>44372.21867979999</v>
      </c>
    </row>
    <row r="28" spans="1:5" ht="15" hidden="1">
      <c r="A28" s="26" t="s">
        <v>0</v>
      </c>
      <c r="B28" s="13" t="s">
        <v>291</v>
      </c>
      <c r="C28" s="30" t="s">
        <v>290</v>
      </c>
      <c r="D28" s="13" t="s">
        <v>289</v>
      </c>
      <c r="E28" s="15">
        <f>E23*5.5/100</f>
        <v>25159.505436999993</v>
      </c>
    </row>
    <row r="29" spans="1:5" ht="15" hidden="1">
      <c r="A29" s="26" t="s">
        <v>0</v>
      </c>
      <c r="B29" s="13" t="s">
        <v>288</v>
      </c>
      <c r="C29" s="30" t="s">
        <v>287</v>
      </c>
      <c r="D29" s="13" t="s">
        <v>286</v>
      </c>
      <c r="E29" s="15">
        <f>E23*2.2/100</f>
        <v>10063.8021748</v>
      </c>
    </row>
    <row r="30" spans="1:5" ht="15" hidden="1">
      <c r="A30" s="26" t="s">
        <v>0</v>
      </c>
      <c r="B30" s="13" t="s">
        <v>285</v>
      </c>
      <c r="C30" s="30" t="s">
        <v>284</v>
      </c>
      <c r="D30" s="13" t="s">
        <v>283</v>
      </c>
      <c r="E30" s="15">
        <f>E23*2/100</f>
        <v>9148.911067999998</v>
      </c>
    </row>
    <row r="31" spans="1:5" ht="15" hidden="1">
      <c r="A31" s="26" t="s">
        <v>0</v>
      </c>
      <c r="B31" s="13" t="s">
        <v>282</v>
      </c>
      <c r="C31" s="30" t="s">
        <v>281</v>
      </c>
      <c r="D31" s="13" t="s">
        <v>280</v>
      </c>
      <c r="E31" s="15">
        <f>(E23+E27)*5.5/100</f>
        <v>27599.977464388994</v>
      </c>
    </row>
    <row r="32" spans="1:5" ht="15.75" hidden="1">
      <c r="A32" s="27" t="s">
        <v>279</v>
      </c>
      <c r="B32" s="9" t="s">
        <v>278</v>
      </c>
      <c r="C32" s="31" t="s">
        <v>225</v>
      </c>
      <c r="D32" s="9" t="s">
        <v>277</v>
      </c>
      <c r="E32" s="11">
        <f>E23+E27+E31</f>
        <v>529417.7495441888</v>
      </c>
    </row>
    <row r="33" spans="1:5" ht="15" hidden="1">
      <c r="A33" s="26" t="s">
        <v>0</v>
      </c>
      <c r="B33" s="13" t="s">
        <v>276</v>
      </c>
      <c r="C33" s="30" t="s">
        <v>275</v>
      </c>
      <c r="D33" s="13" t="s">
        <v>274</v>
      </c>
      <c r="E33" s="15">
        <f>E32*10/100</f>
        <v>52941.774954418885</v>
      </c>
    </row>
    <row r="34" spans="1:5" ht="15.75" hidden="1">
      <c r="A34" s="27" t="s">
        <v>273</v>
      </c>
      <c r="B34" s="9" t="s">
        <v>272</v>
      </c>
      <c r="C34" s="31" t="s">
        <v>271</v>
      </c>
      <c r="D34" s="9" t="s">
        <v>270</v>
      </c>
      <c r="E34" s="11">
        <f>E32+E33</f>
        <v>582359.5244986077</v>
      </c>
    </row>
    <row r="35" spans="1:5" ht="15.75" thickBot="1">
      <c r="A35" s="28" t="s">
        <v>0</v>
      </c>
      <c r="B35" s="17" t="s">
        <v>0</v>
      </c>
      <c r="C35" s="32" t="s">
        <v>0</v>
      </c>
      <c r="D35" s="17" t="s">
        <v>0</v>
      </c>
      <c r="E35" s="19"/>
    </row>
    <row r="37" spans="4:5" ht="15">
      <c r="D37" s="240"/>
      <c r="E37" s="240"/>
    </row>
    <row r="38" spans="4:5" ht="15.75">
      <c r="D38" s="241"/>
      <c r="E38" s="241"/>
    </row>
    <row r="39" spans="4:5" ht="15.75">
      <c r="D39" s="241"/>
      <c r="E39" s="241"/>
    </row>
  </sheetData>
  <sheetProtection/>
  <mergeCells count="7">
    <mergeCell ref="D39:E39"/>
    <mergeCell ref="A1:E1"/>
    <mergeCell ref="A3:E3"/>
    <mergeCell ref="A4:E4"/>
    <mergeCell ref="A5:E5"/>
    <mergeCell ref="D37:E37"/>
    <mergeCell ref="D38:E38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showZeros="0" zoomScalePageLayoutView="0" workbookViewId="0" topLeftCell="A55">
      <selection activeCell="C117" sqref="C117"/>
    </sheetView>
  </sheetViews>
  <sheetFormatPr defaultColWidth="8.796875" defaultRowHeight="15"/>
  <cols>
    <col min="1" max="1" width="3.3984375" style="41" customWidth="1"/>
    <col min="2" max="2" width="8.8984375" style="41" customWidth="1"/>
    <col min="3" max="3" width="36.59765625" style="41" bestFit="1" customWidth="1"/>
    <col min="4" max="4" width="4.8984375" style="41" customWidth="1"/>
    <col min="5" max="5" width="9.69921875" style="69" customWidth="1"/>
    <col min="6" max="6" width="11.19921875" style="42" customWidth="1"/>
    <col min="7" max="7" width="10" style="42" customWidth="1"/>
    <col min="8" max="8" width="10.09765625" style="42" customWidth="1"/>
    <col min="9" max="9" width="12.59765625" style="43" customWidth="1"/>
    <col min="10" max="10" width="11.69921875" style="43" customWidth="1"/>
    <col min="11" max="11" width="12" style="43" customWidth="1"/>
    <col min="12" max="16384" width="9" style="41" customWidth="1"/>
  </cols>
  <sheetData>
    <row r="1" spans="1:11" ht="21" customHeight="1">
      <c r="A1" s="245" t="s">
        <v>503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4.25">
      <c r="A2" s="44"/>
      <c r="B2" s="44"/>
      <c r="C2" s="44"/>
      <c r="D2" s="44"/>
      <c r="E2" s="74"/>
      <c r="F2" s="45"/>
      <c r="G2" s="45"/>
      <c r="H2" s="45"/>
      <c r="I2" s="46"/>
      <c r="J2" s="46"/>
      <c r="K2" s="46"/>
    </row>
    <row r="3" spans="1:11" s="39" customFormat="1" ht="16.5" customHeight="1">
      <c r="A3" s="244" t="s">
        <v>493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s="39" customFormat="1" ht="16.5" customHeight="1">
      <c r="A4" s="244" t="s">
        <v>494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s="39" customFormat="1" ht="16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15" thickBot="1">
      <c r="A6" s="44"/>
      <c r="B6" s="44"/>
      <c r="C6" s="44"/>
      <c r="D6" s="44"/>
      <c r="E6" s="74"/>
      <c r="F6" s="45"/>
      <c r="G6" s="45"/>
      <c r="H6" s="45"/>
      <c r="I6" s="46"/>
      <c r="J6" s="46"/>
      <c r="K6" s="46"/>
    </row>
    <row r="7" spans="1:11" ht="22.5" customHeight="1">
      <c r="A7" s="255" t="s">
        <v>284</v>
      </c>
      <c r="B7" s="248" t="s">
        <v>505</v>
      </c>
      <c r="C7" s="246" t="s">
        <v>506</v>
      </c>
      <c r="D7" s="248" t="s">
        <v>507</v>
      </c>
      <c r="E7" s="249" t="s">
        <v>508</v>
      </c>
      <c r="F7" s="250" t="s">
        <v>504</v>
      </c>
      <c r="G7" s="251"/>
      <c r="H7" s="252"/>
      <c r="I7" s="253" t="s">
        <v>502</v>
      </c>
      <c r="J7" s="251"/>
      <c r="K7" s="254"/>
    </row>
    <row r="8" spans="1:11" ht="22.5" customHeight="1">
      <c r="A8" s="256"/>
      <c r="B8" s="247"/>
      <c r="C8" s="247"/>
      <c r="D8" s="247"/>
      <c r="E8" s="247"/>
      <c r="F8" s="75" t="s">
        <v>509</v>
      </c>
      <c r="G8" s="75" t="s">
        <v>510</v>
      </c>
      <c r="H8" s="75" t="s">
        <v>511</v>
      </c>
      <c r="I8" s="76" t="s">
        <v>509</v>
      </c>
      <c r="J8" s="76" t="s">
        <v>510</v>
      </c>
      <c r="K8" s="77" t="s">
        <v>512</v>
      </c>
    </row>
    <row r="9" spans="1:11" ht="14.25">
      <c r="A9" s="64" t="s">
        <v>2</v>
      </c>
      <c r="B9" s="65" t="s">
        <v>0</v>
      </c>
      <c r="C9" s="65" t="s">
        <v>1</v>
      </c>
      <c r="D9" s="65" t="s">
        <v>0</v>
      </c>
      <c r="E9" s="70"/>
      <c r="F9" s="66"/>
      <c r="G9" s="66"/>
      <c r="H9" s="66"/>
      <c r="I9" s="67">
        <f>SUM(I10:I71)</f>
        <v>489293359.6006306</v>
      </c>
      <c r="J9" s="67">
        <f>SUM(J10:J71)</f>
        <v>92103560.02778558</v>
      </c>
      <c r="K9" s="68">
        <f>SUM(K10:K71)</f>
        <v>43323968.40383931</v>
      </c>
    </row>
    <row r="10" spans="1:11" ht="14.25">
      <c r="A10" s="49" t="s">
        <v>380</v>
      </c>
      <c r="B10" s="50" t="s">
        <v>3</v>
      </c>
      <c r="C10" s="50" t="s">
        <v>4</v>
      </c>
      <c r="D10" s="50" t="s">
        <v>5</v>
      </c>
      <c r="E10" s="71">
        <f>29.62</f>
        <v>29.62</v>
      </c>
      <c r="F10" s="51"/>
      <c r="G10" s="51">
        <f>'Phan tich don gia'!G10</f>
        <v>10075.57912</v>
      </c>
      <c r="H10" s="51">
        <f>'Phan tich don gia'!G12</f>
        <v>16022.14134</v>
      </c>
      <c r="I10" s="52">
        <f>E10*F10</f>
        <v>0</v>
      </c>
      <c r="J10" s="52">
        <f>E10*G10</f>
        <v>298438.65353440004</v>
      </c>
      <c r="K10" s="53">
        <f>E10*H10</f>
        <v>474575.8264908</v>
      </c>
    </row>
    <row r="11" spans="1:11" ht="14.25">
      <c r="A11" s="49" t="s">
        <v>0</v>
      </c>
      <c r="B11" s="50" t="s">
        <v>0</v>
      </c>
      <c r="C11" s="50" t="s">
        <v>379</v>
      </c>
      <c r="D11" s="50" t="s">
        <v>0</v>
      </c>
      <c r="E11" s="71"/>
      <c r="F11" s="51"/>
      <c r="G11" s="51"/>
      <c r="H11" s="51"/>
      <c r="I11" s="52"/>
      <c r="J11" s="52"/>
      <c r="K11" s="53"/>
    </row>
    <row r="12" spans="1:11" ht="14.25">
      <c r="A12" s="49" t="s">
        <v>378</v>
      </c>
      <c r="B12" s="50" t="s">
        <v>12</v>
      </c>
      <c r="C12" s="50" t="s">
        <v>13</v>
      </c>
      <c r="D12" s="50" t="s">
        <v>5</v>
      </c>
      <c r="E12" s="71">
        <f>126.24</f>
        <v>126.24</v>
      </c>
      <c r="F12" s="51"/>
      <c r="G12" s="51">
        <f>'Phan tich don gia'!G17</f>
        <v>354065.904</v>
      </c>
      <c r="H12" s="51"/>
      <c r="I12" s="52">
        <f>E12*F12</f>
        <v>0</v>
      </c>
      <c r="J12" s="52">
        <f>E12*G12</f>
        <v>44697279.72096</v>
      </c>
      <c r="K12" s="53">
        <f>E12*H12</f>
        <v>0</v>
      </c>
    </row>
    <row r="13" spans="1:11" ht="14.25">
      <c r="A13" s="49" t="s">
        <v>0</v>
      </c>
      <c r="B13" s="50" t="s">
        <v>0</v>
      </c>
      <c r="C13" s="50" t="s">
        <v>377</v>
      </c>
      <c r="D13" s="50" t="s">
        <v>0</v>
      </c>
      <c r="E13" s="71"/>
      <c r="F13" s="51"/>
      <c r="G13" s="51"/>
      <c r="H13" s="51"/>
      <c r="I13" s="52"/>
      <c r="J13" s="52"/>
      <c r="K13" s="53"/>
    </row>
    <row r="14" spans="1:11" ht="14.25">
      <c r="A14" s="49" t="s">
        <v>376</v>
      </c>
      <c r="B14" s="50" t="s">
        <v>15</v>
      </c>
      <c r="C14" s="50" t="s">
        <v>16</v>
      </c>
      <c r="D14" s="50" t="s">
        <v>17</v>
      </c>
      <c r="E14" s="71">
        <f>15</f>
        <v>15</v>
      </c>
      <c r="F14" s="51">
        <f>'Phan tich don gia'!G21</f>
        <v>753900</v>
      </c>
      <c r="G14" s="51"/>
      <c r="H14" s="51"/>
      <c r="I14" s="52">
        <f>E14*F14</f>
        <v>11308500</v>
      </c>
      <c r="J14" s="52">
        <f>E14*G14</f>
        <v>0</v>
      </c>
      <c r="K14" s="53">
        <f>E14*H14</f>
        <v>0</v>
      </c>
    </row>
    <row r="15" spans="1:11" ht="14.25">
      <c r="A15" s="49" t="s">
        <v>0</v>
      </c>
      <c r="B15" s="50" t="s">
        <v>0</v>
      </c>
      <c r="C15" s="50" t="s">
        <v>332</v>
      </c>
      <c r="D15" s="50" t="s">
        <v>0</v>
      </c>
      <c r="E15" s="71"/>
      <c r="F15" s="51"/>
      <c r="G15" s="51"/>
      <c r="H15" s="51"/>
      <c r="I15" s="52"/>
      <c r="J15" s="52"/>
      <c r="K15" s="53"/>
    </row>
    <row r="16" spans="1:11" ht="14.25">
      <c r="A16" s="49" t="s">
        <v>375</v>
      </c>
      <c r="B16" s="50" t="s">
        <v>20</v>
      </c>
      <c r="C16" s="50" t="s">
        <v>21</v>
      </c>
      <c r="D16" s="50" t="s">
        <v>17</v>
      </c>
      <c r="E16" s="71">
        <f>1</f>
        <v>1</v>
      </c>
      <c r="F16" s="51">
        <f>'Phan tich don gia'!G25</f>
        <v>2412127.2</v>
      </c>
      <c r="G16" s="51"/>
      <c r="H16" s="51"/>
      <c r="I16" s="52">
        <f>E16*F16</f>
        <v>2412127.2</v>
      </c>
      <c r="J16" s="52">
        <f>E16*G16</f>
        <v>0</v>
      </c>
      <c r="K16" s="53">
        <f>E16*H16</f>
        <v>0</v>
      </c>
    </row>
    <row r="17" spans="1:11" ht="14.25">
      <c r="A17" s="49" t="s">
        <v>0</v>
      </c>
      <c r="B17" s="50" t="s">
        <v>0</v>
      </c>
      <c r="C17" s="50" t="s">
        <v>353</v>
      </c>
      <c r="D17" s="50" t="s">
        <v>0</v>
      </c>
      <c r="E17" s="71"/>
      <c r="F17" s="51"/>
      <c r="G17" s="51"/>
      <c r="H17" s="51"/>
      <c r="I17" s="52"/>
      <c r="J17" s="52"/>
      <c r="K17" s="53"/>
    </row>
    <row r="18" spans="1:11" ht="14.25">
      <c r="A18" s="49" t="s">
        <v>374</v>
      </c>
      <c r="B18" s="50" t="s">
        <v>25</v>
      </c>
      <c r="C18" s="50" t="s">
        <v>26</v>
      </c>
      <c r="D18" s="50" t="s">
        <v>27</v>
      </c>
      <c r="E18" s="71">
        <f>48</f>
        <v>48</v>
      </c>
      <c r="F18" s="51">
        <f>'Phan tich don gia'!G30</f>
        <v>31380.3</v>
      </c>
      <c r="G18" s="51">
        <f>'Phan tich don gia'!G33</f>
        <v>13618.8</v>
      </c>
      <c r="H18" s="51">
        <f>'Phan tich don gia'!G35</f>
        <v>255.7123</v>
      </c>
      <c r="I18" s="52">
        <f>E18*F18</f>
        <v>1506254.4</v>
      </c>
      <c r="J18" s="52">
        <f>E18*G18</f>
        <v>653702.3999999999</v>
      </c>
      <c r="K18" s="53">
        <f>E18*H18</f>
        <v>12274.1904</v>
      </c>
    </row>
    <row r="19" spans="1:11" ht="14.25">
      <c r="A19" s="49" t="s">
        <v>0</v>
      </c>
      <c r="B19" s="50" t="s">
        <v>0</v>
      </c>
      <c r="C19" s="50" t="s">
        <v>373</v>
      </c>
      <c r="D19" s="50" t="s">
        <v>0</v>
      </c>
      <c r="E19" s="71"/>
      <c r="F19" s="51"/>
      <c r="G19" s="51"/>
      <c r="H19" s="51"/>
      <c r="I19" s="52"/>
      <c r="J19" s="52"/>
      <c r="K19" s="53"/>
    </row>
    <row r="20" spans="1:11" ht="14.25">
      <c r="A20" s="49" t="s">
        <v>372</v>
      </c>
      <c r="B20" s="50" t="s">
        <v>33</v>
      </c>
      <c r="C20" s="50" t="s">
        <v>34</v>
      </c>
      <c r="D20" s="50" t="s">
        <v>5</v>
      </c>
      <c r="E20" s="71">
        <f>10.22</f>
        <v>10.22</v>
      </c>
      <c r="F20" s="51">
        <f>'Phan tich don gia'!G40</f>
        <v>857997.29795</v>
      </c>
      <c r="G20" s="51">
        <f>'Phan tich don gia'!G46</f>
        <v>283675.269</v>
      </c>
      <c r="H20" s="51">
        <f>'Phan tich don gia'!G48</f>
        <v>54756.7503</v>
      </c>
      <c r="I20" s="52">
        <f>E20*F20</f>
        <v>8768732.385049</v>
      </c>
      <c r="J20" s="52">
        <f>E20*G20</f>
        <v>2899161.24918</v>
      </c>
      <c r="K20" s="53">
        <f>E20*H20</f>
        <v>559613.988066</v>
      </c>
    </row>
    <row r="21" spans="1:11" ht="14.25">
      <c r="A21" s="49" t="s">
        <v>0</v>
      </c>
      <c r="B21" s="50" t="s">
        <v>0</v>
      </c>
      <c r="C21" s="50" t="s">
        <v>371</v>
      </c>
      <c r="D21" s="50" t="s">
        <v>0</v>
      </c>
      <c r="E21" s="71"/>
      <c r="F21" s="51"/>
      <c r="G21" s="51"/>
      <c r="H21" s="51"/>
      <c r="I21" s="52"/>
      <c r="J21" s="52"/>
      <c r="K21" s="53"/>
    </row>
    <row r="22" spans="1:11" ht="14.25">
      <c r="A22" s="49" t="s">
        <v>370</v>
      </c>
      <c r="B22" s="50" t="s">
        <v>45</v>
      </c>
      <c r="C22" s="50" t="s">
        <v>46</v>
      </c>
      <c r="D22" s="50" t="s">
        <v>47</v>
      </c>
      <c r="E22" s="71">
        <f>49.34</f>
        <v>49.34</v>
      </c>
      <c r="F22" s="51">
        <f>'Phan tich don gia'!G53</f>
        <v>57802.07044</v>
      </c>
      <c r="G22" s="51">
        <f>'Phan tich don gia'!G59</f>
        <v>74903.4</v>
      </c>
      <c r="H22" s="51"/>
      <c r="I22" s="52">
        <f>E22*F22</f>
        <v>2851954.1555096004</v>
      </c>
      <c r="J22" s="52">
        <f>E22*G22</f>
        <v>3695733.756</v>
      </c>
      <c r="K22" s="53">
        <f>E22*H22</f>
        <v>0</v>
      </c>
    </row>
    <row r="23" spans="1:11" ht="14.25">
      <c r="A23" s="49" t="s">
        <v>0</v>
      </c>
      <c r="B23" s="50" t="s">
        <v>0</v>
      </c>
      <c r="C23" s="50" t="s">
        <v>369</v>
      </c>
      <c r="D23" s="50" t="s">
        <v>0</v>
      </c>
      <c r="E23" s="71"/>
      <c r="F23" s="51"/>
      <c r="G23" s="51"/>
      <c r="H23" s="51"/>
      <c r="I23" s="52"/>
      <c r="J23" s="52"/>
      <c r="K23" s="53"/>
    </row>
    <row r="24" spans="1:11" ht="14.25">
      <c r="A24" s="49" t="s">
        <v>368</v>
      </c>
      <c r="B24" s="50" t="s">
        <v>53</v>
      </c>
      <c r="C24" s="50" t="s">
        <v>54</v>
      </c>
      <c r="D24" s="50" t="s">
        <v>5</v>
      </c>
      <c r="E24" s="71">
        <f>109.99</f>
        <v>109.99</v>
      </c>
      <c r="F24" s="51"/>
      <c r="G24" s="51">
        <f>'Phan tich don gia'!G64</f>
        <v>11780.34088</v>
      </c>
      <c r="H24" s="51">
        <f>'Phan tich don gia'!G66</f>
        <v>12638.29375</v>
      </c>
      <c r="I24" s="52">
        <f>E24*F24</f>
        <v>0</v>
      </c>
      <c r="J24" s="52">
        <f>E24*G24</f>
        <v>1295719.6933912</v>
      </c>
      <c r="K24" s="53">
        <f>E24*H24</f>
        <v>1390085.9295625</v>
      </c>
    </row>
    <row r="25" spans="1:11" ht="14.25">
      <c r="A25" s="49" t="s">
        <v>0</v>
      </c>
      <c r="B25" s="50" t="s">
        <v>0</v>
      </c>
      <c r="C25" s="50" t="s">
        <v>367</v>
      </c>
      <c r="D25" s="50" t="s">
        <v>0</v>
      </c>
      <c r="E25" s="71"/>
      <c r="F25" s="51"/>
      <c r="G25" s="51"/>
      <c r="H25" s="51"/>
      <c r="I25" s="52"/>
      <c r="J25" s="52"/>
      <c r="K25" s="53"/>
    </row>
    <row r="26" spans="1:11" ht="14.25">
      <c r="A26" s="49" t="s">
        <v>366</v>
      </c>
      <c r="B26" s="50" t="s">
        <v>58</v>
      </c>
      <c r="C26" s="50" t="s">
        <v>59</v>
      </c>
      <c r="D26" s="50" t="s">
        <v>27</v>
      </c>
      <c r="E26" s="71">
        <f>25</f>
        <v>25</v>
      </c>
      <c r="F26" s="51">
        <f>'Phan tich don gia'!G70</f>
        <v>10780</v>
      </c>
      <c r="G26" s="51">
        <f>'Phan tich don gia'!G72</f>
        <v>0</v>
      </c>
      <c r="H26" s="51">
        <f>'Phan tich don gia'!G74</f>
        <v>1154676.402</v>
      </c>
      <c r="I26" s="52">
        <f>E26*F26</f>
        <v>269500</v>
      </c>
      <c r="J26" s="52">
        <f>E26*G26</f>
        <v>0</v>
      </c>
      <c r="K26" s="53">
        <f>E26*H26</f>
        <v>28866910.05</v>
      </c>
    </row>
    <row r="27" spans="1:11" ht="14.25">
      <c r="A27" s="49" t="s">
        <v>0</v>
      </c>
      <c r="B27" s="50" t="s">
        <v>0</v>
      </c>
      <c r="C27" s="50" t="s">
        <v>364</v>
      </c>
      <c r="D27" s="50" t="s">
        <v>0</v>
      </c>
      <c r="E27" s="71"/>
      <c r="F27" s="51"/>
      <c r="G27" s="51"/>
      <c r="H27" s="51"/>
      <c r="I27" s="52"/>
      <c r="J27" s="52"/>
      <c r="K27" s="53"/>
    </row>
    <row r="28" spans="1:11" ht="14.25">
      <c r="A28" s="49" t="s">
        <v>365</v>
      </c>
      <c r="B28" s="50" t="s">
        <v>64</v>
      </c>
      <c r="C28" s="50" t="s">
        <v>65</v>
      </c>
      <c r="D28" s="50" t="s">
        <v>27</v>
      </c>
      <c r="E28" s="71">
        <f>25</f>
        <v>25</v>
      </c>
      <c r="F28" s="51">
        <f>'Phan tich don gia'!G78</f>
        <v>203994.9</v>
      </c>
      <c r="G28" s="51">
        <f>'Phan tich don gia'!G81</f>
        <v>18915</v>
      </c>
      <c r="H28" s="51">
        <f>'Phan tich don gia'!G83</f>
        <v>210.5866</v>
      </c>
      <c r="I28" s="52">
        <f>E28*F28</f>
        <v>5099872.5</v>
      </c>
      <c r="J28" s="52">
        <f>E28*G28</f>
        <v>472875</v>
      </c>
      <c r="K28" s="53">
        <f>E28*H28</f>
        <v>5264.665</v>
      </c>
    </row>
    <row r="29" spans="1:11" ht="14.25">
      <c r="A29" s="49" t="s">
        <v>0</v>
      </c>
      <c r="B29" s="50" t="s">
        <v>0</v>
      </c>
      <c r="C29" s="50" t="s">
        <v>364</v>
      </c>
      <c r="D29" s="50" t="s">
        <v>0</v>
      </c>
      <c r="E29" s="71"/>
      <c r="F29" s="51"/>
      <c r="G29" s="51"/>
      <c r="H29" s="51"/>
      <c r="I29" s="52"/>
      <c r="J29" s="52"/>
      <c r="K29" s="53"/>
    </row>
    <row r="30" spans="1:11" ht="14.25">
      <c r="A30" s="49" t="s">
        <v>363</v>
      </c>
      <c r="B30" s="50" t="s">
        <v>68</v>
      </c>
      <c r="C30" s="50" t="s">
        <v>69</v>
      </c>
      <c r="D30" s="50" t="s">
        <v>27</v>
      </c>
      <c r="E30" s="71">
        <f>4</f>
        <v>4</v>
      </c>
      <c r="F30" s="51">
        <f>'Phan tich don gia'!G87</f>
        <v>2200</v>
      </c>
      <c r="G30" s="51"/>
      <c r="H30" s="51"/>
      <c r="I30" s="52">
        <f>E30*F30</f>
        <v>8800</v>
      </c>
      <c r="J30" s="52">
        <f>E30*G30</f>
        <v>0</v>
      </c>
      <c r="K30" s="53">
        <f>E30*H30</f>
        <v>0</v>
      </c>
    </row>
    <row r="31" spans="1:11" ht="14.25">
      <c r="A31" s="49" t="s">
        <v>0</v>
      </c>
      <c r="B31" s="50" t="s">
        <v>0</v>
      </c>
      <c r="C31" s="50" t="s">
        <v>361</v>
      </c>
      <c r="D31" s="50" t="s">
        <v>0</v>
      </c>
      <c r="E31" s="71"/>
      <c r="F31" s="51"/>
      <c r="G31" s="51"/>
      <c r="H31" s="51"/>
      <c r="I31" s="52"/>
      <c r="J31" s="52"/>
      <c r="K31" s="53"/>
    </row>
    <row r="32" spans="1:11" ht="14.25">
      <c r="A32" s="49" t="s">
        <v>362</v>
      </c>
      <c r="B32" s="50" t="s">
        <v>72</v>
      </c>
      <c r="C32" s="50" t="s">
        <v>73</v>
      </c>
      <c r="D32" s="50" t="s">
        <v>17</v>
      </c>
      <c r="E32" s="71">
        <f>4</f>
        <v>4</v>
      </c>
      <c r="F32" s="51">
        <f>'Phan tich don gia'!G91</f>
        <v>7800</v>
      </c>
      <c r="G32" s="51"/>
      <c r="H32" s="51"/>
      <c r="I32" s="52">
        <f>E32*F32</f>
        <v>31200</v>
      </c>
      <c r="J32" s="52">
        <f>E32*G32</f>
        <v>0</v>
      </c>
      <c r="K32" s="53">
        <f>E32*H32</f>
        <v>0</v>
      </c>
    </row>
    <row r="33" spans="1:11" ht="14.25">
      <c r="A33" s="49" t="s">
        <v>0</v>
      </c>
      <c r="B33" s="50" t="s">
        <v>0</v>
      </c>
      <c r="C33" s="50" t="s">
        <v>361</v>
      </c>
      <c r="D33" s="50" t="s">
        <v>0</v>
      </c>
      <c r="E33" s="71"/>
      <c r="F33" s="51"/>
      <c r="G33" s="51"/>
      <c r="H33" s="51"/>
      <c r="I33" s="52"/>
      <c r="J33" s="52"/>
      <c r="K33" s="53"/>
    </row>
    <row r="34" spans="1:11" ht="14.25">
      <c r="A34" s="49" t="s">
        <v>360</v>
      </c>
      <c r="B34" s="50" t="s">
        <v>76</v>
      </c>
      <c r="C34" s="50" t="s">
        <v>77</v>
      </c>
      <c r="D34" s="50" t="s">
        <v>78</v>
      </c>
      <c r="E34" s="71">
        <f>15</f>
        <v>15</v>
      </c>
      <c r="F34" s="51">
        <f>'Phan tich don gia'!G95</f>
        <v>4420500</v>
      </c>
      <c r="G34" s="51">
        <f>'Phan tich don gia'!G97</f>
        <v>348036</v>
      </c>
      <c r="H34" s="51">
        <f>'Phan tich don gia'!G99</f>
        <v>144550.62</v>
      </c>
      <c r="I34" s="52">
        <f>E34*F34</f>
        <v>66307500</v>
      </c>
      <c r="J34" s="52">
        <f>E34*G34</f>
        <v>5220540</v>
      </c>
      <c r="K34" s="53">
        <f>E34*H34</f>
        <v>2168259.3</v>
      </c>
    </row>
    <row r="35" spans="1:11" ht="14.25">
      <c r="A35" s="49" t="s">
        <v>0</v>
      </c>
      <c r="B35" s="50" t="s">
        <v>0</v>
      </c>
      <c r="C35" s="50" t="s">
        <v>332</v>
      </c>
      <c r="D35" s="50" t="s">
        <v>0</v>
      </c>
      <c r="E35" s="71"/>
      <c r="F35" s="51"/>
      <c r="G35" s="51"/>
      <c r="H35" s="51"/>
      <c r="I35" s="52"/>
      <c r="J35" s="52"/>
      <c r="K35" s="53"/>
    </row>
    <row r="36" spans="1:11" ht="14.25">
      <c r="A36" s="49" t="s">
        <v>359</v>
      </c>
      <c r="B36" s="50" t="s">
        <v>83</v>
      </c>
      <c r="C36" s="50" t="s">
        <v>84</v>
      </c>
      <c r="D36" s="50" t="s">
        <v>85</v>
      </c>
      <c r="E36" s="71">
        <f>15</f>
        <v>15</v>
      </c>
      <c r="F36" s="51">
        <f>'Phan tich don gia'!G103</f>
        <v>1701000</v>
      </c>
      <c r="G36" s="51">
        <f>'Phan tich don gia'!G105</f>
        <v>186628</v>
      </c>
      <c r="H36" s="51">
        <f>'Phan tich don gia'!G107</f>
        <v>227448.36</v>
      </c>
      <c r="I36" s="52">
        <f>E36*F36</f>
        <v>25515000</v>
      </c>
      <c r="J36" s="52">
        <f>E36*G36</f>
        <v>2799420</v>
      </c>
      <c r="K36" s="53">
        <f>E36*H36</f>
        <v>3411725.4</v>
      </c>
    </row>
    <row r="37" spans="1:11" ht="14.25">
      <c r="A37" s="49" t="s">
        <v>0</v>
      </c>
      <c r="B37" s="50" t="s">
        <v>0</v>
      </c>
      <c r="C37" s="50" t="s">
        <v>332</v>
      </c>
      <c r="D37" s="50" t="s">
        <v>0</v>
      </c>
      <c r="E37" s="71"/>
      <c r="F37" s="51"/>
      <c r="G37" s="51"/>
      <c r="H37" s="51"/>
      <c r="I37" s="52"/>
      <c r="J37" s="52"/>
      <c r="K37" s="53"/>
    </row>
    <row r="38" spans="1:11" ht="14.25">
      <c r="A38" s="49" t="s">
        <v>358</v>
      </c>
      <c r="B38" s="50" t="s">
        <v>89</v>
      </c>
      <c r="C38" s="50" t="s">
        <v>90</v>
      </c>
      <c r="D38" s="50" t="s">
        <v>91</v>
      </c>
      <c r="E38" s="71">
        <f>15</f>
        <v>15</v>
      </c>
      <c r="F38" s="51">
        <f>'Phan tich don gia'!G111</f>
        <v>7985000</v>
      </c>
      <c r="G38" s="51">
        <f>'Phan tich don gia'!G113</f>
        <v>65572</v>
      </c>
      <c r="H38" s="51">
        <f>'Phan tich don gia'!G115</f>
        <v>197121.912</v>
      </c>
      <c r="I38" s="52">
        <f>E38*F38</f>
        <v>119775000</v>
      </c>
      <c r="J38" s="52">
        <f>E38*G38</f>
        <v>983580</v>
      </c>
      <c r="K38" s="53">
        <f>E38*H38</f>
        <v>2956828.68</v>
      </c>
    </row>
    <row r="39" spans="1:11" ht="14.25">
      <c r="A39" s="49" t="s">
        <v>0</v>
      </c>
      <c r="B39" s="50" t="s">
        <v>0</v>
      </c>
      <c r="C39" s="50" t="s">
        <v>332</v>
      </c>
      <c r="D39" s="50" t="s">
        <v>0</v>
      </c>
      <c r="E39" s="71"/>
      <c r="F39" s="51"/>
      <c r="G39" s="51"/>
      <c r="H39" s="51"/>
      <c r="I39" s="52"/>
      <c r="J39" s="52"/>
      <c r="K39" s="53"/>
    </row>
    <row r="40" spans="1:11" ht="14.25">
      <c r="A40" s="49" t="s">
        <v>357</v>
      </c>
      <c r="B40" s="50" t="s">
        <v>94</v>
      </c>
      <c r="C40" s="50" t="s">
        <v>95</v>
      </c>
      <c r="D40" s="50" t="s">
        <v>96</v>
      </c>
      <c r="E40" s="71">
        <f>1</f>
        <v>1</v>
      </c>
      <c r="F40" s="51">
        <f>'Phan tich don gia'!G119</f>
        <v>17029950</v>
      </c>
      <c r="G40" s="51">
        <f>'Phan tich don gia'!G121</f>
        <v>385866</v>
      </c>
      <c r="H40" s="51"/>
      <c r="I40" s="52">
        <f>E40*F40</f>
        <v>17029950</v>
      </c>
      <c r="J40" s="52">
        <f>E40*G40</f>
        <v>385866</v>
      </c>
      <c r="K40" s="53">
        <f>E40*H40</f>
        <v>0</v>
      </c>
    </row>
    <row r="41" spans="1:11" ht="14.25">
      <c r="A41" s="49" t="s">
        <v>0</v>
      </c>
      <c r="B41" s="50" t="s">
        <v>0</v>
      </c>
      <c r="C41" s="50" t="s">
        <v>353</v>
      </c>
      <c r="D41" s="50" t="s">
        <v>0</v>
      </c>
      <c r="E41" s="71"/>
      <c r="F41" s="51"/>
      <c r="G41" s="51"/>
      <c r="H41" s="51"/>
      <c r="I41" s="52"/>
      <c r="J41" s="52"/>
      <c r="K41" s="53"/>
    </row>
    <row r="42" spans="1:11" ht="14.25">
      <c r="A42" s="49" t="s">
        <v>356</v>
      </c>
      <c r="B42" s="50" t="s">
        <v>99</v>
      </c>
      <c r="C42" s="50" t="s">
        <v>100</v>
      </c>
      <c r="D42" s="50" t="s">
        <v>91</v>
      </c>
      <c r="E42" s="71">
        <f>14</f>
        <v>14</v>
      </c>
      <c r="F42" s="51">
        <f>'Phan tich don gia'!G125</f>
        <v>569963.52</v>
      </c>
      <c r="G42" s="51">
        <f>'Phan tich don gia'!G127</f>
        <v>78182</v>
      </c>
      <c r="H42" s="51">
        <f>'Phan tich don gia'!G129</f>
        <v>40941.83</v>
      </c>
      <c r="I42" s="52">
        <f>E42*F42</f>
        <v>7979489.28</v>
      </c>
      <c r="J42" s="52">
        <f>E42*G42</f>
        <v>1094548</v>
      </c>
      <c r="K42" s="53">
        <f>E42*H42</f>
        <v>573185.62</v>
      </c>
    </row>
    <row r="43" spans="1:11" ht="14.25">
      <c r="A43" s="49" t="s">
        <v>0</v>
      </c>
      <c r="B43" s="50" t="s">
        <v>0</v>
      </c>
      <c r="C43" s="50" t="s">
        <v>355</v>
      </c>
      <c r="D43" s="50" t="s">
        <v>0</v>
      </c>
      <c r="E43" s="71"/>
      <c r="F43" s="51"/>
      <c r="G43" s="51"/>
      <c r="H43" s="51"/>
      <c r="I43" s="52"/>
      <c r="J43" s="52"/>
      <c r="K43" s="53"/>
    </row>
    <row r="44" spans="1:11" ht="14.25">
      <c r="A44" s="49" t="s">
        <v>354</v>
      </c>
      <c r="B44" s="50" t="s">
        <v>104</v>
      </c>
      <c r="C44" s="50" t="s">
        <v>105</v>
      </c>
      <c r="D44" s="50" t="s">
        <v>91</v>
      </c>
      <c r="E44" s="71">
        <f>1</f>
        <v>1</v>
      </c>
      <c r="F44" s="51">
        <f>'Phan tich don gia'!G133</f>
        <v>569963.52</v>
      </c>
      <c r="G44" s="51">
        <f>'Phan tich don gia'!G135</f>
        <v>78182</v>
      </c>
      <c r="H44" s="51">
        <f>'Phan tich don gia'!G137</f>
        <v>40941.83</v>
      </c>
      <c r="I44" s="52">
        <f>E44*F44</f>
        <v>569963.52</v>
      </c>
      <c r="J44" s="52">
        <f>E44*G44</f>
        <v>78182</v>
      </c>
      <c r="K44" s="53">
        <f>E44*H44</f>
        <v>40941.83</v>
      </c>
    </row>
    <row r="45" spans="1:11" ht="14.25">
      <c r="A45" s="49" t="s">
        <v>0</v>
      </c>
      <c r="B45" s="50" t="s">
        <v>0</v>
      </c>
      <c r="C45" s="50" t="s">
        <v>353</v>
      </c>
      <c r="D45" s="50" t="s">
        <v>0</v>
      </c>
      <c r="E45" s="71"/>
      <c r="F45" s="51"/>
      <c r="G45" s="51"/>
      <c r="H45" s="51"/>
      <c r="I45" s="52"/>
      <c r="J45" s="52"/>
      <c r="K45" s="53"/>
    </row>
    <row r="46" spans="1:11" ht="14.25">
      <c r="A46" s="49" t="s">
        <v>352</v>
      </c>
      <c r="B46" s="50" t="s">
        <v>107</v>
      </c>
      <c r="C46" s="50" t="s">
        <v>108</v>
      </c>
      <c r="D46" s="50" t="s">
        <v>91</v>
      </c>
      <c r="E46" s="71">
        <f>2</f>
        <v>2</v>
      </c>
      <c r="F46" s="51">
        <f>'Phan tich don gia'!G141</f>
        <v>2924663.1</v>
      </c>
      <c r="G46" s="51">
        <f>'Phan tich don gia'!G145</f>
        <v>83226</v>
      </c>
      <c r="H46" s="51">
        <f>'Phan tich don gia'!G147</f>
        <v>350273.85</v>
      </c>
      <c r="I46" s="52">
        <f>E46*F46</f>
        <v>5849326.2</v>
      </c>
      <c r="J46" s="52">
        <f>E46*G46</f>
        <v>166452</v>
      </c>
      <c r="K46" s="53">
        <f>E46*H46</f>
        <v>700547.7</v>
      </c>
    </row>
    <row r="47" spans="1:11" ht="14.25">
      <c r="A47" s="49" t="s">
        <v>0</v>
      </c>
      <c r="B47" s="50" t="s">
        <v>0</v>
      </c>
      <c r="C47" s="50" t="s">
        <v>335</v>
      </c>
      <c r="D47" s="50" t="s">
        <v>0</v>
      </c>
      <c r="E47" s="71"/>
      <c r="F47" s="51"/>
      <c r="G47" s="51"/>
      <c r="H47" s="51"/>
      <c r="I47" s="52"/>
      <c r="J47" s="52"/>
      <c r="K47" s="53"/>
    </row>
    <row r="48" spans="1:11" ht="14.25">
      <c r="A48" s="49" t="s">
        <v>351</v>
      </c>
      <c r="B48" s="50" t="s">
        <v>114</v>
      </c>
      <c r="C48" s="50" t="s">
        <v>115</v>
      </c>
      <c r="D48" s="50" t="s">
        <v>29</v>
      </c>
      <c r="E48" s="71">
        <f>444</f>
        <v>444</v>
      </c>
      <c r="F48" s="51">
        <f>'Phan tich don gia'!G152</f>
        <v>66837.9495</v>
      </c>
      <c r="G48" s="51">
        <f>'Phan tich don gia'!G157</f>
        <v>13618.8</v>
      </c>
      <c r="H48" s="51">
        <f>'Phan tich don gia'!G159</f>
        <v>255.7123</v>
      </c>
      <c r="I48" s="52">
        <f>E48*F48</f>
        <v>29676049.578</v>
      </c>
      <c r="J48" s="52">
        <f>E48*G48</f>
        <v>6046747.199999999</v>
      </c>
      <c r="K48" s="53">
        <f>E48*H48</f>
        <v>113536.2612</v>
      </c>
    </row>
    <row r="49" spans="1:11" ht="14.25">
      <c r="A49" s="49" t="s">
        <v>0</v>
      </c>
      <c r="B49" s="50" t="s">
        <v>0</v>
      </c>
      <c r="C49" s="50" t="s">
        <v>350</v>
      </c>
      <c r="D49" s="50" t="s">
        <v>0</v>
      </c>
      <c r="E49" s="71"/>
      <c r="F49" s="51"/>
      <c r="G49" s="51"/>
      <c r="H49" s="51"/>
      <c r="I49" s="52"/>
      <c r="J49" s="52"/>
      <c r="K49" s="53"/>
    </row>
    <row r="50" spans="1:11" ht="14.25">
      <c r="A50" s="49" t="s">
        <v>349</v>
      </c>
      <c r="B50" s="50" t="s">
        <v>120</v>
      </c>
      <c r="C50" s="50" t="s">
        <v>121</v>
      </c>
      <c r="D50" s="50" t="s">
        <v>5</v>
      </c>
      <c r="E50" s="71">
        <f>17.76</f>
        <v>17.76</v>
      </c>
      <c r="F50" s="51">
        <f>'Phan tich don gia'!G164</f>
        <v>857997.29795</v>
      </c>
      <c r="G50" s="51">
        <f>'Phan tich don gia'!G170</f>
        <v>274450.057</v>
      </c>
      <c r="H50" s="51">
        <f>'Phan tich don gia'!G172</f>
        <v>54409.0095</v>
      </c>
      <c r="I50" s="52">
        <f>E50*F50</f>
        <v>15238032.011592003</v>
      </c>
      <c r="J50" s="52">
        <f>E50*G50</f>
        <v>4874233.01232</v>
      </c>
      <c r="K50" s="53">
        <f>E50*H50</f>
        <v>966304.00872</v>
      </c>
    </row>
    <row r="51" spans="1:11" ht="14.25">
      <c r="A51" s="49" t="s">
        <v>0</v>
      </c>
      <c r="B51" s="50" t="s">
        <v>0</v>
      </c>
      <c r="C51" s="50" t="s">
        <v>348</v>
      </c>
      <c r="D51" s="50" t="s">
        <v>0</v>
      </c>
      <c r="E51" s="71"/>
      <c r="F51" s="51"/>
      <c r="G51" s="51"/>
      <c r="H51" s="51"/>
      <c r="I51" s="52"/>
      <c r="J51" s="52"/>
      <c r="K51" s="53"/>
    </row>
    <row r="52" spans="1:11" ht="14.25">
      <c r="A52" s="49" t="s">
        <v>347</v>
      </c>
      <c r="B52" s="50" t="s">
        <v>124</v>
      </c>
      <c r="C52" s="50" t="s">
        <v>125</v>
      </c>
      <c r="D52" s="50" t="s">
        <v>47</v>
      </c>
      <c r="E52" s="71">
        <f>177.6</f>
        <v>177.6</v>
      </c>
      <c r="F52" s="51">
        <f>'Phan tich don gia'!G177</f>
        <v>109941.31605</v>
      </c>
      <c r="G52" s="51">
        <f>'Phan tich don gia'!G185</f>
        <v>46540.849</v>
      </c>
      <c r="H52" s="51">
        <f>'Phan tich don gia'!G187</f>
        <v>834.519</v>
      </c>
      <c r="I52" s="52">
        <f>E52*F52</f>
        <v>19525577.730479997</v>
      </c>
      <c r="J52" s="52">
        <f>E52*G52</f>
        <v>8265654.7824</v>
      </c>
      <c r="K52" s="53">
        <f>E52*H52</f>
        <v>148210.57439999998</v>
      </c>
    </row>
    <row r="53" spans="1:11" ht="14.25">
      <c r="A53" s="49" t="s">
        <v>0</v>
      </c>
      <c r="B53" s="50" t="s">
        <v>0</v>
      </c>
      <c r="C53" s="50" t="s">
        <v>346</v>
      </c>
      <c r="D53" s="50" t="s">
        <v>0</v>
      </c>
      <c r="E53" s="71"/>
      <c r="F53" s="51"/>
      <c r="G53" s="51"/>
      <c r="H53" s="51"/>
      <c r="I53" s="52"/>
      <c r="J53" s="52"/>
      <c r="K53" s="53"/>
    </row>
    <row r="54" spans="1:11" ht="14.25">
      <c r="A54" s="49" t="s">
        <v>345</v>
      </c>
      <c r="B54" s="50" t="s">
        <v>134</v>
      </c>
      <c r="C54" s="50" t="s">
        <v>135</v>
      </c>
      <c r="D54" s="50" t="s">
        <v>27</v>
      </c>
      <c r="E54" s="71">
        <f>583</f>
        <v>583</v>
      </c>
      <c r="F54" s="51">
        <f>'Phan tich don gia'!G191</f>
        <v>191541.665</v>
      </c>
      <c r="G54" s="51">
        <f>'Phan tich don gia'!G193</f>
        <v>2471.56</v>
      </c>
      <c r="H54" s="51"/>
      <c r="I54" s="52">
        <f>E54*F54</f>
        <v>111668790.69500001</v>
      </c>
      <c r="J54" s="52">
        <f>E54*G54</f>
        <v>1440919.48</v>
      </c>
      <c r="K54" s="53">
        <f>E54*H54</f>
        <v>0</v>
      </c>
    </row>
    <row r="55" spans="1:11" ht="14.25">
      <c r="A55" s="49" t="s">
        <v>0</v>
      </c>
      <c r="B55" s="50" t="s">
        <v>0</v>
      </c>
      <c r="C55" s="50" t="s">
        <v>343</v>
      </c>
      <c r="D55" s="50" t="s">
        <v>0</v>
      </c>
      <c r="E55" s="71"/>
      <c r="F55" s="51"/>
      <c r="G55" s="51"/>
      <c r="H55" s="51"/>
      <c r="I55" s="52"/>
      <c r="J55" s="52"/>
      <c r="K55" s="53"/>
    </row>
    <row r="56" spans="1:11" ht="14.25">
      <c r="A56" s="49" t="s">
        <v>344</v>
      </c>
      <c r="B56" s="50" t="s">
        <v>138</v>
      </c>
      <c r="C56" s="50" t="s">
        <v>139</v>
      </c>
      <c r="D56" s="50" t="s">
        <v>27</v>
      </c>
      <c r="E56" s="71">
        <f>583</f>
        <v>583</v>
      </c>
      <c r="F56" s="51">
        <f>'Phan tich don gia'!G197</f>
        <v>31334.065</v>
      </c>
      <c r="G56" s="51">
        <f>'Phan tich don gia'!G199</f>
        <v>2471.56</v>
      </c>
      <c r="H56" s="51"/>
      <c r="I56" s="52">
        <f>E56*F56</f>
        <v>18267759.895</v>
      </c>
      <c r="J56" s="52">
        <f>E56*G56</f>
        <v>1440919.48</v>
      </c>
      <c r="K56" s="53">
        <f>E56*H56</f>
        <v>0</v>
      </c>
    </row>
    <row r="57" spans="1:11" ht="14.25">
      <c r="A57" s="49" t="s">
        <v>0</v>
      </c>
      <c r="B57" s="50" t="s">
        <v>0</v>
      </c>
      <c r="C57" s="50" t="s">
        <v>343</v>
      </c>
      <c r="D57" s="50" t="s">
        <v>0</v>
      </c>
      <c r="E57" s="71"/>
      <c r="F57" s="51"/>
      <c r="G57" s="51"/>
      <c r="H57" s="51"/>
      <c r="I57" s="52"/>
      <c r="J57" s="52"/>
      <c r="K57" s="53"/>
    </row>
    <row r="58" spans="1:11" ht="14.25">
      <c r="A58" s="49" t="s">
        <v>342</v>
      </c>
      <c r="B58" s="50" t="s">
        <v>141</v>
      </c>
      <c r="C58" s="50" t="s">
        <v>142</v>
      </c>
      <c r="D58" s="50" t="s">
        <v>27</v>
      </c>
      <c r="E58" s="71">
        <f>160</f>
        <v>160</v>
      </c>
      <c r="F58" s="51">
        <f>'Phan tich don gia'!G203</f>
        <v>22601.005</v>
      </c>
      <c r="G58" s="51">
        <f>'Phan tich don gia'!G205</f>
        <v>3278.6</v>
      </c>
      <c r="H58" s="51"/>
      <c r="I58" s="52">
        <f>E58*F58</f>
        <v>3616160.8000000003</v>
      </c>
      <c r="J58" s="52">
        <f>E58*G58</f>
        <v>524576</v>
      </c>
      <c r="K58" s="53">
        <f>E58*H58</f>
        <v>0</v>
      </c>
    </row>
    <row r="59" spans="1:11" ht="14.25">
      <c r="A59" s="49" t="s">
        <v>0</v>
      </c>
      <c r="B59" s="50" t="s">
        <v>0</v>
      </c>
      <c r="C59" s="50" t="s">
        <v>341</v>
      </c>
      <c r="D59" s="50" t="s">
        <v>0</v>
      </c>
      <c r="E59" s="71"/>
      <c r="F59" s="51"/>
      <c r="G59" s="51"/>
      <c r="H59" s="51"/>
      <c r="I59" s="52"/>
      <c r="J59" s="52"/>
      <c r="K59" s="53"/>
    </row>
    <row r="60" spans="1:11" ht="14.25">
      <c r="A60" s="49" t="s">
        <v>340</v>
      </c>
      <c r="B60" s="50" t="s">
        <v>145</v>
      </c>
      <c r="C60" s="50" t="s">
        <v>146</v>
      </c>
      <c r="D60" s="50" t="s">
        <v>27</v>
      </c>
      <c r="E60" s="71">
        <f>25</f>
        <v>25</v>
      </c>
      <c r="F60" s="51">
        <f>'Phan tich don gia'!G210</f>
        <v>278432.77</v>
      </c>
      <c r="G60" s="51">
        <f>'Phan tich don gia'!G212</f>
        <v>2471.56</v>
      </c>
      <c r="H60" s="51"/>
      <c r="I60" s="52">
        <f>E60*F60</f>
        <v>6960819.25</v>
      </c>
      <c r="J60" s="52">
        <f>E60*G60</f>
        <v>61789</v>
      </c>
      <c r="K60" s="53">
        <f>E60*H60</f>
        <v>0</v>
      </c>
    </row>
    <row r="61" spans="1:11" ht="14.25">
      <c r="A61" s="49" t="s">
        <v>0</v>
      </c>
      <c r="B61" s="50" t="s">
        <v>0</v>
      </c>
      <c r="C61" s="50" t="s">
        <v>339</v>
      </c>
      <c r="D61" s="50" t="s">
        <v>0</v>
      </c>
      <c r="E61" s="71"/>
      <c r="F61" s="51"/>
      <c r="G61" s="51"/>
      <c r="H61" s="51"/>
      <c r="I61" s="52"/>
      <c r="J61" s="52"/>
      <c r="K61" s="53"/>
    </row>
    <row r="62" spans="1:11" ht="14.25">
      <c r="A62" s="49" t="s">
        <v>338</v>
      </c>
      <c r="B62" s="50" t="s">
        <v>150</v>
      </c>
      <c r="C62" s="50" t="s">
        <v>151</v>
      </c>
      <c r="D62" s="50" t="s">
        <v>152</v>
      </c>
      <c r="E62" s="71">
        <f>13</f>
        <v>13</v>
      </c>
      <c r="F62" s="51">
        <f>'Phan tich don gia'!G216</f>
        <v>354000</v>
      </c>
      <c r="G62" s="51">
        <f>'Phan tich don gia'!G223</f>
        <v>25220</v>
      </c>
      <c r="H62" s="51"/>
      <c r="I62" s="52">
        <f>E62*F62</f>
        <v>4602000</v>
      </c>
      <c r="J62" s="52">
        <f>E62*G62</f>
        <v>327860</v>
      </c>
      <c r="K62" s="53">
        <f>E62*H62</f>
        <v>0</v>
      </c>
    </row>
    <row r="63" spans="1:11" ht="14.25">
      <c r="A63" s="49" t="s">
        <v>0</v>
      </c>
      <c r="B63" s="50" t="s">
        <v>0</v>
      </c>
      <c r="C63" s="50" t="s">
        <v>337</v>
      </c>
      <c r="D63" s="50" t="s">
        <v>0</v>
      </c>
      <c r="E63" s="71"/>
      <c r="F63" s="51"/>
      <c r="G63" s="51"/>
      <c r="H63" s="51"/>
      <c r="I63" s="52"/>
      <c r="J63" s="52"/>
      <c r="K63" s="53"/>
    </row>
    <row r="64" spans="1:11" ht="14.25">
      <c r="A64" s="49" t="s">
        <v>336</v>
      </c>
      <c r="B64" s="50" t="s">
        <v>159</v>
      </c>
      <c r="C64" s="50" t="s">
        <v>160</v>
      </c>
      <c r="D64" s="50" t="s">
        <v>152</v>
      </c>
      <c r="E64" s="71">
        <f>2</f>
        <v>2</v>
      </c>
      <c r="F64" s="51">
        <f>'Phan tich don gia'!G227</f>
        <v>309600</v>
      </c>
      <c r="G64" s="51">
        <f>'Phan tich don gia'!G234</f>
        <v>25220</v>
      </c>
      <c r="H64" s="51"/>
      <c r="I64" s="52">
        <f>E64*F64</f>
        <v>619200</v>
      </c>
      <c r="J64" s="52">
        <f>E64*G64</f>
        <v>50440</v>
      </c>
      <c r="K64" s="53">
        <f>E64*H64</f>
        <v>0</v>
      </c>
    </row>
    <row r="65" spans="1:11" ht="14.25">
      <c r="A65" s="49" t="s">
        <v>0</v>
      </c>
      <c r="B65" s="50" t="s">
        <v>0</v>
      </c>
      <c r="C65" s="50" t="s">
        <v>335</v>
      </c>
      <c r="D65" s="50" t="s">
        <v>0</v>
      </c>
      <c r="E65" s="71"/>
      <c r="F65" s="51"/>
      <c r="G65" s="51"/>
      <c r="H65" s="51"/>
      <c r="I65" s="52"/>
      <c r="J65" s="52"/>
      <c r="K65" s="53"/>
    </row>
    <row r="66" spans="1:11" ht="14.25">
      <c r="A66" s="49" t="s">
        <v>334</v>
      </c>
      <c r="B66" s="50" t="s">
        <v>162</v>
      </c>
      <c r="C66" s="50" t="s">
        <v>163</v>
      </c>
      <c r="D66" s="50" t="s">
        <v>164</v>
      </c>
      <c r="E66" s="71">
        <f>15</f>
        <v>15</v>
      </c>
      <c r="F66" s="51"/>
      <c r="G66" s="51">
        <f>'Phan tich don gia'!G238</f>
        <v>32786</v>
      </c>
      <c r="H66" s="51"/>
      <c r="I66" s="52">
        <f>E66*F66</f>
        <v>0</v>
      </c>
      <c r="J66" s="52">
        <f>E66*G66</f>
        <v>491790</v>
      </c>
      <c r="K66" s="53">
        <f>E66*H66</f>
        <v>0</v>
      </c>
    </row>
    <row r="67" spans="1:11" ht="14.25">
      <c r="A67" s="49" t="s">
        <v>0</v>
      </c>
      <c r="B67" s="50" t="s">
        <v>0</v>
      </c>
      <c r="C67" s="50" t="s">
        <v>332</v>
      </c>
      <c r="D67" s="50" t="s">
        <v>0</v>
      </c>
      <c r="E67" s="71"/>
      <c r="F67" s="51"/>
      <c r="G67" s="51"/>
      <c r="H67" s="51"/>
      <c r="I67" s="52"/>
      <c r="J67" s="52"/>
      <c r="K67" s="53"/>
    </row>
    <row r="68" spans="1:11" ht="14.25">
      <c r="A68" s="49" t="s">
        <v>333</v>
      </c>
      <c r="B68" s="50" t="s">
        <v>166</v>
      </c>
      <c r="C68" s="50" t="s">
        <v>167</v>
      </c>
      <c r="D68" s="50" t="s">
        <v>168</v>
      </c>
      <c r="E68" s="71">
        <f>15</f>
        <v>15</v>
      </c>
      <c r="F68" s="51">
        <f>'Phan tich don gia'!G242</f>
        <v>15000</v>
      </c>
      <c r="G68" s="51">
        <f>'Phan tich don gia'!G244</f>
        <v>50440</v>
      </c>
      <c r="H68" s="51">
        <f>'Phan tich don gia'!G246</f>
        <v>40941.83</v>
      </c>
      <c r="I68" s="52">
        <f>E68*F68</f>
        <v>225000</v>
      </c>
      <c r="J68" s="52">
        <f>E68*G68</f>
        <v>756600</v>
      </c>
      <c r="K68" s="53">
        <f>E68*H68</f>
        <v>614127.4500000001</v>
      </c>
    </row>
    <row r="69" spans="1:11" ht="14.25">
      <c r="A69" s="49" t="s">
        <v>0</v>
      </c>
      <c r="B69" s="50" t="s">
        <v>0</v>
      </c>
      <c r="C69" s="50" t="s">
        <v>332</v>
      </c>
      <c r="D69" s="50" t="s">
        <v>0</v>
      </c>
      <c r="E69" s="71"/>
      <c r="F69" s="51"/>
      <c r="G69" s="51"/>
      <c r="H69" s="51"/>
      <c r="I69" s="52"/>
      <c r="J69" s="52"/>
      <c r="K69" s="53"/>
    </row>
    <row r="70" spans="1:11" ht="14.25">
      <c r="A70" s="49" t="s">
        <v>331</v>
      </c>
      <c r="B70" s="50" t="s">
        <v>171</v>
      </c>
      <c r="C70" s="50" t="s">
        <v>172</v>
      </c>
      <c r="D70" s="50" t="s">
        <v>173</v>
      </c>
      <c r="E70" s="71">
        <f>17</f>
        <v>17</v>
      </c>
      <c r="F70" s="51">
        <f>'Phan tich don gia'!G250</f>
        <v>212400</v>
      </c>
      <c r="G70" s="51">
        <f>'Phan tich don gia'!G252</f>
        <v>181207.8</v>
      </c>
      <c r="H70" s="51">
        <f>'Phan tich don gia'!G255</f>
        <v>18916.29</v>
      </c>
      <c r="I70" s="52">
        <f>E70*F70</f>
        <v>3610800</v>
      </c>
      <c r="J70" s="52">
        <f>E70*G70</f>
        <v>3080532.5999999996</v>
      </c>
      <c r="K70" s="53">
        <f>E70*H70</f>
        <v>321576.93</v>
      </c>
    </row>
    <row r="71" spans="1:11" ht="14.25">
      <c r="A71" s="49" t="s">
        <v>0</v>
      </c>
      <c r="B71" s="50" t="s">
        <v>0</v>
      </c>
      <c r="C71" s="50" t="s">
        <v>330</v>
      </c>
      <c r="D71" s="50" t="s">
        <v>0</v>
      </c>
      <c r="E71" s="71"/>
      <c r="F71" s="51"/>
      <c r="G71" s="51"/>
      <c r="H71" s="51"/>
      <c r="I71" s="52"/>
      <c r="J71" s="52"/>
      <c r="K71" s="53"/>
    </row>
    <row r="72" spans="1:11" ht="14.25" hidden="1">
      <c r="A72" s="54" t="s">
        <v>11</v>
      </c>
      <c r="B72" s="55" t="s">
        <v>0</v>
      </c>
      <c r="C72" s="55" t="s">
        <v>178</v>
      </c>
      <c r="D72" s="55" t="s">
        <v>0</v>
      </c>
      <c r="E72" s="72"/>
      <c r="F72" s="56"/>
      <c r="G72" s="56"/>
      <c r="H72" s="56"/>
      <c r="I72" s="57">
        <f>SUM(I73:I113)</f>
        <v>0</v>
      </c>
      <c r="J72" s="57">
        <f>SUM(J73:J113)</f>
        <v>89609.272</v>
      </c>
      <c r="K72" s="58">
        <f>SUM(K73:K113)</f>
        <v>367836.2813999999</v>
      </c>
    </row>
    <row r="73" spans="1:11" ht="14.25" hidden="1">
      <c r="A73" s="49" t="s">
        <v>329</v>
      </c>
      <c r="B73" s="50" t="s">
        <v>180</v>
      </c>
      <c r="C73" s="50" t="s">
        <v>181</v>
      </c>
      <c r="D73" s="50" t="s">
        <v>182</v>
      </c>
      <c r="E73" s="71">
        <f>1</f>
        <v>1</v>
      </c>
      <c r="F73" s="51"/>
      <c r="G73" s="51"/>
      <c r="H73" s="51">
        <f>'Phan tich don gia'!G260</f>
        <v>46932.9876</v>
      </c>
      <c r="I73" s="52">
        <f>E73*F73</f>
        <v>0</v>
      </c>
      <c r="J73" s="52">
        <f>E73*G73</f>
        <v>0</v>
      </c>
      <c r="K73" s="53">
        <f>E73*H73</f>
        <v>46932.9876</v>
      </c>
    </row>
    <row r="74" spans="1:11" ht="14.25" hidden="1">
      <c r="A74" s="49" t="s">
        <v>0</v>
      </c>
      <c r="B74" s="50" t="s">
        <v>0</v>
      </c>
      <c r="C74" s="50" t="s">
        <v>319</v>
      </c>
      <c r="D74" s="50" t="s">
        <v>0</v>
      </c>
      <c r="E74" s="71"/>
      <c r="F74" s="51"/>
      <c r="G74" s="51"/>
      <c r="H74" s="51"/>
      <c r="I74" s="52"/>
      <c r="J74" s="52"/>
      <c r="K74" s="53"/>
    </row>
    <row r="75" spans="1:11" ht="14.25" hidden="1">
      <c r="A75" s="49" t="s">
        <v>328</v>
      </c>
      <c r="B75" s="50" t="s">
        <v>186</v>
      </c>
      <c r="C75" s="50" t="s">
        <v>181</v>
      </c>
      <c r="D75" s="50" t="s">
        <v>182</v>
      </c>
      <c r="E75" s="71">
        <f>1</f>
        <v>1</v>
      </c>
      <c r="F75" s="51"/>
      <c r="G75" s="51"/>
      <c r="H75" s="51">
        <f>'Phan tich don gia'!G265</f>
        <v>33026.9172</v>
      </c>
      <c r="I75" s="52">
        <f>E75*F75</f>
        <v>0</v>
      </c>
      <c r="J75" s="52">
        <f>E75*G75</f>
        <v>0</v>
      </c>
      <c r="K75" s="53">
        <f>E75*H75</f>
        <v>33026.9172</v>
      </c>
    </row>
    <row r="76" spans="1:11" ht="14.25" hidden="1">
      <c r="A76" s="49" t="s">
        <v>0</v>
      </c>
      <c r="B76" s="50" t="s">
        <v>0</v>
      </c>
      <c r="C76" s="50" t="s">
        <v>317</v>
      </c>
      <c r="D76" s="50" t="s">
        <v>0</v>
      </c>
      <c r="E76" s="71"/>
      <c r="F76" s="51"/>
      <c r="G76" s="51"/>
      <c r="H76" s="51"/>
      <c r="I76" s="52"/>
      <c r="J76" s="52"/>
      <c r="K76" s="53"/>
    </row>
    <row r="77" spans="1:11" ht="14.25" hidden="1">
      <c r="A77" s="49" t="s">
        <v>327</v>
      </c>
      <c r="B77" s="50" t="s">
        <v>189</v>
      </c>
      <c r="C77" s="50" t="s">
        <v>181</v>
      </c>
      <c r="D77" s="50" t="s">
        <v>182</v>
      </c>
      <c r="E77" s="71">
        <f>1</f>
        <v>1</v>
      </c>
      <c r="F77" s="51"/>
      <c r="G77" s="51"/>
      <c r="H77" s="51">
        <f>'Phan tich don gia'!G270</f>
        <v>24335.6232</v>
      </c>
      <c r="I77" s="52">
        <f>E77*F77</f>
        <v>0</v>
      </c>
      <c r="J77" s="52">
        <f>E77*G77</f>
        <v>0</v>
      </c>
      <c r="K77" s="53">
        <f>E77*H77</f>
        <v>24335.6232</v>
      </c>
    </row>
    <row r="78" spans="1:11" ht="14.25" hidden="1">
      <c r="A78" s="49" t="s">
        <v>0</v>
      </c>
      <c r="B78" s="50" t="s">
        <v>0</v>
      </c>
      <c r="C78" s="50" t="s">
        <v>315</v>
      </c>
      <c r="D78" s="50" t="s">
        <v>0</v>
      </c>
      <c r="E78" s="71"/>
      <c r="F78" s="51"/>
      <c r="G78" s="51"/>
      <c r="H78" s="51"/>
      <c r="I78" s="52"/>
      <c r="J78" s="52"/>
      <c r="K78" s="53"/>
    </row>
    <row r="79" spans="1:11" ht="14.25" hidden="1">
      <c r="A79" s="49" t="s">
        <v>326</v>
      </c>
      <c r="B79" s="50" t="s">
        <v>192</v>
      </c>
      <c r="C79" s="50" t="s">
        <v>193</v>
      </c>
      <c r="D79" s="50" t="s">
        <v>182</v>
      </c>
      <c r="E79" s="71">
        <f>1</f>
        <v>1</v>
      </c>
      <c r="F79" s="51"/>
      <c r="G79" s="51"/>
      <c r="H79" s="51">
        <f>'Phan tich don gia'!G275</f>
        <v>59100.7992</v>
      </c>
      <c r="I79" s="52">
        <f>E79*F79</f>
        <v>0</v>
      </c>
      <c r="J79" s="52">
        <f>E79*G79</f>
        <v>0</v>
      </c>
      <c r="K79" s="53">
        <f>E79*H79</f>
        <v>59100.7992</v>
      </c>
    </row>
    <row r="80" spans="1:11" ht="14.25" hidden="1">
      <c r="A80" s="49" t="s">
        <v>0</v>
      </c>
      <c r="B80" s="50" t="s">
        <v>0</v>
      </c>
      <c r="C80" s="50" t="s">
        <v>319</v>
      </c>
      <c r="D80" s="50" t="s">
        <v>0</v>
      </c>
      <c r="E80" s="71"/>
      <c r="F80" s="51"/>
      <c r="G80" s="51"/>
      <c r="H80" s="51"/>
      <c r="I80" s="52"/>
      <c r="J80" s="52"/>
      <c r="K80" s="53"/>
    </row>
    <row r="81" spans="1:11" ht="14.25" hidden="1">
      <c r="A81" s="49" t="s">
        <v>325</v>
      </c>
      <c r="B81" s="50" t="s">
        <v>195</v>
      </c>
      <c r="C81" s="50" t="s">
        <v>193</v>
      </c>
      <c r="D81" s="50" t="s">
        <v>182</v>
      </c>
      <c r="E81" s="71">
        <f>1</f>
        <v>1</v>
      </c>
      <c r="F81" s="51"/>
      <c r="G81" s="51"/>
      <c r="H81" s="51">
        <f>'Phan tich don gia'!G280</f>
        <v>43456.47</v>
      </c>
      <c r="I81" s="52">
        <f>E81*F81</f>
        <v>0</v>
      </c>
      <c r="J81" s="52">
        <f>E81*G81</f>
        <v>0</v>
      </c>
      <c r="K81" s="53">
        <f>E81*H81</f>
        <v>43456.47</v>
      </c>
    </row>
    <row r="82" spans="1:11" ht="14.25" hidden="1">
      <c r="A82" s="49" t="s">
        <v>0</v>
      </c>
      <c r="B82" s="50" t="s">
        <v>0</v>
      </c>
      <c r="C82" s="50" t="s">
        <v>317</v>
      </c>
      <c r="D82" s="50" t="s">
        <v>0</v>
      </c>
      <c r="E82" s="71"/>
      <c r="F82" s="51"/>
      <c r="G82" s="51"/>
      <c r="H82" s="51"/>
      <c r="I82" s="52"/>
      <c r="J82" s="52"/>
      <c r="K82" s="53"/>
    </row>
    <row r="83" spans="1:11" ht="14.25" hidden="1">
      <c r="A83" s="49" t="s">
        <v>324</v>
      </c>
      <c r="B83" s="50" t="s">
        <v>197</v>
      </c>
      <c r="C83" s="50" t="s">
        <v>193</v>
      </c>
      <c r="D83" s="50" t="s">
        <v>182</v>
      </c>
      <c r="E83" s="71">
        <f>1</f>
        <v>1</v>
      </c>
      <c r="F83" s="51"/>
      <c r="G83" s="51"/>
      <c r="H83" s="51">
        <f>'Phan tich don gia'!G285</f>
        <v>31288.6584</v>
      </c>
      <c r="I83" s="52">
        <f>E83*F83</f>
        <v>0</v>
      </c>
      <c r="J83" s="52">
        <f>E83*G83</f>
        <v>0</v>
      </c>
      <c r="K83" s="53">
        <f>E83*H83</f>
        <v>31288.6584</v>
      </c>
    </row>
    <row r="84" spans="1:11" ht="14.25" hidden="1">
      <c r="A84" s="49" t="s">
        <v>0</v>
      </c>
      <c r="B84" s="50" t="s">
        <v>0</v>
      </c>
      <c r="C84" s="50" t="s">
        <v>315</v>
      </c>
      <c r="D84" s="50" t="s">
        <v>0</v>
      </c>
      <c r="E84" s="71"/>
      <c r="F84" s="51"/>
      <c r="G84" s="51"/>
      <c r="H84" s="51"/>
      <c r="I84" s="52"/>
      <c r="J84" s="52"/>
      <c r="K84" s="53"/>
    </row>
    <row r="85" spans="1:11" ht="14.25" hidden="1">
      <c r="A85" s="49" t="s">
        <v>323</v>
      </c>
      <c r="B85" s="50" t="s">
        <v>199</v>
      </c>
      <c r="C85" s="50" t="s">
        <v>200</v>
      </c>
      <c r="D85" s="50" t="s">
        <v>201</v>
      </c>
      <c r="E85" s="71">
        <f>1</f>
        <v>1</v>
      </c>
      <c r="F85" s="51"/>
      <c r="G85" s="51"/>
      <c r="H85" s="51">
        <f>'Phan tich don gia'!G290</f>
        <v>27973.3938</v>
      </c>
      <c r="I85" s="52">
        <f>E85*F85</f>
        <v>0</v>
      </c>
      <c r="J85" s="52">
        <f>E85*G85</f>
        <v>0</v>
      </c>
      <c r="K85" s="53">
        <f>E85*H85</f>
        <v>27973.3938</v>
      </c>
    </row>
    <row r="86" spans="1:11" ht="14.25" hidden="1">
      <c r="A86" s="49" t="s">
        <v>0</v>
      </c>
      <c r="B86" s="50" t="s">
        <v>0</v>
      </c>
      <c r="C86" s="50" t="s">
        <v>319</v>
      </c>
      <c r="D86" s="50" t="s">
        <v>0</v>
      </c>
      <c r="E86" s="71"/>
      <c r="F86" s="51"/>
      <c r="G86" s="51"/>
      <c r="H86" s="51"/>
      <c r="I86" s="52"/>
      <c r="J86" s="52"/>
      <c r="K86" s="53"/>
    </row>
    <row r="87" spans="1:11" ht="14.25" hidden="1">
      <c r="A87" s="49" t="s">
        <v>322</v>
      </c>
      <c r="B87" s="50" t="s">
        <v>204</v>
      </c>
      <c r="C87" s="50" t="s">
        <v>200</v>
      </c>
      <c r="D87" s="50" t="s">
        <v>201</v>
      </c>
      <c r="E87" s="71">
        <f>1</f>
        <v>1</v>
      </c>
      <c r="F87" s="51"/>
      <c r="G87" s="51"/>
      <c r="H87" s="51">
        <f>'Phan tich don gia'!G295</f>
        <v>20344.2864</v>
      </c>
      <c r="I87" s="52">
        <f>E87*F87</f>
        <v>0</v>
      </c>
      <c r="J87" s="52">
        <f>E87*G87</f>
        <v>0</v>
      </c>
      <c r="K87" s="53">
        <f>E87*H87</f>
        <v>20344.2864</v>
      </c>
    </row>
    <row r="88" spans="1:11" ht="14.25" hidden="1">
      <c r="A88" s="49" t="s">
        <v>0</v>
      </c>
      <c r="B88" s="50" t="s">
        <v>0</v>
      </c>
      <c r="C88" s="50" t="s">
        <v>317</v>
      </c>
      <c r="D88" s="50" t="s">
        <v>0</v>
      </c>
      <c r="E88" s="71"/>
      <c r="F88" s="51"/>
      <c r="G88" s="51"/>
      <c r="H88" s="51"/>
      <c r="I88" s="52"/>
      <c r="J88" s="52"/>
      <c r="K88" s="53"/>
    </row>
    <row r="89" spans="1:11" ht="14.25" hidden="1">
      <c r="A89" s="49" t="s">
        <v>321</v>
      </c>
      <c r="B89" s="50" t="s">
        <v>206</v>
      </c>
      <c r="C89" s="50" t="s">
        <v>200</v>
      </c>
      <c r="D89" s="50" t="s">
        <v>201</v>
      </c>
      <c r="E89" s="71">
        <f>1</f>
        <v>1</v>
      </c>
      <c r="F89" s="51"/>
      <c r="G89" s="51"/>
      <c r="H89" s="51">
        <f>'Phan tich don gia'!G300</f>
        <v>13986.6969</v>
      </c>
      <c r="I89" s="52">
        <f>E89*F89</f>
        <v>0</v>
      </c>
      <c r="J89" s="52">
        <f>E89*G89</f>
        <v>0</v>
      </c>
      <c r="K89" s="53">
        <f>E89*H89</f>
        <v>13986.6969</v>
      </c>
    </row>
    <row r="90" spans="1:11" ht="14.25" hidden="1">
      <c r="A90" s="49" t="s">
        <v>0</v>
      </c>
      <c r="B90" s="50" t="s">
        <v>0</v>
      </c>
      <c r="C90" s="50" t="s">
        <v>315</v>
      </c>
      <c r="D90" s="50" t="s">
        <v>0</v>
      </c>
      <c r="E90" s="71"/>
      <c r="F90" s="51"/>
      <c r="G90" s="51"/>
      <c r="H90" s="51"/>
      <c r="I90" s="52"/>
      <c r="J90" s="52"/>
      <c r="K90" s="53"/>
    </row>
    <row r="91" spans="1:11" ht="14.25" hidden="1">
      <c r="A91" s="49" t="s">
        <v>320</v>
      </c>
      <c r="B91" s="50" t="s">
        <v>208</v>
      </c>
      <c r="C91" s="50" t="s">
        <v>209</v>
      </c>
      <c r="D91" s="50" t="s">
        <v>201</v>
      </c>
      <c r="E91" s="71">
        <f>1</f>
        <v>1</v>
      </c>
      <c r="F91" s="51"/>
      <c r="G91" s="51"/>
      <c r="H91" s="51">
        <f>'Phan tich don gia'!G305</f>
        <v>30516.4296</v>
      </c>
      <c r="I91" s="52">
        <f>E91*F91</f>
        <v>0</v>
      </c>
      <c r="J91" s="52">
        <f>E91*G91</f>
        <v>0</v>
      </c>
      <c r="K91" s="53">
        <f>E91*H91</f>
        <v>30516.4296</v>
      </c>
    </row>
    <row r="92" spans="1:11" ht="14.25" hidden="1">
      <c r="A92" s="49" t="s">
        <v>0</v>
      </c>
      <c r="B92" s="50" t="s">
        <v>0</v>
      </c>
      <c r="C92" s="50" t="s">
        <v>319</v>
      </c>
      <c r="D92" s="50" t="s">
        <v>0</v>
      </c>
      <c r="E92" s="71"/>
      <c r="F92" s="51"/>
      <c r="G92" s="51"/>
      <c r="H92" s="51"/>
      <c r="I92" s="52"/>
      <c r="J92" s="52"/>
      <c r="K92" s="53"/>
    </row>
    <row r="93" spans="1:11" ht="14.25" hidden="1">
      <c r="A93" s="49" t="s">
        <v>318</v>
      </c>
      <c r="B93" s="50" t="s">
        <v>211</v>
      </c>
      <c r="C93" s="50" t="s">
        <v>209</v>
      </c>
      <c r="D93" s="50" t="s">
        <v>201</v>
      </c>
      <c r="E93" s="71">
        <f>1</f>
        <v>1</v>
      </c>
      <c r="F93" s="51"/>
      <c r="G93" s="51"/>
      <c r="H93" s="51">
        <f>'Phan tich don gia'!G310</f>
        <v>22887.3222</v>
      </c>
      <c r="I93" s="52">
        <f>E93*F93</f>
        <v>0</v>
      </c>
      <c r="J93" s="52">
        <f>E93*G93</f>
        <v>0</v>
      </c>
      <c r="K93" s="53">
        <f>E93*H93</f>
        <v>22887.3222</v>
      </c>
    </row>
    <row r="94" spans="1:11" ht="14.25" hidden="1">
      <c r="A94" s="49" t="s">
        <v>0</v>
      </c>
      <c r="B94" s="50" t="s">
        <v>0</v>
      </c>
      <c r="C94" s="50" t="s">
        <v>317</v>
      </c>
      <c r="D94" s="50" t="s">
        <v>0</v>
      </c>
      <c r="E94" s="71"/>
      <c r="F94" s="51"/>
      <c r="G94" s="51"/>
      <c r="H94" s="51"/>
      <c r="I94" s="52"/>
      <c r="J94" s="52"/>
      <c r="K94" s="53"/>
    </row>
    <row r="95" spans="1:11" ht="14.25" hidden="1">
      <c r="A95" s="49" t="s">
        <v>316</v>
      </c>
      <c r="B95" s="50" t="s">
        <v>213</v>
      </c>
      <c r="C95" s="50" t="s">
        <v>209</v>
      </c>
      <c r="D95" s="50" t="s">
        <v>201</v>
      </c>
      <c r="E95" s="71">
        <f>1</f>
        <v>1</v>
      </c>
      <c r="F95" s="51"/>
      <c r="G95" s="51"/>
      <c r="H95" s="51">
        <f>'Phan tich don gia'!G315</f>
        <v>13986.6969</v>
      </c>
      <c r="I95" s="52">
        <f>E95*F95</f>
        <v>0</v>
      </c>
      <c r="J95" s="52">
        <f>E95*G95</f>
        <v>0</v>
      </c>
      <c r="K95" s="53">
        <f>E95*H95</f>
        <v>13986.6969</v>
      </c>
    </row>
    <row r="96" spans="1:11" ht="14.25" hidden="1">
      <c r="A96" s="49" t="s">
        <v>0</v>
      </c>
      <c r="B96" s="50" t="s">
        <v>0</v>
      </c>
      <c r="C96" s="50" t="s">
        <v>315</v>
      </c>
      <c r="D96" s="50" t="s">
        <v>0</v>
      </c>
      <c r="E96" s="71"/>
      <c r="F96" s="51"/>
      <c r="G96" s="51"/>
      <c r="H96" s="51"/>
      <c r="I96" s="52"/>
      <c r="J96" s="52"/>
      <c r="K96" s="53"/>
    </row>
    <row r="97" spans="1:11" ht="14.25" hidden="1">
      <c r="A97" s="49" t="s">
        <v>314</v>
      </c>
      <c r="B97" s="50" t="s">
        <v>215</v>
      </c>
      <c r="C97" s="50" t="s">
        <v>216</v>
      </c>
      <c r="D97" s="50" t="s">
        <v>217</v>
      </c>
      <c r="E97" s="71">
        <f>1</f>
        <v>1</v>
      </c>
      <c r="F97" s="51"/>
      <c r="G97" s="51">
        <f>'Phan tich don gia'!G320</f>
        <v>24041.512</v>
      </c>
      <c r="H97" s="51"/>
      <c r="I97" s="52">
        <f>E97*F97</f>
        <v>0</v>
      </c>
      <c r="J97" s="52">
        <f>E97*G97</f>
        <v>24041.512</v>
      </c>
      <c r="K97" s="53">
        <f>E97*H97</f>
        <v>0</v>
      </c>
    </row>
    <row r="98" spans="1:11" ht="14.25" hidden="1">
      <c r="A98" s="49" t="s">
        <v>0</v>
      </c>
      <c r="B98" s="50" t="s">
        <v>0</v>
      </c>
      <c r="C98" s="50" t="s">
        <v>313</v>
      </c>
      <c r="D98" s="50" t="s">
        <v>0</v>
      </c>
      <c r="E98" s="71"/>
      <c r="F98" s="51"/>
      <c r="G98" s="51"/>
      <c r="H98" s="51"/>
      <c r="I98" s="52"/>
      <c r="J98" s="52"/>
      <c r="K98" s="53"/>
    </row>
    <row r="99" spans="1:11" ht="14.25" hidden="1">
      <c r="A99" s="49" t="s">
        <v>312</v>
      </c>
      <c r="B99" s="50" t="s">
        <v>220</v>
      </c>
      <c r="C99" s="50" t="s">
        <v>216</v>
      </c>
      <c r="D99" s="50" t="s">
        <v>38</v>
      </c>
      <c r="E99" s="71">
        <f>1</f>
        <v>1</v>
      </c>
      <c r="F99" s="51"/>
      <c r="G99" s="51">
        <f>'Phan tich don gia'!G325</f>
        <v>19670.328</v>
      </c>
      <c r="H99" s="51"/>
      <c r="I99" s="52">
        <f>E99*F99</f>
        <v>0</v>
      </c>
      <c r="J99" s="52">
        <f>E99*G99</f>
        <v>19670.328</v>
      </c>
      <c r="K99" s="53">
        <f>E99*H99</f>
        <v>0</v>
      </c>
    </row>
    <row r="100" spans="1:11" ht="14.25" hidden="1">
      <c r="A100" s="49" t="s">
        <v>0</v>
      </c>
      <c r="B100" s="50" t="s">
        <v>0</v>
      </c>
      <c r="C100" s="50" t="s">
        <v>311</v>
      </c>
      <c r="D100" s="50" t="s">
        <v>0</v>
      </c>
      <c r="E100" s="71"/>
      <c r="F100" s="51"/>
      <c r="G100" s="51"/>
      <c r="H100" s="51"/>
      <c r="I100" s="52"/>
      <c r="J100" s="52"/>
      <c r="K100" s="53"/>
    </row>
    <row r="101" spans="1:11" ht="14.25" hidden="1">
      <c r="A101" s="49" t="s">
        <v>310</v>
      </c>
      <c r="B101" s="50" t="s">
        <v>223</v>
      </c>
      <c r="C101" s="50" t="s">
        <v>216</v>
      </c>
      <c r="D101" s="50" t="s">
        <v>217</v>
      </c>
      <c r="E101" s="71">
        <f>1</f>
        <v>1</v>
      </c>
      <c r="F101" s="51"/>
      <c r="G101" s="51">
        <f>'Phan tich don gia'!G330</f>
        <v>45897.432</v>
      </c>
      <c r="H101" s="51"/>
      <c r="I101" s="52">
        <f>E101*F101</f>
        <v>0</v>
      </c>
      <c r="J101" s="52">
        <f>E101*G101</f>
        <v>45897.432</v>
      </c>
      <c r="K101" s="53">
        <f>E101*H101</f>
        <v>0</v>
      </c>
    </row>
    <row r="102" spans="1:11" ht="14.25" hidden="1">
      <c r="A102" s="49" t="s">
        <v>0</v>
      </c>
      <c r="B102" s="50" t="s">
        <v>0</v>
      </c>
      <c r="C102" s="50" t="s">
        <v>309</v>
      </c>
      <c r="D102" s="50" t="s">
        <v>0</v>
      </c>
      <c r="E102" s="71"/>
      <c r="F102" s="51"/>
      <c r="G102" s="51"/>
      <c r="H102" s="51"/>
      <c r="I102" s="52"/>
      <c r="J102" s="52"/>
      <c r="K102" s="53"/>
    </row>
    <row r="103" spans="1:11" ht="14.25" hidden="1">
      <c r="A103" s="49" t="s">
        <v>0</v>
      </c>
      <c r="B103" s="50" t="s">
        <v>0</v>
      </c>
      <c r="C103" s="50" t="s">
        <v>0</v>
      </c>
      <c r="D103" s="50" t="s">
        <v>0</v>
      </c>
      <c r="E103" s="71"/>
      <c r="F103" s="51"/>
      <c r="G103" s="51"/>
      <c r="H103" s="51"/>
      <c r="I103" s="52"/>
      <c r="J103" s="52"/>
      <c r="K103" s="53"/>
    </row>
    <row r="104" spans="1:11" ht="14.25" hidden="1">
      <c r="A104" s="49" t="s">
        <v>0</v>
      </c>
      <c r="B104" s="50" t="s">
        <v>0</v>
      </c>
      <c r="C104" s="50" t="s">
        <v>0</v>
      </c>
      <c r="D104" s="50" t="s">
        <v>0</v>
      </c>
      <c r="E104" s="71"/>
      <c r="F104" s="51"/>
      <c r="G104" s="51"/>
      <c r="H104" s="51"/>
      <c r="I104" s="52"/>
      <c r="J104" s="52"/>
      <c r="K104" s="53"/>
    </row>
    <row r="105" spans="1:11" ht="14.25" hidden="1">
      <c r="A105" s="49" t="s">
        <v>0</v>
      </c>
      <c r="B105" s="50" t="s">
        <v>0</v>
      </c>
      <c r="C105" s="50" t="s">
        <v>0</v>
      </c>
      <c r="D105" s="50" t="s">
        <v>0</v>
      </c>
      <c r="E105" s="71"/>
      <c r="F105" s="51"/>
      <c r="G105" s="51"/>
      <c r="H105" s="51"/>
      <c r="I105" s="52"/>
      <c r="J105" s="52"/>
      <c r="K105" s="53"/>
    </row>
    <row r="106" spans="1:11" ht="14.25" hidden="1">
      <c r="A106" s="49" t="s">
        <v>0</v>
      </c>
      <c r="B106" s="50" t="s">
        <v>0</v>
      </c>
      <c r="C106" s="50" t="s">
        <v>0</v>
      </c>
      <c r="D106" s="50" t="s">
        <v>0</v>
      </c>
      <c r="E106" s="71"/>
      <c r="F106" s="51"/>
      <c r="G106" s="51"/>
      <c r="H106" s="51"/>
      <c r="I106" s="52"/>
      <c r="J106" s="52"/>
      <c r="K106" s="53"/>
    </row>
    <row r="107" spans="1:11" ht="14.25" hidden="1">
      <c r="A107" s="49" t="s">
        <v>0</v>
      </c>
      <c r="B107" s="50" t="s">
        <v>0</v>
      </c>
      <c r="C107" s="50" t="s">
        <v>0</v>
      </c>
      <c r="D107" s="50" t="s">
        <v>0</v>
      </c>
      <c r="E107" s="71"/>
      <c r="F107" s="51"/>
      <c r="G107" s="51"/>
      <c r="H107" s="51"/>
      <c r="I107" s="52"/>
      <c r="J107" s="52"/>
      <c r="K107" s="53"/>
    </row>
    <row r="108" spans="1:11" ht="14.25" hidden="1">
      <c r="A108" s="49" t="s">
        <v>0</v>
      </c>
      <c r="B108" s="50" t="s">
        <v>0</v>
      </c>
      <c r="C108" s="50" t="s">
        <v>0</v>
      </c>
      <c r="D108" s="50" t="s">
        <v>0</v>
      </c>
      <c r="E108" s="71"/>
      <c r="F108" s="51"/>
      <c r="G108" s="51"/>
      <c r="H108" s="51"/>
      <c r="I108" s="52"/>
      <c r="J108" s="52"/>
      <c r="K108" s="53"/>
    </row>
    <row r="109" spans="1:11" ht="14.25" hidden="1">
      <c r="A109" s="49" t="s">
        <v>0</v>
      </c>
      <c r="B109" s="50" t="s">
        <v>0</v>
      </c>
      <c r="C109" s="50" t="s">
        <v>0</v>
      </c>
      <c r="D109" s="50" t="s">
        <v>0</v>
      </c>
      <c r="E109" s="71"/>
      <c r="F109" s="51"/>
      <c r="G109" s="51"/>
      <c r="H109" s="51"/>
      <c r="I109" s="52"/>
      <c r="J109" s="52"/>
      <c r="K109" s="53"/>
    </row>
    <row r="110" spans="1:11" ht="14.25" hidden="1">
      <c r="A110" s="49" t="s">
        <v>0</v>
      </c>
      <c r="B110" s="50" t="s">
        <v>0</v>
      </c>
      <c r="C110" s="50" t="s">
        <v>0</v>
      </c>
      <c r="D110" s="50" t="s">
        <v>0</v>
      </c>
      <c r="E110" s="71"/>
      <c r="F110" s="51"/>
      <c r="G110" s="51"/>
      <c r="H110" s="51"/>
      <c r="I110" s="52"/>
      <c r="J110" s="52"/>
      <c r="K110" s="53"/>
    </row>
    <row r="111" spans="1:11" ht="14.25" hidden="1">
      <c r="A111" s="49" t="s">
        <v>0</v>
      </c>
      <c r="B111" s="50" t="s">
        <v>0</v>
      </c>
      <c r="C111" s="50" t="s">
        <v>0</v>
      </c>
      <c r="D111" s="50" t="s">
        <v>0</v>
      </c>
      <c r="E111" s="71"/>
      <c r="F111" s="51"/>
      <c r="G111" s="51"/>
      <c r="H111" s="51"/>
      <c r="I111" s="52"/>
      <c r="J111" s="52"/>
      <c r="K111" s="53"/>
    </row>
    <row r="112" spans="1:11" ht="14.25" hidden="1">
      <c r="A112" s="49" t="s">
        <v>0</v>
      </c>
      <c r="B112" s="50" t="s">
        <v>0</v>
      </c>
      <c r="C112" s="50" t="s">
        <v>0</v>
      </c>
      <c r="D112" s="50" t="s">
        <v>0</v>
      </c>
      <c r="E112" s="71"/>
      <c r="F112" s="51"/>
      <c r="G112" s="51"/>
      <c r="H112" s="51"/>
      <c r="I112" s="52"/>
      <c r="J112" s="52"/>
      <c r="K112" s="53"/>
    </row>
    <row r="113" spans="1:11" ht="15" thickBot="1">
      <c r="A113" s="59" t="s">
        <v>0</v>
      </c>
      <c r="B113" s="60" t="s">
        <v>0</v>
      </c>
      <c r="C113" s="60" t="s">
        <v>0</v>
      </c>
      <c r="D113" s="60" t="s">
        <v>0</v>
      </c>
      <c r="E113" s="73"/>
      <c r="F113" s="61"/>
      <c r="G113" s="61"/>
      <c r="H113" s="61"/>
      <c r="I113" s="62"/>
      <c r="J113" s="62"/>
      <c r="K113" s="63"/>
    </row>
  </sheetData>
  <sheetProtection/>
  <mergeCells count="11">
    <mergeCell ref="B7:B8"/>
    <mergeCell ref="C7:C8"/>
    <mergeCell ref="D7:D8"/>
    <mergeCell ref="E7:E8"/>
    <mergeCell ref="F7:H7"/>
    <mergeCell ref="I7:K7"/>
    <mergeCell ref="A1:K1"/>
    <mergeCell ref="A3:K3"/>
    <mergeCell ref="A4:K4"/>
    <mergeCell ref="A5:K5"/>
    <mergeCell ref="A7:A8"/>
  </mergeCells>
  <printOptions horizontalCentered="1"/>
  <pageMargins left="0.4" right="0.3" top="0.3" bottom="0.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9"/>
  <sheetViews>
    <sheetView showZeros="0" zoomScalePageLayoutView="0" workbookViewId="0" topLeftCell="A325">
      <selection activeCell="D347" sqref="D347"/>
    </sheetView>
  </sheetViews>
  <sheetFormatPr defaultColWidth="8.796875" defaultRowHeight="15"/>
  <cols>
    <col min="1" max="1" width="3.59765625" style="6" customWidth="1"/>
    <col min="2" max="2" width="8.59765625" style="6" customWidth="1"/>
    <col min="3" max="3" width="38.19921875" style="6" customWidth="1"/>
    <col min="4" max="4" width="5.19921875" style="6" customWidth="1"/>
    <col min="5" max="5" width="10.09765625" style="78" customWidth="1"/>
    <col min="6" max="6" width="11.8984375" style="79" bestFit="1" customWidth="1"/>
    <col min="7" max="7" width="12.5" style="79" customWidth="1"/>
    <col min="8" max="16384" width="9" style="6" customWidth="1"/>
  </cols>
  <sheetData>
    <row r="1" spans="1:7" ht="21">
      <c r="A1" s="245" t="s">
        <v>513</v>
      </c>
      <c r="B1" s="245"/>
      <c r="C1" s="245"/>
      <c r="D1" s="245"/>
      <c r="E1" s="245"/>
      <c r="F1" s="245"/>
      <c r="G1" s="245"/>
    </row>
    <row r="2" spans="1:7" ht="15.75">
      <c r="A2" s="2"/>
      <c r="B2" s="2"/>
      <c r="C2" s="2"/>
      <c r="D2" s="2"/>
      <c r="E2" s="92"/>
      <c r="F2" s="1"/>
      <c r="G2" s="1"/>
    </row>
    <row r="3" spans="1:7" s="39" customFormat="1" ht="16.5">
      <c r="A3" s="244" t="s">
        <v>493</v>
      </c>
      <c r="B3" s="244"/>
      <c r="C3" s="244"/>
      <c r="D3" s="244"/>
      <c r="E3" s="244"/>
      <c r="F3" s="244"/>
      <c r="G3" s="244"/>
    </row>
    <row r="4" spans="1:7" s="39" customFormat="1" ht="16.5">
      <c r="A4" s="244" t="s">
        <v>494</v>
      </c>
      <c r="B4" s="244"/>
      <c r="C4" s="244"/>
      <c r="D4" s="244"/>
      <c r="E4" s="244"/>
      <c r="F4" s="244"/>
      <c r="G4" s="244"/>
    </row>
    <row r="5" spans="1:7" s="39" customFormat="1" ht="16.5">
      <c r="A5" s="244"/>
      <c r="B5" s="244"/>
      <c r="C5" s="244"/>
      <c r="D5" s="244"/>
      <c r="E5" s="244"/>
      <c r="F5" s="244"/>
      <c r="G5" s="244"/>
    </row>
    <row r="6" spans="1:7" ht="16.5" thickBot="1">
      <c r="A6" s="2"/>
      <c r="B6" s="2"/>
      <c r="C6" s="2"/>
      <c r="D6" s="2"/>
      <c r="E6" s="92"/>
      <c r="F6" s="1"/>
      <c r="G6" s="1"/>
    </row>
    <row r="7" spans="1:7" ht="45" customHeight="1">
      <c r="A7" s="34" t="s">
        <v>284</v>
      </c>
      <c r="B7" s="36" t="s">
        <v>514</v>
      </c>
      <c r="C7" s="35" t="s">
        <v>506</v>
      </c>
      <c r="D7" s="36" t="s">
        <v>515</v>
      </c>
      <c r="E7" s="93" t="s">
        <v>516</v>
      </c>
      <c r="F7" s="94" t="s">
        <v>504</v>
      </c>
      <c r="G7" s="95" t="s">
        <v>502</v>
      </c>
    </row>
    <row r="8" spans="1:7" ht="15">
      <c r="A8" s="87" t="s">
        <v>2</v>
      </c>
      <c r="B8" s="88" t="s">
        <v>3</v>
      </c>
      <c r="C8" s="88" t="s">
        <v>4</v>
      </c>
      <c r="D8" s="88" t="s">
        <v>5</v>
      </c>
      <c r="E8" s="89"/>
      <c r="F8" s="90"/>
      <c r="G8" s="91"/>
    </row>
    <row r="9" spans="1:7" ht="15">
      <c r="A9" s="12" t="s">
        <v>0</v>
      </c>
      <c r="B9" s="13" t="s">
        <v>0</v>
      </c>
      <c r="C9" s="13" t="s">
        <v>6</v>
      </c>
      <c r="D9" s="13" t="s">
        <v>0</v>
      </c>
      <c r="E9" s="80"/>
      <c r="F9" s="81"/>
      <c r="G9" s="82"/>
    </row>
    <row r="10" spans="1:7" ht="15.75">
      <c r="A10" s="12" t="s">
        <v>0</v>
      </c>
      <c r="B10" s="13" t="s">
        <v>0</v>
      </c>
      <c r="C10" s="13" t="s">
        <v>381</v>
      </c>
      <c r="D10" s="13" t="s">
        <v>0</v>
      </c>
      <c r="E10" s="80"/>
      <c r="F10" s="81"/>
      <c r="G10" s="83">
        <f>ROUND(SUM(G11:G11),5)</f>
        <v>10075.57912</v>
      </c>
    </row>
    <row r="11" spans="1:7" ht="15">
      <c r="A11" s="12" t="s">
        <v>0</v>
      </c>
      <c r="B11" s="13" t="s">
        <v>0</v>
      </c>
      <c r="C11" s="13" t="s">
        <v>7</v>
      </c>
      <c r="D11" s="13" t="s">
        <v>8</v>
      </c>
      <c r="E11" s="80">
        <f>0.0461</f>
        <v>0.0461</v>
      </c>
      <c r="F11" s="81">
        <f>'Gia NC,CM'!P9</f>
        <v>218559.2</v>
      </c>
      <c r="G11" s="82">
        <f>ROUND(E11*F11,5)</f>
        <v>10075.57912</v>
      </c>
    </row>
    <row r="12" spans="1:7" ht="15.75">
      <c r="A12" s="12" t="s">
        <v>0</v>
      </c>
      <c r="B12" s="13" t="s">
        <v>0</v>
      </c>
      <c r="C12" s="13" t="s">
        <v>382</v>
      </c>
      <c r="D12" s="13" t="s">
        <v>0</v>
      </c>
      <c r="E12" s="80"/>
      <c r="F12" s="81"/>
      <c r="G12" s="83">
        <f>ROUND(SUM(G13:G16),5)</f>
        <v>16022.14134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80">
        <f>0.00897</f>
        <v>0.00897</v>
      </c>
      <c r="F13" s="81">
        <f>'Gia NC,CM'!P22</f>
        <v>1786191.9</v>
      </c>
      <c r="G13" s="82">
        <f>ROUND(E13*F13,5)</f>
        <v>16022.14134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80"/>
      <c r="F14" s="81"/>
      <c r="G14" s="82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80"/>
      <c r="F15" s="81"/>
      <c r="G15" s="82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80"/>
      <c r="F16" s="81"/>
      <c r="G16" s="82"/>
    </row>
    <row r="17" spans="1:7" ht="15.75">
      <c r="A17" s="12" t="s">
        <v>0</v>
      </c>
      <c r="B17" s="13" t="s">
        <v>0</v>
      </c>
      <c r="C17" s="13" t="s">
        <v>381</v>
      </c>
      <c r="D17" s="13" t="s">
        <v>0</v>
      </c>
      <c r="E17" s="80"/>
      <c r="F17" s="81"/>
      <c r="G17" s="83">
        <f>ROUND(SUM(G18:G20),5)</f>
        <v>354065.904</v>
      </c>
    </row>
    <row r="18" spans="1:7" ht="15">
      <c r="A18" s="12" t="s">
        <v>0</v>
      </c>
      <c r="B18" s="13" t="s">
        <v>0</v>
      </c>
      <c r="C18" s="13" t="s">
        <v>7</v>
      </c>
      <c r="D18" s="13" t="s">
        <v>8</v>
      </c>
      <c r="E18" s="80">
        <f>1.62</f>
        <v>1.62</v>
      </c>
      <c r="F18" s="81">
        <f>'Gia NC,CM'!P9</f>
        <v>218559.2</v>
      </c>
      <c r="G18" s="82">
        <f>ROUND(E18*F18,5)</f>
        <v>354065.904</v>
      </c>
    </row>
    <row r="19" spans="1:7" ht="15">
      <c r="A19" s="12" t="s">
        <v>0</v>
      </c>
      <c r="B19" s="13" t="s">
        <v>0</v>
      </c>
      <c r="C19" s="13" t="s">
        <v>0</v>
      </c>
      <c r="D19" s="13" t="s">
        <v>0</v>
      </c>
      <c r="E19" s="80"/>
      <c r="F19" s="81"/>
      <c r="G19" s="82"/>
    </row>
    <row r="20" spans="1:7" ht="15">
      <c r="A20" s="12" t="s">
        <v>14</v>
      </c>
      <c r="B20" s="13" t="s">
        <v>15</v>
      </c>
      <c r="C20" s="13" t="s">
        <v>16</v>
      </c>
      <c r="D20" s="13" t="s">
        <v>17</v>
      </c>
      <c r="E20" s="80"/>
      <c r="F20" s="81"/>
      <c r="G20" s="82"/>
    </row>
    <row r="21" spans="1:7" ht="15.75">
      <c r="A21" s="12" t="s">
        <v>0</v>
      </c>
      <c r="B21" s="13" t="s">
        <v>0</v>
      </c>
      <c r="C21" s="13" t="s">
        <v>385</v>
      </c>
      <c r="D21" s="13" t="s">
        <v>0</v>
      </c>
      <c r="E21" s="80"/>
      <c r="F21" s="81"/>
      <c r="G21" s="83">
        <f>ROUND(SUM(G22:G24),5)</f>
        <v>753900</v>
      </c>
    </row>
    <row r="22" spans="1:7" ht="15">
      <c r="A22" s="12" t="s">
        <v>0</v>
      </c>
      <c r="B22" s="13" t="s">
        <v>0</v>
      </c>
      <c r="C22" s="13" t="s">
        <v>18</v>
      </c>
      <c r="D22" s="13" t="s">
        <v>17</v>
      </c>
      <c r="E22" s="80">
        <f>1</f>
        <v>1</v>
      </c>
      <c r="F22" s="81">
        <f>'Gia VL'!Q38</f>
        <v>753900</v>
      </c>
      <c r="G22" s="82">
        <f>ROUND(E22*F22,5)</f>
        <v>753900</v>
      </c>
    </row>
    <row r="23" spans="1:7" ht="15">
      <c r="A23" s="12" t="s">
        <v>0</v>
      </c>
      <c r="B23" s="13" t="s">
        <v>0</v>
      </c>
      <c r="C23" s="13" t="s">
        <v>0</v>
      </c>
      <c r="D23" s="13" t="s">
        <v>0</v>
      </c>
      <c r="E23" s="80"/>
      <c r="F23" s="81"/>
      <c r="G23" s="82"/>
    </row>
    <row r="24" spans="1:7" ht="15">
      <c r="A24" s="12" t="s">
        <v>19</v>
      </c>
      <c r="B24" s="13" t="s">
        <v>20</v>
      </c>
      <c r="C24" s="13" t="s">
        <v>21</v>
      </c>
      <c r="D24" s="13" t="s">
        <v>17</v>
      </c>
      <c r="E24" s="80"/>
      <c r="F24" s="81"/>
      <c r="G24" s="82"/>
    </row>
    <row r="25" spans="1:7" ht="15.75">
      <c r="A25" s="12" t="s">
        <v>0</v>
      </c>
      <c r="B25" s="13" t="s">
        <v>0</v>
      </c>
      <c r="C25" s="13" t="s">
        <v>385</v>
      </c>
      <c r="D25" s="13" t="s">
        <v>0</v>
      </c>
      <c r="E25" s="80"/>
      <c r="F25" s="81"/>
      <c r="G25" s="83">
        <f>ROUND(SUM(G26:G29),5)</f>
        <v>2412127.2</v>
      </c>
    </row>
    <row r="26" spans="1:7" ht="15">
      <c r="A26" s="12" t="s">
        <v>0</v>
      </c>
      <c r="B26" s="13" t="s">
        <v>0</v>
      </c>
      <c r="C26" s="13" t="s">
        <v>18</v>
      </c>
      <c r="D26" s="13" t="s">
        <v>17</v>
      </c>
      <c r="E26" s="80">
        <f>1</f>
        <v>1</v>
      </c>
      <c r="F26" s="81">
        <f>'Gia VL'!Q38</f>
        <v>753900</v>
      </c>
      <c r="G26" s="82">
        <f>ROUND(E26*F26,5)</f>
        <v>753900</v>
      </c>
    </row>
    <row r="27" spans="1:7" ht="15">
      <c r="A27" s="12" t="s">
        <v>0</v>
      </c>
      <c r="B27" s="13" t="s">
        <v>0</v>
      </c>
      <c r="C27" s="13" t="s">
        <v>22</v>
      </c>
      <c r="D27" s="13" t="s">
        <v>23</v>
      </c>
      <c r="E27" s="80">
        <f>39.8</f>
        <v>39.8</v>
      </c>
      <c r="F27" s="81">
        <f>ROUND('Gia VL'!Q58/1000,5)</f>
        <v>41664</v>
      </c>
      <c r="G27" s="82">
        <f>ROUND(E27*F27,5)</f>
        <v>1658227.2</v>
      </c>
    </row>
    <row r="28" spans="1:7" ht="15">
      <c r="A28" s="12" t="s">
        <v>0</v>
      </c>
      <c r="B28" s="13" t="s">
        <v>0</v>
      </c>
      <c r="C28" s="13" t="s">
        <v>0</v>
      </c>
      <c r="D28" s="13" t="s">
        <v>0</v>
      </c>
      <c r="E28" s="80"/>
      <c r="F28" s="81"/>
      <c r="G28" s="82"/>
    </row>
    <row r="29" spans="1:7" ht="15">
      <c r="A29" s="12" t="s">
        <v>24</v>
      </c>
      <c r="B29" s="13" t="s">
        <v>25</v>
      </c>
      <c r="C29" s="13" t="s">
        <v>26</v>
      </c>
      <c r="D29" s="13" t="s">
        <v>27</v>
      </c>
      <c r="E29" s="80"/>
      <c r="F29" s="81"/>
      <c r="G29" s="82"/>
    </row>
    <row r="30" spans="1:7" ht="15.75">
      <c r="A30" s="12" t="s">
        <v>0</v>
      </c>
      <c r="B30" s="13" t="s">
        <v>0</v>
      </c>
      <c r="C30" s="13" t="s">
        <v>385</v>
      </c>
      <c r="D30" s="13" t="s">
        <v>0</v>
      </c>
      <c r="E30" s="80"/>
      <c r="F30" s="81"/>
      <c r="G30" s="83">
        <f>ROUND(SUM(G31:G32),5)</f>
        <v>31380.3</v>
      </c>
    </row>
    <row r="31" spans="1:7" ht="15">
      <c r="A31" s="12" t="s">
        <v>0</v>
      </c>
      <c r="B31" s="13" t="s">
        <v>0</v>
      </c>
      <c r="C31" s="13" t="s">
        <v>28</v>
      </c>
      <c r="D31" s="13" t="s">
        <v>29</v>
      </c>
      <c r="E31" s="80">
        <f>1.02</f>
        <v>1.02</v>
      </c>
      <c r="F31" s="81">
        <f>'Gia VL'!Q60</f>
        <v>29300</v>
      </c>
      <c r="G31" s="82">
        <f>ROUND(E31*F31,5)</f>
        <v>29886</v>
      </c>
    </row>
    <row r="32" spans="1:7" ht="15">
      <c r="A32" s="12" t="s">
        <v>0</v>
      </c>
      <c r="B32" s="13" t="s">
        <v>0</v>
      </c>
      <c r="C32" s="13" t="s">
        <v>388</v>
      </c>
      <c r="D32" s="13" t="s">
        <v>387</v>
      </c>
      <c r="E32" s="80">
        <f>5</f>
        <v>5</v>
      </c>
      <c r="F32" s="81"/>
      <c r="G32" s="82">
        <f>ROUND(SUM(G31:G31)*E32/100,5)</f>
        <v>1494.3</v>
      </c>
    </row>
    <row r="33" spans="1:7" ht="15.75">
      <c r="A33" s="12" t="s">
        <v>0</v>
      </c>
      <c r="B33" s="13" t="s">
        <v>0</v>
      </c>
      <c r="C33" s="13" t="s">
        <v>384</v>
      </c>
      <c r="D33" s="13" t="s">
        <v>0</v>
      </c>
      <c r="E33" s="80"/>
      <c r="F33" s="81"/>
      <c r="G33" s="83">
        <f>ROUND(SUM(G34:G34),5)</f>
        <v>13618.8</v>
      </c>
    </row>
    <row r="34" spans="1:7" ht="15">
      <c r="A34" s="12" t="s">
        <v>0</v>
      </c>
      <c r="B34" s="13" t="s">
        <v>0</v>
      </c>
      <c r="C34" s="13" t="s">
        <v>30</v>
      </c>
      <c r="D34" s="13" t="s">
        <v>8</v>
      </c>
      <c r="E34" s="80">
        <f>0.054</f>
        <v>0.054</v>
      </c>
      <c r="F34" s="81">
        <f>'Gia NC,CM'!P11</f>
        <v>252200</v>
      </c>
      <c r="G34" s="82">
        <f>ROUND(E34*F34,5)</f>
        <v>13618.8</v>
      </c>
    </row>
    <row r="35" spans="1:7" ht="15.75">
      <c r="A35" s="12" t="s">
        <v>0</v>
      </c>
      <c r="B35" s="13" t="s">
        <v>0</v>
      </c>
      <c r="C35" s="13" t="s">
        <v>383</v>
      </c>
      <c r="D35" s="13" t="s">
        <v>0</v>
      </c>
      <c r="E35" s="80"/>
      <c r="F35" s="81"/>
      <c r="G35" s="83">
        <f>ROUND(SUM(G36:G39),5)</f>
        <v>255.7123</v>
      </c>
    </row>
    <row r="36" spans="1:7" ht="15">
      <c r="A36" s="12" t="s">
        <v>0</v>
      </c>
      <c r="B36" s="13" t="s">
        <v>0</v>
      </c>
      <c r="C36" s="13" t="s">
        <v>31</v>
      </c>
      <c r="D36" s="13" t="s">
        <v>10</v>
      </c>
      <c r="E36" s="80">
        <f>0.017</f>
        <v>0.017</v>
      </c>
      <c r="F36" s="81">
        <f>'Gia NC,CM'!P18</f>
        <v>15041.9</v>
      </c>
      <c r="G36" s="82">
        <f>ROUND(E36*F36,5)</f>
        <v>255.7123</v>
      </c>
    </row>
    <row r="37" spans="1:7" ht="15">
      <c r="A37" s="12" t="s">
        <v>0</v>
      </c>
      <c r="B37" s="13" t="s">
        <v>0</v>
      </c>
      <c r="C37" s="13" t="s">
        <v>0</v>
      </c>
      <c r="D37" s="13" t="s">
        <v>0</v>
      </c>
      <c r="E37" s="80"/>
      <c r="F37" s="81"/>
      <c r="G37" s="82"/>
    </row>
    <row r="38" spans="1:7" ht="15">
      <c r="A38" s="12" t="s">
        <v>32</v>
      </c>
      <c r="B38" s="13" t="s">
        <v>33</v>
      </c>
      <c r="C38" s="13" t="s">
        <v>34</v>
      </c>
      <c r="D38" s="13" t="s">
        <v>5</v>
      </c>
      <c r="E38" s="80"/>
      <c r="F38" s="81"/>
      <c r="G38" s="82"/>
    </row>
    <row r="39" spans="1:7" ht="15">
      <c r="A39" s="12" t="s">
        <v>0</v>
      </c>
      <c r="B39" s="13" t="s">
        <v>0</v>
      </c>
      <c r="C39" s="13" t="s">
        <v>35</v>
      </c>
      <c r="D39" s="13" t="s">
        <v>0</v>
      </c>
      <c r="E39" s="80"/>
      <c r="F39" s="81"/>
      <c r="G39" s="82"/>
    </row>
    <row r="40" spans="1:7" ht="15.75">
      <c r="A40" s="12" t="s">
        <v>0</v>
      </c>
      <c r="B40" s="13" t="s">
        <v>0</v>
      </c>
      <c r="C40" s="13" t="s">
        <v>386</v>
      </c>
      <c r="D40" s="13" t="s">
        <v>0</v>
      </c>
      <c r="E40" s="80"/>
      <c r="F40" s="81"/>
      <c r="G40" s="83">
        <f>ROUND(SUM(G41:G45),5)</f>
        <v>857997.29795</v>
      </c>
    </row>
    <row r="41" spans="1:7" ht="15">
      <c r="A41" s="12" t="s">
        <v>0</v>
      </c>
      <c r="B41" s="13" t="s">
        <v>0</v>
      </c>
      <c r="C41" s="13" t="s">
        <v>36</v>
      </c>
      <c r="D41" s="13" t="s">
        <v>23</v>
      </c>
      <c r="E41" s="80">
        <f>1.025*205</f>
        <v>210.12499999999997</v>
      </c>
      <c r="F41" s="81">
        <f>ROUND('Gia VL'!Q46/1000,5)</f>
        <v>1701.3145</v>
      </c>
      <c r="G41" s="82">
        <f>ROUND(E41*F41,5)</f>
        <v>357488.70931</v>
      </c>
    </row>
    <row r="42" spans="1:7" ht="15">
      <c r="A42" s="12" t="s">
        <v>0</v>
      </c>
      <c r="B42" s="13" t="s">
        <v>0</v>
      </c>
      <c r="C42" s="13" t="s">
        <v>37</v>
      </c>
      <c r="D42" s="13" t="s">
        <v>38</v>
      </c>
      <c r="E42" s="80">
        <f>1.025*0.549</f>
        <v>0.562725</v>
      </c>
      <c r="F42" s="81">
        <f>'Gia VL'!Q23</f>
        <v>330963.4</v>
      </c>
      <c r="G42" s="82">
        <f>ROUND(E42*F42,5)</f>
        <v>186241.37927</v>
      </c>
    </row>
    <row r="43" spans="1:7" ht="15">
      <c r="A43" s="12" t="s">
        <v>0</v>
      </c>
      <c r="B43" s="13" t="s">
        <v>0</v>
      </c>
      <c r="C43" s="13" t="s">
        <v>39</v>
      </c>
      <c r="D43" s="13" t="s">
        <v>38</v>
      </c>
      <c r="E43" s="80">
        <f>1.025*0.89</f>
        <v>0.9122499999999999</v>
      </c>
      <c r="F43" s="81">
        <f>'Gia VL'!Q51</f>
        <v>333339.9</v>
      </c>
      <c r="G43" s="82">
        <f>ROUND(E43*F43,5)</f>
        <v>304089.32378</v>
      </c>
    </row>
    <row r="44" spans="1:7" ht="15">
      <c r="A44" s="12" t="s">
        <v>0</v>
      </c>
      <c r="B44" s="13" t="s">
        <v>0</v>
      </c>
      <c r="C44" s="13" t="s">
        <v>40</v>
      </c>
      <c r="D44" s="13" t="s">
        <v>38</v>
      </c>
      <c r="E44" s="80">
        <f>1.025*0.172</f>
        <v>0.17629999999999996</v>
      </c>
      <c r="F44" s="81">
        <f>'Gia VL'!Q41</f>
        <v>9545.45</v>
      </c>
      <c r="G44" s="82">
        <f>ROUND(E44*F44,5)</f>
        <v>1682.86284</v>
      </c>
    </row>
    <row r="45" spans="1:7" ht="15">
      <c r="A45" s="12" t="s">
        <v>0</v>
      </c>
      <c r="B45" s="13" t="s">
        <v>0</v>
      </c>
      <c r="C45" s="13" t="s">
        <v>388</v>
      </c>
      <c r="D45" s="13" t="s">
        <v>387</v>
      </c>
      <c r="E45" s="80">
        <f>1</f>
        <v>1</v>
      </c>
      <c r="F45" s="81"/>
      <c r="G45" s="82">
        <f>ROUND(SUM(G41:G44)*E45/100,5)</f>
        <v>8495.02275</v>
      </c>
    </row>
    <row r="46" spans="1:7" ht="15.75">
      <c r="A46" s="12" t="s">
        <v>0</v>
      </c>
      <c r="B46" s="13" t="s">
        <v>0</v>
      </c>
      <c r="C46" s="13" t="s">
        <v>381</v>
      </c>
      <c r="D46" s="13" t="s">
        <v>0</v>
      </c>
      <c r="E46" s="80"/>
      <c r="F46" s="81"/>
      <c r="G46" s="83">
        <f>ROUND(SUM(G47:G47),5)</f>
        <v>283675.269</v>
      </c>
    </row>
    <row r="47" spans="1:7" ht="15">
      <c r="A47" s="12" t="s">
        <v>0</v>
      </c>
      <c r="B47" s="13" t="s">
        <v>0</v>
      </c>
      <c r="C47" s="13" t="s">
        <v>41</v>
      </c>
      <c r="D47" s="13" t="s">
        <v>8</v>
      </c>
      <c r="E47" s="80">
        <f>1.23</f>
        <v>1.23</v>
      </c>
      <c r="F47" s="81">
        <f>'Gia NC,CM'!P10</f>
        <v>230630.3</v>
      </c>
      <c r="G47" s="82">
        <f>ROUND(E47*F47,5)</f>
        <v>283675.269</v>
      </c>
    </row>
    <row r="48" spans="1:7" ht="15.75">
      <c r="A48" s="12" t="s">
        <v>0</v>
      </c>
      <c r="B48" s="13" t="s">
        <v>0</v>
      </c>
      <c r="C48" s="13" t="s">
        <v>382</v>
      </c>
      <c r="D48" s="13" t="s">
        <v>0</v>
      </c>
      <c r="E48" s="80"/>
      <c r="F48" s="81"/>
      <c r="G48" s="83">
        <f>ROUND(SUM(G49:G52),5)</f>
        <v>54756.7503</v>
      </c>
    </row>
    <row r="49" spans="1:7" ht="15">
      <c r="A49" s="12" t="s">
        <v>0</v>
      </c>
      <c r="B49" s="13" t="s">
        <v>0</v>
      </c>
      <c r="C49" s="13" t="s">
        <v>42</v>
      </c>
      <c r="D49" s="13" t="s">
        <v>10</v>
      </c>
      <c r="E49" s="80">
        <f>0.095</f>
        <v>0.095</v>
      </c>
      <c r="F49" s="81">
        <f>'Gia NC,CM'!P20</f>
        <v>318885.3</v>
      </c>
      <c r="G49" s="82">
        <f>ROUND(E49*F49,5)</f>
        <v>30294.1035</v>
      </c>
    </row>
    <row r="50" spans="1:7" ht="15">
      <c r="A50" s="12" t="s">
        <v>0</v>
      </c>
      <c r="B50" s="13" t="s">
        <v>0</v>
      </c>
      <c r="C50" s="13" t="s">
        <v>43</v>
      </c>
      <c r="D50" s="13" t="s">
        <v>10</v>
      </c>
      <c r="E50" s="80">
        <f>0.089</f>
        <v>0.089</v>
      </c>
      <c r="F50" s="81">
        <f>'Gia NC,CM'!P24</f>
        <v>274861.2</v>
      </c>
      <c r="G50" s="82">
        <f>ROUND(E50*F50,5)</f>
        <v>24462.6468</v>
      </c>
    </row>
    <row r="51" spans="1:7" ht="15">
      <c r="A51" s="12" t="s">
        <v>0</v>
      </c>
      <c r="B51" s="13" t="s">
        <v>0</v>
      </c>
      <c r="C51" s="13" t="s">
        <v>0</v>
      </c>
      <c r="D51" s="13" t="s">
        <v>0</v>
      </c>
      <c r="E51" s="80"/>
      <c r="F51" s="81"/>
      <c r="G51" s="82"/>
    </row>
    <row r="52" spans="1:7" ht="15">
      <c r="A52" s="12" t="s">
        <v>44</v>
      </c>
      <c r="B52" s="13" t="s">
        <v>45</v>
      </c>
      <c r="C52" s="13" t="s">
        <v>46</v>
      </c>
      <c r="D52" s="13" t="s">
        <v>47</v>
      </c>
      <c r="E52" s="80"/>
      <c r="F52" s="81"/>
      <c r="G52" s="82"/>
    </row>
    <row r="53" spans="1:7" ht="15.75">
      <c r="A53" s="12" t="s">
        <v>0</v>
      </c>
      <c r="B53" s="13" t="s">
        <v>0</v>
      </c>
      <c r="C53" s="13" t="s">
        <v>386</v>
      </c>
      <c r="D53" s="13" t="s">
        <v>0</v>
      </c>
      <c r="E53" s="80"/>
      <c r="F53" s="81"/>
      <c r="G53" s="83">
        <f>ROUND(SUM(G54:G58),5)</f>
        <v>57802.07044</v>
      </c>
    </row>
    <row r="54" spans="1:7" ht="15">
      <c r="A54" s="12" t="s">
        <v>0</v>
      </c>
      <c r="B54" s="13" t="s">
        <v>0</v>
      </c>
      <c r="C54" s="13" t="s">
        <v>48</v>
      </c>
      <c r="D54" s="13" t="s">
        <v>38</v>
      </c>
      <c r="E54" s="80">
        <f>0.00794</f>
        <v>0.00794</v>
      </c>
      <c r="F54" s="81">
        <f>'Gia VL'!Q36</f>
        <v>4090909.09</v>
      </c>
      <c r="G54" s="82">
        <f>ROUND(E54*F54,5)</f>
        <v>32481.81817</v>
      </c>
    </row>
    <row r="55" spans="1:7" ht="15">
      <c r="A55" s="12" t="s">
        <v>0</v>
      </c>
      <c r="B55" s="13" t="s">
        <v>0</v>
      </c>
      <c r="C55" s="13" t="s">
        <v>49</v>
      </c>
      <c r="D55" s="13" t="s">
        <v>38</v>
      </c>
      <c r="E55" s="80">
        <f>0.0021</f>
        <v>0.0021</v>
      </c>
      <c r="F55" s="81">
        <f>'Gia VL'!Q37</f>
        <v>4090909.09</v>
      </c>
      <c r="G55" s="82">
        <f>ROUND(E55*F55,5)</f>
        <v>8590.90909</v>
      </c>
    </row>
    <row r="56" spans="1:7" ht="15">
      <c r="A56" s="12" t="s">
        <v>0</v>
      </c>
      <c r="B56" s="13" t="s">
        <v>0</v>
      </c>
      <c r="C56" s="13" t="s">
        <v>50</v>
      </c>
      <c r="D56" s="13" t="s">
        <v>38</v>
      </c>
      <c r="E56" s="80">
        <f>0.00335</f>
        <v>0.00335</v>
      </c>
      <c r="F56" s="81">
        <f>'Gia VL'!Q35</f>
        <v>4090909.09</v>
      </c>
      <c r="G56" s="82">
        <f>ROUND(E56*F56,5)</f>
        <v>13704.54545</v>
      </c>
    </row>
    <row r="57" spans="1:7" ht="15">
      <c r="A57" s="12" t="s">
        <v>0</v>
      </c>
      <c r="B57" s="13" t="s">
        <v>0</v>
      </c>
      <c r="C57" s="13" t="s">
        <v>51</v>
      </c>
      <c r="D57" s="13" t="s">
        <v>23</v>
      </c>
      <c r="E57" s="80">
        <f>0.15</f>
        <v>0.15</v>
      </c>
      <c r="F57" s="81">
        <f>ROUND('Gia VL'!Q50/1000,5)</f>
        <v>16350</v>
      </c>
      <c r="G57" s="82">
        <f>ROUND(E57*F57,5)</f>
        <v>2452.5</v>
      </c>
    </row>
    <row r="58" spans="1:7" ht="15">
      <c r="A58" s="12" t="s">
        <v>0</v>
      </c>
      <c r="B58" s="13" t="s">
        <v>0</v>
      </c>
      <c r="C58" s="13" t="s">
        <v>388</v>
      </c>
      <c r="D58" s="13" t="s">
        <v>387</v>
      </c>
      <c r="E58" s="80">
        <f>1</f>
        <v>1</v>
      </c>
      <c r="F58" s="81"/>
      <c r="G58" s="82">
        <f>ROUND(SUM(G54:G57)*E58/100,5)</f>
        <v>572.29773</v>
      </c>
    </row>
    <row r="59" spans="1:7" ht="15.75">
      <c r="A59" s="12" t="s">
        <v>0</v>
      </c>
      <c r="B59" s="13" t="s">
        <v>0</v>
      </c>
      <c r="C59" s="13" t="s">
        <v>381</v>
      </c>
      <c r="D59" s="13" t="s">
        <v>0</v>
      </c>
      <c r="E59" s="80"/>
      <c r="F59" s="81"/>
      <c r="G59" s="83">
        <f>ROUND(SUM(G60:G63),5)</f>
        <v>74903.4</v>
      </c>
    </row>
    <row r="60" spans="1:7" ht="15">
      <c r="A60" s="12" t="s">
        <v>0</v>
      </c>
      <c r="B60" s="13" t="s">
        <v>0</v>
      </c>
      <c r="C60" s="13" t="s">
        <v>30</v>
      </c>
      <c r="D60" s="13" t="s">
        <v>8</v>
      </c>
      <c r="E60" s="80">
        <f>0.297</f>
        <v>0.297</v>
      </c>
      <c r="F60" s="81">
        <f>'Gia NC,CM'!P11</f>
        <v>252200</v>
      </c>
      <c r="G60" s="82">
        <f>ROUND(E60*F60,5)</f>
        <v>74903.4</v>
      </c>
    </row>
    <row r="61" spans="1:7" ht="15">
      <c r="A61" s="12" t="s">
        <v>0</v>
      </c>
      <c r="B61" s="13" t="s">
        <v>0</v>
      </c>
      <c r="C61" s="13" t="s">
        <v>0</v>
      </c>
      <c r="D61" s="13" t="s">
        <v>0</v>
      </c>
      <c r="E61" s="80"/>
      <c r="F61" s="81"/>
      <c r="G61" s="82"/>
    </row>
    <row r="62" spans="1:7" ht="15">
      <c r="A62" s="12" t="s">
        <v>52</v>
      </c>
      <c r="B62" s="13" t="s">
        <v>53</v>
      </c>
      <c r="C62" s="13" t="s">
        <v>54</v>
      </c>
      <c r="D62" s="13" t="s">
        <v>5</v>
      </c>
      <c r="E62" s="80"/>
      <c r="F62" s="81"/>
      <c r="G62" s="82"/>
    </row>
    <row r="63" spans="1:7" ht="15">
      <c r="A63" s="12" t="s">
        <v>0</v>
      </c>
      <c r="B63" s="13" t="s">
        <v>0</v>
      </c>
      <c r="C63" s="13" t="s">
        <v>55</v>
      </c>
      <c r="D63" s="13" t="s">
        <v>0</v>
      </c>
      <c r="E63" s="80"/>
      <c r="F63" s="81"/>
      <c r="G63" s="82"/>
    </row>
    <row r="64" spans="1:7" ht="15.75">
      <c r="A64" s="12" t="s">
        <v>0</v>
      </c>
      <c r="B64" s="13" t="s">
        <v>0</v>
      </c>
      <c r="C64" s="13" t="s">
        <v>381</v>
      </c>
      <c r="D64" s="13" t="s">
        <v>0</v>
      </c>
      <c r="E64" s="80"/>
      <c r="F64" s="81"/>
      <c r="G64" s="83">
        <f>ROUND(SUM(G65:G65),5)</f>
        <v>11780.34088</v>
      </c>
    </row>
    <row r="65" spans="1:7" ht="15">
      <c r="A65" s="12" t="s">
        <v>0</v>
      </c>
      <c r="B65" s="13" t="s">
        <v>0</v>
      </c>
      <c r="C65" s="13" t="s">
        <v>7</v>
      </c>
      <c r="D65" s="13" t="s">
        <v>8</v>
      </c>
      <c r="E65" s="80">
        <f>0.0539</f>
        <v>0.0539</v>
      </c>
      <c r="F65" s="81">
        <f>'Gia NC,CM'!P9</f>
        <v>218559.2</v>
      </c>
      <c r="G65" s="82">
        <f>ROUND(E65*F65,5)</f>
        <v>11780.34088</v>
      </c>
    </row>
    <row r="66" spans="1:7" ht="15.75">
      <c r="A66" s="12" t="s">
        <v>0</v>
      </c>
      <c r="B66" s="13" t="s">
        <v>0</v>
      </c>
      <c r="C66" s="13" t="s">
        <v>382</v>
      </c>
      <c r="D66" s="13" t="s">
        <v>0</v>
      </c>
      <c r="E66" s="80"/>
      <c r="F66" s="81"/>
      <c r="G66" s="83">
        <f>ROUND(SUM(G67:G69),5)</f>
        <v>12638.29375</v>
      </c>
    </row>
    <row r="67" spans="1:7" ht="15">
      <c r="A67" s="12" t="s">
        <v>0</v>
      </c>
      <c r="B67" s="13" t="s">
        <v>0</v>
      </c>
      <c r="C67" s="13" t="s">
        <v>56</v>
      </c>
      <c r="D67" s="13" t="s">
        <v>10</v>
      </c>
      <c r="E67" s="80">
        <f>0.0335</f>
        <v>0.0335</v>
      </c>
      <c r="F67" s="81">
        <f>'Gia NC,CM'!P25</f>
        <v>377262.5</v>
      </c>
      <c r="G67" s="82">
        <f>ROUND(E67*F67,5)</f>
        <v>12638.29375</v>
      </c>
    </row>
    <row r="68" spans="1:7" ht="15">
      <c r="A68" s="12" t="s">
        <v>0</v>
      </c>
      <c r="B68" s="13" t="s">
        <v>0</v>
      </c>
      <c r="C68" s="13" t="s">
        <v>0</v>
      </c>
      <c r="D68" s="13" t="s">
        <v>0</v>
      </c>
      <c r="E68" s="80"/>
      <c r="F68" s="81"/>
      <c r="G68" s="82"/>
    </row>
    <row r="69" spans="1:7" ht="15">
      <c r="A69" s="12" t="s">
        <v>57</v>
      </c>
      <c r="B69" s="13" t="s">
        <v>58</v>
      </c>
      <c r="C69" s="13" t="s">
        <v>59</v>
      </c>
      <c r="D69" s="13" t="s">
        <v>27</v>
      </c>
      <c r="E69" s="80"/>
      <c r="F69" s="81"/>
      <c r="G69" s="82"/>
    </row>
    <row r="70" spans="1:7" ht="15.75">
      <c r="A70" s="12" t="s">
        <v>0</v>
      </c>
      <c r="B70" s="13" t="s">
        <v>0</v>
      </c>
      <c r="C70" s="13" t="s">
        <v>385</v>
      </c>
      <c r="D70" s="13" t="s">
        <v>0</v>
      </c>
      <c r="E70" s="80"/>
      <c r="F70" s="81"/>
      <c r="G70" s="83">
        <f>ROUND(SUM(G71:G71),5)</f>
        <v>10780</v>
      </c>
    </row>
    <row r="71" spans="1:7" ht="15">
      <c r="A71" s="12" t="s">
        <v>0</v>
      </c>
      <c r="B71" s="13" t="s">
        <v>0</v>
      </c>
      <c r="C71" s="13" t="s">
        <v>60</v>
      </c>
      <c r="D71" s="13" t="s">
        <v>17</v>
      </c>
      <c r="E71" s="80">
        <f>0.07</f>
        <v>0.07</v>
      </c>
      <c r="F71" s="81">
        <f>'Gia VL'!Q40</f>
        <v>154000</v>
      </c>
      <c r="G71" s="82">
        <f>ROUND(E71*F71,5)</f>
        <v>10780</v>
      </c>
    </row>
    <row r="72" spans="1:7" ht="15.75">
      <c r="A72" s="12" t="s">
        <v>0</v>
      </c>
      <c r="B72" s="13" t="s">
        <v>0</v>
      </c>
      <c r="C72" s="13" t="s">
        <v>384</v>
      </c>
      <c r="D72" s="13" t="s">
        <v>0</v>
      </c>
      <c r="E72" s="80"/>
      <c r="F72" s="81"/>
      <c r="G72" s="83">
        <f>ROUND(SUM(G73:G73),5)</f>
        <v>0</v>
      </c>
    </row>
    <row r="73" spans="1:7" ht="15">
      <c r="A73" s="12" t="s">
        <v>0</v>
      </c>
      <c r="B73" s="13" t="s">
        <v>0</v>
      </c>
      <c r="C73" s="13" t="s">
        <v>61</v>
      </c>
      <c r="D73" s="13" t="s">
        <v>8</v>
      </c>
      <c r="E73" s="80">
        <f>3.22</f>
        <v>3.22</v>
      </c>
      <c r="F73" s="81">
        <f>'Gia NC,CM'!P13</f>
        <v>0</v>
      </c>
      <c r="G73" s="82">
        <f>ROUND(E73*F73,5)</f>
        <v>0</v>
      </c>
    </row>
    <row r="74" spans="1:7" ht="15.75">
      <c r="A74" s="12" t="s">
        <v>0</v>
      </c>
      <c r="B74" s="13" t="s">
        <v>0</v>
      </c>
      <c r="C74" s="13" t="s">
        <v>383</v>
      </c>
      <c r="D74" s="13" t="s">
        <v>0</v>
      </c>
      <c r="E74" s="80"/>
      <c r="F74" s="81"/>
      <c r="G74" s="83">
        <f>ROUND(SUM(G75:G77),5)</f>
        <v>1154676.402</v>
      </c>
    </row>
    <row r="75" spans="1:7" ht="15">
      <c r="A75" s="12" t="s">
        <v>0</v>
      </c>
      <c r="B75" s="13" t="s">
        <v>0</v>
      </c>
      <c r="C75" s="13" t="s">
        <v>62</v>
      </c>
      <c r="D75" s="13" t="s">
        <v>10</v>
      </c>
      <c r="E75" s="80">
        <f>0.18</f>
        <v>0.18</v>
      </c>
      <c r="F75" s="81">
        <f>'Gia NC,CM'!P19</f>
        <v>6414868.9</v>
      </c>
      <c r="G75" s="82">
        <f>ROUND(E75*F75,5)</f>
        <v>1154676.402</v>
      </c>
    </row>
    <row r="76" spans="1:7" ht="15">
      <c r="A76" s="12" t="s">
        <v>0</v>
      </c>
      <c r="B76" s="13" t="s">
        <v>0</v>
      </c>
      <c r="C76" s="13" t="s">
        <v>0</v>
      </c>
      <c r="D76" s="13" t="s">
        <v>0</v>
      </c>
      <c r="E76" s="80"/>
      <c r="F76" s="81"/>
      <c r="G76" s="82"/>
    </row>
    <row r="77" spans="1:7" ht="15">
      <c r="A77" s="12" t="s">
        <v>63</v>
      </c>
      <c r="B77" s="13" t="s">
        <v>64</v>
      </c>
      <c r="C77" s="13" t="s">
        <v>65</v>
      </c>
      <c r="D77" s="13" t="s">
        <v>27</v>
      </c>
      <c r="E77" s="80"/>
      <c r="F77" s="81"/>
      <c r="G77" s="82"/>
    </row>
    <row r="78" spans="1:7" ht="15.75">
      <c r="A78" s="12" t="s">
        <v>0</v>
      </c>
      <c r="B78" s="13" t="s">
        <v>0</v>
      </c>
      <c r="C78" s="13" t="s">
        <v>385</v>
      </c>
      <c r="D78" s="13" t="s">
        <v>0</v>
      </c>
      <c r="E78" s="80"/>
      <c r="F78" s="81"/>
      <c r="G78" s="83">
        <f>ROUND(SUM(G79:G80),5)</f>
        <v>203994.9</v>
      </c>
    </row>
    <row r="79" spans="1:7" ht="15">
      <c r="A79" s="12" t="s">
        <v>0</v>
      </c>
      <c r="B79" s="13" t="s">
        <v>0</v>
      </c>
      <c r="C79" s="13" t="s">
        <v>66</v>
      </c>
      <c r="D79" s="13" t="s">
        <v>29</v>
      </c>
      <c r="E79" s="80">
        <f>1.005</f>
        <v>1.005</v>
      </c>
      <c r="F79" s="81">
        <f>'Gia VL'!Q61</f>
        <v>199000</v>
      </c>
      <c r="G79" s="82">
        <f>ROUND(E79*F79,5)</f>
        <v>199995</v>
      </c>
    </row>
    <row r="80" spans="1:7" ht="15">
      <c r="A80" s="12" t="s">
        <v>0</v>
      </c>
      <c r="B80" s="13" t="s">
        <v>0</v>
      </c>
      <c r="C80" s="13" t="s">
        <v>388</v>
      </c>
      <c r="D80" s="13" t="s">
        <v>387</v>
      </c>
      <c r="E80" s="80">
        <v>2</v>
      </c>
      <c r="F80" s="81"/>
      <c r="G80" s="82">
        <f>ROUND(SUM(G79:G79)*E80/100,5)</f>
        <v>3999.9</v>
      </c>
    </row>
    <row r="81" spans="1:7" ht="15.75">
      <c r="A81" s="12" t="s">
        <v>0</v>
      </c>
      <c r="B81" s="13" t="s">
        <v>0</v>
      </c>
      <c r="C81" s="13" t="s">
        <v>384</v>
      </c>
      <c r="D81" s="13" t="s">
        <v>0</v>
      </c>
      <c r="E81" s="80"/>
      <c r="F81" s="81"/>
      <c r="G81" s="83">
        <f>ROUND(SUM(G82:G82),5)</f>
        <v>18915</v>
      </c>
    </row>
    <row r="82" spans="1:7" ht="15">
      <c r="A82" s="12" t="s">
        <v>0</v>
      </c>
      <c r="B82" s="13" t="s">
        <v>0</v>
      </c>
      <c r="C82" s="13" t="s">
        <v>30</v>
      </c>
      <c r="D82" s="13" t="s">
        <v>8</v>
      </c>
      <c r="E82" s="80">
        <v>0.075</v>
      </c>
      <c r="F82" s="81">
        <f>'Gia NC,CM'!P11</f>
        <v>252200</v>
      </c>
      <c r="G82" s="82">
        <f>ROUND(E82*F82,5)</f>
        <v>18915</v>
      </c>
    </row>
    <row r="83" spans="1:7" ht="15.75">
      <c r="A83" s="12" t="s">
        <v>0</v>
      </c>
      <c r="B83" s="13" t="s">
        <v>0</v>
      </c>
      <c r="C83" s="13" t="s">
        <v>383</v>
      </c>
      <c r="D83" s="13" t="s">
        <v>0</v>
      </c>
      <c r="E83" s="80"/>
      <c r="F83" s="81"/>
      <c r="G83" s="83">
        <f>ROUND(SUM(G84:G86),5)</f>
        <v>210.5866</v>
      </c>
    </row>
    <row r="84" spans="1:7" ht="15">
      <c r="A84" s="12" t="s">
        <v>0</v>
      </c>
      <c r="B84" s="13" t="s">
        <v>0</v>
      </c>
      <c r="C84" s="13" t="s">
        <v>31</v>
      </c>
      <c r="D84" s="13" t="s">
        <v>10</v>
      </c>
      <c r="E84" s="80">
        <v>0.014</v>
      </c>
      <c r="F84" s="81">
        <f>'Gia NC,CM'!P18</f>
        <v>15041.9</v>
      </c>
      <c r="G84" s="82">
        <f>ROUND(E84*F84,5)</f>
        <v>210.5866</v>
      </c>
    </row>
    <row r="85" spans="1:7" ht="15">
      <c r="A85" s="12" t="s">
        <v>0</v>
      </c>
      <c r="B85" s="13" t="s">
        <v>0</v>
      </c>
      <c r="C85" s="13" t="s">
        <v>0</v>
      </c>
      <c r="D85" s="13" t="s">
        <v>0</v>
      </c>
      <c r="E85" s="80"/>
      <c r="F85" s="81"/>
      <c r="G85" s="82"/>
    </row>
    <row r="86" spans="1:7" ht="15">
      <c r="A86" s="12" t="s">
        <v>67</v>
      </c>
      <c r="B86" s="13" t="s">
        <v>68</v>
      </c>
      <c r="C86" s="13" t="s">
        <v>69</v>
      </c>
      <c r="D86" s="13" t="s">
        <v>27</v>
      </c>
      <c r="E86" s="80"/>
      <c r="F86" s="81"/>
      <c r="G86" s="82"/>
    </row>
    <row r="87" spans="1:7" ht="15.75">
      <c r="A87" s="12" t="s">
        <v>0</v>
      </c>
      <c r="B87" s="13" t="s">
        <v>0</v>
      </c>
      <c r="C87" s="13" t="s">
        <v>385</v>
      </c>
      <c r="D87" s="13" t="s">
        <v>0</v>
      </c>
      <c r="E87" s="80"/>
      <c r="F87" s="81"/>
      <c r="G87" s="83">
        <f>ROUND(SUM(G88:G90),5)</f>
        <v>2200</v>
      </c>
    </row>
    <row r="88" spans="1:7" ht="15">
      <c r="A88" s="12" t="s">
        <v>0</v>
      </c>
      <c r="B88" s="13" t="s">
        <v>0</v>
      </c>
      <c r="C88" s="13" t="s">
        <v>70</v>
      </c>
      <c r="D88" s="13" t="s">
        <v>17</v>
      </c>
      <c r="E88" s="80">
        <f>1</f>
        <v>1</v>
      </c>
      <c r="F88" s="81">
        <f>'Gia VL'!Q39</f>
        <v>2200</v>
      </c>
      <c r="G88" s="82">
        <f>ROUND(E88*F88,5)</f>
        <v>2200</v>
      </c>
    </row>
    <row r="89" spans="1:7" ht="15">
      <c r="A89" s="12" t="s">
        <v>0</v>
      </c>
      <c r="B89" s="13" t="s">
        <v>0</v>
      </c>
      <c r="C89" s="13" t="s">
        <v>0</v>
      </c>
      <c r="D89" s="13" t="s">
        <v>0</v>
      </c>
      <c r="E89" s="80"/>
      <c r="F89" s="81"/>
      <c r="G89" s="82"/>
    </row>
    <row r="90" spans="1:7" ht="15">
      <c r="A90" s="12" t="s">
        <v>71</v>
      </c>
      <c r="B90" s="13" t="s">
        <v>72</v>
      </c>
      <c r="C90" s="13" t="s">
        <v>73</v>
      </c>
      <c r="D90" s="13" t="s">
        <v>17</v>
      </c>
      <c r="E90" s="80"/>
      <c r="F90" s="81"/>
      <c r="G90" s="82"/>
    </row>
    <row r="91" spans="1:7" ht="15.75">
      <c r="A91" s="12" t="s">
        <v>0</v>
      </c>
      <c r="B91" s="13" t="s">
        <v>0</v>
      </c>
      <c r="C91" s="13" t="s">
        <v>385</v>
      </c>
      <c r="D91" s="13" t="s">
        <v>0</v>
      </c>
      <c r="E91" s="80"/>
      <c r="F91" s="81"/>
      <c r="G91" s="83">
        <f>ROUND(SUM(G92:G94),5)</f>
        <v>7800</v>
      </c>
    </row>
    <row r="92" spans="1:7" ht="15">
      <c r="A92" s="12" t="s">
        <v>0</v>
      </c>
      <c r="B92" s="13" t="s">
        <v>0</v>
      </c>
      <c r="C92" s="13" t="s">
        <v>74</v>
      </c>
      <c r="D92" s="13" t="s">
        <v>17</v>
      </c>
      <c r="E92" s="80">
        <f>1</f>
        <v>1</v>
      </c>
      <c r="F92" s="81">
        <f>'Gia VL'!Q49</f>
        <v>7800</v>
      </c>
      <c r="G92" s="82">
        <f>ROUND(E92*F92,5)</f>
        <v>7800</v>
      </c>
    </row>
    <row r="93" spans="1:7" ht="15">
      <c r="A93" s="12" t="s">
        <v>0</v>
      </c>
      <c r="B93" s="13" t="s">
        <v>0</v>
      </c>
      <c r="C93" s="13" t="s">
        <v>0</v>
      </c>
      <c r="D93" s="13" t="s">
        <v>0</v>
      </c>
      <c r="E93" s="80"/>
      <c r="F93" s="81"/>
      <c r="G93" s="82"/>
    </row>
    <row r="94" spans="1:7" ht="15">
      <c r="A94" s="12" t="s">
        <v>75</v>
      </c>
      <c r="B94" s="13" t="s">
        <v>76</v>
      </c>
      <c r="C94" s="13" t="s">
        <v>77</v>
      </c>
      <c r="D94" s="13" t="s">
        <v>78</v>
      </c>
      <c r="E94" s="80"/>
      <c r="F94" s="81"/>
      <c r="G94" s="82"/>
    </row>
    <row r="95" spans="1:7" ht="15.75">
      <c r="A95" s="12" t="s">
        <v>0</v>
      </c>
      <c r="B95" s="13" t="s">
        <v>0</v>
      </c>
      <c r="C95" s="13" t="s">
        <v>385</v>
      </c>
      <c r="D95" s="13" t="s">
        <v>0</v>
      </c>
      <c r="E95" s="80"/>
      <c r="F95" s="81"/>
      <c r="G95" s="83">
        <f>ROUND(SUM(G96:G96),5)</f>
        <v>4420500</v>
      </c>
    </row>
    <row r="96" spans="1:7" ht="15">
      <c r="A96" s="12" t="s">
        <v>0</v>
      </c>
      <c r="B96" s="13" t="s">
        <v>0</v>
      </c>
      <c r="C96" s="13" t="s">
        <v>79</v>
      </c>
      <c r="D96" s="13" t="s">
        <v>80</v>
      </c>
      <c r="E96" s="80">
        <f>1</f>
        <v>1</v>
      </c>
      <c r="F96" s="81">
        <f>'Gia VL'!Q29</f>
        <v>4420500</v>
      </c>
      <c r="G96" s="82">
        <f>ROUND(E96*F96,5)</f>
        <v>4420500</v>
      </c>
    </row>
    <row r="97" spans="1:7" ht="15.75">
      <c r="A97" s="12" t="s">
        <v>0</v>
      </c>
      <c r="B97" s="13" t="s">
        <v>0</v>
      </c>
      <c r="C97" s="13" t="s">
        <v>384</v>
      </c>
      <c r="D97" s="13" t="s">
        <v>0</v>
      </c>
      <c r="E97" s="80"/>
      <c r="F97" s="81"/>
      <c r="G97" s="83">
        <f>ROUND(SUM(G98:G98),5)</f>
        <v>348036</v>
      </c>
    </row>
    <row r="98" spans="1:7" ht="15">
      <c r="A98" s="12" t="s">
        <v>0</v>
      </c>
      <c r="B98" s="13" t="s">
        <v>0</v>
      </c>
      <c r="C98" s="13" t="s">
        <v>30</v>
      </c>
      <c r="D98" s="13" t="s">
        <v>8</v>
      </c>
      <c r="E98" s="80">
        <f>1.38</f>
        <v>1.38</v>
      </c>
      <c r="F98" s="81">
        <f>'Gia NC,CM'!P11</f>
        <v>252200</v>
      </c>
      <c r="G98" s="82">
        <f>ROUND(E98*F98,5)</f>
        <v>348036</v>
      </c>
    </row>
    <row r="99" spans="1:7" ht="15.75">
      <c r="A99" s="12" t="s">
        <v>0</v>
      </c>
      <c r="B99" s="13" t="s">
        <v>0</v>
      </c>
      <c r="C99" s="13" t="s">
        <v>383</v>
      </c>
      <c r="D99" s="13" t="s">
        <v>0</v>
      </c>
      <c r="E99" s="80"/>
      <c r="F99" s="81"/>
      <c r="G99" s="83">
        <f>ROUND(SUM(G100:G102),5)</f>
        <v>144550.62</v>
      </c>
    </row>
    <row r="100" spans="1:7" ht="15">
      <c r="A100" s="12" t="s">
        <v>0</v>
      </c>
      <c r="B100" s="13" t="s">
        <v>0</v>
      </c>
      <c r="C100" s="13" t="s">
        <v>81</v>
      </c>
      <c r="D100" s="13" t="s">
        <v>10</v>
      </c>
      <c r="E100" s="80">
        <f>0.1</f>
        <v>0.1</v>
      </c>
      <c r="F100" s="81">
        <f>'Gia NC,CM'!P14</f>
        <v>1445506.2</v>
      </c>
      <c r="G100" s="82">
        <f>ROUND(E100*F100,5)</f>
        <v>144550.62</v>
      </c>
    </row>
    <row r="101" spans="1:7" ht="15">
      <c r="A101" s="12" t="s">
        <v>0</v>
      </c>
      <c r="B101" s="13" t="s">
        <v>0</v>
      </c>
      <c r="C101" s="13" t="s">
        <v>0</v>
      </c>
      <c r="D101" s="13" t="s">
        <v>0</v>
      </c>
      <c r="E101" s="80"/>
      <c r="F101" s="81"/>
      <c r="G101" s="82"/>
    </row>
    <row r="102" spans="1:7" ht="15">
      <c r="A102" s="12" t="s">
        <v>82</v>
      </c>
      <c r="B102" s="13" t="s">
        <v>83</v>
      </c>
      <c r="C102" s="13" t="s">
        <v>84</v>
      </c>
      <c r="D102" s="13" t="s">
        <v>85</v>
      </c>
      <c r="E102" s="80"/>
      <c r="F102" s="81"/>
      <c r="G102" s="82"/>
    </row>
    <row r="103" spans="1:7" ht="15.75">
      <c r="A103" s="12" t="s">
        <v>0</v>
      </c>
      <c r="B103" s="13" t="s">
        <v>0</v>
      </c>
      <c r="C103" s="13" t="s">
        <v>385</v>
      </c>
      <c r="D103" s="13" t="s">
        <v>0</v>
      </c>
      <c r="E103" s="80"/>
      <c r="F103" s="81"/>
      <c r="G103" s="83">
        <f>ROUND(SUM(G104:G104),5)</f>
        <v>1701000</v>
      </c>
    </row>
    <row r="104" spans="1:7" ht="15">
      <c r="A104" s="12" t="s">
        <v>0</v>
      </c>
      <c r="B104" s="13" t="s">
        <v>0</v>
      </c>
      <c r="C104" s="13" t="s">
        <v>86</v>
      </c>
      <c r="D104" s="13" t="s">
        <v>17</v>
      </c>
      <c r="E104" s="80">
        <f>1</f>
        <v>1</v>
      </c>
      <c r="F104" s="81">
        <f>'Gia VL'!Q27</f>
        <v>1701000</v>
      </c>
      <c r="G104" s="82">
        <f>ROUND(E104*F104,5)</f>
        <v>1701000</v>
      </c>
    </row>
    <row r="105" spans="1:7" ht="15.75">
      <c r="A105" s="12" t="s">
        <v>0</v>
      </c>
      <c r="B105" s="13" t="s">
        <v>0</v>
      </c>
      <c r="C105" s="13" t="s">
        <v>384</v>
      </c>
      <c r="D105" s="13" t="s">
        <v>0</v>
      </c>
      <c r="E105" s="80"/>
      <c r="F105" s="81"/>
      <c r="G105" s="83">
        <f>ROUND(SUM(G106:G106),5)</f>
        <v>186628</v>
      </c>
    </row>
    <row r="106" spans="1:7" ht="15">
      <c r="A106" s="12" t="s">
        <v>0</v>
      </c>
      <c r="B106" s="13" t="s">
        <v>0</v>
      </c>
      <c r="C106" s="13" t="s">
        <v>30</v>
      </c>
      <c r="D106" s="13" t="s">
        <v>8</v>
      </c>
      <c r="E106" s="80">
        <f>0.74</f>
        <v>0.74</v>
      </c>
      <c r="F106" s="81">
        <f>'Gia NC,CM'!P11</f>
        <v>252200</v>
      </c>
      <c r="G106" s="82">
        <f>ROUND(E106*F106,5)</f>
        <v>186628</v>
      </c>
    </row>
    <row r="107" spans="1:7" ht="15.75">
      <c r="A107" s="12" t="s">
        <v>0</v>
      </c>
      <c r="B107" s="13" t="s">
        <v>0</v>
      </c>
      <c r="C107" s="13" t="s">
        <v>383</v>
      </c>
      <c r="D107" s="13" t="s">
        <v>0</v>
      </c>
      <c r="E107" s="80"/>
      <c r="F107" s="81"/>
      <c r="G107" s="83">
        <f>ROUND(SUM(G108:G110),5)</f>
        <v>227448.36</v>
      </c>
    </row>
    <row r="108" spans="1:7" ht="15">
      <c r="A108" s="12" t="s">
        <v>0</v>
      </c>
      <c r="B108" s="13" t="s">
        <v>0</v>
      </c>
      <c r="C108" s="13" t="s">
        <v>87</v>
      </c>
      <c r="D108" s="13" t="s">
        <v>10</v>
      </c>
      <c r="E108" s="80">
        <f>0.15</f>
        <v>0.15</v>
      </c>
      <c r="F108" s="81">
        <f>'Gia NC,CM'!P26</f>
        <v>1516322.4</v>
      </c>
      <c r="G108" s="82">
        <f>ROUND(E108*F108,5)</f>
        <v>227448.36</v>
      </c>
    </row>
    <row r="109" spans="1:7" ht="15">
      <c r="A109" s="12" t="s">
        <v>0</v>
      </c>
      <c r="B109" s="13" t="s">
        <v>0</v>
      </c>
      <c r="C109" s="13" t="s">
        <v>0</v>
      </c>
      <c r="D109" s="13" t="s">
        <v>0</v>
      </c>
      <c r="E109" s="80"/>
      <c r="F109" s="81"/>
      <c r="G109" s="82"/>
    </row>
    <row r="110" spans="1:7" ht="15">
      <c r="A110" s="12" t="s">
        <v>88</v>
      </c>
      <c r="B110" s="13" t="s">
        <v>89</v>
      </c>
      <c r="C110" s="13" t="s">
        <v>90</v>
      </c>
      <c r="D110" s="13" t="s">
        <v>91</v>
      </c>
      <c r="E110" s="80"/>
      <c r="F110" s="81"/>
      <c r="G110" s="82"/>
    </row>
    <row r="111" spans="1:7" ht="15.75">
      <c r="A111" s="12" t="s">
        <v>0</v>
      </c>
      <c r="B111" s="13" t="s">
        <v>0</v>
      </c>
      <c r="C111" s="13" t="s">
        <v>385</v>
      </c>
      <c r="D111" s="13" t="s">
        <v>0</v>
      </c>
      <c r="E111" s="80"/>
      <c r="F111" s="81"/>
      <c r="G111" s="83">
        <f>ROUND(SUM(G112:G112),5)</f>
        <v>7985000</v>
      </c>
    </row>
    <row r="112" spans="1:7" ht="15">
      <c r="A112" s="12" t="s">
        <v>0</v>
      </c>
      <c r="B112" s="13" t="s">
        <v>0</v>
      </c>
      <c r="C112" s="13" t="s">
        <v>92</v>
      </c>
      <c r="D112" s="13" t="s">
        <v>17</v>
      </c>
      <c r="E112" s="80">
        <f>1</f>
        <v>1</v>
      </c>
      <c r="F112" s="81">
        <f>'Gia VL'!Q59</f>
        <v>7985000</v>
      </c>
      <c r="G112" s="82">
        <f>ROUND(E112*F112,5)</f>
        <v>7985000</v>
      </c>
    </row>
    <row r="113" spans="1:7" ht="15.75">
      <c r="A113" s="12" t="s">
        <v>0</v>
      </c>
      <c r="B113" s="13" t="s">
        <v>0</v>
      </c>
      <c r="C113" s="13" t="s">
        <v>384</v>
      </c>
      <c r="D113" s="13" t="s">
        <v>0</v>
      </c>
      <c r="E113" s="80"/>
      <c r="F113" s="81"/>
      <c r="G113" s="83">
        <f>ROUND(SUM(G114:G114),5)</f>
        <v>65572</v>
      </c>
    </row>
    <row r="114" spans="1:7" ht="15">
      <c r="A114" s="12" t="s">
        <v>0</v>
      </c>
      <c r="B114" s="13" t="s">
        <v>0</v>
      </c>
      <c r="C114" s="13" t="s">
        <v>30</v>
      </c>
      <c r="D114" s="13" t="s">
        <v>8</v>
      </c>
      <c r="E114" s="80">
        <f>0.26</f>
        <v>0.26</v>
      </c>
      <c r="F114" s="81">
        <f>'Gia NC,CM'!P11</f>
        <v>252200</v>
      </c>
      <c r="G114" s="82">
        <f>ROUND(E114*F114,5)</f>
        <v>65572</v>
      </c>
    </row>
    <row r="115" spans="1:7" ht="15.75">
      <c r="A115" s="12" t="s">
        <v>0</v>
      </c>
      <c r="B115" s="13" t="s">
        <v>0</v>
      </c>
      <c r="C115" s="13" t="s">
        <v>383</v>
      </c>
      <c r="D115" s="13" t="s">
        <v>0</v>
      </c>
      <c r="E115" s="80"/>
      <c r="F115" s="81"/>
      <c r="G115" s="83">
        <f>ROUND(SUM(G116:G118),5)</f>
        <v>197121.912</v>
      </c>
    </row>
    <row r="116" spans="1:7" ht="15">
      <c r="A116" s="12" t="s">
        <v>0</v>
      </c>
      <c r="B116" s="13" t="s">
        <v>0</v>
      </c>
      <c r="C116" s="13" t="s">
        <v>87</v>
      </c>
      <c r="D116" s="13" t="s">
        <v>10</v>
      </c>
      <c r="E116" s="80">
        <f>0.13</f>
        <v>0.13</v>
      </c>
      <c r="F116" s="81">
        <f>'Gia NC,CM'!P26</f>
        <v>1516322.4</v>
      </c>
      <c r="G116" s="82">
        <f>ROUND(E116*F116,5)</f>
        <v>197121.912</v>
      </c>
    </row>
    <row r="117" spans="1:7" ht="15">
      <c r="A117" s="12" t="s">
        <v>0</v>
      </c>
      <c r="B117" s="13" t="s">
        <v>0</v>
      </c>
      <c r="C117" s="13" t="s">
        <v>0</v>
      </c>
      <c r="D117" s="13" t="s">
        <v>0</v>
      </c>
      <c r="E117" s="80"/>
      <c r="F117" s="81"/>
      <c r="G117" s="82"/>
    </row>
    <row r="118" spans="1:7" ht="15">
      <c r="A118" s="12" t="s">
        <v>93</v>
      </c>
      <c r="B118" s="13" t="s">
        <v>94</v>
      </c>
      <c r="C118" s="13" t="s">
        <v>95</v>
      </c>
      <c r="D118" s="13" t="s">
        <v>96</v>
      </c>
      <c r="E118" s="80"/>
      <c r="F118" s="81"/>
      <c r="G118" s="82"/>
    </row>
    <row r="119" spans="1:7" ht="15.75">
      <c r="A119" s="12" t="s">
        <v>0</v>
      </c>
      <c r="B119" s="13" t="s">
        <v>0</v>
      </c>
      <c r="C119" s="13" t="s">
        <v>385</v>
      </c>
      <c r="D119" s="13" t="s">
        <v>0</v>
      </c>
      <c r="E119" s="80"/>
      <c r="F119" s="81"/>
      <c r="G119" s="83">
        <f>ROUND(SUM(G120:G120),5)</f>
        <v>17029950</v>
      </c>
    </row>
    <row r="120" spans="1:7" ht="15">
      <c r="A120" s="12" t="s">
        <v>0</v>
      </c>
      <c r="B120" s="13" t="s">
        <v>0</v>
      </c>
      <c r="C120" s="13" t="s">
        <v>97</v>
      </c>
      <c r="D120" s="13" t="s">
        <v>17</v>
      </c>
      <c r="E120" s="80">
        <f>1</f>
        <v>1</v>
      </c>
      <c r="F120" s="81">
        <f>'Gia VL'!Q43</f>
        <v>17029950</v>
      </c>
      <c r="G120" s="82">
        <f>ROUND(E120*F120,5)</f>
        <v>17029950</v>
      </c>
    </row>
    <row r="121" spans="1:7" ht="15.75">
      <c r="A121" s="12" t="s">
        <v>0</v>
      </c>
      <c r="B121" s="13" t="s">
        <v>0</v>
      </c>
      <c r="C121" s="13" t="s">
        <v>384</v>
      </c>
      <c r="D121" s="13" t="s">
        <v>0</v>
      </c>
      <c r="E121" s="80"/>
      <c r="F121" s="81"/>
      <c r="G121" s="83">
        <f>ROUND(SUM(G122:G124),5)</f>
        <v>385866</v>
      </c>
    </row>
    <row r="122" spans="1:7" ht="15">
      <c r="A122" s="12" t="s">
        <v>0</v>
      </c>
      <c r="B122" s="13" t="s">
        <v>0</v>
      </c>
      <c r="C122" s="13" t="s">
        <v>30</v>
      </c>
      <c r="D122" s="13" t="s">
        <v>8</v>
      </c>
      <c r="E122" s="80">
        <f>1.53</f>
        <v>1.53</v>
      </c>
      <c r="F122" s="81">
        <f>'Gia NC,CM'!P11</f>
        <v>252200</v>
      </c>
      <c r="G122" s="82">
        <f>ROUND(E122*F122,5)</f>
        <v>385866</v>
      </c>
    </row>
    <row r="123" spans="1:7" ht="15">
      <c r="A123" s="12" t="s">
        <v>0</v>
      </c>
      <c r="B123" s="13" t="s">
        <v>0</v>
      </c>
      <c r="C123" s="13" t="s">
        <v>0</v>
      </c>
      <c r="D123" s="13" t="s">
        <v>0</v>
      </c>
      <c r="E123" s="80"/>
      <c r="F123" s="81"/>
      <c r="G123" s="82"/>
    </row>
    <row r="124" spans="1:7" ht="15">
      <c r="A124" s="12" t="s">
        <v>98</v>
      </c>
      <c r="B124" s="13" t="s">
        <v>99</v>
      </c>
      <c r="C124" s="13" t="s">
        <v>100</v>
      </c>
      <c r="D124" s="13" t="s">
        <v>91</v>
      </c>
      <c r="E124" s="80"/>
      <c r="F124" s="81"/>
      <c r="G124" s="82"/>
    </row>
    <row r="125" spans="1:7" ht="15.75">
      <c r="A125" s="12" t="s">
        <v>0</v>
      </c>
      <c r="B125" s="13" t="s">
        <v>0</v>
      </c>
      <c r="C125" s="13" t="s">
        <v>385</v>
      </c>
      <c r="D125" s="13" t="s">
        <v>0</v>
      </c>
      <c r="E125" s="80"/>
      <c r="F125" s="81"/>
      <c r="G125" s="83">
        <f>ROUND(SUM(G126:G126),5)</f>
        <v>569963.52</v>
      </c>
    </row>
    <row r="126" spans="1:7" ht="15">
      <c r="A126" s="12" t="s">
        <v>0</v>
      </c>
      <c r="B126" s="13" t="s">
        <v>0</v>
      </c>
      <c r="C126" s="13" t="s">
        <v>101</v>
      </c>
      <c r="D126" s="13" t="s">
        <v>23</v>
      </c>
      <c r="E126" s="80">
        <f>13.68</f>
        <v>13.68</v>
      </c>
      <c r="F126" s="81">
        <f>ROUND('Gia VL'!Q42/1000,5)</f>
        <v>41664</v>
      </c>
      <c r="G126" s="82">
        <f>ROUND(E126*F126,5)</f>
        <v>569963.52</v>
      </c>
    </row>
    <row r="127" spans="1:7" ht="15.75">
      <c r="A127" s="12" t="s">
        <v>0</v>
      </c>
      <c r="B127" s="13" t="s">
        <v>0</v>
      </c>
      <c r="C127" s="13" t="s">
        <v>384</v>
      </c>
      <c r="D127" s="13" t="s">
        <v>0</v>
      </c>
      <c r="E127" s="80"/>
      <c r="F127" s="81"/>
      <c r="G127" s="83">
        <f>ROUND(SUM(G128:G128),5)</f>
        <v>78182</v>
      </c>
    </row>
    <row r="128" spans="1:7" ht="15">
      <c r="A128" s="12" t="s">
        <v>0</v>
      </c>
      <c r="B128" s="13" t="s">
        <v>0</v>
      </c>
      <c r="C128" s="13" t="s">
        <v>30</v>
      </c>
      <c r="D128" s="13" t="s">
        <v>8</v>
      </c>
      <c r="E128" s="80">
        <f>0.31</f>
        <v>0.31</v>
      </c>
      <c r="F128" s="81">
        <f>'Gia NC,CM'!P11</f>
        <v>252200</v>
      </c>
      <c r="G128" s="82">
        <f>ROUND(E128*F128,5)</f>
        <v>78182</v>
      </c>
    </row>
    <row r="129" spans="1:7" ht="15.75">
      <c r="A129" s="12" t="s">
        <v>0</v>
      </c>
      <c r="B129" s="13" t="s">
        <v>0</v>
      </c>
      <c r="C129" s="13" t="s">
        <v>383</v>
      </c>
      <c r="D129" s="13" t="s">
        <v>0</v>
      </c>
      <c r="E129" s="80"/>
      <c r="F129" s="81"/>
      <c r="G129" s="83">
        <f>ROUND(SUM(G130:G132),5)</f>
        <v>40941.83</v>
      </c>
    </row>
    <row r="130" spans="1:7" ht="15">
      <c r="A130" s="12" t="s">
        <v>0</v>
      </c>
      <c r="B130" s="13" t="s">
        <v>0</v>
      </c>
      <c r="C130" s="13" t="s">
        <v>102</v>
      </c>
      <c r="D130" s="13" t="s">
        <v>10</v>
      </c>
      <c r="E130" s="80">
        <f>0.1</f>
        <v>0.1</v>
      </c>
      <c r="F130" s="81">
        <f>'Gia NC,CM'!P17</f>
        <v>409418.3</v>
      </c>
      <c r="G130" s="82">
        <f>ROUND(E130*F130,5)</f>
        <v>40941.83</v>
      </c>
    </row>
    <row r="131" spans="1:7" ht="15">
      <c r="A131" s="12" t="s">
        <v>0</v>
      </c>
      <c r="B131" s="13" t="s">
        <v>0</v>
      </c>
      <c r="C131" s="13" t="s">
        <v>0</v>
      </c>
      <c r="D131" s="13" t="s">
        <v>0</v>
      </c>
      <c r="E131" s="80"/>
      <c r="F131" s="81"/>
      <c r="G131" s="82"/>
    </row>
    <row r="132" spans="1:7" ht="15">
      <c r="A132" s="12" t="s">
        <v>103</v>
      </c>
      <c r="B132" s="13" t="s">
        <v>104</v>
      </c>
      <c r="C132" s="13" t="s">
        <v>105</v>
      </c>
      <c r="D132" s="13" t="s">
        <v>91</v>
      </c>
      <c r="E132" s="80"/>
      <c r="F132" s="81"/>
      <c r="G132" s="82"/>
    </row>
    <row r="133" spans="1:7" ht="15.75">
      <c r="A133" s="12" t="s">
        <v>0</v>
      </c>
      <c r="B133" s="13" t="s">
        <v>0</v>
      </c>
      <c r="C133" s="13" t="s">
        <v>385</v>
      </c>
      <c r="D133" s="13" t="s">
        <v>0</v>
      </c>
      <c r="E133" s="80"/>
      <c r="F133" s="81"/>
      <c r="G133" s="83">
        <f>ROUND(SUM(G134:G134),5)</f>
        <v>569963.52</v>
      </c>
    </row>
    <row r="134" spans="1:7" ht="15">
      <c r="A134" s="12" t="s">
        <v>0</v>
      </c>
      <c r="B134" s="13" t="s">
        <v>0</v>
      </c>
      <c r="C134" s="13" t="s">
        <v>101</v>
      </c>
      <c r="D134" s="13" t="s">
        <v>23</v>
      </c>
      <c r="E134" s="80">
        <f>13.68</f>
        <v>13.68</v>
      </c>
      <c r="F134" s="81">
        <f>ROUND('Gia VL'!Q42/1000,5)</f>
        <v>41664</v>
      </c>
      <c r="G134" s="82">
        <f>ROUND(E134*F134,5)</f>
        <v>569963.52</v>
      </c>
    </row>
    <row r="135" spans="1:7" ht="15.75">
      <c r="A135" s="12" t="s">
        <v>0</v>
      </c>
      <c r="B135" s="13" t="s">
        <v>0</v>
      </c>
      <c r="C135" s="13" t="s">
        <v>384</v>
      </c>
      <c r="D135" s="13" t="s">
        <v>0</v>
      </c>
      <c r="E135" s="80"/>
      <c r="F135" s="81"/>
      <c r="G135" s="83">
        <f>ROUND(SUM(G136:G136),5)</f>
        <v>78182</v>
      </c>
    </row>
    <row r="136" spans="1:7" ht="15">
      <c r="A136" s="12" t="s">
        <v>0</v>
      </c>
      <c r="B136" s="13" t="s">
        <v>0</v>
      </c>
      <c r="C136" s="13" t="s">
        <v>30</v>
      </c>
      <c r="D136" s="13" t="s">
        <v>8</v>
      </c>
      <c r="E136" s="80">
        <f>0.31</f>
        <v>0.31</v>
      </c>
      <c r="F136" s="81">
        <f>'Gia NC,CM'!P11</f>
        <v>252200</v>
      </c>
      <c r="G136" s="82">
        <f>ROUND(E136*F136,5)</f>
        <v>78182</v>
      </c>
    </row>
    <row r="137" spans="1:7" ht="15.75">
      <c r="A137" s="12" t="s">
        <v>0</v>
      </c>
      <c r="B137" s="13" t="s">
        <v>0</v>
      </c>
      <c r="C137" s="13" t="s">
        <v>383</v>
      </c>
      <c r="D137" s="13" t="s">
        <v>0</v>
      </c>
      <c r="E137" s="80"/>
      <c r="F137" s="81"/>
      <c r="G137" s="83">
        <f>ROUND(SUM(G138:G140),5)</f>
        <v>40941.83</v>
      </c>
    </row>
    <row r="138" spans="1:7" ht="15">
      <c r="A138" s="12" t="s">
        <v>0</v>
      </c>
      <c r="B138" s="13" t="s">
        <v>0</v>
      </c>
      <c r="C138" s="13" t="s">
        <v>102</v>
      </c>
      <c r="D138" s="13" t="s">
        <v>10</v>
      </c>
      <c r="E138" s="80">
        <f>0.1</f>
        <v>0.1</v>
      </c>
      <c r="F138" s="81">
        <f>'Gia NC,CM'!P17</f>
        <v>409418.3</v>
      </c>
      <c r="G138" s="82">
        <f>ROUND(E138*F138,5)</f>
        <v>40941.83</v>
      </c>
    </row>
    <row r="139" spans="1:7" ht="15">
      <c r="A139" s="12" t="s">
        <v>0</v>
      </c>
      <c r="B139" s="13" t="s">
        <v>0</v>
      </c>
      <c r="C139" s="13" t="s">
        <v>0</v>
      </c>
      <c r="D139" s="13" t="s">
        <v>0</v>
      </c>
      <c r="E139" s="80"/>
      <c r="F139" s="81"/>
      <c r="G139" s="82"/>
    </row>
    <row r="140" spans="1:7" ht="15">
      <c r="A140" s="12" t="s">
        <v>106</v>
      </c>
      <c r="B140" s="13" t="s">
        <v>107</v>
      </c>
      <c r="C140" s="13" t="s">
        <v>108</v>
      </c>
      <c r="D140" s="13" t="s">
        <v>91</v>
      </c>
      <c r="E140" s="80"/>
      <c r="F140" s="81"/>
      <c r="G140" s="82"/>
    </row>
    <row r="141" spans="1:7" ht="15.75">
      <c r="A141" s="12" t="s">
        <v>0</v>
      </c>
      <c r="B141" s="13" t="s">
        <v>0</v>
      </c>
      <c r="C141" s="13" t="s">
        <v>385</v>
      </c>
      <c r="D141" s="13" t="s">
        <v>0</v>
      </c>
      <c r="E141" s="80"/>
      <c r="F141" s="81"/>
      <c r="G141" s="83">
        <f>ROUND(SUM(G142:G144),5)</f>
        <v>2924663.1</v>
      </c>
    </row>
    <row r="142" spans="1:7" ht="15">
      <c r="A142" s="12" t="s">
        <v>0</v>
      </c>
      <c r="B142" s="13" t="s">
        <v>0</v>
      </c>
      <c r="C142" s="13" t="s">
        <v>101</v>
      </c>
      <c r="D142" s="13" t="s">
        <v>23</v>
      </c>
      <c r="E142" s="80">
        <f>67.9</f>
        <v>67.9</v>
      </c>
      <c r="F142" s="81">
        <f>ROUND('Gia VL'!Q42/1000,5)</f>
        <v>41664</v>
      </c>
      <c r="G142" s="82">
        <f>ROUND(E142*F142,5)</f>
        <v>2828985.6</v>
      </c>
    </row>
    <row r="143" spans="1:7" ht="15">
      <c r="A143" s="12" t="s">
        <v>0</v>
      </c>
      <c r="B143" s="13" t="s">
        <v>0</v>
      </c>
      <c r="C143" s="13" t="s">
        <v>109</v>
      </c>
      <c r="D143" s="13" t="s">
        <v>110</v>
      </c>
      <c r="E143" s="80">
        <f>2</f>
        <v>2</v>
      </c>
      <c r="F143" s="81">
        <f>'Gia VL'!Q56</f>
        <v>9250</v>
      </c>
      <c r="G143" s="82">
        <f>ROUND(E143*F143,5)</f>
        <v>18500</v>
      </c>
    </row>
    <row r="144" spans="1:7" ht="15">
      <c r="A144" s="12" t="s">
        <v>0</v>
      </c>
      <c r="B144" s="13" t="s">
        <v>0</v>
      </c>
      <c r="C144" s="13" t="s">
        <v>111</v>
      </c>
      <c r="D144" s="13" t="s">
        <v>29</v>
      </c>
      <c r="E144" s="80">
        <f>2.5</f>
        <v>2.5</v>
      </c>
      <c r="F144" s="81">
        <f>'Gia VL'!Q32</f>
        <v>30871</v>
      </c>
      <c r="G144" s="82">
        <f>ROUND(E144*F144,5)</f>
        <v>77177.5</v>
      </c>
    </row>
    <row r="145" spans="1:7" ht="15.75">
      <c r="A145" s="12" t="s">
        <v>0</v>
      </c>
      <c r="B145" s="13" t="s">
        <v>0</v>
      </c>
      <c r="C145" s="13" t="s">
        <v>384</v>
      </c>
      <c r="D145" s="13" t="s">
        <v>0</v>
      </c>
      <c r="E145" s="80"/>
      <c r="F145" s="81"/>
      <c r="G145" s="83">
        <f>ROUND(SUM(G146:G146),5)</f>
        <v>83226</v>
      </c>
    </row>
    <row r="146" spans="1:7" ht="15">
      <c r="A146" s="12" t="s">
        <v>0</v>
      </c>
      <c r="B146" s="13" t="s">
        <v>0</v>
      </c>
      <c r="C146" s="13" t="s">
        <v>30</v>
      </c>
      <c r="D146" s="13" t="s">
        <v>8</v>
      </c>
      <c r="E146" s="80">
        <f>0.33</f>
        <v>0.33</v>
      </c>
      <c r="F146" s="81">
        <f>'Gia NC,CM'!P11</f>
        <v>252200</v>
      </c>
      <c r="G146" s="82">
        <f>ROUND(E146*F146,5)</f>
        <v>83226</v>
      </c>
    </row>
    <row r="147" spans="1:7" ht="15.75">
      <c r="A147" s="12" t="s">
        <v>0</v>
      </c>
      <c r="B147" s="13" t="s">
        <v>0</v>
      </c>
      <c r="C147" s="13" t="s">
        <v>383</v>
      </c>
      <c r="D147" s="13" t="s">
        <v>0</v>
      </c>
      <c r="E147" s="80"/>
      <c r="F147" s="81"/>
      <c r="G147" s="83">
        <f>ROUND(SUM(G148:G151),5)</f>
        <v>350273.85</v>
      </c>
    </row>
    <row r="148" spans="1:7" ht="15">
      <c r="A148" s="12" t="s">
        <v>0</v>
      </c>
      <c r="B148" s="13" t="s">
        <v>0</v>
      </c>
      <c r="C148" s="13" t="s">
        <v>102</v>
      </c>
      <c r="D148" s="13" t="s">
        <v>10</v>
      </c>
      <c r="E148" s="80">
        <f>0.3</f>
        <v>0.3</v>
      </c>
      <c r="F148" s="81">
        <f>'Gia NC,CM'!P17</f>
        <v>409418.3</v>
      </c>
      <c r="G148" s="82">
        <f>ROUND(E148*F148,5)</f>
        <v>122825.49</v>
      </c>
    </row>
    <row r="149" spans="1:7" ht="15">
      <c r="A149" s="12" t="s">
        <v>0</v>
      </c>
      <c r="B149" s="13" t="s">
        <v>0</v>
      </c>
      <c r="C149" s="13" t="s">
        <v>112</v>
      </c>
      <c r="D149" s="13" t="s">
        <v>10</v>
      </c>
      <c r="E149" s="80">
        <f>0.15</f>
        <v>0.15</v>
      </c>
      <c r="F149" s="81">
        <f>'Gia NC,CM'!P27</f>
        <v>1516322.4</v>
      </c>
      <c r="G149" s="82">
        <f>ROUND(E149*F149,5)</f>
        <v>227448.36</v>
      </c>
    </row>
    <row r="150" spans="1:7" ht="15">
      <c r="A150" s="12" t="s">
        <v>0</v>
      </c>
      <c r="B150" s="13" t="s">
        <v>0</v>
      </c>
      <c r="C150" s="13" t="s">
        <v>0</v>
      </c>
      <c r="D150" s="13" t="s">
        <v>0</v>
      </c>
      <c r="E150" s="80"/>
      <c r="F150" s="81"/>
      <c r="G150" s="82"/>
    </row>
    <row r="151" spans="1:7" ht="15">
      <c r="A151" s="12" t="s">
        <v>113</v>
      </c>
      <c r="B151" s="13" t="s">
        <v>114</v>
      </c>
      <c r="C151" s="13" t="s">
        <v>115</v>
      </c>
      <c r="D151" s="13" t="s">
        <v>29</v>
      </c>
      <c r="E151" s="80"/>
      <c r="F151" s="81"/>
      <c r="G151" s="82"/>
    </row>
    <row r="152" spans="1:7" ht="15.75">
      <c r="A152" s="12" t="s">
        <v>0</v>
      </c>
      <c r="B152" s="13" t="s">
        <v>0</v>
      </c>
      <c r="C152" s="13" t="s">
        <v>385</v>
      </c>
      <c r="D152" s="13" t="s">
        <v>0</v>
      </c>
      <c r="E152" s="80"/>
      <c r="F152" s="81"/>
      <c r="G152" s="83">
        <f>ROUND(SUM(G153:G156),5)</f>
        <v>66837.9495</v>
      </c>
    </row>
    <row r="153" spans="1:7" ht="15">
      <c r="A153" s="12" t="s">
        <v>0</v>
      </c>
      <c r="B153" s="13" t="s">
        <v>0</v>
      </c>
      <c r="C153" s="13" t="s">
        <v>28</v>
      </c>
      <c r="D153" s="13" t="s">
        <v>29</v>
      </c>
      <c r="E153" s="80">
        <f>1.02</f>
        <v>1.02</v>
      </c>
      <c r="F153" s="81">
        <f>'Gia VL'!Q60</f>
        <v>29300</v>
      </c>
      <c r="G153" s="82">
        <f>ROUND(E153*F153,5)</f>
        <v>29886</v>
      </c>
    </row>
    <row r="154" spans="1:7" ht="15">
      <c r="A154" s="12" t="s">
        <v>0</v>
      </c>
      <c r="B154" s="13" t="s">
        <v>0</v>
      </c>
      <c r="C154" s="13" t="s">
        <v>116</v>
      </c>
      <c r="D154" s="13" t="s">
        <v>38</v>
      </c>
      <c r="E154" s="80">
        <f>0.1</f>
        <v>0.1</v>
      </c>
      <c r="F154" s="81">
        <f>'Gia VL'!Q18</f>
        <v>233341.9</v>
      </c>
      <c r="G154" s="82">
        <f>ROUND(E154*F154,5)</f>
        <v>23334.19</v>
      </c>
    </row>
    <row r="155" spans="1:7" ht="15">
      <c r="A155" s="12" t="s">
        <v>0</v>
      </c>
      <c r="B155" s="13" t="s">
        <v>0</v>
      </c>
      <c r="C155" s="13" t="s">
        <v>117</v>
      </c>
      <c r="D155" s="13" t="s">
        <v>118</v>
      </c>
      <c r="E155" s="80">
        <f>5</f>
        <v>5</v>
      </c>
      <c r="F155" s="81">
        <f>'Gia VL'!Q34</f>
        <v>2087</v>
      </c>
      <c r="G155" s="82">
        <f>ROUND(E155*F155,5)</f>
        <v>10435</v>
      </c>
    </row>
    <row r="156" spans="1:7" ht="15">
      <c r="A156" s="12" t="s">
        <v>0</v>
      </c>
      <c r="B156" s="13" t="s">
        <v>0</v>
      </c>
      <c r="C156" s="13" t="s">
        <v>388</v>
      </c>
      <c r="D156" s="13" t="s">
        <v>387</v>
      </c>
      <c r="E156" s="80">
        <f>5</f>
        <v>5</v>
      </c>
      <c r="F156" s="81"/>
      <c r="G156" s="82">
        <f>ROUND(SUM(G153:G155)*E156/100,5)</f>
        <v>3182.7595</v>
      </c>
    </row>
    <row r="157" spans="1:7" ht="15.75">
      <c r="A157" s="12" t="s">
        <v>0</v>
      </c>
      <c r="B157" s="13" t="s">
        <v>0</v>
      </c>
      <c r="C157" s="13" t="s">
        <v>384</v>
      </c>
      <c r="D157" s="13" t="s">
        <v>0</v>
      </c>
      <c r="E157" s="80"/>
      <c r="F157" s="81"/>
      <c r="G157" s="83">
        <f>ROUND(SUM(G158:G158),5)</f>
        <v>13618.8</v>
      </c>
    </row>
    <row r="158" spans="1:7" ht="15">
      <c r="A158" s="12" t="s">
        <v>0</v>
      </c>
      <c r="B158" s="13" t="s">
        <v>0</v>
      </c>
      <c r="C158" s="13" t="s">
        <v>30</v>
      </c>
      <c r="D158" s="13" t="s">
        <v>8</v>
      </c>
      <c r="E158" s="80">
        <f>0.054</f>
        <v>0.054</v>
      </c>
      <c r="F158" s="81">
        <f>'Gia NC,CM'!P11</f>
        <v>252200</v>
      </c>
      <c r="G158" s="82">
        <f>ROUND(E158*F158,5)</f>
        <v>13618.8</v>
      </c>
    </row>
    <row r="159" spans="1:7" ht="15.75">
      <c r="A159" s="12" t="s">
        <v>0</v>
      </c>
      <c r="B159" s="13" t="s">
        <v>0</v>
      </c>
      <c r="C159" s="13" t="s">
        <v>383</v>
      </c>
      <c r="D159" s="13" t="s">
        <v>0</v>
      </c>
      <c r="E159" s="80"/>
      <c r="F159" s="81"/>
      <c r="G159" s="83">
        <f>ROUND(SUM(G160:G163),5)</f>
        <v>255.7123</v>
      </c>
    </row>
    <row r="160" spans="1:7" ht="15">
      <c r="A160" s="12" t="s">
        <v>0</v>
      </c>
      <c r="B160" s="13" t="s">
        <v>0</v>
      </c>
      <c r="C160" s="13" t="s">
        <v>31</v>
      </c>
      <c r="D160" s="13" t="s">
        <v>10</v>
      </c>
      <c r="E160" s="80">
        <f>0.017</f>
        <v>0.017</v>
      </c>
      <c r="F160" s="81">
        <f>'Gia NC,CM'!P18</f>
        <v>15041.9</v>
      </c>
      <c r="G160" s="82">
        <f>ROUND(E160*F160,5)</f>
        <v>255.7123</v>
      </c>
    </row>
    <row r="161" spans="1:7" ht="15">
      <c r="A161" s="12" t="s">
        <v>0</v>
      </c>
      <c r="B161" s="13" t="s">
        <v>0</v>
      </c>
      <c r="C161" s="13" t="s">
        <v>0</v>
      </c>
      <c r="D161" s="13" t="s">
        <v>0</v>
      </c>
      <c r="E161" s="80"/>
      <c r="F161" s="81"/>
      <c r="G161" s="82"/>
    </row>
    <row r="162" spans="1:7" ht="15">
      <c r="A162" s="12" t="s">
        <v>119</v>
      </c>
      <c r="B162" s="13" t="s">
        <v>120</v>
      </c>
      <c r="C162" s="13" t="s">
        <v>121</v>
      </c>
      <c r="D162" s="13" t="s">
        <v>5</v>
      </c>
      <c r="E162" s="80"/>
      <c r="F162" s="81"/>
      <c r="G162" s="82"/>
    </row>
    <row r="163" spans="1:7" ht="15">
      <c r="A163" s="12" t="s">
        <v>0</v>
      </c>
      <c r="B163" s="13" t="s">
        <v>0</v>
      </c>
      <c r="C163" s="13" t="s">
        <v>35</v>
      </c>
      <c r="D163" s="13" t="s">
        <v>0</v>
      </c>
      <c r="E163" s="80"/>
      <c r="F163" s="81"/>
      <c r="G163" s="82"/>
    </row>
    <row r="164" spans="1:7" ht="15.75">
      <c r="A164" s="12" t="s">
        <v>0</v>
      </c>
      <c r="B164" s="13" t="s">
        <v>0</v>
      </c>
      <c r="C164" s="13" t="s">
        <v>386</v>
      </c>
      <c r="D164" s="13" t="s">
        <v>0</v>
      </c>
      <c r="E164" s="80"/>
      <c r="F164" s="81"/>
      <c r="G164" s="83">
        <f>ROUND(SUM(G165:G169),5)</f>
        <v>857997.29795</v>
      </c>
    </row>
    <row r="165" spans="1:7" ht="15">
      <c r="A165" s="12" t="s">
        <v>0</v>
      </c>
      <c r="B165" s="13" t="s">
        <v>0</v>
      </c>
      <c r="C165" s="13" t="s">
        <v>36</v>
      </c>
      <c r="D165" s="13" t="s">
        <v>23</v>
      </c>
      <c r="E165" s="80">
        <f>1.025*205</f>
        <v>210.12499999999997</v>
      </c>
      <c r="F165" s="81">
        <f>ROUND('Gia VL'!Q46/1000,5)</f>
        <v>1701.3145</v>
      </c>
      <c r="G165" s="82">
        <f>ROUND(E165*F165,5)</f>
        <v>357488.70931</v>
      </c>
    </row>
    <row r="166" spans="1:7" ht="15">
      <c r="A166" s="12" t="s">
        <v>0</v>
      </c>
      <c r="B166" s="13" t="s">
        <v>0</v>
      </c>
      <c r="C166" s="13" t="s">
        <v>37</v>
      </c>
      <c r="D166" s="13" t="s">
        <v>38</v>
      </c>
      <c r="E166" s="80">
        <f>1.025*0.549</f>
        <v>0.562725</v>
      </c>
      <c r="F166" s="81">
        <f>'Gia VL'!Q23</f>
        <v>330963.4</v>
      </c>
      <c r="G166" s="82">
        <f>ROUND(E166*F166,5)</f>
        <v>186241.37927</v>
      </c>
    </row>
    <row r="167" spans="1:7" ht="15">
      <c r="A167" s="12" t="s">
        <v>0</v>
      </c>
      <c r="B167" s="13" t="s">
        <v>0</v>
      </c>
      <c r="C167" s="13" t="s">
        <v>39</v>
      </c>
      <c r="D167" s="13" t="s">
        <v>38</v>
      </c>
      <c r="E167" s="80">
        <f>1.025*0.89</f>
        <v>0.9122499999999999</v>
      </c>
      <c r="F167" s="81">
        <f>'Gia VL'!Q51</f>
        <v>333339.9</v>
      </c>
      <c r="G167" s="82">
        <f>ROUND(E167*F167,5)</f>
        <v>304089.32378</v>
      </c>
    </row>
    <row r="168" spans="1:7" ht="15">
      <c r="A168" s="12" t="s">
        <v>0</v>
      </c>
      <c r="B168" s="13" t="s">
        <v>0</v>
      </c>
      <c r="C168" s="13" t="s">
        <v>40</v>
      </c>
      <c r="D168" s="13" t="s">
        <v>38</v>
      </c>
      <c r="E168" s="80">
        <f>1.025*0.172</f>
        <v>0.17629999999999996</v>
      </c>
      <c r="F168" s="81">
        <f>'Gia VL'!Q41</f>
        <v>9545.45</v>
      </c>
      <c r="G168" s="82">
        <f>ROUND(E168*F168,5)</f>
        <v>1682.86284</v>
      </c>
    </row>
    <row r="169" spans="1:7" ht="15">
      <c r="A169" s="12" t="s">
        <v>0</v>
      </c>
      <c r="B169" s="13" t="s">
        <v>0</v>
      </c>
      <c r="C169" s="13" t="s">
        <v>388</v>
      </c>
      <c r="D169" s="13" t="s">
        <v>387</v>
      </c>
      <c r="E169" s="80">
        <f>1</f>
        <v>1</v>
      </c>
      <c r="F169" s="81"/>
      <c r="G169" s="82">
        <f>ROUND(SUM(G165:G168)*E169/100,5)</f>
        <v>8495.02275</v>
      </c>
    </row>
    <row r="170" spans="1:7" ht="15.75">
      <c r="A170" s="12" t="s">
        <v>0</v>
      </c>
      <c r="B170" s="13" t="s">
        <v>0</v>
      </c>
      <c r="C170" s="13" t="s">
        <v>381</v>
      </c>
      <c r="D170" s="13" t="s">
        <v>0</v>
      </c>
      <c r="E170" s="80"/>
      <c r="F170" s="81"/>
      <c r="G170" s="83">
        <f>ROUND(SUM(G171:G171),5)</f>
        <v>274450.057</v>
      </c>
    </row>
    <row r="171" spans="1:7" ht="15">
      <c r="A171" s="12" t="s">
        <v>0</v>
      </c>
      <c r="B171" s="13" t="s">
        <v>0</v>
      </c>
      <c r="C171" s="13" t="s">
        <v>41</v>
      </c>
      <c r="D171" s="13" t="s">
        <v>8</v>
      </c>
      <c r="E171" s="80">
        <f>1.19</f>
        <v>1.19</v>
      </c>
      <c r="F171" s="81">
        <f>'Gia NC,CM'!P10</f>
        <v>230630.3</v>
      </c>
      <c r="G171" s="82">
        <f>ROUND(E171*F171,5)</f>
        <v>274450.057</v>
      </c>
    </row>
    <row r="172" spans="1:7" ht="15.75">
      <c r="A172" s="12" t="s">
        <v>0</v>
      </c>
      <c r="B172" s="13" t="s">
        <v>0</v>
      </c>
      <c r="C172" s="13" t="s">
        <v>382</v>
      </c>
      <c r="D172" s="13" t="s">
        <v>0</v>
      </c>
      <c r="E172" s="80"/>
      <c r="F172" s="81"/>
      <c r="G172" s="83">
        <f>ROUND(SUM(G173:G176),5)</f>
        <v>54409.0095</v>
      </c>
    </row>
    <row r="173" spans="1:7" ht="15">
      <c r="A173" s="12" t="s">
        <v>0</v>
      </c>
      <c r="B173" s="13" t="s">
        <v>0</v>
      </c>
      <c r="C173" s="13" t="s">
        <v>42</v>
      </c>
      <c r="D173" s="13" t="s">
        <v>10</v>
      </c>
      <c r="E173" s="80">
        <f>0.095</f>
        <v>0.095</v>
      </c>
      <c r="F173" s="81">
        <f>'Gia NC,CM'!P20</f>
        <v>318885.3</v>
      </c>
      <c r="G173" s="82">
        <f>ROUND(E173*F173,5)</f>
        <v>30294.1035</v>
      </c>
    </row>
    <row r="174" spans="1:7" ht="15">
      <c r="A174" s="12" t="s">
        <v>0</v>
      </c>
      <c r="B174" s="13" t="s">
        <v>0</v>
      </c>
      <c r="C174" s="13" t="s">
        <v>122</v>
      </c>
      <c r="D174" s="13" t="s">
        <v>10</v>
      </c>
      <c r="E174" s="80">
        <f>0.089</f>
        <v>0.089</v>
      </c>
      <c r="F174" s="81">
        <f>'Gia NC,CM'!P23</f>
        <v>270954</v>
      </c>
      <c r="G174" s="82">
        <f>ROUND(E174*F174,5)</f>
        <v>24114.906</v>
      </c>
    </row>
    <row r="175" spans="1:7" ht="15">
      <c r="A175" s="12" t="s">
        <v>0</v>
      </c>
      <c r="B175" s="13" t="s">
        <v>0</v>
      </c>
      <c r="C175" s="13" t="s">
        <v>0</v>
      </c>
      <c r="D175" s="13" t="s">
        <v>0</v>
      </c>
      <c r="E175" s="80"/>
      <c r="F175" s="81"/>
      <c r="G175" s="82"/>
    </row>
    <row r="176" spans="1:7" ht="15">
      <c r="A176" s="12" t="s">
        <v>123</v>
      </c>
      <c r="B176" s="13" t="s">
        <v>124</v>
      </c>
      <c r="C176" s="13" t="s">
        <v>125</v>
      </c>
      <c r="D176" s="13" t="s">
        <v>47</v>
      </c>
      <c r="E176" s="80"/>
      <c r="F176" s="81"/>
      <c r="G176" s="82"/>
    </row>
    <row r="177" spans="1:7" ht="15.75">
      <c r="A177" s="12" t="s">
        <v>0</v>
      </c>
      <c r="B177" s="13" t="s">
        <v>0</v>
      </c>
      <c r="C177" s="13" t="s">
        <v>386</v>
      </c>
      <c r="D177" s="13" t="s">
        <v>0</v>
      </c>
      <c r="E177" s="80"/>
      <c r="F177" s="81"/>
      <c r="G177" s="83">
        <f>ROUND(SUM(G178:G184),5)</f>
        <v>109941.31605</v>
      </c>
    </row>
    <row r="178" spans="1:7" ht="15">
      <c r="A178" s="12" t="s">
        <v>0</v>
      </c>
      <c r="B178" s="13" t="s">
        <v>0</v>
      </c>
      <c r="C178" s="13" t="s">
        <v>126</v>
      </c>
      <c r="D178" s="13" t="s">
        <v>127</v>
      </c>
      <c r="E178" s="80">
        <f>1.01</f>
        <v>1.01</v>
      </c>
      <c r="F178" s="81">
        <f>'Gia VL'!Q33</f>
        <v>84358</v>
      </c>
      <c r="G178" s="82">
        <f aca="true" t="shared" si="0" ref="G178:G183">ROUND(E178*F178,5)</f>
        <v>85201.58</v>
      </c>
    </row>
    <row r="179" spans="1:7" ht="15">
      <c r="A179" s="12" t="s">
        <v>0</v>
      </c>
      <c r="B179" s="13" t="s">
        <v>0</v>
      </c>
      <c r="C179" s="13" t="s">
        <v>128</v>
      </c>
      <c r="D179" s="13" t="s">
        <v>23</v>
      </c>
      <c r="E179" s="80">
        <f>0.025*338</f>
        <v>8.450000000000001</v>
      </c>
      <c r="F179" s="81">
        <f>ROUND('Gia VL'!Q44/1000,5)</f>
        <v>1637.6775</v>
      </c>
      <c r="G179" s="82">
        <f t="shared" si="0"/>
        <v>13838.37488</v>
      </c>
    </row>
    <row r="180" spans="1:7" ht="15">
      <c r="A180" s="12" t="s">
        <v>0</v>
      </c>
      <c r="B180" s="13" t="s">
        <v>0</v>
      </c>
      <c r="C180" s="13" t="s">
        <v>129</v>
      </c>
      <c r="D180" s="13" t="s">
        <v>38</v>
      </c>
      <c r="E180" s="80">
        <f>0.025*1.149</f>
        <v>0.028725</v>
      </c>
      <c r="F180" s="81">
        <f>'Gia VL'!Q14</f>
        <v>285508.4</v>
      </c>
      <c r="G180" s="82">
        <f t="shared" si="0"/>
        <v>8201.22879</v>
      </c>
    </row>
    <row r="181" spans="1:7" ht="15">
      <c r="A181" s="12" t="s">
        <v>0</v>
      </c>
      <c r="B181" s="13" t="s">
        <v>0</v>
      </c>
      <c r="C181" s="13" t="s">
        <v>40</v>
      </c>
      <c r="D181" s="13" t="s">
        <v>38</v>
      </c>
      <c r="E181" s="80">
        <f>0.025*0.272</f>
        <v>0.0068000000000000005</v>
      </c>
      <c r="F181" s="81">
        <f>'Gia VL'!Q41</f>
        <v>9545.45</v>
      </c>
      <c r="G181" s="82">
        <f t="shared" si="0"/>
        <v>64.90906</v>
      </c>
    </row>
    <row r="182" spans="1:7" ht="15">
      <c r="A182" s="12" t="s">
        <v>0</v>
      </c>
      <c r="B182" s="13" t="s">
        <v>0</v>
      </c>
      <c r="C182" s="13" t="s">
        <v>36</v>
      </c>
      <c r="D182" s="13" t="s">
        <v>23</v>
      </c>
      <c r="E182" s="80">
        <f>0.8</f>
        <v>0.8</v>
      </c>
      <c r="F182" s="81">
        <f>ROUND('Gia VL'!Q46/1000,5)</f>
        <v>1701.3145</v>
      </c>
      <c r="G182" s="82">
        <f t="shared" si="0"/>
        <v>1361.0516</v>
      </c>
    </row>
    <row r="183" spans="1:7" ht="15">
      <c r="A183" s="12" t="s">
        <v>0</v>
      </c>
      <c r="B183" s="13" t="s">
        <v>0</v>
      </c>
      <c r="C183" s="13" t="s">
        <v>130</v>
      </c>
      <c r="D183" s="13" t="s">
        <v>23</v>
      </c>
      <c r="E183" s="80">
        <f>0.16</f>
        <v>0.16</v>
      </c>
      <c r="F183" s="81">
        <f>ROUND('Gia VL'!Q48/1000,5)</f>
        <v>4545</v>
      </c>
      <c r="G183" s="82">
        <f t="shared" si="0"/>
        <v>727.2</v>
      </c>
    </row>
    <row r="184" spans="1:7" ht="15">
      <c r="A184" s="12" t="s">
        <v>0</v>
      </c>
      <c r="B184" s="13" t="s">
        <v>0</v>
      </c>
      <c r="C184" s="13" t="s">
        <v>388</v>
      </c>
      <c r="D184" s="13" t="s">
        <v>387</v>
      </c>
      <c r="E184" s="80">
        <f>0.5</f>
        <v>0.5</v>
      </c>
      <c r="F184" s="81"/>
      <c r="G184" s="82">
        <f>ROUND(SUM(G178:G183)*E184/100,5)</f>
        <v>546.97172</v>
      </c>
    </row>
    <row r="185" spans="1:7" ht="15.75">
      <c r="A185" s="12" t="s">
        <v>0</v>
      </c>
      <c r="B185" s="13" t="s">
        <v>0</v>
      </c>
      <c r="C185" s="13" t="s">
        <v>381</v>
      </c>
      <c r="D185" s="13" t="s">
        <v>0</v>
      </c>
      <c r="E185" s="80"/>
      <c r="F185" s="81"/>
      <c r="G185" s="83">
        <f>ROUND(SUM(G186:G186),5)</f>
        <v>46540.849</v>
      </c>
    </row>
    <row r="186" spans="1:7" ht="15">
      <c r="A186" s="12" t="s">
        <v>0</v>
      </c>
      <c r="B186" s="13" t="s">
        <v>0</v>
      </c>
      <c r="C186" s="13" t="s">
        <v>131</v>
      </c>
      <c r="D186" s="13" t="s">
        <v>8</v>
      </c>
      <c r="E186" s="80">
        <f>0.17</f>
        <v>0.17</v>
      </c>
      <c r="F186" s="81">
        <f>'Gia NC,CM'!P12</f>
        <v>273769.7</v>
      </c>
      <c r="G186" s="82">
        <f>ROUND(E186*F186,5)</f>
        <v>46540.849</v>
      </c>
    </row>
    <row r="187" spans="1:7" ht="15.75">
      <c r="A187" s="12" t="s">
        <v>0</v>
      </c>
      <c r="B187" s="13" t="s">
        <v>0</v>
      </c>
      <c r="C187" s="13" t="s">
        <v>382</v>
      </c>
      <c r="D187" s="13" t="s">
        <v>0</v>
      </c>
      <c r="E187" s="80"/>
      <c r="F187" s="81"/>
      <c r="G187" s="83">
        <f>ROUND(SUM(G188:G190),5)</f>
        <v>834.519</v>
      </c>
    </row>
    <row r="188" spans="1:7" ht="15">
      <c r="A188" s="12" t="s">
        <v>0</v>
      </c>
      <c r="B188" s="13" t="s">
        <v>0</v>
      </c>
      <c r="C188" s="13" t="s">
        <v>132</v>
      </c>
      <c r="D188" s="13" t="s">
        <v>10</v>
      </c>
      <c r="E188" s="80">
        <f>0.03</f>
        <v>0.03</v>
      </c>
      <c r="F188" s="81">
        <f>'Gia NC,CM'!P16</f>
        <v>27817.3</v>
      </c>
      <c r="G188" s="82">
        <f>ROUND(E188*F188,5)</f>
        <v>834.519</v>
      </c>
    </row>
    <row r="189" spans="1:7" ht="15">
      <c r="A189" s="12" t="s">
        <v>0</v>
      </c>
      <c r="B189" s="13" t="s">
        <v>0</v>
      </c>
      <c r="C189" s="13" t="s">
        <v>0</v>
      </c>
      <c r="D189" s="13" t="s">
        <v>0</v>
      </c>
      <c r="E189" s="80"/>
      <c r="F189" s="81"/>
      <c r="G189" s="82"/>
    </row>
    <row r="190" spans="1:7" ht="15">
      <c r="A190" s="12" t="s">
        <v>133</v>
      </c>
      <c r="B190" s="13" t="s">
        <v>134</v>
      </c>
      <c r="C190" s="13" t="s">
        <v>135</v>
      </c>
      <c r="D190" s="13" t="s">
        <v>27</v>
      </c>
      <c r="E190" s="80"/>
      <c r="F190" s="81"/>
      <c r="G190" s="82"/>
    </row>
    <row r="191" spans="1:7" ht="15.75">
      <c r="A191" s="12" t="s">
        <v>0</v>
      </c>
      <c r="B191" s="13" t="s">
        <v>0</v>
      </c>
      <c r="C191" s="13" t="s">
        <v>386</v>
      </c>
      <c r="D191" s="13" t="s">
        <v>0</v>
      </c>
      <c r="E191" s="80"/>
      <c r="F191" s="81"/>
      <c r="G191" s="83">
        <f>ROUND(SUM(G192:G192),5)</f>
        <v>191541.665</v>
      </c>
    </row>
    <row r="192" spans="1:7" ht="15">
      <c r="A192" s="12" t="s">
        <v>0</v>
      </c>
      <c r="B192" s="13" t="s">
        <v>0</v>
      </c>
      <c r="C192" s="13" t="s">
        <v>136</v>
      </c>
      <c r="D192" s="13" t="s">
        <v>29</v>
      </c>
      <c r="E192" s="80">
        <f>1.015</f>
        <v>1.015</v>
      </c>
      <c r="F192" s="81">
        <f>'Gia VL'!Q13</f>
        <v>188711</v>
      </c>
      <c r="G192" s="82">
        <f>ROUND(E192*F192,5)</f>
        <v>191541.665</v>
      </c>
    </row>
    <row r="193" spans="1:7" ht="15.75">
      <c r="A193" s="12" t="s">
        <v>0</v>
      </c>
      <c r="B193" s="13" t="s">
        <v>0</v>
      </c>
      <c r="C193" s="13" t="s">
        <v>384</v>
      </c>
      <c r="D193" s="13" t="s">
        <v>0</v>
      </c>
      <c r="E193" s="80"/>
      <c r="F193" s="81"/>
      <c r="G193" s="83">
        <f>ROUND(SUM(G194:G196),5)</f>
        <v>2471.56</v>
      </c>
    </row>
    <row r="194" spans="1:7" ht="15">
      <c r="A194" s="12" t="s">
        <v>0</v>
      </c>
      <c r="B194" s="13" t="s">
        <v>0</v>
      </c>
      <c r="C194" s="13" t="s">
        <v>30</v>
      </c>
      <c r="D194" s="13" t="s">
        <v>8</v>
      </c>
      <c r="E194" s="80">
        <f>0.0098</f>
        <v>0.0098</v>
      </c>
      <c r="F194" s="81">
        <f>'Gia NC,CM'!P11</f>
        <v>252200</v>
      </c>
      <c r="G194" s="82">
        <f>ROUND(E194*F194,5)</f>
        <v>2471.56</v>
      </c>
    </row>
    <row r="195" spans="1:7" ht="15">
      <c r="A195" s="12" t="s">
        <v>0</v>
      </c>
      <c r="B195" s="13" t="s">
        <v>0</v>
      </c>
      <c r="C195" s="13" t="s">
        <v>0</v>
      </c>
      <c r="D195" s="13" t="s">
        <v>0</v>
      </c>
      <c r="E195" s="80"/>
      <c r="F195" s="81"/>
      <c r="G195" s="82"/>
    </row>
    <row r="196" spans="1:7" ht="15">
      <c r="A196" s="12" t="s">
        <v>137</v>
      </c>
      <c r="B196" s="13" t="s">
        <v>138</v>
      </c>
      <c r="C196" s="13" t="s">
        <v>139</v>
      </c>
      <c r="D196" s="13" t="s">
        <v>27</v>
      </c>
      <c r="E196" s="80"/>
      <c r="F196" s="81"/>
      <c r="G196" s="82"/>
    </row>
    <row r="197" spans="1:7" ht="15.75">
      <c r="A197" s="12" t="s">
        <v>0</v>
      </c>
      <c r="B197" s="13" t="s">
        <v>0</v>
      </c>
      <c r="C197" s="13" t="s">
        <v>385</v>
      </c>
      <c r="D197" s="13" t="s">
        <v>0</v>
      </c>
      <c r="E197" s="80"/>
      <c r="F197" s="81"/>
      <c r="G197" s="83">
        <f>ROUND(SUM(G198:G198),5)</f>
        <v>31334.065</v>
      </c>
    </row>
    <row r="198" spans="1:7" ht="15">
      <c r="A198" s="12" t="s">
        <v>0</v>
      </c>
      <c r="B198" s="13" t="s">
        <v>0</v>
      </c>
      <c r="C198" s="13" t="s">
        <v>111</v>
      </c>
      <c r="D198" s="13" t="s">
        <v>29</v>
      </c>
      <c r="E198" s="80">
        <f>1.015</f>
        <v>1.015</v>
      </c>
      <c r="F198" s="81">
        <f>'Gia VL'!Q32</f>
        <v>30871</v>
      </c>
      <c r="G198" s="82">
        <f>ROUND(E198*F198,5)</f>
        <v>31334.065</v>
      </c>
    </row>
    <row r="199" spans="1:7" ht="15.75">
      <c r="A199" s="12" t="s">
        <v>0</v>
      </c>
      <c r="B199" s="13" t="s">
        <v>0</v>
      </c>
      <c r="C199" s="13" t="s">
        <v>384</v>
      </c>
      <c r="D199" s="13" t="s">
        <v>0</v>
      </c>
      <c r="E199" s="80"/>
      <c r="F199" s="81"/>
      <c r="G199" s="83">
        <f>ROUND(SUM(G200:G202),5)</f>
        <v>2471.56</v>
      </c>
    </row>
    <row r="200" spans="1:7" ht="15">
      <c r="A200" s="12" t="s">
        <v>0</v>
      </c>
      <c r="B200" s="13" t="s">
        <v>0</v>
      </c>
      <c r="C200" s="13" t="s">
        <v>30</v>
      </c>
      <c r="D200" s="13" t="s">
        <v>8</v>
      </c>
      <c r="E200" s="80">
        <f>0.0098</f>
        <v>0.0098</v>
      </c>
      <c r="F200" s="81">
        <f>'Gia NC,CM'!P11</f>
        <v>252200</v>
      </c>
      <c r="G200" s="82">
        <f>ROUND(E200*F200,5)</f>
        <v>2471.56</v>
      </c>
    </row>
    <row r="201" spans="1:7" ht="15">
      <c r="A201" s="12" t="s">
        <v>0</v>
      </c>
      <c r="B201" s="13" t="s">
        <v>0</v>
      </c>
      <c r="C201" s="13" t="s">
        <v>0</v>
      </c>
      <c r="D201" s="13" t="s">
        <v>0</v>
      </c>
      <c r="E201" s="80"/>
      <c r="F201" s="81"/>
      <c r="G201" s="82"/>
    </row>
    <row r="202" spans="1:7" ht="15">
      <c r="A202" s="12" t="s">
        <v>140</v>
      </c>
      <c r="B202" s="13" t="s">
        <v>141</v>
      </c>
      <c r="C202" s="13" t="s">
        <v>142</v>
      </c>
      <c r="D202" s="13" t="s">
        <v>27</v>
      </c>
      <c r="E202" s="80"/>
      <c r="F202" s="81"/>
      <c r="G202" s="82"/>
    </row>
    <row r="203" spans="1:7" ht="15.75">
      <c r="A203" s="12" t="s">
        <v>0</v>
      </c>
      <c r="B203" s="13" t="s">
        <v>0</v>
      </c>
      <c r="C203" s="13" t="s">
        <v>385</v>
      </c>
      <c r="D203" s="13" t="s">
        <v>0</v>
      </c>
      <c r="E203" s="80"/>
      <c r="F203" s="81"/>
      <c r="G203" s="83">
        <f>ROUND(SUM(G204:G204),5)</f>
        <v>22601.005</v>
      </c>
    </row>
    <row r="204" spans="1:7" ht="15">
      <c r="A204" s="12" t="s">
        <v>0</v>
      </c>
      <c r="B204" s="13" t="s">
        <v>0</v>
      </c>
      <c r="C204" s="13" t="s">
        <v>143</v>
      </c>
      <c r="D204" s="13" t="s">
        <v>29</v>
      </c>
      <c r="E204" s="80">
        <f>1.015</f>
        <v>1.015</v>
      </c>
      <c r="F204" s="81">
        <f>'Gia VL'!Q12</f>
        <v>22267</v>
      </c>
      <c r="G204" s="82">
        <f>ROUND(E204*F204,5)</f>
        <v>22601.005</v>
      </c>
    </row>
    <row r="205" spans="1:7" ht="15.75">
      <c r="A205" s="12" t="s">
        <v>0</v>
      </c>
      <c r="B205" s="13" t="s">
        <v>0</v>
      </c>
      <c r="C205" s="13" t="s">
        <v>384</v>
      </c>
      <c r="D205" s="13" t="s">
        <v>0</v>
      </c>
      <c r="E205" s="80"/>
      <c r="F205" s="81"/>
      <c r="G205" s="83">
        <f>ROUND(SUM(G206:G209),5)</f>
        <v>3278.6</v>
      </c>
    </row>
    <row r="206" spans="1:7" ht="15">
      <c r="A206" s="12" t="s">
        <v>0</v>
      </c>
      <c r="B206" s="13" t="s">
        <v>0</v>
      </c>
      <c r="C206" s="13" t="s">
        <v>30</v>
      </c>
      <c r="D206" s="13" t="s">
        <v>8</v>
      </c>
      <c r="E206" s="80">
        <f>0.013</f>
        <v>0.013</v>
      </c>
      <c r="F206" s="81">
        <f>'Gia NC,CM'!P11</f>
        <v>252200</v>
      </c>
      <c r="G206" s="82">
        <f>ROUND(E206*F206,5)</f>
        <v>3278.6</v>
      </c>
    </row>
    <row r="207" spans="1:7" ht="15">
      <c r="A207" s="12" t="s">
        <v>0</v>
      </c>
      <c r="B207" s="13" t="s">
        <v>0</v>
      </c>
      <c r="C207" s="13" t="s">
        <v>0</v>
      </c>
      <c r="D207" s="13" t="s">
        <v>0</v>
      </c>
      <c r="E207" s="80"/>
      <c r="F207" s="81"/>
      <c r="G207" s="82"/>
    </row>
    <row r="208" spans="1:7" ht="15">
      <c r="A208" s="12" t="s">
        <v>144</v>
      </c>
      <c r="B208" s="13" t="s">
        <v>145</v>
      </c>
      <c r="C208" s="13" t="s">
        <v>146</v>
      </c>
      <c r="D208" s="13" t="s">
        <v>27</v>
      </c>
      <c r="E208" s="80"/>
      <c r="F208" s="81"/>
      <c r="G208" s="82"/>
    </row>
    <row r="209" spans="1:7" ht="15">
      <c r="A209" s="12" t="s">
        <v>0</v>
      </c>
      <c r="B209" s="13" t="s">
        <v>0</v>
      </c>
      <c r="C209" s="13" t="s">
        <v>147</v>
      </c>
      <c r="D209" s="13" t="s">
        <v>0</v>
      </c>
      <c r="E209" s="80"/>
      <c r="F209" s="81"/>
      <c r="G209" s="82"/>
    </row>
    <row r="210" spans="1:7" ht="15.75">
      <c r="A210" s="12" t="s">
        <v>0</v>
      </c>
      <c r="B210" s="13" t="s">
        <v>0</v>
      </c>
      <c r="C210" s="13" t="s">
        <v>386</v>
      </c>
      <c r="D210" s="13" t="s">
        <v>0</v>
      </c>
      <c r="E210" s="80"/>
      <c r="F210" s="81"/>
      <c r="G210" s="83">
        <f>ROUND(SUM(G211:G211),5)</f>
        <v>278432.77</v>
      </c>
    </row>
    <row r="211" spans="1:7" ht="15">
      <c r="A211" s="12" t="s">
        <v>0</v>
      </c>
      <c r="B211" s="13" t="s">
        <v>0</v>
      </c>
      <c r="C211" s="13" t="s">
        <v>148</v>
      </c>
      <c r="D211" s="13" t="s">
        <v>29</v>
      </c>
      <c r="E211" s="80">
        <f>1.015</f>
        <v>1.015</v>
      </c>
      <c r="F211" s="81">
        <f>'Gia VL'!Q11</f>
        <v>274318</v>
      </c>
      <c r="G211" s="82">
        <f>ROUND(E211*F211,5)</f>
        <v>278432.77</v>
      </c>
    </row>
    <row r="212" spans="1:7" ht="15.75">
      <c r="A212" s="12" t="s">
        <v>0</v>
      </c>
      <c r="B212" s="13" t="s">
        <v>0</v>
      </c>
      <c r="C212" s="13" t="s">
        <v>384</v>
      </c>
      <c r="D212" s="13" t="s">
        <v>0</v>
      </c>
      <c r="E212" s="80"/>
      <c r="F212" s="81"/>
      <c r="G212" s="83">
        <f>ROUND(SUM(G213:G215),5)</f>
        <v>2471.56</v>
      </c>
    </row>
    <row r="213" spans="1:7" ht="15">
      <c r="A213" s="12" t="s">
        <v>0</v>
      </c>
      <c r="B213" s="13" t="s">
        <v>0</v>
      </c>
      <c r="C213" s="13" t="s">
        <v>30</v>
      </c>
      <c r="D213" s="13" t="s">
        <v>8</v>
      </c>
      <c r="E213" s="80">
        <f>0.0098</f>
        <v>0.0098</v>
      </c>
      <c r="F213" s="81">
        <f>'Gia NC,CM'!P11</f>
        <v>252200</v>
      </c>
      <c r="G213" s="82">
        <f>ROUND(E213*F213,5)</f>
        <v>2471.56</v>
      </c>
    </row>
    <row r="214" spans="1:7" ht="15">
      <c r="A214" s="12" t="s">
        <v>0</v>
      </c>
      <c r="B214" s="13" t="s">
        <v>0</v>
      </c>
      <c r="C214" s="13" t="s">
        <v>0</v>
      </c>
      <c r="D214" s="13" t="s">
        <v>0</v>
      </c>
      <c r="E214" s="80"/>
      <c r="F214" s="81"/>
      <c r="G214" s="82"/>
    </row>
    <row r="215" spans="1:7" ht="15">
      <c r="A215" s="12" t="s">
        <v>149</v>
      </c>
      <c r="B215" s="13" t="s">
        <v>150</v>
      </c>
      <c r="C215" s="13" t="s">
        <v>151</v>
      </c>
      <c r="D215" s="13" t="s">
        <v>152</v>
      </c>
      <c r="E215" s="80"/>
      <c r="F215" s="81"/>
      <c r="G215" s="82"/>
    </row>
    <row r="216" spans="1:7" ht="15.75">
      <c r="A216" s="12" t="s">
        <v>0</v>
      </c>
      <c r="B216" s="13" t="s">
        <v>0</v>
      </c>
      <c r="C216" s="13" t="s">
        <v>385</v>
      </c>
      <c r="D216" s="13" t="s">
        <v>0</v>
      </c>
      <c r="E216" s="80"/>
      <c r="F216" s="81"/>
      <c r="G216" s="83">
        <f>ROUND(SUM(G217:G222),5)</f>
        <v>354000</v>
      </c>
    </row>
    <row r="217" spans="1:7" ht="15">
      <c r="A217" s="12" t="s">
        <v>0</v>
      </c>
      <c r="B217" s="13" t="s">
        <v>0</v>
      </c>
      <c r="C217" s="13" t="s">
        <v>153</v>
      </c>
      <c r="D217" s="13" t="s">
        <v>110</v>
      </c>
      <c r="E217" s="80">
        <f>2</f>
        <v>2</v>
      </c>
      <c r="F217" s="81">
        <f>'Gia VL'!Q8</f>
        <v>87600</v>
      </c>
      <c r="G217" s="82">
        <f aca="true" t="shared" si="1" ref="G217:G222">ROUND(E217*F217,5)</f>
        <v>175200</v>
      </c>
    </row>
    <row r="218" spans="1:7" ht="15">
      <c r="A218" s="12" t="s">
        <v>0</v>
      </c>
      <c r="B218" s="13" t="s">
        <v>0</v>
      </c>
      <c r="C218" s="13" t="s">
        <v>154</v>
      </c>
      <c r="D218" s="13" t="s">
        <v>110</v>
      </c>
      <c r="E218" s="80">
        <f>1</f>
        <v>1</v>
      </c>
      <c r="F218" s="81">
        <f>'Gia VL'!Q10</f>
        <v>35000</v>
      </c>
      <c r="G218" s="82">
        <f t="shared" si="1"/>
        <v>35000</v>
      </c>
    </row>
    <row r="219" spans="1:7" ht="15">
      <c r="A219" s="12" t="s">
        <v>0</v>
      </c>
      <c r="B219" s="13" t="s">
        <v>0</v>
      </c>
      <c r="C219" s="13" t="s">
        <v>155</v>
      </c>
      <c r="D219" s="13" t="s">
        <v>110</v>
      </c>
      <c r="E219" s="80">
        <f>1</f>
        <v>1</v>
      </c>
      <c r="F219" s="81">
        <f>'Gia VL'!Q28</f>
        <v>45000</v>
      </c>
      <c r="G219" s="82">
        <f t="shared" si="1"/>
        <v>45000</v>
      </c>
    </row>
    <row r="220" spans="1:7" ht="15">
      <c r="A220" s="12" t="s">
        <v>0</v>
      </c>
      <c r="B220" s="13" t="s">
        <v>0</v>
      </c>
      <c r="C220" s="13" t="s">
        <v>156</v>
      </c>
      <c r="D220" s="13" t="s">
        <v>17</v>
      </c>
      <c r="E220" s="80">
        <f>1</f>
        <v>1</v>
      </c>
      <c r="F220" s="81">
        <f>'Gia VL'!Q9</f>
        <v>10000</v>
      </c>
      <c r="G220" s="82">
        <f t="shared" si="1"/>
        <v>10000</v>
      </c>
    </row>
    <row r="221" spans="1:7" ht="15">
      <c r="A221" s="12" t="s">
        <v>0</v>
      </c>
      <c r="B221" s="13" t="s">
        <v>0</v>
      </c>
      <c r="C221" s="13" t="s">
        <v>157</v>
      </c>
      <c r="D221" s="13" t="s">
        <v>110</v>
      </c>
      <c r="E221" s="80">
        <f>2</f>
        <v>2</v>
      </c>
      <c r="F221" s="81">
        <f>'Gia VL'!Q57</f>
        <v>7400</v>
      </c>
      <c r="G221" s="82">
        <f t="shared" si="1"/>
        <v>14800</v>
      </c>
    </row>
    <row r="222" spans="1:7" ht="15">
      <c r="A222" s="12" t="s">
        <v>0</v>
      </c>
      <c r="B222" s="13" t="s">
        <v>0</v>
      </c>
      <c r="C222" s="13" t="s">
        <v>109</v>
      </c>
      <c r="D222" s="13" t="s">
        <v>110</v>
      </c>
      <c r="E222" s="80">
        <f>8</f>
        <v>8</v>
      </c>
      <c r="F222" s="81">
        <f>'Gia VL'!Q56</f>
        <v>9250</v>
      </c>
      <c r="G222" s="82">
        <f t="shared" si="1"/>
        <v>74000</v>
      </c>
    </row>
    <row r="223" spans="1:7" ht="15.75">
      <c r="A223" s="12" t="s">
        <v>0</v>
      </c>
      <c r="B223" s="13" t="s">
        <v>0</v>
      </c>
      <c r="C223" s="13" t="s">
        <v>384</v>
      </c>
      <c r="D223" s="13" t="s">
        <v>0</v>
      </c>
      <c r="E223" s="80"/>
      <c r="F223" s="81"/>
      <c r="G223" s="83">
        <f>ROUND(SUM(G224:G226),5)</f>
        <v>25220</v>
      </c>
    </row>
    <row r="224" spans="1:7" ht="15">
      <c r="A224" s="12" t="s">
        <v>0</v>
      </c>
      <c r="B224" s="13" t="s">
        <v>0</v>
      </c>
      <c r="C224" s="13" t="s">
        <v>30</v>
      </c>
      <c r="D224" s="13" t="s">
        <v>8</v>
      </c>
      <c r="E224" s="80">
        <f>0.1</f>
        <v>0.1</v>
      </c>
      <c r="F224" s="81">
        <f>'Gia NC,CM'!P11</f>
        <v>252200</v>
      </c>
      <c r="G224" s="82">
        <f>ROUND(E224*F224,5)</f>
        <v>25220</v>
      </c>
    </row>
    <row r="225" spans="1:7" ht="15">
      <c r="A225" s="12" t="s">
        <v>0</v>
      </c>
      <c r="B225" s="13" t="s">
        <v>0</v>
      </c>
      <c r="C225" s="13" t="s">
        <v>0</v>
      </c>
      <c r="D225" s="13" t="s">
        <v>0</v>
      </c>
      <c r="E225" s="80"/>
      <c r="F225" s="81"/>
      <c r="G225" s="82"/>
    </row>
    <row r="226" spans="1:7" ht="15">
      <c r="A226" s="12" t="s">
        <v>158</v>
      </c>
      <c r="B226" s="13" t="s">
        <v>159</v>
      </c>
      <c r="C226" s="13" t="s">
        <v>160</v>
      </c>
      <c r="D226" s="13" t="s">
        <v>152</v>
      </c>
      <c r="E226" s="80"/>
      <c r="F226" s="81"/>
      <c r="G226" s="82"/>
    </row>
    <row r="227" spans="1:7" ht="15.75">
      <c r="A227" s="12" t="s">
        <v>0</v>
      </c>
      <c r="B227" s="13" t="s">
        <v>0</v>
      </c>
      <c r="C227" s="13" t="s">
        <v>385</v>
      </c>
      <c r="D227" s="13" t="s">
        <v>0</v>
      </c>
      <c r="E227" s="80"/>
      <c r="F227" s="81"/>
      <c r="G227" s="83">
        <f>ROUND(SUM(G228:G233),5)</f>
        <v>309600</v>
      </c>
    </row>
    <row r="228" spans="1:7" ht="15">
      <c r="A228" s="12" t="s">
        <v>0</v>
      </c>
      <c r="B228" s="13" t="s">
        <v>0</v>
      </c>
      <c r="C228" s="13" t="s">
        <v>153</v>
      </c>
      <c r="D228" s="13" t="s">
        <v>110</v>
      </c>
      <c r="E228" s="80">
        <f>2</f>
        <v>2</v>
      </c>
      <c r="F228" s="81">
        <f>'Gia VL'!Q8</f>
        <v>87600</v>
      </c>
      <c r="G228" s="82">
        <f aca="true" t="shared" si="2" ref="G228:G233">ROUND(E228*F228,5)</f>
        <v>175200</v>
      </c>
    </row>
    <row r="229" spans="1:7" ht="15">
      <c r="A229" s="12" t="s">
        <v>0</v>
      </c>
      <c r="B229" s="13" t="s">
        <v>0</v>
      </c>
      <c r="C229" s="13" t="s">
        <v>154</v>
      </c>
      <c r="D229" s="13" t="s">
        <v>110</v>
      </c>
      <c r="E229" s="80">
        <f>1</f>
        <v>1</v>
      </c>
      <c r="F229" s="81">
        <f>'Gia VL'!Q10</f>
        <v>35000</v>
      </c>
      <c r="G229" s="82">
        <f t="shared" si="2"/>
        <v>35000</v>
      </c>
    </row>
    <row r="230" spans="1:7" ht="15">
      <c r="A230" s="12" t="s">
        <v>0</v>
      </c>
      <c r="B230" s="13" t="s">
        <v>0</v>
      </c>
      <c r="C230" s="13" t="s">
        <v>155</v>
      </c>
      <c r="D230" s="13" t="s">
        <v>110</v>
      </c>
      <c r="E230" s="80">
        <f>1</f>
        <v>1</v>
      </c>
      <c r="F230" s="81">
        <f>'Gia VL'!Q28</f>
        <v>45000</v>
      </c>
      <c r="G230" s="82">
        <f t="shared" si="2"/>
        <v>45000</v>
      </c>
    </row>
    <row r="231" spans="1:7" ht="15">
      <c r="A231" s="12" t="s">
        <v>0</v>
      </c>
      <c r="B231" s="13" t="s">
        <v>0</v>
      </c>
      <c r="C231" s="13" t="s">
        <v>156</v>
      </c>
      <c r="D231" s="13" t="s">
        <v>17</v>
      </c>
      <c r="E231" s="80">
        <f>1</f>
        <v>1</v>
      </c>
      <c r="F231" s="81">
        <f>'Gia VL'!Q9</f>
        <v>10000</v>
      </c>
      <c r="G231" s="82">
        <f t="shared" si="2"/>
        <v>10000</v>
      </c>
    </row>
    <row r="232" spans="1:7" ht="15">
      <c r="A232" s="12" t="s">
        <v>0</v>
      </c>
      <c r="B232" s="13" t="s">
        <v>0</v>
      </c>
      <c r="C232" s="13" t="s">
        <v>157</v>
      </c>
      <c r="D232" s="13" t="s">
        <v>110</v>
      </c>
      <c r="E232" s="80">
        <f>1</f>
        <v>1</v>
      </c>
      <c r="F232" s="81">
        <f>'Gia VL'!Q57</f>
        <v>7400</v>
      </c>
      <c r="G232" s="82">
        <f t="shared" si="2"/>
        <v>7400</v>
      </c>
    </row>
    <row r="233" spans="1:7" ht="15">
      <c r="A233" s="12" t="s">
        <v>0</v>
      </c>
      <c r="B233" s="13" t="s">
        <v>0</v>
      </c>
      <c r="C233" s="13" t="s">
        <v>109</v>
      </c>
      <c r="D233" s="13" t="s">
        <v>110</v>
      </c>
      <c r="E233" s="80">
        <f>4</f>
        <v>4</v>
      </c>
      <c r="F233" s="81">
        <f>'Gia VL'!Q56</f>
        <v>9250</v>
      </c>
      <c r="G233" s="82">
        <f t="shared" si="2"/>
        <v>37000</v>
      </c>
    </row>
    <row r="234" spans="1:7" ht="15.75">
      <c r="A234" s="12" t="s">
        <v>0</v>
      </c>
      <c r="B234" s="13" t="s">
        <v>0</v>
      </c>
      <c r="C234" s="13" t="s">
        <v>384</v>
      </c>
      <c r="D234" s="13" t="s">
        <v>0</v>
      </c>
      <c r="E234" s="80"/>
      <c r="F234" s="81"/>
      <c r="G234" s="83">
        <f>ROUND(SUM(G235:G237),5)</f>
        <v>25220</v>
      </c>
    </row>
    <row r="235" spans="1:7" ht="15">
      <c r="A235" s="12" t="s">
        <v>0</v>
      </c>
      <c r="B235" s="13" t="s">
        <v>0</v>
      </c>
      <c r="C235" s="13" t="s">
        <v>30</v>
      </c>
      <c r="D235" s="13" t="s">
        <v>8</v>
      </c>
      <c r="E235" s="80">
        <f>0.1</f>
        <v>0.1</v>
      </c>
      <c r="F235" s="81">
        <f>'Gia NC,CM'!P11</f>
        <v>252200</v>
      </c>
      <c r="G235" s="82">
        <f>ROUND(E235*F235,5)</f>
        <v>25220</v>
      </c>
    </row>
    <row r="236" spans="1:7" ht="15">
      <c r="A236" s="12" t="s">
        <v>0</v>
      </c>
      <c r="B236" s="13" t="s">
        <v>0</v>
      </c>
      <c r="C236" s="13" t="s">
        <v>0</v>
      </c>
      <c r="D236" s="13" t="s">
        <v>0</v>
      </c>
      <c r="E236" s="80"/>
      <c r="F236" s="81"/>
      <c r="G236" s="82"/>
    </row>
    <row r="237" spans="1:7" ht="15">
      <c r="A237" s="12" t="s">
        <v>161</v>
      </c>
      <c r="B237" s="13" t="s">
        <v>162</v>
      </c>
      <c r="C237" s="13" t="s">
        <v>163</v>
      </c>
      <c r="D237" s="13" t="s">
        <v>164</v>
      </c>
      <c r="E237" s="80"/>
      <c r="F237" s="81"/>
      <c r="G237" s="82"/>
    </row>
    <row r="238" spans="1:7" ht="15.75">
      <c r="A238" s="12" t="s">
        <v>0</v>
      </c>
      <c r="B238" s="13" t="s">
        <v>0</v>
      </c>
      <c r="C238" s="13" t="s">
        <v>384</v>
      </c>
      <c r="D238" s="13" t="s">
        <v>0</v>
      </c>
      <c r="E238" s="80"/>
      <c r="F238" s="81"/>
      <c r="G238" s="83">
        <f>ROUND(SUM(G239:G241),5)</f>
        <v>32786</v>
      </c>
    </row>
    <row r="239" spans="1:7" ht="15">
      <c r="A239" s="12" t="s">
        <v>0</v>
      </c>
      <c r="B239" s="13" t="s">
        <v>0</v>
      </c>
      <c r="C239" s="13" t="s">
        <v>30</v>
      </c>
      <c r="D239" s="13" t="s">
        <v>8</v>
      </c>
      <c r="E239" s="80">
        <f>0.13</f>
        <v>0.13</v>
      </c>
      <c r="F239" s="81">
        <f>'Gia NC,CM'!P11</f>
        <v>252200</v>
      </c>
      <c r="G239" s="82">
        <f>ROUND(E239*F239,5)</f>
        <v>32786</v>
      </c>
    </row>
    <row r="240" spans="1:7" ht="15">
      <c r="A240" s="12" t="s">
        <v>0</v>
      </c>
      <c r="B240" s="13" t="s">
        <v>0</v>
      </c>
      <c r="C240" s="13" t="s">
        <v>0</v>
      </c>
      <c r="D240" s="13" t="s">
        <v>0</v>
      </c>
      <c r="E240" s="80"/>
      <c r="F240" s="81"/>
      <c r="G240" s="82"/>
    </row>
    <row r="241" spans="1:7" ht="15">
      <c r="A241" s="12" t="s">
        <v>165</v>
      </c>
      <c r="B241" s="13" t="s">
        <v>166</v>
      </c>
      <c r="C241" s="13" t="s">
        <v>167</v>
      </c>
      <c r="D241" s="13" t="s">
        <v>168</v>
      </c>
      <c r="E241" s="80"/>
      <c r="F241" s="81"/>
      <c r="G241" s="82"/>
    </row>
    <row r="242" spans="1:7" ht="15.75">
      <c r="A242" s="12" t="s">
        <v>0</v>
      </c>
      <c r="B242" s="13" t="s">
        <v>0</v>
      </c>
      <c r="C242" s="13" t="s">
        <v>385</v>
      </c>
      <c r="D242" s="13" t="s">
        <v>0</v>
      </c>
      <c r="E242" s="80"/>
      <c r="F242" s="81"/>
      <c r="G242" s="83">
        <f>ROUND(SUM(G243:G243),5)</f>
        <v>15000</v>
      </c>
    </row>
    <row r="243" spans="1:7" ht="15">
      <c r="A243" s="12" t="s">
        <v>0</v>
      </c>
      <c r="B243" s="13" t="s">
        <v>0</v>
      </c>
      <c r="C243" s="13" t="s">
        <v>169</v>
      </c>
      <c r="D243" s="13" t="s">
        <v>110</v>
      </c>
      <c r="E243" s="80">
        <f>1</f>
        <v>1</v>
      </c>
      <c r="F243" s="81">
        <f>'Gia VL'!Q30</f>
        <v>15000</v>
      </c>
      <c r="G243" s="82">
        <f>ROUND(E243*F243,5)</f>
        <v>15000</v>
      </c>
    </row>
    <row r="244" spans="1:7" ht="15.75">
      <c r="A244" s="12" t="s">
        <v>0</v>
      </c>
      <c r="B244" s="13" t="s">
        <v>0</v>
      </c>
      <c r="C244" s="13" t="s">
        <v>384</v>
      </c>
      <c r="D244" s="13" t="s">
        <v>0</v>
      </c>
      <c r="E244" s="80"/>
      <c r="F244" s="81"/>
      <c r="G244" s="83">
        <f>ROUND(SUM(G245:G245),5)</f>
        <v>50440</v>
      </c>
    </row>
    <row r="245" spans="1:7" ht="15">
      <c r="A245" s="12" t="s">
        <v>0</v>
      </c>
      <c r="B245" s="13" t="s">
        <v>0</v>
      </c>
      <c r="C245" s="13" t="s">
        <v>30</v>
      </c>
      <c r="D245" s="13" t="s">
        <v>8</v>
      </c>
      <c r="E245" s="80">
        <f>0.2</f>
        <v>0.2</v>
      </c>
      <c r="F245" s="81">
        <f>'Gia NC,CM'!P11</f>
        <v>252200</v>
      </c>
      <c r="G245" s="82">
        <f>ROUND(E245*F245,5)</f>
        <v>50440</v>
      </c>
    </row>
    <row r="246" spans="1:7" ht="15.75">
      <c r="A246" s="12" t="s">
        <v>0</v>
      </c>
      <c r="B246" s="13" t="s">
        <v>0</v>
      </c>
      <c r="C246" s="13" t="s">
        <v>383</v>
      </c>
      <c r="D246" s="13" t="s">
        <v>0</v>
      </c>
      <c r="E246" s="80"/>
      <c r="F246" s="81"/>
      <c r="G246" s="83">
        <f>ROUND(SUM(G247:G249),5)</f>
        <v>40941.83</v>
      </c>
    </row>
    <row r="247" spans="1:7" ht="15">
      <c r="A247" s="12" t="s">
        <v>0</v>
      </c>
      <c r="B247" s="13" t="s">
        <v>0</v>
      </c>
      <c r="C247" s="13" t="s">
        <v>102</v>
      </c>
      <c r="D247" s="13" t="s">
        <v>10</v>
      </c>
      <c r="E247" s="80">
        <f>0.1</f>
        <v>0.1</v>
      </c>
      <c r="F247" s="81">
        <f>'Gia NC,CM'!P17</f>
        <v>409418.3</v>
      </c>
      <c r="G247" s="82">
        <f>ROUND(E247*F247,5)</f>
        <v>40941.83</v>
      </c>
    </row>
    <row r="248" spans="1:7" ht="15">
      <c r="A248" s="12" t="s">
        <v>0</v>
      </c>
      <c r="B248" s="13" t="s">
        <v>0</v>
      </c>
      <c r="C248" s="13" t="s">
        <v>0</v>
      </c>
      <c r="D248" s="13" t="s">
        <v>0</v>
      </c>
      <c r="E248" s="80"/>
      <c r="F248" s="81"/>
      <c r="G248" s="82"/>
    </row>
    <row r="249" spans="1:7" ht="15">
      <c r="A249" s="12" t="s">
        <v>170</v>
      </c>
      <c r="B249" s="13" t="s">
        <v>171</v>
      </c>
      <c r="C249" s="13" t="s">
        <v>172</v>
      </c>
      <c r="D249" s="13" t="s">
        <v>173</v>
      </c>
      <c r="E249" s="80"/>
      <c r="F249" s="81"/>
      <c r="G249" s="82"/>
    </row>
    <row r="250" spans="1:7" ht="15.75">
      <c r="A250" s="12" t="s">
        <v>0</v>
      </c>
      <c r="B250" s="13" t="s">
        <v>0</v>
      </c>
      <c r="C250" s="13" t="s">
        <v>385</v>
      </c>
      <c r="D250" s="13" t="s">
        <v>0</v>
      </c>
      <c r="E250" s="80"/>
      <c r="F250" s="81"/>
      <c r="G250" s="83">
        <f>ROUND(SUM(G251:G251),5)</f>
        <v>212400</v>
      </c>
    </row>
    <row r="251" spans="1:7" ht="15">
      <c r="A251" s="12" t="s">
        <v>0</v>
      </c>
      <c r="B251" s="13" t="s">
        <v>0</v>
      </c>
      <c r="C251" s="13" t="s">
        <v>174</v>
      </c>
      <c r="D251" s="13" t="s">
        <v>29</v>
      </c>
      <c r="E251" s="80">
        <f>8</f>
        <v>8</v>
      </c>
      <c r="F251" s="81">
        <f>'Gia VL'!Q31</f>
        <v>26550</v>
      </c>
      <c r="G251" s="82">
        <f>ROUND(E251*F251,5)</f>
        <v>212400</v>
      </c>
    </row>
    <row r="252" spans="1:7" ht="15.75">
      <c r="A252" s="12" t="s">
        <v>0</v>
      </c>
      <c r="B252" s="13" t="s">
        <v>0</v>
      </c>
      <c r="C252" s="13" t="s">
        <v>384</v>
      </c>
      <c r="D252" s="13" t="s">
        <v>0</v>
      </c>
      <c r="E252" s="80"/>
      <c r="F252" s="81"/>
      <c r="G252" s="83">
        <f>ROUND(SUM(G253:G254),5)</f>
        <v>181207.8</v>
      </c>
    </row>
    <row r="253" spans="1:7" ht="15">
      <c r="A253" s="12" t="s">
        <v>0</v>
      </c>
      <c r="B253" s="13" t="s">
        <v>0</v>
      </c>
      <c r="C253" s="13" t="s">
        <v>175</v>
      </c>
      <c r="D253" s="13" t="s">
        <v>8</v>
      </c>
      <c r="E253" s="80">
        <f>0.69</f>
        <v>0.69</v>
      </c>
      <c r="F253" s="81">
        <f>'Gia NC,CM'!P8</f>
        <v>262620</v>
      </c>
      <c r="G253" s="82">
        <f>ROUND(E253*F253,5)</f>
        <v>181207.8</v>
      </c>
    </row>
    <row r="254" spans="1:7" ht="15">
      <c r="A254" s="12" t="s">
        <v>0</v>
      </c>
      <c r="B254" s="13" t="s">
        <v>0</v>
      </c>
      <c r="C254" s="13" t="s">
        <v>61</v>
      </c>
      <c r="D254" s="13" t="s">
        <v>8</v>
      </c>
      <c r="E254" s="80">
        <f>0.54</f>
        <v>0.54</v>
      </c>
      <c r="F254" s="81">
        <f>'Gia NC,CM'!P13</f>
        <v>0</v>
      </c>
      <c r="G254" s="82">
        <f>ROUND(E254*F254,5)</f>
        <v>0</v>
      </c>
    </row>
    <row r="255" spans="1:7" ht="15.75">
      <c r="A255" s="12" t="s">
        <v>0</v>
      </c>
      <c r="B255" s="13" t="s">
        <v>0</v>
      </c>
      <c r="C255" s="13" t="s">
        <v>383</v>
      </c>
      <c r="D255" s="13" t="s">
        <v>0</v>
      </c>
      <c r="E255" s="80"/>
      <c r="F255" s="81"/>
      <c r="G255" s="83">
        <f>ROUND(SUM(G256:G259),5)</f>
        <v>18916.29</v>
      </c>
    </row>
    <row r="256" spans="1:7" ht="15">
      <c r="A256" s="12" t="s">
        <v>0</v>
      </c>
      <c r="B256" s="13" t="s">
        <v>0</v>
      </c>
      <c r="C256" s="13" t="s">
        <v>176</v>
      </c>
      <c r="D256" s="13" t="s">
        <v>10</v>
      </c>
      <c r="E256" s="80">
        <f>0.281</f>
        <v>0.281</v>
      </c>
      <c r="F256" s="81">
        <f>'Gia NC,CM'!P15</f>
        <v>48609</v>
      </c>
      <c r="G256" s="82">
        <f>ROUND(E256*F256,5)</f>
        <v>13659.129</v>
      </c>
    </row>
    <row r="257" spans="1:7" ht="15">
      <c r="A257" s="12" t="s">
        <v>0</v>
      </c>
      <c r="B257" s="13" t="s">
        <v>0</v>
      </c>
      <c r="C257" s="13" t="s">
        <v>177</v>
      </c>
      <c r="D257" s="13" t="s">
        <v>10</v>
      </c>
      <c r="E257" s="80">
        <f>0.063</f>
        <v>0.063</v>
      </c>
      <c r="F257" s="81">
        <f>'Gia NC,CM'!P21</f>
        <v>83447</v>
      </c>
      <c r="G257" s="82">
        <f>ROUND(E257*F257,5)</f>
        <v>5257.161</v>
      </c>
    </row>
    <row r="258" spans="1:7" ht="15">
      <c r="A258" s="12" t="s">
        <v>179</v>
      </c>
      <c r="B258" s="13" t="s">
        <v>180</v>
      </c>
      <c r="C258" s="13" t="s">
        <v>181</v>
      </c>
      <c r="D258" s="13" t="s">
        <v>182</v>
      </c>
      <c r="E258" s="80"/>
      <c r="F258" s="81"/>
      <c r="G258" s="82"/>
    </row>
    <row r="259" spans="1:7" ht="15">
      <c r="A259" s="12" t="s">
        <v>0</v>
      </c>
      <c r="B259" s="13" t="s">
        <v>0</v>
      </c>
      <c r="C259" s="13" t="s">
        <v>183</v>
      </c>
      <c r="D259" s="13" t="s">
        <v>0</v>
      </c>
      <c r="E259" s="80"/>
      <c r="F259" s="81"/>
      <c r="G259" s="82"/>
    </row>
    <row r="260" spans="1:7" ht="15.75">
      <c r="A260" s="12" t="s">
        <v>0</v>
      </c>
      <c r="B260" s="13" t="s">
        <v>0</v>
      </c>
      <c r="C260" s="13" t="s">
        <v>382</v>
      </c>
      <c r="D260" s="13" t="s">
        <v>0</v>
      </c>
      <c r="E260" s="80"/>
      <c r="F260" s="81"/>
      <c r="G260" s="83">
        <f>ROUND(SUM(G261:G264),5)</f>
        <v>46932.9876</v>
      </c>
    </row>
    <row r="261" spans="1:7" ht="15">
      <c r="A261" s="12" t="s">
        <v>0</v>
      </c>
      <c r="B261" s="13" t="s">
        <v>0</v>
      </c>
      <c r="C261" s="13" t="s">
        <v>184</v>
      </c>
      <c r="D261" s="13" t="s">
        <v>10</v>
      </c>
      <c r="E261" s="80">
        <f>0.027</f>
        <v>0.027</v>
      </c>
      <c r="F261" s="81">
        <f>'Gia NC,CM'!P28</f>
        <v>1738258.8</v>
      </c>
      <c r="G261" s="82">
        <f>ROUND(E261*F261,5)</f>
        <v>46932.9876</v>
      </c>
    </row>
    <row r="262" spans="1:7" ht="15">
      <c r="A262" s="12" t="s">
        <v>0</v>
      </c>
      <c r="B262" s="13" t="s">
        <v>0</v>
      </c>
      <c r="C262" s="13" t="s">
        <v>0</v>
      </c>
      <c r="D262" s="13" t="s">
        <v>0</v>
      </c>
      <c r="E262" s="80"/>
      <c r="F262" s="81"/>
      <c r="G262" s="82"/>
    </row>
    <row r="263" spans="1:7" ht="15">
      <c r="A263" s="12" t="s">
        <v>185</v>
      </c>
      <c r="B263" s="13" t="s">
        <v>186</v>
      </c>
      <c r="C263" s="13" t="s">
        <v>181</v>
      </c>
      <c r="D263" s="13" t="s">
        <v>182</v>
      </c>
      <c r="E263" s="80"/>
      <c r="F263" s="81"/>
      <c r="G263" s="82"/>
    </row>
    <row r="264" spans="1:7" ht="15">
      <c r="A264" s="12" t="s">
        <v>0</v>
      </c>
      <c r="B264" s="13" t="s">
        <v>0</v>
      </c>
      <c r="C264" s="13" t="s">
        <v>187</v>
      </c>
      <c r="D264" s="13" t="s">
        <v>0</v>
      </c>
      <c r="E264" s="80"/>
      <c r="F264" s="81"/>
      <c r="G264" s="82"/>
    </row>
    <row r="265" spans="1:7" ht="15.75">
      <c r="A265" s="12" t="s">
        <v>0</v>
      </c>
      <c r="B265" s="13" t="s">
        <v>0</v>
      </c>
      <c r="C265" s="13" t="s">
        <v>382</v>
      </c>
      <c r="D265" s="13" t="s">
        <v>0</v>
      </c>
      <c r="E265" s="80"/>
      <c r="F265" s="81"/>
      <c r="G265" s="83">
        <f>ROUND(SUM(G266:G269),5)</f>
        <v>33026.9172</v>
      </c>
    </row>
    <row r="266" spans="1:7" ht="15">
      <c r="A266" s="12" t="s">
        <v>0</v>
      </c>
      <c r="B266" s="13" t="s">
        <v>0</v>
      </c>
      <c r="C266" s="13" t="s">
        <v>184</v>
      </c>
      <c r="D266" s="13" t="s">
        <v>10</v>
      </c>
      <c r="E266" s="80">
        <f>0.019</f>
        <v>0.019</v>
      </c>
      <c r="F266" s="81">
        <f>'Gia NC,CM'!P28</f>
        <v>1738258.8</v>
      </c>
      <c r="G266" s="82">
        <f>ROUND(E266*F266,5)</f>
        <v>33026.9172</v>
      </c>
    </row>
    <row r="267" spans="1:7" ht="15">
      <c r="A267" s="12" t="s">
        <v>0</v>
      </c>
      <c r="B267" s="13" t="s">
        <v>0</v>
      </c>
      <c r="C267" s="13" t="s">
        <v>0</v>
      </c>
      <c r="D267" s="13" t="s">
        <v>0</v>
      </c>
      <c r="E267" s="80"/>
      <c r="F267" s="81"/>
      <c r="G267" s="82"/>
    </row>
    <row r="268" spans="1:7" ht="15">
      <c r="A268" s="12" t="s">
        <v>188</v>
      </c>
      <c r="B268" s="13" t="s">
        <v>189</v>
      </c>
      <c r="C268" s="13" t="s">
        <v>181</v>
      </c>
      <c r="D268" s="13" t="s">
        <v>182</v>
      </c>
      <c r="E268" s="80"/>
      <c r="F268" s="81"/>
      <c r="G268" s="82"/>
    </row>
    <row r="269" spans="1:7" ht="15">
      <c r="A269" s="12" t="s">
        <v>0</v>
      </c>
      <c r="B269" s="13" t="s">
        <v>0</v>
      </c>
      <c r="C269" s="13" t="s">
        <v>190</v>
      </c>
      <c r="D269" s="13" t="s">
        <v>0</v>
      </c>
      <c r="E269" s="80"/>
      <c r="F269" s="81"/>
      <c r="G269" s="82"/>
    </row>
    <row r="270" spans="1:7" ht="15.75">
      <c r="A270" s="12" t="s">
        <v>0</v>
      </c>
      <c r="B270" s="13" t="s">
        <v>0</v>
      </c>
      <c r="C270" s="13" t="s">
        <v>382</v>
      </c>
      <c r="D270" s="13" t="s">
        <v>0</v>
      </c>
      <c r="E270" s="80"/>
      <c r="F270" s="81"/>
      <c r="G270" s="83">
        <f>ROUND(SUM(G271:G274),5)</f>
        <v>24335.6232</v>
      </c>
    </row>
    <row r="271" spans="1:7" ht="15">
      <c r="A271" s="12" t="s">
        <v>0</v>
      </c>
      <c r="B271" s="13" t="s">
        <v>0</v>
      </c>
      <c r="C271" s="13" t="s">
        <v>184</v>
      </c>
      <c r="D271" s="13" t="s">
        <v>10</v>
      </c>
      <c r="E271" s="80">
        <f>0.014</f>
        <v>0.014</v>
      </c>
      <c r="F271" s="81">
        <f>'Gia NC,CM'!P28</f>
        <v>1738258.8</v>
      </c>
      <c r="G271" s="82">
        <f>ROUND(E271*F271,5)</f>
        <v>24335.6232</v>
      </c>
    </row>
    <row r="272" spans="1:7" ht="15">
      <c r="A272" s="12" t="s">
        <v>0</v>
      </c>
      <c r="B272" s="13" t="s">
        <v>0</v>
      </c>
      <c r="C272" s="13" t="s">
        <v>0</v>
      </c>
      <c r="D272" s="13" t="s">
        <v>0</v>
      </c>
      <c r="E272" s="80"/>
      <c r="F272" s="81"/>
      <c r="G272" s="82"/>
    </row>
    <row r="273" spans="1:7" ht="15">
      <c r="A273" s="12" t="s">
        <v>191</v>
      </c>
      <c r="B273" s="13" t="s">
        <v>192</v>
      </c>
      <c r="C273" s="13" t="s">
        <v>193</v>
      </c>
      <c r="D273" s="13" t="s">
        <v>182</v>
      </c>
      <c r="E273" s="80"/>
      <c r="F273" s="81"/>
      <c r="G273" s="82"/>
    </row>
    <row r="274" spans="1:7" ht="15">
      <c r="A274" s="12" t="s">
        <v>0</v>
      </c>
      <c r="B274" s="13" t="s">
        <v>0</v>
      </c>
      <c r="C274" s="13" t="s">
        <v>183</v>
      </c>
      <c r="D274" s="13" t="s">
        <v>0</v>
      </c>
      <c r="E274" s="80"/>
      <c r="F274" s="81"/>
      <c r="G274" s="82"/>
    </row>
    <row r="275" spans="1:7" ht="15.75">
      <c r="A275" s="12" t="s">
        <v>0</v>
      </c>
      <c r="B275" s="13" t="s">
        <v>0</v>
      </c>
      <c r="C275" s="13" t="s">
        <v>382</v>
      </c>
      <c r="D275" s="13" t="s">
        <v>0</v>
      </c>
      <c r="E275" s="80"/>
      <c r="F275" s="81"/>
      <c r="G275" s="83">
        <f>ROUND(SUM(G276:G279),5)</f>
        <v>59100.7992</v>
      </c>
    </row>
    <row r="276" spans="1:7" ht="15">
      <c r="A276" s="12" t="s">
        <v>0</v>
      </c>
      <c r="B276" s="13" t="s">
        <v>0</v>
      </c>
      <c r="C276" s="13" t="s">
        <v>184</v>
      </c>
      <c r="D276" s="13" t="s">
        <v>10</v>
      </c>
      <c r="E276" s="80">
        <f>0.034</f>
        <v>0.034</v>
      </c>
      <c r="F276" s="81">
        <f>'Gia NC,CM'!P28</f>
        <v>1738258.8</v>
      </c>
      <c r="G276" s="82">
        <f>ROUND(E276*F276,5)</f>
        <v>59100.7992</v>
      </c>
    </row>
    <row r="277" spans="1:7" ht="15">
      <c r="A277" s="12" t="s">
        <v>0</v>
      </c>
      <c r="B277" s="13" t="s">
        <v>0</v>
      </c>
      <c r="C277" s="13" t="s">
        <v>0</v>
      </c>
      <c r="D277" s="13" t="s">
        <v>0</v>
      </c>
      <c r="E277" s="80"/>
      <c r="F277" s="81"/>
      <c r="G277" s="82"/>
    </row>
    <row r="278" spans="1:7" ht="15">
      <c r="A278" s="12" t="s">
        <v>194</v>
      </c>
      <c r="B278" s="13" t="s">
        <v>195</v>
      </c>
      <c r="C278" s="13" t="s">
        <v>193</v>
      </c>
      <c r="D278" s="13" t="s">
        <v>182</v>
      </c>
      <c r="E278" s="80"/>
      <c r="F278" s="81"/>
      <c r="G278" s="82"/>
    </row>
    <row r="279" spans="1:7" ht="15">
      <c r="A279" s="12" t="s">
        <v>0</v>
      </c>
      <c r="B279" s="13" t="s">
        <v>0</v>
      </c>
      <c r="C279" s="13" t="s">
        <v>187</v>
      </c>
      <c r="D279" s="13" t="s">
        <v>0</v>
      </c>
      <c r="E279" s="80"/>
      <c r="F279" s="81"/>
      <c r="G279" s="82"/>
    </row>
    <row r="280" spans="1:7" ht="15.75">
      <c r="A280" s="12" t="s">
        <v>0</v>
      </c>
      <c r="B280" s="13" t="s">
        <v>0</v>
      </c>
      <c r="C280" s="13" t="s">
        <v>382</v>
      </c>
      <c r="D280" s="13" t="s">
        <v>0</v>
      </c>
      <c r="E280" s="80"/>
      <c r="F280" s="81"/>
      <c r="G280" s="83">
        <f>ROUND(SUM(G281:G284),5)</f>
        <v>43456.47</v>
      </c>
    </row>
    <row r="281" spans="1:7" ht="15">
      <c r="A281" s="12" t="s">
        <v>0</v>
      </c>
      <c r="B281" s="13" t="s">
        <v>0</v>
      </c>
      <c r="C281" s="13" t="s">
        <v>184</v>
      </c>
      <c r="D281" s="13" t="s">
        <v>10</v>
      </c>
      <c r="E281" s="80">
        <f>0.025</f>
        <v>0.025</v>
      </c>
      <c r="F281" s="81">
        <f>'Gia NC,CM'!P28</f>
        <v>1738258.8</v>
      </c>
      <c r="G281" s="82">
        <f>ROUND(E281*F281,5)</f>
        <v>43456.47</v>
      </c>
    </row>
    <row r="282" spans="1:7" ht="15">
      <c r="A282" s="12" t="s">
        <v>0</v>
      </c>
      <c r="B282" s="13" t="s">
        <v>0</v>
      </c>
      <c r="C282" s="13" t="s">
        <v>0</v>
      </c>
      <c r="D282" s="13" t="s">
        <v>0</v>
      </c>
      <c r="E282" s="80"/>
      <c r="F282" s="81"/>
      <c r="G282" s="82"/>
    </row>
    <row r="283" spans="1:7" ht="15">
      <c r="A283" s="12" t="s">
        <v>196</v>
      </c>
      <c r="B283" s="13" t="s">
        <v>197</v>
      </c>
      <c r="C283" s="13" t="s">
        <v>193</v>
      </c>
      <c r="D283" s="13" t="s">
        <v>182</v>
      </c>
      <c r="E283" s="80"/>
      <c r="F283" s="81"/>
      <c r="G283" s="82"/>
    </row>
    <row r="284" spans="1:7" ht="15">
      <c r="A284" s="12" t="s">
        <v>0</v>
      </c>
      <c r="B284" s="13" t="s">
        <v>0</v>
      </c>
      <c r="C284" s="13" t="s">
        <v>190</v>
      </c>
      <c r="D284" s="13" t="s">
        <v>0</v>
      </c>
      <c r="E284" s="80"/>
      <c r="F284" s="81"/>
      <c r="G284" s="82"/>
    </row>
    <row r="285" spans="1:7" ht="15.75">
      <c r="A285" s="12" t="s">
        <v>0</v>
      </c>
      <c r="B285" s="13" t="s">
        <v>0</v>
      </c>
      <c r="C285" s="13" t="s">
        <v>382</v>
      </c>
      <c r="D285" s="13" t="s">
        <v>0</v>
      </c>
      <c r="E285" s="80"/>
      <c r="F285" s="81"/>
      <c r="G285" s="83">
        <f>ROUND(SUM(G286:G289),5)</f>
        <v>31288.6584</v>
      </c>
    </row>
    <row r="286" spans="1:7" ht="15">
      <c r="A286" s="12" t="s">
        <v>0</v>
      </c>
      <c r="B286" s="13" t="s">
        <v>0</v>
      </c>
      <c r="C286" s="13" t="s">
        <v>184</v>
      </c>
      <c r="D286" s="13" t="s">
        <v>10</v>
      </c>
      <c r="E286" s="80">
        <f>0.018</f>
        <v>0.018</v>
      </c>
      <c r="F286" s="81">
        <f>'Gia NC,CM'!P28</f>
        <v>1738258.8</v>
      </c>
      <c r="G286" s="82">
        <f>ROUND(E286*F286,5)</f>
        <v>31288.6584</v>
      </c>
    </row>
    <row r="287" spans="1:7" ht="15">
      <c r="A287" s="12" t="s">
        <v>0</v>
      </c>
      <c r="B287" s="13" t="s">
        <v>0</v>
      </c>
      <c r="C287" s="13" t="s">
        <v>0</v>
      </c>
      <c r="D287" s="13" t="s">
        <v>0</v>
      </c>
      <c r="E287" s="80"/>
      <c r="F287" s="81"/>
      <c r="G287" s="82"/>
    </row>
    <row r="288" spans="1:7" ht="15">
      <c r="A288" s="12" t="s">
        <v>198</v>
      </c>
      <c r="B288" s="13" t="s">
        <v>199</v>
      </c>
      <c r="C288" s="13" t="s">
        <v>200</v>
      </c>
      <c r="D288" s="13" t="s">
        <v>201</v>
      </c>
      <c r="E288" s="80"/>
      <c r="F288" s="81"/>
      <c r="G288" s="82"/>
    </row>
    <row r="289" spans="1:7" ht="15">
      <c r="A289" s="12" t="s">
        <v>0</v>
      </c>
      <c r="B289" s="13" t="s">
        <v>0</v>
      </c>
      <c r="C289" s="13" t="s">
        <v>183</v>
      </c>
      <c r="D289" s="13" t="s">
        <v>0</v>
      </c>
      <c r="E289" s="80"/>
      <c r="F289" s="81"/>
      <c r="G289" s="82"/>
    </row>
    <row r="290" spans="1:7" ht="15.75">
      <c r="A290" s="12" t="s">
        <v>0</v>
      </c>
      <c r="B290" s="13" t="s">
        <v>0</v>
      </c>
      <c r="C290" s="13" t="s">
        <v>382</v>
      </c>
      <c r="D290" s="13" t="s">
        <v>0</v>
      </c>
      <c r="E290" s="80"/>
      <c r="F290" s="81"/>
      <c r="G290" s="83">
        <f>ROUND(SUM(G291:G294),5)</f>
        <v>27973.3938</v>
      </c>
    </row>
    <row r="291" spans="1:7" ht="15">
      <c r="A291" s="12" t="s">
        <v>0</v>
      </c>
      <c r="B291" s="13" t="s">
        <v>0</v>
      </c>
      <c r="C291" s="13" t="s">
        <v>202</v>
      </c>
      <c r="D291" s="13" t="s">
        <v>10</v>
      </c>
      <c r="E291" s="80">
        <f>0.022</f>
        <v>0.022</v>
      </c>
      <c r="F291" s="81">
        <f>'Gia NC,CM'!P29</f>
        <v>1271517.9</v>
      </c>
      <c r="G291" s="82">
        <f>ROUND(E291*F291,5)</f>
        <v>27973.3938</v>
      </c>
    </row>
    <row r="292" spans="1:7" ht="15">
      <c r="A292" s="12" t="s">
        <v>0</v>
      </c>
      <c r="B292" s="13" t="s">
        <v>0</v>
      </c>
      <c r="C292" s="13" t="s">
        <v>0</v>
      </c>
      <c r="D292" s="13" t="s">
        <v>0</v>
      </c>
      <c r="E292" s="80"/>
      <c r="F292" s="81"/>
      <c r="G292" s="82"/>
    </row>
    <row r="293" spans="1:7" ht="15">
      <c r="A293" s="12" t="s">
        <v>203</v>
      </c>
      <c r="B293" s="13" t="s">
        <v>204</v>
      </c>
      <c r="C293" s="13" t="s">
        <v>200</v>
      </c>
      <c r="D293" s="13" t="s">
        <v>201</v>
      </c>
      <c r="E293" s="80"/>
      <c r="F293" s="81"/>
      <c r="G293" s="82"/>
    </row>
    <row r="294" spans="1:7" ht="15">
      <c r="A294" s="12" t="s">
        <v>0</v>
      </c>
      <c r="B294" s="13" t="s">
        <v>0</v>
      </c>
      <c r="C294" s="13" t="s">
        <v>187</v>
      </c>
      <c r="D294" s="13" t="s">
        <v>0</v>
      </c>
      <c r="E294" s="80"/>
      <c r="F294" s="81"/>
      <c r="G294" s="82"/>
    </row>
    <row r="295" spans="1:7" ht="15.75">
      <c r="A295" s="12" t="s">
        <v>0</v>
      </c>
      <c r="B295" s="13" t="s">
        <v>0</v>
      </c>
      <c r="C295" s="13" t="s">
        <v>382</v>
      </c>
      <c r="D295" s="13" t="s">
        <v>0</v>
      </c>
      <c r="E295" s="80"/>
      <c r="F295" s="81"/>
      <c r="G295" s="83">
        <f>ROUND(SUM(G296:G299),5)</f>
        <v>20344.2864</v>
      </c>
    </row>
    <row r="296" spans="1:7" ht="15">
      <c r="A296" s="12" t="s">
        <v>0</v>
      </c>
      <c r="B296" s="13" t="s">
        <v>0</v>
      </c>
      <c r="C296" s="13" t="s">
        <v>202</v>
      </c>
      <c r="D296" s="13" t="s">
        <v>10</v>
      </c>
      <c r="E296" s="80">
        <f>0.016</f>
        <v>0.016</v>
      </c>
      <c r="F296" s="81">
        <f>'Gia NC,CM'!P29</f>
        <v>1271517.9</v>
      </c>
      <c r="G296" s="82">
        <f>ROUND(E296*F296,5)</f>
        <v>20344.2864</v>
      </c>
    </row>
    <row r="297" spans="1:7" ht="15">
      <c r="A297" s="12" t="s">
        <v>0</v>
      </c>
      <c r="B297" s="13" t="s">
        <v>0</v>
      </c>
      <c r="C297" s="13" t="s">
        <v>0</v>
      </c>
      <c r="D297" s="13" t="s">
        <v>0</v>
      </c>
      <c r="E297" s="80"/>
      <c r="F297" s="81"/>
      <c r="G297" s="82"/>
    </row>
    <row r="298" spans="1:7" ht="15">
      <c r="A298" s="12" t="s">
        <v>205</v>
      </c>
      <c r="B298" s="13" t="s">
        <v>206</v>
      </c>
      <c r="C298" s="13" t="s">
        <v>200</v>
      </c>
      <c r="D298" s="13" t="s">
        <v>201</v>
      </c>
      <c r="E298" s="80"/>
      <c r="F298" s="81"/>
      <c r="G298" s="82"/>
    </row>
    <row r="299" spans="1:7" ht="15">
      <c r="A299" s="12" t="s">
        <v>0</v>
      </c>
      <c r="B299" s="13" t="s">
        <v>0</v>
      </c>
      <c r="C299" s="13" t="s">
        <v>190</v>
      </c>
      <c r="D299" s="13" t="s">
        <v>0</v>
      </c>
      <c r="E299" s="80"/>
      <c r="F299" s="81"/>
      <c r="G299" s="82"/>
    </row>
    <row r="300" spans="1:7" ht="15.75">
      <c r="A300" s="12" t="s">
        <v>0</v>
      </c>
      <c r="B300" s="13" t="s">
        <v>0</v>
      </c>
      <c r="C300" s="13" t="s">
        <v>382</v>
      </c>
      <c r="D300" s="13" t="s">
        <v>0</v>
      </c>
      <c r="E300" s="80"/>
      <c r="F300" s="81"/>
      <c r="G300" s="83">
        <f>ROUND(SUM(G301:G304),5)</f>
        <v>13986.6969</v>
      </c>
    </row>
    <row r="301" spans="1:7" ht="15">
      <c r="A301" s="12" t="s">
        <v>0</v>
      </c>
      <c r="B301" s="13" t="s">
        <v>0</v>
      </c>
      <c r="C301" s="13" t="s">
        <v>202</v>
      </c>
      <c r="D301" s="13" t="s">
        <v>10</v>
      </c>
      <c r="E301" s="80">
        <f>0.011</f>
        <v>0.011</v>
      </c>
      <c r="F301" s="81">
        <f>'Gia NC,CM'!P29</f>
        <v>1271517.9</v>
      </c>
      <c r="G301" s="82">
        <f>ROUND(E301*F301,5)</f>
        <v>13986.6969</v>
      </c>
    </row>
    <row r="302" spans="1:7" ht="15">
      <c r="A302" s="12" t="s">
        <v>0</v>
      </c>
      <c r="B302" s="13" t="s">
        <v>0</v>
      </c>
      <c r="C302" s="13" t="s">
        <v>0</v>
      </c>
      <c r="D302" s="13" t="s">
        <v>0</v>
      </c>
      <c r="E302" s="80"/>
      <c r="F302" s="81"/>
      <c r="G302" s="82"/>
    </row>
    <row r="303" spans="1:7" ht="15">
      <c r="A303" s="12" t="s">
        <v>207</v>
      </c>
      <c r="B303" s="13" t="s">
        <v>208</v>
      </c>
      <c r="C303" s="13" t="s">
        <v>209</v>
      </c>
      <c r="D303" s="13" t="s">
        <v>201</v>
      </c>
      <c r="E303" s="80"/>
      <c r="F303" s="81"/>
      <c r="G303" s="82"/>
    </row>
    <row r="304" spans="1:7" ht="15">
      <c r="A304" s="12" t="s">
        <v>0</v>
      </c>
      <c r="B304" s="13" t="s">
        <v>0</v>
      </c>
      <c r="C304" s="13" t="s">
        <v>183</v>
      </c>
      <c r="D304" s="13" t="s">
        <v>0</v>
      </c>
      <c r="E304" s="80"/>
      <c r="F304" s="81"/>
      <c r="G304" s="82"/>
    </row>
    <row r="305" spans="1:7" ht="15.75">
      <c r="A305" s="12" t="s">
        <v>0</v>
      </c>
      <c r="B305" s="13" t="s">
        <v>0</v>
      </c>
      <c r="C305" s="13" t="s">
        <v>382</v>
      </c>
      <c r="D305" s="13" t="s">
        <v>0</v>
      </c>
      <c r="E305" s="80"/>
      <c r="F305" s="81"/>
      <c r="G305" s="83">
        <f>ROUND(SUM(G306:G309),5)</f>
        <v>30516.4296</v>
      </c>
    </row>
    <row r="306" spans="1:7" ht="15">
      <c r="A306" s="12" t="s">
        <v>0</v>
      </c>
      <c r="B306" s="13" t="s">
        <v>0</v>
      </c>
      <c r="C306" s="13" t="s">
        <v>202</v>
      </c>
      <c r="D306" s="13" t="s">
        <v>10</v>
      </c>
      <c r="E306" s="80">
        <f>0.024</f>
        <v>0.024</v>
      </c>
      <c r="F306" s="81">
        <f>'Gia NC,CM'!P29</f>
        <v>1271517.9</v>
      </c>
      <c r="G306" s="82">
        <f>ROUND(E306*F306,5)</f>
        <v>30516.4296</v>
      </c>
    </row>
    <row r="307" spans="1:7" ht="15">
      <c r="A307" s="12" t="s">
        <v>0</v>
      </c>
      <c r="B307" s="13" t="s">
        <v>0</v>
      </c>
      <c r="C307" s="13" t="s">
        <v>0</v>
      </c>
      <c r="D307" s="13" t="s">
        <v>0</v>
      </c>
      <c r="E307" s="80"/>
      <c r="F307" s="81"/>
      <c r="G307" s="82"/>
    </row>
    <row r="308" spans="1:7" ht="15">
      <c r="A308" s="12" t="s">
        <v>210</v>
      </c>
      <c r="B308" s="13" t="s">
        <v>211</v>
      </c>
      <c r="C308" s="13" t="s">
        <v>209</v>
      </c>
      <c r="D308" s="13" t="s">
        <v>201</v>
      </c>
      <c r="E308" s="80"/>
      <c r="F308" s="81"/>
      <c r="G308" s="82"/>
    </row>
    <row r="309" spans="1:7" ht="15">
      <c r="A309" s="12" t="s">
        <v>0</v>
      </c>
      <c r="B309" s="13" t="s">
        <v>0</v>
      </c>
      <c r="C309" s="13" t="s">
        <v>187</v>
      </c>
      <c r="D309" s="13" t="s">
        <v>0</v>
      </c>
      <c r="E309" s="80"/>
      <c r="F309" s="81"/>
      <c r="G309" s="82"/>
    </row>
    <row r="310" spans="1:7" ht="15.75">
      <c r="A310" s="12" t="s">
        <v>0</v>
      </c>
      <c r="B310" s="13" t="s">
        <v>0</v>
      </c>
      <c r="C310" s="13" t="s">
        <v>382</v>
      </c>
      <c r="D310" s="13" t="s">
        <v>0</v>
      </c>
      <c r="E310" s="80"/>
      <c r="F310" s="81"/>
      <c r="G310" s="83">
        <f>ROUND(SUM(G311:G314),5)</f>
        <v>22887.3222</v>
      </c>
    </row>
    <row r="311" spans="1:7" ht="15">
      <c r="A311" s="12" t="s">
        <v>0</v>
      </c>
      <c r="B311" s="13" t="s">
        <v>0</v>
      </c>
      <c r="C311" s="13" t="s">
        <v>202</v>
      </c>
      <c r="D311" s="13" t="s">
        <v>10</v>
      </c>
      <c r="E311" s="80">
        <f>0.018</f>
        <v>0.018</v>
      </c>
      <c r="F311" s="81">
        <f>'Gia NC,CM'!P29</f>
        <v>1271517.9</v>
      </c>
      <c r="G311" s="82">
        <f>ROUND(E311*F311,5)</f>
        <v>22887.3222</v>
      </c>
    </row>
    <row r="312" spans="1:7" ht="15">
      <c r="A312" s="12" t="s">
        <v>0</v>
      </c>
      <c r="B312" s="13" t="s">
        <v>0</v>
      </c>
      <c r="C312" s="13" t="s">
        <v>0</v>
      </c>
      <c r="D312" s="13" t="s">
        <v>0</v>
      </c>
      <c r="E312" s="80"/>
      <c r="F312" s="81"/>
      <c r="G312" s="82"/>
    </row>
    <row r="313" spans="1:7" ht="15">
      <c r="A313" s="12" t="s">
        <v>212</v>
      </c>
      <c r="B313" s="13" t="s">
        <v>213</v>
      </c>
      <c r="C313" s="13" t="s">
        <v>209</v>
      </c>
      <c r="D313" s="13" t="s">
        <v>201</v>
      </c>
      <c r="E313" s="80"/>
      <c r="F313" s="81"/>
      <c r="G313" s="82"/>
    </row>
    <row r="314" spans="1:7" ht="15">
      <c r="A314" s="12" t="s">
        <v>0</v>
      </c>
      <c r="B314" s="13" t="s">
        <v>0</v>
      </c>
      <c r="C314" s="13" t="s">
        <v>190</v>
      </c>
      <c r="D314" s="13" t="s">
        <v>0</v>
      </c>
      <c r="E314" s="80"/>
      <c r="F314" s="81"/>
      <c r="G314" s="82"/>
    </row>
    <row r="315" spans="1:7" ht="15.75">
      <c r="A315" s="12" t="s">
        <v>0</v>
      </c>
      <c r="B315" s="13" t="s">
        <v>0</v>
      </c>
      <c r="C315" s="13" t="s">
        <v>382</v>
      </c>
      <c r="D315" s="13" t="s">
        <v>0</v>
      </c>
      <c r="E315" s="80"/>
      <c r="F315" s="81"/>
      <c r="G315" s="83">
        <f>ROUND(SUM(G316:G319),5)</f>
        <v>13986.6969</v>
      </c>
    </row>
    <row r="316" spans="1:7" ht="15">
      <c r="A316" s="12" t="s">
        <v>0</v>
      </c>
      <c r="B316" s="13" t="s">
        <v>0</v>
      </c>
      <c r="C316" s="13" t="s">
        <v>202</v>
      </c>
      <c r="D316" s="13" t="s">
        <v>10</v>
      </c>
      <c r="E316" s="80">
        <f>0.011</f>
        <v>0.011</v>
      </c>
      <c r="F316" s="81">
        <f>'Gia NC,CM'!P29</f>
        <v>1271517.9</v>
      </c>
      <c r="G316" s="82">
        <f>ROUND(E316*F316,5)</f>
        <v>13986.6969</v>
      </c>
    </row>
    <row r="317" spans="1:7" ht="15">
      <c r="A317" s="12" t="s">
        <v>0</v>
      </c>
      <c r="B317" s="13" t="s">
        <v>0</v>
      </c>
      <c r="C317" s="13" t="s">
        <v>0</v>
      </c>
      <c r="D317" s="13" t="s">
        <v>0</v>
      </c>
      <c r="E317" s="80"/>
      <c r="F317" s="81"/>
      <c r="G317" s="82"/>
    </row>
    <row r="318" spans="1:7" ht="15">
      <c r="A318" s="12" t="s">
        <v>214</v>
      </c>
      <c r="B318" s="13" t="s">
        <v>215</v>
      </c>
      <c r="C318" s="13" t="s">
        <v>216</v>
      </c>
      <c r="D318" s="13" t="s">
        <v>217</v>
      </c>
      <c r="E318" s="80"/>
      <c r="F318" s="81"/>
      <c r="G318" s="82"/>
    </row>
    <row r="319" spans="1:7" ht="15">
      <c r="A319" s="12" t="s">
        <v>0</v>
      </c>
      <c r="B319" s="13" t="s">
        <v>0</v>
      </c>
      <c r="C319" s="13" t="s">
        <v>218</v>
      </c>
      <c r="D319" s="13" t="s">
        <v>0</v>
      </c>
      <c r="E319" s="80"/>
      <c r="F319" s="81"/>
      <c r="G319" s="82"/>
    </row>
    <row r="320" spans="1:7" ht="15.75">
      <c r="A320" s="12" t="s">
        <v>0</v>
      </c>
      <c r="B320" s="13" t="s">
        <v>0</v>
      </c>
      <c r="C320" s="13" t="s">
        <v>381</v>
      </c>
      <c r="D320" s="13" t="s">
        <v>0</v>
      </c>
      <c r="E320" s="80"/>
      <c r="F320" s="81"/>
      <c r="G320" s="83">
        <f>ROUND(SUM(G321:G324),5)</f>
        <v>24041.512</v>
      </c>
    </row>
    <row r="321" spans="1:7" ht="15">
      <c r="A321" s="12" t="s">
        <v>0</v>
      </c>
      <c r="B321" s="13" t="s">
        <v>0</v>
      </c>
      <c r="C321" s="13" t="s">
        <v>7</v>
      </c>
      <c r="D321" s="13" t="s">
        <v>8</v>
      </c>
      <c r="E321" s="80">
        <f>0.11</f>
        <v>0.11</v>
      </c>
      <c r="F321" s="81">
        <f>'Gia NC,CM'!P9</f>
        <v>218559.2</v>
      </c>
      <c r="G321" s="82">
        <f>ROUND(E321*F321,5)</f>
        <v>24041.512</v>
      </c>
    </row>
    <row r="322" spans="1:7" ht="15">
      <c r="A322" s="12" t="s">
        <v>0</v>
      </c>
      <c r="B322" s="13" t="s">
        <v>0</v>
      </c>
      <c r="C322" s="13" t="s">
        <v>0</v>
      </c>
      <c r="D322" s="13" t="s">
        <v>0</v>
      </c>
      <c r="E322" s="80"/>
      <c r="F322" s="81"/>
      <c r="G322" s="82"/>
    </row>
    <row r="323" spans="1:7" ht="15">
      <c r="A323" s="12" t="s">
        <v>219</v>
      </c>
      <c r="B323" s="13" t="s">
        <v>220</v>
      </c>
      <c r="C323" s="13" t="s">
        <v>216</v>
      </c>
      <c r="D323" s="13" t="s">
        <v>38</v>
      </c>
      <c r="E323" s="80"/>
      <c r="F323" s="81"/>
      <c r="G323" s="82"/>
    </row>
    <row r="324" spans="1:7" ht="15">
      <c r="A324" s="12" t="s">
        <v>0</v>
      </c>
      <c r="B324" s="13" t="s">
        <v>0</v>
      </c>
      <c r="C324" s="13" t="s">
        <v>221</v>
      </c>
      <c r="D324" s="13" t="s">
        <v>0</v>
      </c>
      <c r="E324" s="80"/>
      <c r="F324" s="81"/>
      <c r="G324" s="82"/>
    </row>
    <row r="325" spans="1:7" ht="15.75">
      <c r="A325" s="12" t="s">
        <v>0</v>
      </c>
      <c r="B325" s="13" t="s">
        <v>0</v>
      </c>
      <c r="C325" s="13" t="s">
        <v>381</v>
      </c>
      <c r="D325" s="13" t="s">
        <v>0</v>
      </c>
      <c r="E325" s="80"/>
      <c r="F325" s="81"/>
      <c r="G325" s="83">
        <f>ROUND(SUM(G326:G329),5)</f>
        <v>19670.328</v>
      </c>
    </row>
    <row r="326" spans="1:7" ht="15">
      <c r="A326" s="12" t="s">
        <v>0</v>
      </c>
      <c r="B326" s="13" t="s">
        <v>0</v>
      </c>
      <c r="C326" s="13" t="s">
        <v>7</v>
      </c>
      <c r="D326" s="13" t="s">
        <v>8</v>
      </c>
      <c r="E326" s="80">
        <f>0.09</f>
        <v>0.09</v>
      </c>
      <c r="F326" s="81">
        <f>'Gia NC,CM'!P9</f>
        <v>218559.2</v>
      </c>
      <c r="G326" s="82">
        <f>ROUND(E326*F326,5)</f>
        <v>19670.328</v>
      </c>
    </row>
    <row r="327" spans="1:7" ht="15">
      <c r="A327" s="12" t="s">
        <v>0</v>
      </c>
      <c r="B327" s="13" t="s">
        <v>0</v>
      </c>
      <c r="C327" s="13" t="s">
        <v>0</v>
      </c>
      <c r="D327" s="13" t="s">
        <v>0</v>
      </c>
      <c r="E327" s="80"/>
      <c r="F327" s="81"/>
      <c r="G327" s="82"/>
    </row>
    <row r="328" spans="1:7" ht="15">
      <c r="A328" s="12" t="s">
        <v>222</v>
      </c>
      <c r="B328" s="13" t="s">
        <v>223</v>
      </c>
      <c r="C328" s="13" t="s">
        <v>216</v>
      </c>
      <c r="D328" s="13" t="s">
        <v>217</v>
      </c>
      <c r="E328" s="80"/>
      <c r="F328" s="81"/>
      <c r="G328" s="82"/>
    </row>
    <row r="329" spans="1:7" ht="15">
      <c r="A329" s="12" t="s">
        <v>0</v>
      </c>
      <c r="B329" s="13" t="s">
        <v>0</v>
      </c>
      <c r="C329" s="13" t="s">
        <v>224</v>
      </c>
      <c r="D329" s="13" t="s">
        <v>0</v>
      </c>
      <c r="E329" s="80"/>
      <c r="F329" s="81"/>
      <c r="G329" s="82"/>
    </row>
    <row r="330" spans="1:7" ht="15.75">
      <c r="A330" s="12" t="s">
        <v>0</v>
      </c>
      <c r="B330" s="13" t="s">
        <v>0</v>
      </c>
      <c r="C330" s="13" t="s">
        <v>381</v>
      </c>
      <c r="D330" s="13" t="s">
        <v>0</v>
      </c>
      <c r="E330" s="80"/>
      <c r="F330" s="81"/>
      <c r="G330" s="83">
        <f>ROUND(SUM(G331:G339),5)</f>
        <v>45897.432</v>
      </c>
    </row>
    <row r="331" spans="1:7" ht="15">
      <c r="A331" s="12" t="s">
        <v>0</v>
      </c>
      <c r="B331" s="13" t="s">
        <v>0</v>
      </c>
      <c r="C331" s="13" t="s">
        <v>7</v>
      </c>
      <c r="D331" s="13" t="s">
        <v>8</v>
      </c>
      <c r="E331" s="80">
        <f>0.21</f>
        <v>0.21</v>
      </c>
      <c r="F331" s="81">
        <f>'Gia NC,CM'!P9</f>
        <v>218559.2</v>
      </c>
      <c r="G331" s="82">
        <f>ROUND(E331*F331,5)</f>
        <v>45897.432</v>
      </c>
    </row>
    <row r="332" spans="1:7" ht="15" hidden="1">
      <c r="A332" s="12" t="s">
        <v>0</v>
      </c>
      <c r="B332" s="13" t="s">
        <v>0</v>
      </c>
      <c r="C332" s="13" t="s">
        <v>0</v>
      </c>
      <c r="D332" s="13" t="s">
        <v>0</v>
      </c>
      <c r="E332" s="80"/>
      <c r="F332" s="81"/>
      <c r="G332" s="82"/>
    </row>
    <row r="333" spans="1:7" ht="15" hidden="1">
      <c r="A333" s="12" t="s">
        <v>0</v>
      </c>
      <c r="B333" s="13" t="s">
        <v>0</v>
      </c>
      <c r="C333" s="13" t="s">
        <v>0</v>
      </c>
      <c r="D333" s="13" t="s">
        <v>0</v>
      </c>
      <c r="E333" s="80"/>
      <c r="F333" s="81"/>
      <c r="G333" s="82"/>
    </row>
    <row r="334" spans="1:7" ht="15" hidden="1">
      <c r="A334" s="12" t="s">
        <v>0</v>
      </c>
      <c r="B334" s="13" t="s">
        <v>0</v>
      </c>
      <c r="C334" s="13" t="s">
        <v>0</v>
      </c>
      <c r="D334" s="13" t="s">
        <v>0</v>
      </c>
      <c r="E334" s="80"/>
      <c r="F334" s="81"/>
      <c r="G334" s="82"/>
    </row>
    <row r="335" spans="1:7" ht="15" hidden="1">
      <c r="A335" s="12" t="s">
        <v>0</v>
      </c>
      <c r="B335" s="13" t="s">
        <v>0</v>
      </c>
      <c r="C335" s="13" t="s">
        <v>0</v>
      </c>
      <c r="D335" s="13" t="s">
        <v>0</v>
      </c>
      <c r="E335" s="80"/>
      <c r="F335" s="81"/>
      <c r="G335" s="82"/>
    </row>
    <row r="336" spans="1:7" ht="15" hidden="1">
      <c r="A336" s="12" t="s">
        <v>0</v>
      </c>
      <c r="B336" s="13" t="s">
        <v>0</v>
      </c>
      <c r="C336" s="13" t="s">
        <v>0</v>
      </c>
      <c r="D336" s="13" t="s">
        <v>0</v>
      </c>
      <c r="E336" s="80"/>
      <c r="F336" s="81"/>
      <c r="G336" s="82"/>
    </row>
    <row r="337" spans="1:7" ht="15" hidden="1">
      <c r="A337" s="12" t="s">
        <v>0</v>
      </c>
      <c r="B337" s="13" t="s">
        <v>0</v>
      </c>
      <c r="C337" s="13" t="s">
        <v>0</v>
      </c>
      <c r="D337" s="13" t="s">
        <v>0</v>
      </c>
      <c r="E337" s="80"/>
      <c r="F337" s="81"/>
      <c r="G337" s="82"/>
    </row>
    <row r="338" spans="1:7" ht="15" hidden="1">
      <c r="A338" s="12" t="s">
        <v>0</v>
      </c>
      <c r="B338" s="13" t="s">
        <v>0</v>
      </c>
      <c r="C338" s="13" t="s">
        <v>0</v>
      </c>
      <c r="D338" s="13" t="s">
        <v>0</v>
      </c>
      <c r="E338" s="80"/>
      <c r="F338" s="81"/>
      <c r="G338" s="82"/>
    </row>
    <row r="339" spans="1:7" ht="15.75" thickBot="1">
      <c r="A339" s="16" t="s">
        <v>0</v>
      </c>
      <c r="B339" s="17" t="s">
        <v>0</v>
      </c>
      <c r="C339" s="17" t="s">
        <v>0</v>
      </c>
      <c r="D339" s="17" t="s">
        <v>0</v>
      </c>
      <c r="E339" s="84"/>
      <c r="F339" s="85"/>
      <c r="G339" s="86"/>
    </row>
  </sheetData>
  <sheetProtection/>
  <mergeCells count="4">
    <mergeCell ref="A1:G1"/>
    <mergeCell ref="A3:G3"/>
    <mergeCell ref="A4:G4"/>
    <mergeCell ref="A5:G5"/>
  </mergeCells>
  <printOptions horizontalCentered="1"/>
  <pageMargins left="0.4" right="0.2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7">
      <selection activeCell="P19" sqref="P19"/>
    </sheetView>
  </sheetViews>
  <sheetFormatPr defaultColWidth="8.796875" defaultRowHeight="15"/>
  <cols>
    <col min="1" max="1" width="7.59765625" style="96" customWidth="1"/>
    <col min="2" max="2" width="19.59765625" style="96" customWidth="1"/>
    <col min="3" max="3" width="4.09765625" style="96" customWidth="1"/>
    <col min="4" max="4" width="4.09765625" style="97" customWidth="1"/>
    <col min="5" max="5" width="4.59765625" style="98" customWidth="1"/>
    <col min="6" max="7" width="4.09765625" style="98" customWidth="1"/>
    <col min="8" max="8" width="11.09765625" style="96" customWidth="1"/>
    <col min="9" max="9" width="11.59765625" style="96" customWidth="1"/>
    <col min="10" max="10" width="9.09765625" style="99" customWidth="1"/>
    <col min="11" max="15" width="8.59765625" style="99" customWidth="1"/>
    <col min="16" max="16" width="9.09765625" style="99" customWidth="1"/>
    <col min="17" max="16384" width="9" style="96" customWidth="1"/>
  </cols>
  <sheetData>
    <row r="1" spans="1:16" ht="22.5" customHeight="1">
      <c r="A1" s="245" t="s">
        <v>517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2.75">
      <c r="A2" s="118"/>
      <c r="B2" s="118"/>
      <c r="C2" s="118"/>
      <c r="D2" s="119"/>
      <c r="E2" s="120"/>
      <c r="F2" s="120"/>
      <c r="G2" s="120"/>
      <c r="H2" s="118"/>
      <c r="I2" s="118"/>
      <c r="J2" s="121"/>
      <c r="K2" s="121"/>
      <c r="L2" s="121"/>
      <c r="M2" s="121"/>
      <c r="N2" s="121"/>
      <c r="O2" s="121"/>
      <c r="P2" s="121"/>
    </row>
    <row r="3" spans="1:16" s="39" customFormat="1" ht="15" customHeight="1">
      <c r="A3" s="244" t="s">
        <v>493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39" customFormat="1" ht="15" customHeight="1">
      <c r="A4" s="244" t="s">
        <v>494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s="39" customFormat="1" ht="16.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1:16" ht="13.5" thickBot="1">
      <c r="A6" s="118"/>
      <c r="B6" s="118"/>
      <c r="C6" s="118"/>
      <c r="D6" s="119"/>
      <c r="E6" s="120"/>
      <c r="F6" s="120"/>
      <c r="G6" s="120"/>
      <c r="H6" s="118"/>
      <c r="I6" s="118"/>
      <c r="J6" s="121"/>
      <c r="K6" s="121"/>
      <c r="L6" s="121"/>
      <c r="M6" s="121"/>
      <c r="N6" s="121"/>
      <c r="O6" s="121"/>
      <c r="P6" s="121"/>
    </row>
    <row r="7" spans="1:16" ht="45" customHeight="1">
      <c r="A7" s="122" t="s">
        <v>518</v>
      </c>
      <c r="B7" s="123" t="s">
        <v>519</v>
      </c>
      <c r="C7" s="123" t="s">
        <v>520</v>
      </c>
      <c r="D7" s="124" t="s">
        <v>521</v>
      </c>
      <c r="E7" s="125" t="s">
        <v>522</v>
      </c>
      <c r="F7" s="125" t="s">
        <v>523</v>
      </c>
      <c r="G7" s="125" t="s">
        <v>524</v>
      </c>
      <c r="H7" s="123" t="s">
        <v>525</v>
      </c>
      <c r="I7" s="123" t="s">
        <v>526</v>
      </c>
      <c r="J7" s="126" t="s">
        <v>527</v>
      </c>
      <c r="K7" s="126" t="s">
        <v>528</v>
      </c>
      <c r="L7" s="126" t="s">
        <v>529</v>
      </c>
      <c r="M7" s="126" t="s">
        <v>530</v>
      </c>
      <c r="N7" s="126" t="s">
        <v>531</v>
      </c>
      <c r="O7" s="126" t="s">
        <v>532</v>
      </c>
      <c r="P7" s="127" t="s">
        <v>533</v>
      </c>
    </row>
    <row r="8" spans="1:16" ht="12.75">
      <c r="A8" s="112" t="s">
        <v>0</v>
      </c>
      <c r="B8" s="113" t="s">
        <v>175</v>
      </c>
      <c r="C8" s="113" t="s">
        <v>8</v>
      </c>
      <c r="D8" s="114">
        <v>0</v>
      </c>
      <c r="E8" s="115">
        <v>0</v>
      </c>
      <c r="F8" s="115">
        <v>0</v>
      </c>
      <c r="G8" s="115">
        <v>0</v>
      </c>
      <c r="H8" s="113" t="s">
        <v>0</v>
      </c>
      <c r="I8" s="113" t="s">
        <v>425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7">
        <f>ROUND(262620,1)</f>
        <v>262620</v>
      </c>
    </row>
    <row r="9" spans="1:16" ht="12.75">
      <c r="A9" s="100" t="s">
        <v>0</v>
      </c>
      <c r="B9" s="101" t="s">
        <v>7</v>
      </c>
      <c r="C9" s="101" t="s">
        <v>8</v>
      </c>
      <c r="D9" s="102">
        <v>0</v>
      </c>
      <c r="E9" s="103">
        <v>0</v>
      </c>
      <c r="F9" s="103">
        <v>0</v>
      </c>
      <c r="G9" s="103">
        <v>0</v>
      </c>
      <c r="H9" s="101" t="s">
        <v>0</v>
      </c>
      <c r="I9" s="101" t="s">
        <v>424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5">
        <f>ROUND(218559.2,1)</f>
        <v>218559.2</v>
      </c>
    </row>
    <row r="10" spans="1:16" ht="12.75">
      <c r="A10" s="100" t="s">
        <v>0</v>
      </c>
      <c r="B10" s="101" t="s">
        <v>41</v>
      </c>
      <c r="C10" s="101" t="s">
        <v>8</v>
      </c>
      <c r="D10" s="102">
        <v>0</v>
      </c>
      <c r="E10" s="103">
        <v>0</v>
      </c>
      <c r="F10" s="103">
        <v>0</v>
      </c>
      <c r="G10" s="103">
        <v>0</v>
      </c>
      <c r="H10" s="101" t="s">
        <v>0</v>
      </c>
      <c r="I10" s="101" t="s">
        <v>423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5">
        <f>ROUND(230630.3,1)</f>
        <v>230630.3</v>
      </c>
    </row>
    <row r="11" spans="1:16" ht="12.75">
      <c r="A11" s="100" t="s">
        <v>0</v>
      </c>
      <c r="B11" s="101" t="s">
        <v>30</v>
      </c>
      <c r="C11" s="101" t="s">
        <v>8</v>
      </c>
      <c r="D11" s="102">
        <v>0</v>
      </c>
      <c r="E11" s="103">
        <v>0</v>
      </c>
      <c r="F11" s="103">
        <v>0</v>
      </c>
      <c r="G11" s="103">
        <v>0</v>
      </c>
      <c r="H11" s="101" t="s">
        <v>0</v>
      </c>
      <c r="I11" s="101" t="s">
        <v>422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5">
        <f>ROUND(252200,1)</f>
        <v>252200</v>
      </c>
    </row>
    <row r="12" spans="1:16" ht="12.75">
      <c r="A12" s="100" t="s">
        <v>0</v>
      </c>
      <c r="B12" s="101" t="s">
        <v>131</v>
      </c>
      <c r="C12" s="101" t="s">
        <v>8</v>
      </c>
      <c r="D12" s="102">
        <v>0</v>
      </c>
      <c r="E12" s="103">
        <v>0</v>
      </c>
      <c r="F12" s="103">
        <v>0</v>
      </c>
      <c r="G12" s="103">
        <v>0</v>
      </c>
      <c r="H12" s="101" t="s">
        <v>0</v>
      </c>
      <c r="I12" s="101" t="s">
        <v>421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5">
        <f>ROUND(273769.7,1)</f>
        <v>273769.7</v>
      </c>
    </row>
    <row r="13" spans="1:16" ht="12.75">
      <c r="A13" s="100" t="s">
        <v>0</v>
      </c>
      <c r="B13" s="101" t="s">
        <v>61</v>
      </c>
      <c r="C13" s="101" t="s">
        <v>8</v>
      </c>
      <c r="D13" s="102">
        <v>0</v>
      </c>
      <c r="E13" s="103">
        <v>0</v>
      </c>
      <c r="F13" s="103">
        <v>0</v>
      </c>
      <c r="G13" s="103">
        <v>0</v>
      </c>
      <c r="H13" s="101" t="s">
        <v>0</v>
      </c>
      <c r="I13" s="101" t="s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5"/>
    </row>
    <row r="14" spans="1:16" ht="12.75">
      <c r="A14" s="100" t="s">
        <v>420</v>
      </c>
      <c r="B14" s="101" t="s">
        <v>81</v>
      </c>
      <c r="C14" s="101" t="s">
        <v>10</v>
      </c>
      <c r="D14" s="102">
        <v>250</v>
      </c>
      <c r="E14" s="103">
        <v>9</v>
      </c>
      <c r="F14" s="103">
        <v>5.1</v>
      </c>
      <c r="G14" s="103">
        <v>5</v>
      </c>
      <c r="H14" s="101" t="s">
        <v>396</v>
      </c>
      <c r="I14" s="101" t="s">
        <v>395</v>
      </c>
      <c r="J14" s="104">
        <v>645827</v>
      </c>
      <c r="K14" s="104">
        <f>J14*(1-0.1)*E14/D14*10</f>
        <v>209247.948</v>
      </c>
      <c r="L14" s="104">
        <f aca="true" t="shared" si="0" ref="L14:L20">J14*F14/D14*10</f>
        <v>131748.70799999998</v>
      </c>
      <c r="M14" s="104">
        <f>25*16717*1.03</f>
        <v>430462.75</v>
      </c>
      <c r="N14" s="104">
        <f>(1*227033.9+1*317847.5)*1</f>
        <v>544881.4</v>
      </c>
      <c r="O14" s="104">
        <f aca="true" t="shared" si="1" ref="O14:O20">J14*G14/D14*10</f>
        <v>129165.40000000001</v>
      </c>
      <c r="P14" s="105">
        <f aca="true" t="shared" si="2" ref="P14:P29">ROUND(K14+L14+M14+N14+O14,1)</f>
        <v>1445506.2</v>
      </c>
    </row>
    <row r="15" spans="1:16" ht="12.75">
      <c r="A15" s="100" t="s">
        <v>419</v>
      </c>
      <c r="B15" s="101" t="s">
        <v>176</v>
      </c>
      <c r="C15" s="101" t="s">
        <v>10</v>
      </c>
      <c r="D15" s="102"/>
      <c r="E15" s="103"/>
      <c r="F15" s="103"/>
      <c r="G15" s="103"/>
      <c r="H15" s="101"/>
      <c r="I15" s="101"/>
      <c r="J15" s="104"/>
      <c r="K15" s="104"/>
      <c r="L15" s="104"/>
      <c r="M15" s="104"/>
      <c r="N15" s="104"/>
      <c r="O15" s="104"/>
      <c r="P15" s="105">
        <v>48609</v>
      </c>
    </row>
    <row r="16" spans="1:16" ht="12.75">
      <c r="A16" s="100" t="s">
        <v>418</v>
      </c>
      <c r="B16" s="101" t="s">
        <v>132</v>
      </c>
      <c r="C16" s="101" t="s">
        <v>10</v>
      </c>
      <c r="D16" s="102">
        <v>90</v>
      </c>
      <c r="E16" s="103">
        <v>14</v>
      </c>
      <c r="F16" s="103">
        <v>7</v>
      </c>
      <c r="G16" s="103">
        <v>4</v>
      </c>
      <c r="H16" s="101" t="s">
        <v>417</v>
      </c>
      <c r="I16" s="101" t="s">
        <v>0</v>
      </c>
      <c r="J16" s="104">
        <v>7900</v>
      </c>
      <c r="K16" s="104">
        <f>J16*E16/D16*10</f>
        <v>12288.888888888889</v>
      </c>
      <c r="L16" s="104">
        <f t="shared" si="0"/>
        <v>6144.444444444444</v>
      </c>
      <c r="M16" s="104">
        <f>3*1864.4*1.05</f>
        <v>5872.860000000001</v>
      </c>
      <c r="N16" s="104"/>
      <c r="O16" s="104">
        <f t="shared" si="1"/>
        <v>3511.111111111111</v>
      </c>
      <c r="P16" s="105">
        <f t="shared" si="2"/>
        <v>27817.3</v>
      </c>
    </row>
    <row r="17" spans="1:16" ht="12.75">
      <c r="A17" s="100" t="s">
        <v>416</v>
      </c>
      <c r="B17" s="101" t="s">
        <v>102</v>
      </c>
      <c r="C17" s="101" t="s">
        <v>10</v>
      </c>
      <c r="D17" s="102">
        <v>200</v>
      </c>
      <c r="E17" s="103">
        <v>21</v>
      </c>
      <c r="F17" s="103">
        <v>4.8</v>
      </c>
      <c r="G17" s="103">
        <v>5</v>
      </c>
      <c r="H17" s="101" t="s">
        <v>415</v>
      </c>
      <c r="I17" s="101" t="s">
        <v>405</v>
      </c>
      <c r="J17" s="104">
        <v>16000</v>
      </c>
      <c r="K17" s="104">
        <f>J17*E17/D17*10</f>
        <v>16800</v>
      </c>
      <c r="L17" s="104">
        <f t="shared" si="0"/>
        <v>3840</v>
      </c>
      <c r="M17" s="104">
        <f>48*1864.4*1.05</f>
        <v>93965.76000000001</v>
      </c>
      <c r="N17" s="104">
        <f>(1*290812.5)*1</f>
        <v>290812.5</v>
      </c>
      <c r="O17" s="104">
        <f t="shared" si="1"/>
        <v>4000</v>
      </c>
      <c r="P17" s="105">
        <f t="shared" si="2"/>
        <v>409418.3</v>
      </c>
    </row>
    <row r="18" spans="1:16" ht="12.75">
      <c r="A18" s="100" t="s">
        <v>414</v>
      </c>
      <c r="B18" s="101" t="s">
        <v>31</v>
      </c>
      <c r="C18" s="101" t="s">
        <v>10</v>
      </c>
      <c r="D18" s="102">
        <v>150</v>
      </c>
      <c r="E18" s="103">
        <v>30</v>
      </c>
      <c r="F18" s="103">
        <v>7.5</v>
      </c>
      <c r="G18" s="103">
        <v>4</v>
      </c>
      <c r="H18" s="101" t="s">
        <v>413</v>
      </c>
      <c r="I18" s="101" t="s">
        <v>0</v>
      </c>
      <c r="J18" s="104">
        <v>4800</v>
      </c>
      <c r="K18" s="104">
        <f>J18*E18/D18*10</f>
        <v>9600</v>
      </c>
      <c r="L18" s="104">
        <f t="shared" si="0"/>
        <v>2400</v>
      </c>
      <c r="M18" s="104">
        <f>0.9*1864.4*1.05</f>
        <v>1761.8580000000002</v>
      </c>
      <c r="N18" s="104"/>
      <c r="O18" s="104">
        <f t="shared" si="1"/>
        <v>1280</v>
      </c>
      <c r="P18" s="105">
        <f t="shared" si="2"/>
        <v>15041.9</v>
      </c>
    </row>
    <row r="19" spans="1:16" ht="12.75">
      <c r="A19" s="100" t="s">
        <v>412</v>
      </c>
      <c r="B19" s="101" t="s">
        <v>62</v>
      </c>
      <c r="C19" s="101" t="s">
        <v>10</v>
      </c>
      <c r="D19" s="102">
        <v>260</v>
      </c>
      <c r="E19" s="103">
        <v>15</v>
      </c>
      <c r="F19" s="103">
        <v>3.5</v>
      </c>
      <c r="G19" s="103">
        <v>6</v>
      </c>
      <c r="H19" s="101" t="s">
        <v>411</v>
      </c>
      <c r="I19" s="101" t="s">
        <v>410</v>
      </c>
      <c r="J19" s="104">
        <v>5938103</v>
      </c>
      <c r="K19" s="104">
        <f>J19*(1-0.1)*E19/D19*10</f>
        <v>3083245.7884615385</v>
      </c>
      <c r="L19" s="104">
        <f t="shared" si="0"/>
        <v>799360.0192307692</v>
      </c>
      <c r="M19" s="104">
        <f>201*1864.4*1.05</f>
        <v>393481.62000000005</v>
      </c>
      <c r="N19" s="104">
        <f>(1*290812.5+1*477637.5)*1</f>
        <v>768450</v>
      </c>
      <c r="O19" s="104">
        <f t="shared" si="1"/>
        <v>1370331.4615384615</v>
      </c>
      <c r="P19" s="105">
        <f t="shared" si="2"/>
        <v>6414868.9</v>
      </c>
    </row>
    <row r="20" spans="1:16" ht="12.75">
      <c r="A20" s="100" t="s">
        <v>409</v>
      </c>
      <c r="B20" s="101" t="s">
        <v>42</v>
      </c>
      <c r="C20" s="101" t="s">
        <v>10</v>
      </c>
      <c r="D20" s="102">
        <v>165</v>
      </c>
      <c r="E20" s="103">
        <v>19</v>
      </c>
      <c r="F20" s="103">
        <v>6.5</v>
      </c>
      <c r="G20" s="103">
        <v>5</v>
      </c>
      <c r="H20" s="101" t="s">
        <v>408</v>
      </c>
      <c r="I20" s="101" t="s">
        <v>398</v>
      </c>
      <c r="J20" s="104">
        <v>30210</v>
      </c>
      <c r="K20" s="104">
        <f>J20*(1-0.1)*E20/D20*10</f>
        <v>31308.545454545456</v>
      </c>
      <c r="L20" s="104">
        <f t="shared" si="0"/>
        <v>11900.90909090909</v>
      </c>
      <c r="M20" s="104">
        <f>11*1864.4*1.05</f>
        <v>21533.820000000003</v>
      </c>
      <c r="N20" s="104">
        <f>(1*244987.5)*1</f>
        <v>244987.5</v>
      </c>
      <c r="O20" s="104">
        <f t="shared" si="1"/>
        <v>9154.545454545456</v>
      </c>
      <c r="P20" s="105">
        <f t="shared" si="2"/>
        <v>318885.3</v>
      </c>
    </row>
    <row r="21" spans="1:16" ht="12.75">
      <c r="A21" s="100" t="s">
        <v>0</v>
      </c>
      <c r="B21" s="101" t="s">
        <v>177</v>
      </c>
      <c r="C21" s="101" t="s">
        <v>10</v>
      </c>
      <c r="D21" s="102">
        <v>0</v>
      </c>
      <c r="E21" s="103">
        <v>0</v>
      </c>
      <c r="F21" s="103">
        <v>0</v>
      </c>
      <c r="G21" s="103">
        <v>0</v>
      </c>
      <c r="H21" s="101" t="s">
        <v>0</v>
      </c>
      <c r="I21" s="101" t="s">
        <v>0</v>
      </c>
      <c r="J21" s="104">
        <v>0</v>
      </c>
      <c r="K21" s="104"/>
      <c r="L21" s="104"/>
      <c r="M21" s="104"/>
      <c r="N21" s="104"/>
      <c r="O21" s="104"/>
      <c r="P21" s="105">
        <v>83447</v>
      </c>
    </row>
    <row r="22" spans="1:16" ht="12.75">
      <c r="A22" s="100" t="s">
        <v>407</v>
      </c>
      <c r="B22" s="101" t="s">
        <v>9</v>
      </c>
      <c r="C22" s="101" t="s">
        <v>10</v>
      </c>
      <c r="D22" s="102">
        <v>280</v>
      </c>
      <c r="E22" s="103">
        <v>17</v>
      </c>
      <c r="F22" s="103">
        <v>5.8</v>
      </c>
      <c r="G22" s="103">
        <v>5</v>
      </c>
      <c r="H22" s="101" t="s">
        <v>406</v>
      </c>
      <c r="I22" s="101" t="s">
        <v>405</v>
      </c>
      <c r="J22" s="104">
        <v>809944</v>
      </c>
      <c r="K22" s="104">
        <f>J22*(1-0.1)*E22/D22*10</f>
        <v>442576.54285714286</v>
      </c>
      <c r="L22" s="104">
        <f aca="true" t="shared" si="3" ref="L22:L29">J22*F22/D22*10</f>
        <v>167774.11428571428</v>
      </c>
      <c r="M22" s="104">
        <f>43*16717*1.03</f>
        <v>740395.93</v>
      </c>
      <c r="N22" s="104">
        <f>(1*290812.5)*1</f>
        <v>290812.5</v>
      </c>
      <c r="O22" s="104">
        <f aca="true" t="shared" si="4" ref="O22:O29">J22*G22/D22*10</f>
        <v>144632.85714285713</v>
      </c>
      <c r="P22" s="105">
        <f t="shared" si="2"/>
        <v>1786191.9</v>
      </c>
    </row>
    <row r="23" spans="1:16" ht="12.75">
      <c r="A23" s="100" t="s">
        <v>404</v>
      </c>
      <c r="B23" s="101" t="s">
        <v>122</v>
      </c>
      <c r="C23" s="101" t="s">
        <v>10</v>
      </c>
      <c r="D23" s="102">
        <v>150</v>
      </c>
      <c r="E23" s="103">
        <v>25</v>
      </c>
      <c r="F23" s="103">
        <v>8.8</v>
      </c>
      <c r="G23" s="103">
        <v>4</v>
      </c>
      <c r="H23" s="101" t="s">
        <v>403</v>
      </c>
      <c r="I23" s="101" t="s">
        <v>398</v>
      </c>
      <c r="J23" s="104">
        <v>6420</v>
      </c>
      <c r="K23" s="104">
        <f>J23*E23/D23*10</f>
        <v>10700</v>
      </c>
      <c r="L23" s="104">
        <f t="shared" si="3"/>
        <v>3766.4000000000005</v>
      </c>
      <c r="M23" s="104">
        <f>5*1864.4*1.05</f>
        <v>9788.1</v>
      </c>
      <c r="N23" s="104">
        <f>(1*244987.5)*1</f>
        <v>244987.5</v>
      </c>
      <c r="O23" s="104">
        <f t="shared" si="4"/>
        <v>1712</v>
      </c>
      <c r="P23" s="105">
        <f t="shared" si="2"/>
        <v>270954</v>
      </c>
    </row>
    <row r="24" spans="1:16" ht="12.75">
      <c r="A24" s="100" t="s">
        <v>402</v>
      </c>
      <c r="B24" s="101" t="s">
        <v>43</v>
      </c>
      <c r="C24" s="101" t="s">
        <v>10</v>
      </c>
      <c r="D24" s="102">
        <v>150</v>
      </c>
      <c r="E24" s="103">
        <v>20</v>
      </c>
      <c r="F24" s="103">
        <v>8.8</v>
      </c>
      <c r="G24" s="103">
        <v>4</v>
      </c>
      <c r="H24" s="101" t="s">
        <v>401</v>
      </c>
      <c r="I24" s="101" t="s">
        <v>398</v>
      </c>
      <c r="J24" s="104">
        <v>7395</v>
      </c>
      <c r="K24" s="104">
        <f>J24*E24/D24*10</f>
        <v>9860</v>
      </c>
      <c r="L24" s="104">
        <f t="shared" si="3"/>
        <v>4338.400000000001</v>
      </c>
      <c r="M24" s="104">
        <f>7*1864.4*1.05</f>
        <v>13703.340000000002</v>
      </c>
      <c r="N24" s="104">
        <f>(1*244987.5)*1</f>
        <v>244987.5</v>
      </c>
      <c r="O24" s="104">
        <f t="shared" si="4"/>
        <v>1972</v>
      </c>
      <c r="P24" s="105">
        <f t="shared" si="2"/>
        <v>274861.2</v>
      </c>
    </row>
    <row r="25" spans="1:16" ht="12.75">
      <c r="A25" s="100" t="s">
        <v>400</v>
      </c>
      <c r="B25" s="101" t="s">
        <v>56</v>
      </c>
      <c r="C25" s="101" t="s">
        <v>10</v>
      </c>
      <c r="D25" s="102">
        <v>200</v>
      </c>
      <c r="E25" s="103">
        <v>20</v>
      </c>
      <c r="F25" s="103">
        <v>5.4</v>
      </c>
      <c r="G25" s="103">
        <v>4</v>
      </c>
      <c r="H25" s="101" t="s">
        <v>399</v>
      </c>
      <c r="I25" s="101" t="s">
        <v>398</v>
      </c>
      <c r="J25" s="104">
        <v>35771</v>
      </c>
      <c r="K25" s="104">
        <f>J25*(1-0.1)*E25/D25*10</f>
        <v>32193.899999999998</v>
      </c>
      <c r="L25" s="104">
        <f t="shared" si="3"/>
        <v>9658.170000000002</v>
      </c>
      <c r="M25" s="104">
        <f>4*20409*1.02</f>
        <v>83268.72</v>
      </c>
      <c r="N25" s="104">
        <f>(1*244987.5)*1</f>
        <v>244987.5</v>
      </c>
      <c r="O25" s="104">
        <f t="shared" si="4"/>
        <v>7154.2</v>
      </c>
      <c r="P25" s="105">
        <f t="shared" si="2"/>
        <v>377262.5</v>
      </c>
    </row>
    <row r="26" spans="1:16" ht="12.75">
      <c r="A26" s="100" t="s">
        <v>397</v>
      </c>
      <c r="B26" s="101" t="s">
        <v>87</v>
      </c>
      <c r="C26" s="101" t="s">
        <v>10</v>
      </c>
      <c r="D26" s="102">
        <v>280</v>
      </c>
      <c r="E26" s="103">
        <v>13</v>
      </c>
      <c r="F26" s="103">
        <v>4</v>
      </c>
      <c r="G26" s="103">
        <v>5</v>
      </c>
      <c r="H26" s="101" t="s">
        <v>396</v>
      </c>
      <c r="I26" s="101" t="s">
        <v>395</v>
      </c>
      <c r="J26" s="104">
        <v>731758</v>
      </c>
      <c r="K26" s="104">
        <f>J26*(1-0.1)*E26/D26*10</f>
        <v>305770.30714285723</v>
      </c>
      <c r="L26" s="104">
        <f t="shared" si="3"/>
        <v>104536.85714285713</v>
      </c>
      <c r="M26" s="104">
        <f>25*16717*1.03</f>
        <v>430462.75</v>
      </c>
      <c r="N26" s="104">
        <f>(1*227033.9+1*317847.5)*1</f>
        <v>544881.4</v>
      </c>
      <c r="O26" s="104">
        <f t="shared" si="4"/>
        <v>130671.07142857143</v>
      </c>
      <c r="P26" s="105">
        <f t="shared" si="2"/>
        <v>1516322.4</v>
      </c>
    </row>
    <row r="27" spans="1:16" ht="12.75">
      <c r="A27" s="100" t="s">
        <v>397</v>
      </c>
      <c r="B27" s="101" t="s">
        <v>112</v>
      </c>
      <c r="C27" s="101" t="s">
        <v>10</v>
      </c>
      <c r="D27" s="102">
        <v>280</v>
      </c>
      <c r="E27" s="103">
        <v>13</v>
      </c>
      <c r="F27" s="103">
        <v>4</v>
      </c>
      <c r="G27" s="103">
        <v>5</v>
      </c>
      <c r="H27" s="101" t="s">
        <v>396</v>
      </c>
      <c r="I27" s="101" t="s">
        <v>395</v>
      </c>
      <c r="J27" s="104">
        <v>731758</v>
      </c>
      <c r="K27" s="104">
        <f>J27*(1-0.1)*E27/D27*10</f>
        <v>305770.30714285723</v>
      </c>
      <c r="L27" s="104">
        <f t="shared" si="3"/>
        <v>104536.85714285713</v>
      </c>
      <c r="M27" s="104">
        <f>25*16717*1.03</f>
        <v>430462.75</v>
      </c>
      <c r="N27" s="104">
        <f>(1*227033.9+1*317847.5)*1</f>
        <v>544881.4</v>
      </c>
      <c r="O27" s="104">
        <f t="shared" si="4"/>
        <v>130671.07142857143</v>
      </c>
      <c r="P27" s="105">
        <f t="shared" si="2"/>
        <v>1516322.4</v>
      </c>
    </row>
    <row r="28" spans="1:16" ht="12.75">
      <c r="A28" s="100" t="s">
        <v>394</v>
      </c>
      <c r="B28" s="101" t="s">
        <v>184</v>
      </c>
      <c r="C28" s="101" t="s">
        <v>10</v>
      </c>
      <c r="D28" s="102">
        <v>260</v>
      </c>
      <c r="E28" s="103">
        <v>17</v>
      </c>
      <c r="F28" s="103">
        <v>7.3</v>
      </c>
      <c r="G28" s="103">
        <v>6</v>
      </c>
      <c r="H28" s="101" t="s">
        <v>393</v>
      </c>
      <c r="I28" s="101" t="s">
        <v>390</v>
      </c>
      <c r="J28" s="104">
        <v>616643</v>
      </c>
      <c r="K28" s="104">
        <f>J28*(1-0.1)*E28/D28*10</f>
        <v>362870.68846153846</v>
      </c>
      <c r="L28" s="104">
        <f t="shared" si="3"/>
        <v>173134.38076923075</v>
      </c>
      <c r="M28" s="104">
        <f>46*16717*1.03</f>
        <v>792051.46</v>
      </c>
      <c r="N28" s="104">
        <f>(1*267900)*1</f>
        <v>267900</v>
      </c>
      <c r="O28" s="104">
        <f t="shared" si="4"/>
        <v>142302.23076923078</v>
      </c>
      <c r="P28" s="105">
        <f t="shared" si="2"/>
        <v>1738258.8</v>
      </c>
    </row>
    <row r="29" spans="1:16" ht="13.5" thickBot="1">
      <c r="A29" s="106" t="s">
        <v>392</v>
      </c>
      <c r="B29" s="107" t="s">
        <v>202</v>
      </c>
      <c r="C29" s="107" t="s">
        <v>10</v>
      </c>
      <c r="D29" s="108">
        <v>250</v>
      </c>
      <c r="E29" s="109">
        <v>17</v>
      </c>
      <c r="F29" s="109">
        <v>6.2</v>
      </c>
      <c r="G29" s="109">
        <v>6</v>
      </c>
      <c r="H29" s="107" t="s">
        <v>391</v>
      </c>
      <c r="I29" s="107" t="s">
        <v>390</v>
      </c>
      <c r="J29" s="110">
        <v>427131</v>
      </c>
      <c r="K29" s="110">
        <f>J29*(1-0.1)*E29/D29*10</f>
        <v>261404.17200000002</v>
      </c>
      <c r="L29" s="110">
        <f t="shared" si="3"/>
        <v>105928.48800000001</v>
      </c>
      <c r="M29" s="110">
        <f>31*16717*1.03</f>
        <v>533773.81</v>
      </c>
      <c r="N29" s="110">
        <f>(1*267900)*1</f>
        <v>267900</v>
      </c>
      <c r="O29" s="110">
        <f t="shared" si="4"/>
        <v>102511.44</v>
      </c>
      <c r="P29" s="111">
        <f t="shared" si="2"/>
        <v>1271517.9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2" right="0.2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Zeros="0" zoomScalePageLayoutView="0" workbookViewId="0" topLeftCell="A64">
      <selection activeCell="A1" sqref="A1:Q1"/>
    </sheetView>
  </sheetViews>
  <sheetFormatPr defaultColWidth="8.796875" defaultRowHeight="15"/>
  <cols>
    <col min="1" max="1" width="3.59765625" style="41" customWidth="1"/>
    <col min="2" max="2" width="18.5" style="41" customWidth="1"/>
    <col min="3" max="3" width="4.09765625" style="41" customWidth="1"/>
    <col min="4" max="4" width="13.59765625" style="41" customWidth="1"/>
    <col min="5" max="5" width="10.3984375" style="41" customWidth="1"/>
    <col min="6" max="9" width="3.5" style="135" customWidth="1"/>
    <col min="10" max="10" width="7" style="42" customWidth="1"/>
    <col min="11" max="13" width="4.3984375" style="138" customWidth="1"/>
    <col min="14" max="15" width="9.3984375" style="42" customWidth="1"/>
    <col min="16" max="17" width="10.8984375" style="42" customWidth="1"/>
    <col min="18" max="18" width="12" style="41" customWidth="1"/>
    <col min="19" max="16384" width="9" style="41" customWidth="1"/>
  </cols>
  <sheetData>
    <row r="1" spans="1:17" ht="21" customHeight="1">
      <c r="A1" s="245" t="s">
        <v>534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4.25">
      <c r="A2" s="44"/>
      <c r="B2" s="44"/>
      <c r="C2" s="44"/>
      <c r="D2" s="44"/>
      <c r="E2" s="44"/>
      <c r="F2" s="148"/>
      <c r="G2" s="148"/>
      <c r="H2" s="148"/>
      <c r="I2" s="148"/>
      <c r="J2" s="45"/>
      <c r="K2" s="149"/>
      <c r="L2" s="149"/>
      <c r="M2" s="149"/>
      <c r="N2" s="45"/>
      <c r="O2" s="45"/>
      <c r="P2" s="45"/>
      <c r="Q2" s="45"/>
    </row>
    <row r="3" spans="1:17" s="39" customFormat="1" ht="16.5" customHeight="1">
      <c r="A3" s="244" t="s">
        <v>493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s="39" customFormat="1" ht="16.5" customHeight="1">
      <c r="A4" s="244" t="s">
        <v>494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39" customFormat="1" ht="16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15" thickBot="1">
      <c r="A6" s="44"/>
      <c r="B6" s="44"/>
      <c r="C6" s="44"/>
      <c r="D6" s="44"/>
      <c r="E6" s="44"/>
      <c r="F6" s="148"/>
      <c r="G6" s="148"/>
      <c r="H6" s="148"/>
      <c r="I6" s="148"/>
      <c r="J6" s="45"/>
      <c r="K6" s="149"/>
      <c r="L6" s="149"/>
      <c r="M6" s="149"/>
      <c r="N6" s="45"/>
      <c r="O6" s="45"/>
      <c r="P6" s="45"/>
      <c r="Q6" s="45"/>
    </row>
    <row r="7" spans="1:18" ht="45" customHeight="1">
      <c r="A7" s="153" t="s">
        <v>284</v>
      </c>
      <c r="B7" s="154" t="s">
        <v>535</v>
      </c>
      <c r="C7" s="155" t="s">
        <v>507</v>
      </c>
      <c r="D7" s="154" t="s">
        <v>536</v>
      </c>
      <c r="E7" s="154" t="s">
        <v>537</v>
      </c>
      <c r="F7" s="150" t="s">
        <v>538</v>
      </c>
      <c r="G7" s="150" t="s">
        <v>539</v>
      </c>
      <c r="H7" s="150" t="s">
        <v>540</v>
      </c>
      <c r="I7" s="150" t="s">
        <v>541</v>
      </c>
      <c r="J7" s="151" t="s">
        <v>542</v>
      </c>
      <c r="K7" s="152" t="s">
        <v>543</v>
      </c>
      <c r="L7" s="152" t="s">
        <v>544</v>
      </c>
      <c r="M7" s="152" t="s">
        <v>545</v>
      </c>
      <c r="N7" s="156" t="s">
        <v>546</v>
      </c>
      <c r="O7" s="156" t="s">
        <v>547</v>
      </c>
      <c r="P7" s="157" t="s">
        <v>548</v>
      </c>
      <c r="Q7" s="158" t="s">
        <v>549</v>
      </c>
      <c r="R7" s="41" t="s">
        <v>389</v>
      </c>
    </row>
    <row r="8" spans="1:18" ht="14.25">
      <c r="A8" s="141" t="s">
        <v>380</v>
      </c>
      <c r="B8" s="142" t="s">
        <v>474</v>
      </c>
      <c r="C8" s="142" t="s">
        <v>110</v>
      </c>
      <c r="D8" s="142" t="s">
        <v>0</v>
      </c>
      <c r="E8" s="142" t="s">
        <v>0</v>
      </c>
      <c r="F8" s="143" t="s">
        <v>0</v>
      </c>
      <c r="G8" s="143" t="s">
        <v>0</v>
      </c>
      <c r="H8" s="143"/>
      <c r="I8" s="143" t="s">
        <v>426</v>
      </c>
      <c r="J8" s="144"/>
      <c r="K8" s="145"/>
      <c r="L8" s="145"/>
      <c r="M8" s="145"/>
      <c r="N8" s="146"/>
      <c r="O8" s="146"/>
      <c r="P8" s="146">
        <v>87600</v>
      </c>
      <c r="Q8" s="147">
        <f aca="true" t="shared" si="0" ref="Q8:Q14">N8+O8+P8</f>
        <v>87600</v>
      </c>
      <c r="R8" s="41" t="s">
        <v>0</v>
      </c>
    </row>
    <row r="9" spans="1:18" ht="14.25">
      <c r="A9" s="49" t="s">
        <v>378</v>
      </c>
      <c r="B9" s="50" t="s">
        <v>473</v>
      </c>
      <c r="C9" s="50" t="s">
        <v>17</v>
      </c>
      <c r="D9" s="50" t="s">
        <v>0</v>
      </c>
      <c r="E9" s="50" t="s">
        <v>0</v>
      </c>
      <c r="F9" s="136" t="s">
        <v>0</v>
      </c>
      <c r="G9" s="136" t="s">
        <v>0</v>
      </c>
      <c r="H9" s="136"/>
      <c r="I9" s="136" t="s">
        <v>426</v>
      </c>
      <c r="J9" s="51"/>
      <c r="K9" s="139"/>
      <c r="L9" s="139"/>
      <c r="M9" s="139"/>
      <c r="N9" s="130"/>
      <c r="O9" s="130"/>
      <c r="P9" s="130">
        <v>10000</v>
      </c>
      <c r="Q9" s="131">
        <f t="shared" si="0"/>
        <v>10000</v>
      </c>
      <c r="R9" s="41" t="s">
        <v>0</v>
      </c>
    </row>
    <row r="10" spans="1:18" ht="14.25">
      <c r="A10" s="49" t="s">
        <v>376</v>
      </c>
      <c r="B10" s="50" t="s">
        <v>472</v>
      </c>
      <c r="C10" s="50" t="s">
        <v>110</v>
      </c>
      <c r="D10" s="50" t="s">
        <v>0</v>
      </c>
      <c r="E10" s="50" t="s">
        <v>0</v>
      </c>
      <c r="F10" s="136" t="s">
        <v>0</v>
      </c>
      <c r="G10" s="136" t="s">
        <v>0</v>
      </c>
      <c r="H10" s="136"/>
      <c r="I10" s="136" t="s">
        <v>426</v>
      </c>
      <c r="J10" s="51"/>
      <c r="K10" s="139"/>
      <c r="L10" s="139"/>
      <c r="M10" s="139"/>
      <c r="N10" s="130"/>
      <c r="O10" s="130"/>
      <c r="P10" s="130">
        <v>35000</v>
      </c>
      <c r="Q10" s="131">
        <f t="shared" si="0"/>
        <v>35000</v>
      </c>
      <c r="R10" s="41" t="s">
        <v>0</v>
      </c>
    </row>
    <row r="11" spans="1:18" ht="14.25">
      <c r="A11" s="49" t="s">
        <v>375</v>
      </c>
      <c r="B11" s="50" t="s">
        <v>471</v>
      </c>
      <c r="C11" s="50" t="s">
        <v>29</v>
      </c>
      <c r="D11" s="50" t="s">
        <v>0</v>
      </c>
      <c r="E11" s="50" t="s">
        <v>0</v>
      </c>
      <c r="F11" s="136" t="s">
        <v>0</v>
      </c>
      <c r="G11" s="136" t="s">
        <v>0</v>
      </c>
      <c r="H11" s="136"/>
      <c r="I11" s="136" t="s">
        <v>426</v>
      </c>
      <c r="J11" s="51"/>
      <c r="K11" s="139"/>
      <c r="L11" s="139"/>
      <c r="M11" s="139"/>
      <c r="N11" s="130"/>
      <c r="O11" s="130"/>
      <c r="P11" s="130">
        <v>274318</v>
      </c>
      <c r="Q11" s="131">
        <f t="shared" si="0"/>
        <v>274318</v>
      </c>
      <c r="R11" s="41" t="s">
        <v>0</v>
      </c>
    </row>
    <row r="12" spans="1:18" ht="14.25">
      <c r="A12" s="49" t="s">
        <v>374</v>
      </c>
      <c r="B12" s="50" t="s">
        <v>470</v>
      </c>
      <c r="C12" s="50" t="s">
        <v>29</v>
      </c>
      <c r="D12" s="50" t="s">
        <v>0</v>
      </c>
      <c r="E12" s="50" t="s">
        <v>0</v>
      </c>
      <c r="F12" s="136" t="s">
        <v>0</v>
      </c>
      <c r="G12" s="136" t="s">
        <v>0</v>
      </c>
      <c r="H12" s="136"/>
      <c r="I12" s="136" t="s">
        <v>426</v>
      </c>
      <c r="J12" s="51"/>
      <c r="K12" s="139"/>
      <c r="L12" s="139"/>
      <c r="M12" s="139"/>
      <c r="N12" s="130"/>
      <c r="O12" s="130"/>
      <c r="P12" s="130">
        <v>22267</v>
      </c>
      <c r="Q12" s="131">
        <f t="shared" si="0"/>
        <v>22267</v>
      </c>
      <c r="R12" s="41" t="s">
        <v>0</v>
      </c>
    </row>
    <row r="13" spans="1:18" ht="14.25">
      <c r="A13" s="49" t="s">
        <v>372</v>
      </c>
      <c r="B13" s="50" t="s">
        <v>469</v>
      </c>
      <c r="C13" s="50" t="s">
        <v>29</v>
      </c>
      <c r="D13" s="50" t="s">
        <v>0</v>
      </c>
      <c r="E13" s="50" t="s">
        <v>0</v>
      </c>
      <c r="F13" s="136" t="s">
        <v>0</v>
      </c>
      <c r="G13" s="136" t="s">
        <v>0</v>
      </c>
      <c r="H13" s="136"/>
      <c r="I13" s="136" t="s">
        <v>426</v>
      </c>
      <c r="J13" s="51"/>
      <c r="K13" s="139"/>
      <c r="L13" s="139"/>
      <c r="M13" s="139"/>
      <c r="N13" s="130"/>
      <c r="O13" s="130"/>
      <c r="P13" s="130">
        <v>188711</v>
      </c>
      <c r="Q13" s="131">
        <f t="shared" si="0"/>
        <v>188711</v>
      </c>
      <c r="R13" s="41" t="s">
        <v>0</v>
      </c>
    </row>
    <row r="14" spans="1:18" ht="14.25">
      <c r="A14" s="49" t="s">
        <v>370</v>
      </c>
      <c r="B14" s="50" t="s">
        <v>468</v>
      </c>
      <c r="C14" s="50" t="s">
        <v>38</v>
      </c>
      <c r="D14" s="50" t="s">
        <v>0</v>
      </c>
      <c r="E14" s="50" t="s">
        <v>0</v>
      </c>
      <c r="F14" s="136" t="s">
        <v>0</v>
      </c>
      <c r="G14" s="136" t="s">
        <v>0</v>
      </c>
      <c r="H14" s="136"/>
      <c r="I14" s="136" t="s">
        <v>465</v>
      </c>
      <c r="J14" s="51"/>
      <c r="K14" s="139"/>
      <c r="L14" s="139"/>
      <c r="M14" s="139"/>
      <c r="N14" s="130">
        <f>SUM(N15:N17)</f>
        <v>12781.4</v>
      </c>
      <c r="O14" s="130"/>
      <c r="P14" s="130">
        <v>272727</v>
      </c>
      <c r="Q14" s="131">
        <f t="shared" si="0"/>
        <v>285508.4</v>
      </c>
      <c r="R14" s="41" t="s">
        <v>0</v>
      </c>
    </row>
    <row r="15" spans="1:18" ht="14.25">
      <c r="A15" s="49" t="s">
        <v>0</v>
      </c>
      <c r="B15" s="50" t="s">
        <v>464</v>
      </c>
      <c r="C15" s="50" t="s">
        <v>0</v>
      </c>
      <c r="D15" s="50" t="s">
        <v>463</v>
      </c>
      <c r="E15" s="50" t="s">
        <v>0</v>
      </c>
      <c r="F15" s="136" t="s">
        <v>0</v>
      </c>
      <c r="G15" s="136" t="s">
        <v>2</v>
      </c>
      <c r="H15" s="136">
        <v>1</v>
      </c>
      <c r="I15" s="136" t="s">
        <v>0</v>
      </c>
      <c r="J15" s="51">
        <f>('Phan tich don gia'!G260)/10</f>
        <v>4693.29876</v>
      </c>
      <c r="K15" s="139">
        <v>0.57</v>
      </c>
      <c r="L15" s="139"/>
      <c r="M15" s="139"/>
      <c r="N15" s="51">
        <f>ROUND(J15*K15*H15,1)</f>
        <v>2675.2</v>
      </c>
      <c r="O15" s="51"/>
      <c r="P15" s="51"/>
      <c r="Q15" s="132">
        <v>0</v>
      </c>
      <c r="R15" s="41" t="s">
        <v>0</v>
      </c>
    </row>
    <row r="16" spans="1:18" ht="14.25">
      <c r="A16" s="49" t="s">
        <v>0</v>
      </c>
      <c r="B16" s="50" t="s">
        <v>462</v>
      </c>
      <c r="C16" s="50" t="s">
        <v>0</v>
      </c>
      <c r="D16" s="50" t="s">
        <v>0</v>
      </c>
      <c r="E16" s="50" t="s">
        <v>0</v>
      </c>
      <c r="F16" s="136" t="s">
        <v>0</v>
      </c>
      <c r="G16" s="136" t="s">
        <v>2</v>
      </c>
      <c r="H16" s="136">
        <v>3</v>
      </c>
      <c r="I16" s="136" t="s">
        <v>0</v>
      </c>
      <c r="J16" s="51">
        <f>('Phan tich don gia'!G265)/10</f>
        <v>3302.6917200000003</v>
      </c>
      <c r="K16" s="139">
        <v>0.57</v>
      </c>
      <c r="L16" s="139"/>
      <c r="M16" s="139"/>
      <c r="N16" s="51">
        <f>ROUND(J16*K16*H16,1)</f>
        <v>5647.6</v>
      </c>
      <c r="O16" s="51"/>
      <c r="P16" s="51"/>
      <c r="Q16" s="132">
        <v>0</v>
      </c>
      <c r="R16" s="41" t="s">
        <v>0</v>
      </c>
    </row>
    <row r="17" spans="1:18" ht="14.25">
      <c r="A17" s="49" t="s">
        <v>0</v>
      </c>
      <c r="B17" s="50" t="s">
        <v>462</v>
      </c>
      <c r="C17" s="50" t="s">
        <v>0</v>
      </c>
      <c r="D17" s="50" t="s">
        <v>0</v>
      </c>
      <c r="E17" s="50" t="s">
        <v>433</v>
      </c>
      <c r="F17" s="136" t="s">
        <v>0</v>
      </c>
      <c r="G17" s="136" t="s">
        <v>19</v>
      </c>
      <c r="H17" s="136">
        <v>1</v>
      </c>
      <c r="I17" s="136" t="s">
        <v>0</v>
      </c>
      <c r="J17" s="51">
        <f>('Phan tich don gia'!G265)/10</f>
        <v>3302.6917200000003</v>
      </c>
      <c r="K17" s="139">
        <v>1.35</v>
      </c>
      <c r="L17" s="139"/>
      <c r="M17" s="139"/>
      <c r="N17" s="51">
        <f>ROUND(J17*K17*H17,1)</f>
        <v>4458.6</v>
      </c>
      <c r="O17" s="51"/>
      <c r="P17" s="51"/>
      <c r="Q17" s="132">
        <v>0</v>
      </c>
      <c r="R17" s="41" t="s">
        <v>0</v>
      </c>
    </row>
    <row r="18" spans="1:18" ht="14.25">
      <c r="A18" s="49" t="s">
        <v>368</v>
      </c>
      <c r="B18" s="50" t="s">
        <v>467</v>
      </c>
      <c r="C18" s="50" t="s">
        <v>38</v>
      </c>
      <c r="D18" s="50" t="s">
        <v>0</v>
      </c>
      <c r="E18" s="50" t="s">
        <v>0</v>
      </c>
      <c r="F18" s="136" t="s">
        <v>0</v>
      </c>
      <c r="G18" s="136" t="s">
        <v>0</v>
      </c>
      <c r="H18" s="136"/>
      <c r="I18" s="136" t="s">
        <v>437</v>
      </c>
      <c r="J18" s="51"/>
      <c r="K18" s="139"/>
      <c r="L18" s="139"/>
      <c r="M18" s="139"/>
      <c r="N18" s="130">
        <f>SUM(N19:N22)</f>
        <v>51521.899999999994</v>
      </c>
      <c r="O18" s="130"/>
      <c r="P18" s="130">
        <v>181820</v>
      </c>
      <c r="Q18" s="131">
        <f>N18+O18+P18</f>
        <v>233341.9</v>
      </c>
      <c r="R18" s="41" t="s">
        <v>0</v>
      </c>
    </row>
    <row r="19" spans="1:18" ht="14.25">
      <c r="A19" s="49" t="s">
        <v>0</v>
      </c>
      <c r="B19" s="50" t="s">
        <v>436</v>
      </c>
      <c r="C19" s="50" t="s">
        <v>0</v>
      </c>
      <c r="D19" s="50" t="s">
        <v>435</v>
      </c>
      <c r="E19" s="50" t="s">
        <v>0</v>
      </c>
      <c r="F19" s="136" t="s">
        <v>0</v>
      </c>
      <c r="G19" s="136" t="s">
        <v>19</v>
      </c>
      <c r="H19" s="136">
        <v>1</v>
      </c>
      <c r="I19" s="136" t="s">
        <v>0</v>
      </c>
      <c r="J19" s="51">
        <f>('Phan tich don gia'!G275)/10</f>
        <v>5910.07992</v>
      </c>
      <c r="K19" s="139">
        <v>1.35</v>
      </c>
      <c r="L19" s="139"/>
      <c r="M19" s="139"/>
      <c r="N19" s="51">
        <f>ROUND(J19*K19*H19,1)</f>
        <v>7978.6</v>
      </c>
      <c r="O19" s="51"/>
      <c r="P19" s="51"/>
      <c r="Q19" s="132">
        <v>0</v>
      </c>
      <c r="R19" s="41" t="s">
        <v>0</v>
      </c>
    </row>
    <row r="20" spans="1:18" ht="14.25">
      <c r="A20" s="49" t="s">
        <v>0</v>
      </c>
      <c r="B20" s="50" t="s">
        <v>434</v>
      </c>
      <c r="C20" s="50" t="s">
        <v>0</v>
      </c>
      <c r="D20" s="50" t="s">
        <v>0</v>
      </c>
      <c r="E20" s="50" t="s">
        <v>0</v>
      </c>
      <c r="F20" s="136" t="s">
        <v>0</v>
      </c>
      <c r="G20" s="136" t="s">
        <v>19</v>
      </c>
      <c r="H20" s="136">
        <v>6</v>
      </c>
      <c r="I20" s="136" t="s">
        <v>0</v>
      </c>
      <c r="J20" s="51">
        <f>('Phan tich don gia'!G280)/10</f>
        <v>4345.647</v>
      </c>
      <c r="K20" s="139">
        <v>1.35</v>
      </c>
      <c r="L20" s="139"/>
      <c r="M20" s="139"/>
      <c r="N20" s="51">
        <f>ROUND(J20*K20*H20,1)</f>
        <v>35199.7</v>
      </c>
      <c r="O20" s="51"/>
      <c r="P20" s="51"/>
      <c r="Q20" s="132">
        <v>0</v>
      </c>
      <c r="R20" s="41" t="s">
        <v>0</v>
      </c>
    </row>
    <row r="21" spans="1:18" ht="14.25">
      <c r="A21" s="49" t="s">
        <v>0</v>
      </c>
      <c r="B21" s="50" t="s">
        <v>434</v>
      </c>
      <c r="C21" s="50" t="s">
        <v>0</v>
      </c>
      <c r="D21" s="50" t="s">
        <v>0</v>
      </c>
      <c r="E21" s="50" t="s">
        <v>0</v>
      </c>
      <c r="F21" s="136" t="s">
        <v>0</v>
      </c>
      <c r="G21" s="136" t="s">
        <v>2</v>
      </c>
      <c r="H21" s="136">
        <v>1</v>
      </c>
      <c r="I21" s="136" t="s">
        <v>0</v>
      </c>
      <c r="J21" s="51">
        <f>('Phan tich don gia'!G280)/10</f>
        <v>4345.647</v>
      </c>
      <c r="K21" s="139">
        <v>0.57</v>
      </c>
      <c r="L21" s="139"/>
      <c r="M21" s="139"/>
      <c r="N21" s="51">
        <f>ROUND(J21*K21*H21,1)</f>
        <v>2477</v>
      </c>
      <c r="O21" s="51"/>
      <c r="P21" s="51"/>
      <c r="Q21" s="132">
        <v>0</v>
      </c>
      <c r="R21" s="41" t="s">
        <v>0</v>
      </c>
    </row>
    <row r="22" spans="1:18" ht="14.25">
      <c r="A22" s="49" t="s">
        <v>0</v>
      </c>
      <c r="B22" s="50" t="s">
        <v>434</v>
      </c>
      <c r="C22" s="50" t="s">
        <v>0</v>
      </c>
      <c r="D22" s="50" t="s">
        <v>0</v>
      </c>
      <c r="E22" s="50" t="s">
        <v>433</v>
      </c>
      <c r="F22" s="136" t="s">
        <v>0</v>
      </c>
      <c r="G22" s="136" t="s">
        <v>19</v>
      </c>
      <c r="H22" s="136">
        <v>1</v>
      </c>
      <c r="I22" s="136" t="s">
        <v>0</v>
      </c>
      <c r="J22" s="51">
        <f>('Phan tich don gia'!G280)/10</f>
        <v>4345.647</v>
      </c>
      <c r="K22" s="139">
        <v>1.35</v>
      </c>
      <c r="L22" s="139"/>
      <c r="M22" s="139"/>
      <c r="N22" s="51">
        <f>ROUND(J22*K22*H22,1)</f>
        <v>5866.6</v>
      </c>
      <c r="O22" s="51"/>
      <c r="P22" s="51"/>
      <c r="Q22" s="132">
        <v>0</v>
      </c>
      <c r="R22" s="41" t="s">
        <v>0</v>
      </c>
    </row>
    <row r="23" spans="1:18" ht="14.25">
      <c r="A23" s="49" t="s">
        <v>366</v>
      </c>
      <c r="B23" s="50" t="s">
        <v>466</v>
      </c>
      <c r="C23" s="50" t="s">
        <v>38</v>
      </c>
      <c r="D23" s="50" t="s">
        <v>0</v>
      </c>
      <c r="E23" s="50" t="s">
        <v>0</v>
      </c>
      <c r="F23" s="136" t="s">
        <v>0</v>
      </c>
      <c r="G23" s="136" t="s">
        <v>0</v>
      </c>
      <c r="H23" s="136"/>
      <c r="I23" s="136" t="s">
        <v>465</v>
      </c>
      <c r="J23" s="51"/>
      <c r="K23" s="139"/>
      <c r="L23" s="139"/>
      <c r="M23" s="139"/>
      <c r="N23" s="130">
        <f>SUM(N24:N26)</f>
        <v>12781.4</v>
      </c>
      <c r="O23" s="130"/>
      <c r="P23" s="130">
        <v>318182</v>
      </c>
      <c r="Q23" s="131">
        <f>N23+O23+P23</f>
        <v>330963.4</v>
      </c>
      <c r="R23" s="41" t="s">
        <v>0</v>
      </c>
    </row>
    <row r="24" spans="1:18" ht="14.25">
      <c r="A24" s="49" t="s">
        <v>0</v>
      </c>
      <c r="B24" s="50" t="s">
        <v>464</v>
      </c>
      <c r="C24" s="50" t="s">
        <v>0</v>
      </c>
      <c r="D24" s="50" t="s">
        <v>463</v>
      </c>
      <c r="E24" s="50" t="s">
        <v>0</v>
      </c>
      <c r="F24" s="136" t="s">
        <v>0</v>
      </c>
      <c r="G24" s="136" t="s">
        <v>2</v>
      </c>
      <c r="H24" s="136">
        <v>1</v>
      </c>
      <c r="I24" s="136" t="s">
        <v>0</v>
      </c>
      <c r="J24" s="51">
        <f>('Phan tich don gia'!G260)/10</f>
        <v>4693.29876</v>
      </c>
      <c r="K24" s="139">
        <v>0.57</v>
      </c>
      <c r="L24" s="139"/>
      <c r="M24" s="139"/>
      <c r="N24" s="51">
        <f>ROUND(J24*K24*H24,1)</f>
        <v>2675.2</v>
      </c>
      <c r="O24" s="51"/>
      <c r="P24" s="51"/>
      <c r="Q24" s="132">
        <v>0</v>
      </c>
      <c r="R24" s="41" t="s">
        <v>0</v>
      </c>
    </row>
    <row r="25" spans="1:18" ht="14.25">
      <c r="A25" s="49" t="s">
        <v>0</v>
      </c>
      <c r="B25" s="50" t="s">
        <v>462</v>
      </c>
      <c r="C25" s="50" t="s">
        <v>0</v>
      </c>
      <c r="D25" s="50" t="s">
        <v>0</v>
      </c>
      <c r="E25" s="50" t="s">
        <v>0</v>
      </c>
      <c r="F25" s="136" t="s">
        <v>0</v>
      </c>
      <c r="G25" s="136" t="s">
        <v>2</v>
      </c>
      <c r="H25" s="136">
        <v>3</v>
      </c>
      <c r="I25" s="136" t="s">
        <v>0</v>
      </c>
      <c r="J25" s="51">
        <f>('Phan tich don gia'!G265)/10</f>
        <v>3302.6917200000003</v>
      </c>
      <c r="K25" s="139">
        <v>0.57</v>
      </c>
      <c r="L25" s="139"/>
      <c r="M25" s="139"/>
      <c r="N25" s="51">
        <f>ROUND(J25*K25*H25,1)</f>
        <v>5647.6</v>
      </c>
      <c r="O25" s="51"/>
      <c r="P25" s="51"/>
      <c r="Q25" s="132">
        <v>0</v>
      </c>
      <c r="R25" s="41" t="s">
        <v>0</v>
      </c>
    </row>
    <row r="26" spans="1:18" ht="14.25">
      <c r="A26" s="49" t="s">
        <v>0</v>
      </c>
      <c r="B26" s="50" t="s">
        <v>462</v>
      </c>
      <c r="C26" s="50" t="s">
        <v>0</v>
      </c>
      <c r="D26" s="50" t="s">
        <v>0</v>
      </c>
      <c r="E26" s="50" t="s">
        <v>433</v>
      </c>
      <c r="F26" s="136" t="s">
        <v>0</v>
      </c>
      <c r="G26" s="136" t="s">
        <v>19</v>
      </c>
      <c r="H26" s="136">
        <v>1</v>
      </c>
      <c r="I26" s="136" t="s">
        <v>0</v>
      </c>
      <c r="J26" s="51">
        <f>('Phan tich don gia'!G265)/10</f>
        <v>3302.6917200000003</v>
      </c>
      <c r="K26" s="139">
        <v>1.35</v>
      </c>
      <c r="L26" s="139"/>
      <c r="M26" s="139"/>
      <c r="N26" s="51">
        <f>ROUND(J26*K26*H26,1)</f>
        <v>4458.6</v>
      </c>
      <c r="O26" s="51"/>
      <c r="P26" s="51"/>
      <c r="Q26" s="132">
        <v>0</v>
      </c>
      <c r="R26" s="41" t="s">
        <v>0</v>
      </c>
    </row>
    <row r="27" spans="1:18" ht="14.25">
      <c r="A27" s="49" t="s">
        <v>365</v>
      </c>
      <c r="B27" s="50" t="s">
        <v>461</v>
      </c>
      <c r="C27" s="50" t="s">
        <v>17</v>
      </c>
      <c r="D27" s="50" t="s">
        <v>0</v>
      </c>
      <c r="E27" s="50" t="s">
        <v>0</v>
      </c>
      <c r="F27" s="136" t="s">
        <v>0</v>
      </c>
      <c r="G27" s="136" t="s">
        <v>0</v>
      </c>
      <c r="H27" s="136"/>
      <c r="I27" s="136" t="s">
        <v>426</v>
      </c>
      <c r="J27" s="51"/>
      <c r="K27" s="139"/>
      <c r="L27" s="139"/>
      <c r="M27" s="139"/>
      <c r="N27" s="130"/>
      <c r="O27" s="130"/>
      <c r="P27" s="130">
        <v>1701000</v>
      </c>
      <c r="Q27" s="131">
        <f aca="true" t="shared" si="1" ref="Q27:Q44">N27+O27+P27</f>
        <v>1701000</v>
      </c>
      <c r="R27" s="41" t="s">
        <v>0</v>
      </c>
    </row>
    <row r="28" spans="1:18" ht="14.25">
      <c r="A28" s="49" t="s">
        <v>363</v>
      </c>
      <c r="B28" s="50" t="s">
        <v>460</v>
      </c>
      <c r="C28" s="50" t="s">
        <v>110</v>
      </c>
      <c r="D28" s="50" t="s">
        <v>0</v>
      </c>
      <c r="E28" s="50" t="s">
        <v>0</v>
      </c>
      <c r="F28" s="136" t="s">
        <v>0</v>
      </c>
      <c r="G28" s="136" t="s">
        <v>0</v>
      </c>
      <c r="H28" s="136"/>
      <c r="I28" s="136" t="s">
        <v>426</v>
      </c>
      <c r="J28" s="51"/>
      <c r="K28" s="139"/>
      <c r="L28" s="139"/>
      <c r="M28" s="139"/>
      <c r="N28" s="130"/>
      <c r="O28" s="130"/>
      <c r="P28" s="130">
        <v>45000</v>
      </c>
      <c r="Q28" s="131">
        <f t="shared" si="1"/>
        <v>45000</v>
      </c>
      <c r="R28" s="41" t="s">
        <v>0</v>
      </c>
    </row>
    <row r="29" spans="1:18" ht="14.25">
      <c r="A29" s="49" t="s">
        <v>362</v>
      </c>
      <c r="B29" s="50" t="s">
        <v>459</v>
      </c>
      <c r="C29" s="50" t="s">
        <v>80</v>
      </c>
      <c r="D29" s="50" t="s">
        <v>0</v>
      </c>
      <c r="E29" s="50" t="s">
        <v>0</v>
      </c>
      <c r="F29" s="136" t="s">
        <v>0</v>
      </c>
      <c r="G29" s="136" t="s">
        <v>0</v>
      </c>
      <c r="H29" s="136"/>
      <c r="I29" s="136" t="s">
        <v>426</v>
      </c>
      <c r="J29" s="51"/>
      <c r="K29" s="139"/>
      <c r="L29" s="139"/>
      <c r="M29" s="139"/>
      <c r="N29" s="130"/>
      <c r="O29" s="130"/>
      <c r="P29" s="130">
        <v>4420500</v>
      </c>
      <c r="Q29" s="131">
        <f t="shared" si="1"/>
        <v>4420500</v>
      </c>
      <c r="R29" s="41" t="s">
        <v>0</v>
      </c>
    </row>
    <row r="30" spans="1:18" ht="14.25">
      <c r="A30" s="49" t="s">
        <v>360</v>
      </c>
      <c r="B30" s="50" t="s">
        <v>458</v>
      </c>
      <c r="C30" s="50" t="s">
        <v>110</v>
      </c>
      <c r="D30" s="50" t="s">
        <v>0</v>
      </c>
      <c r="E30" s="50" t="s">
        <v>0</v>
      </c>
      <c r="F30" s="136" t="s">
        <v>0</v>
      </c>
      <c r="G30" s="136" t="s">
        <v>0</v>
      </c>
      <c r="H30" s="136"/>
      <c r="I30" s="136" t="s">
        <v>426</v>
      </c>
      <c r="J30" s="51"/>
      <c r="K30" s="139"/>
      <c r="L30" s="139"/>
      <c r="M30" s="139"/>
      <c r="N30" s="130"/>
      <c r="O30" s="130"/>
      <c r="P30" s="130">
        <v>15000</v>
      </c>
      <c r="Q30" s="131">
        <f t="shared" si="1"/>
        <v>15000</v>
      </c>
      <c r="R30" s="41" t="s">
        <v>0</v>
      </c>
    </row>
    <row r="31" spans="1:18" ht="14.25">
      <c r="A31" s="49" t="s">
        <v>359</v>
      </c>
      <c r="B31" s="50" t="s">
        <v>457</v>
      </c>
      <c r="C31" s="50" t="s">
        <v>29</v>
      </c>
      <c r="D31" s="50" t="s">
        <v>0</v>
      </c>
      <c r="E31" s="50" t="s">
        <v>0</v>
      </c>
      <c r="F31" s="136" t="s">
        <v>0</v>
      </c>
      <c r="G31" s="136" t="s">
        <v>0</v>
      </c>
      <c r="H31" s="136"/>
      <c r="I31" s="136" t="s">
        <v>426</v>
      </c>
      <c r="J31" s="51"/>
      <c r="K31" s="139"/>
      <c r="L31" s="139"/>
      <c r="M31" s="139"/>
      <c r="N31" s="130"/>
      <c r="O31" s="130"/>
      <c r="P31" s="130">
        <v>26550</v>
      </c>
      <c r="Q31" s="131">
        <f t="shared" si="1"/>
        <v>26550</v>
      </c>
      <c r="R31" s="41" t="s">
        <v>0</v>
      </c>
    </row>
    <row r="32" spans="1:18" ht="14.25">
      <c r="A32" s="49" t="s">
        <v>358</v>
      </c>
      <c r="B32" s="50" t="s">
        <v>456</v>
      </c>
      <c r="C32" s="50" t="s">
        <v>29</v>
      </c>
      <c r="D32" s="50" t="s">
        <v>0</v>
      </c>
      <c r="E32" s="50" t="s">
        <v>0</v>
      </c>
      <c r="F32" s="136" t="s">
        <v>0</v>
      </c>
      <c r="G32" s="136" t="s">
        <v>0</v>
      </c>
      <c r="H32" s="136"/>
      <c r="I32" s="136" t="s">
        <v>426</v>
      </c>
      <c r="J32" s="51"/>
      <c r="K32" s="139"/>
      <c r="L32" s="139"/>
      <c r="M32" s="139"/>
      <c r="N32" s="130"/>
      <c r="O32" s="130"/>
      <c r="P32" s="130">
        <v>30871</v>
      </c>
      <c r="Q32" s="131">
        <f t="shared" si="1"/>
        <v>30871</v>
      </c>
      <c r="R32" s="41" t="s">
        <v>0</v>
      </c>
    </row>
    <row r="33" spans="1:18" ht="14.25">
      <c r="A33" s="49" t="s">
        <v>357</v>
      </c>
      <c r="B33" s="50" t="s">
        <v>455</v>
      </c>
      <c r="C33" s="50" t="s">
        <v>127</v>
      </c>
      <c r="D33" s="50" t="s">
        <v>0</v>
      </c>
      <c r="E33" s="50" t="s">
        <v>0</v>
      </c>
      <c r="F33" s="136" t="s">
        <v>0</v>
      </c>
      <c r="G33" s="136" t="s">
        <v>0</v>
      </c>
      <c r="H33" s="136"/>
      <c r="I33" s="136" t="s">
        <v>426</v>
      </c>
      <c r="J33" s="51"/>
      <c r="K33" s="139"/>
      <c r="L33" s="139"/>
      <c r="M33" s="139"/>
      <c r="N33" s="130"/>
      <c r="O33" s="130"/>
      <c r="P33" s="130">
        <v>84358</v>
      </c>
      <c r="Q33" s="131">
        <f t="shared" si="1"/>
        <v>84358</v>
      </c>
      <c r="R33" s="41" t="s">
        <v>0</v>
      </c>
    </row>
    <row r="34" spans="1:18" ht="14.25">
      <c r="A34" s="49" t="s">
        <v>356</v>
      </c>
      <c r="B34" s="50" t="s">
        <v>454</v>
      </c>
      <c r="C34" s="50" t="s">
        <v>118</v>
      </c>
      <c r="D34" s="50" t="s">
        <v>0</v>
      </c>
      <c r="E34" s="50" t="s">
        <v>0</v>
      </c>
      <c r="F34" s="136" t="s">
        <v>0</v>
      </c>
      <c r="G34" s="136" t="s">
        <v>0</v>
      </c>
      <c r="H34" s="136"/>
      <c r="I34" s="136" t="s">
        <v>426</v>
      </c>
      <c r="J34" s="51"/>
      <c r="K34" s="139"/>
      <c r="L34" s="139"/>
      <c r="M34" s="139"/>
      <c r="N34" s="130"/>
      <c r="O34" s="130"/>
      <c r="P34" s="130">
        <v>2087</v>
      </c>
      <c r="Q34" s="131">
        <f t="shared" si="1"/>
        <v>2087</v>
      </c>
      <c r="R34" s="41" t="s">
        <v>0</v>
      </c>
    </row>
    <row r="35" spans="1:18" ht="14.25">
      <c r="A35" s="49" t="s">
        <v>354</v>
      </c>
      <c r="B35" s="50" t="s">
        <v>453</v>
      </c>
      <c r="C35" s="50" t="s">
        <v>38</v>
      </c>
      <c r="D35" s="50" t="s">
        <v>0</v>
      </c>
      <c r="E35" s="50" t="s">
        <v>0</v>
      </c>
      <c r="F35" s="136" t="s">
        <v>0</v>
      </c>
      <c r="G35" s="136" t="s">
        <v>0</v>
      </c>
      <c r="H35" s="136"/>
      <c r="I35" s="136" t="s">
        <v>426</v>
      </c>
      <c r="J35" s="51"/>
      <c r="K35" s="139"/>
      <c r="L35" s="139"/>
      <c r="M35" s="139"/>
      <c r="N35" s="130"/>
      <c r="O35" s="130"/>
      <c r="P35" s="130">
        <v>4090909.09</v>
      </c>
      <c r="Q35" s="131">
        <f t="shared" si="1"/>
        <v>4090909.09</v>
      </c>
      <c r="R35" s="41" t="s">
        <v>0</v>
      </c>
    </row>
    <row r="36" spans="1:18" ht="14.25">
      <c r="A36" s="49" t="s">
        <v>352</v>
      </c>
      <c r="B36" s="50" t="s">
        <v>452</v>
      </c>
      <c r="C36" s="50" t="s">
        <v>38</v>
      </c>
      <c r="D36" s="50" t="s">
        <v>0</v>
      </c>
      <c r="E36" s="50" t="s">
        <v>0</v>
      </c>
      <c r="F36" s="136" t="s">
        <v>0</v>
      </c>
      <c r="G36" s="136" t="s">
        <v>0</v>
      </c>
      <c r="H36" s="136"/>
      <c r="I36" s="136" t="s">
        <v>426</v>
      </c>
      <c r="J36" s="51"/>
      <c r="K36" s="139"/>
      <c r="L36" s="139"/>
      <c r="M36" s="139"/>
      <c r="N36" s="130"/>
      <c r="O36" s="130"/>
      <c r="P36" s="130">
        <v>4090909.09</v>
      </c>
      <c r="Q36" s="131">
        <f t="shared" si="1"/>
        <v>4090909.09</v>
      </c>
      <c r="R36" s="41" t="s">
        <v>0</v>
      </c>
    </row>
    <row r="37" spans="1:18" ht="14.25">
      <c r="A37" s="49" t="s">
        <v>351</v>
      </c>
      <c r="B37" s="50" t="s">
        <v>451</v>
      </c>
      <c r="C37" s="50" t="s">
        <v>38</v>
      </c>
      <c r="D37" s="50" t="s">
        <v>0</v>
      </c>
      <c r="E37" s="50" t="s">
        <v>0</v>
      </c>
      <c r="F37" s="136" t="s">
        <v>0</v>
      </c>
      <c r="G37" s="136" t="s">
        <v>0</v>
      </c>
      <c r="H37" s="136"/>
      <c r="I37" s="136" t="s">
        <v>426</v>
      </c>
      <c r="J37" s="51"/>
      <c r="K37" s="139"/>
      <c r="L37" s="139"/>
      <c r="M37" s="139"/>
      <c r="N37" s="130"/>
      <c r="O37" s="130"/>
      <c r="P37" s="130">
        <v>4090909.09</v>
      </c>
      <c r="Q37" s="131">
        <f t="shared" si="1"/>
        <v>4090909.09</v>
      </c>
      <c r="R37" s="41" t="s">
        <v>0</v>
      </c>
    </row>
    <row r="38" spans="1:18" ht="14.25">
      <c r="A38" s="49" t="s">
        <v>349</v>
      </c>
      <c r="B38" s="50" t="s">
        <v>450</v>
      </c>
      <c r="C38" s="50" t="s">
        <v>17</v>
      </c>
      <c r="D38" s="50" t="s">
        <v>0</v>
      </c>
      <c r="E38" s="50" t="s">
        <v>0</v>
      </c>
      <c r="F38" s="136" t="s">
        <v>0</v>
      </c>
      <c r="G38" s="136" t="s">
        <v>0</v>
      </c>
      <c r="H38" s="136"/>
      <c r="I38" s="136" t="s">
        <v>426</v>
      </c>
      <c r="J38" s="51"/>
      <c r="K38" s="139"/>
      <c r="L38" s="139"/>
      <c r="M38" s="139"/>
      <c r="N38" s="130"/>
      <c r="O38" s="130"/>
      <c r="P38" s="130">
        <v>753900</v>
      </c>
      <c r="Q38" s="131">
        <f t="shared" si="1"/>
        <v>753900</v>
      </c>
      <c r="R38" s="41" t="s">
        <v>0</v>
      </c>
    </row>
    <row r="39" spans="1:18" ht="14.25">
      <c r="A39" s="49" t="s">
        <v>347</v>
      </c>
      <c r="B39" s="50" t="s">
        <v>449</v>
      </c>
      <c r="C39" s="50" t="s">
        <v>17</v>
      </c>
      <c r="D39" s="50" t="s">
        <v>0</v>
      </c>
      <c r="E39" s="50" t="s">
        <v>0</v>
      </c>
      <c r="F39" s="136" t="s">
        <v>0</v>
      </c>
      <c r="G39" s="136" t="s">
        <v>0</v>
      </c>
      <c r="H39" s="136"/>
      <c r="I39" s="136" t="s">
        <v>426</v>
      </c>
      <c r="J39" s="51"/>
      <c r="K39" s="139"/>
      <c r="L39" s="139"/>
      <c r="M39" s="139"/>
      <c r="N39" s="130"/>
      <c r="O39" s="130"/>
      <c r="P39" s="130">
        <v>2200</v>
      </c>
      <c r="Q39" s="131">
        <f t="shared" si="1"/>
        <v>2200</v>
      </c>
      <c r="R39" s="41" t="s">
        <v>0</v>
      </c>
    </row>
    <row r="40" spans="1:18" ht="14.25">
      <c r="A40" s="49" t="s">
        <v>345</v>
      </c>
      <c r="B40" s="50" t="s">
        <v>448</v>
      </c>
      <c r="C40" s="50" t="s">
        <v>17</v>
      </c>
      <c r="D40" s="50" t="s">
        <v>0</v>
      </c>
      <c r="E40" s="50" t="s">
        <v>0</v>
      </c>
      <c r="F40" s="136" t="s">
        <v>0</v>
      </c>
      <c r="G40" s="136" t="s">
        <v>0</v>
      </c>
      <c r="H40" s="136"/>
      <c r="I40" s="136" t="s">
        <v>426</v>
      </c>
      <c r="J40" s="51"/>
      <c r="K40" s="139"/>
      <c r="L40" s="139"/>
      <c r="M40" s="139"/>
      <c r="N40" s="130"/>
      <c r="O40" s="130"/>
      <c r="P40" s="130">
        <v>154000</v>
      </c>
      <c r="Q40" s="131">
        <f t="shared" si="1"/>
        <v>154000</v>
      </c>
      <c r="R40" s="41" t="s">
        <v>0</v>
      </c>
    </row>
    <row r="41" spans="1:18" ht="14.25">
      <c r="A41" s="49" t="s">
        <v>344</v>
      </c>
      <c r="B41" s="50" t="s">
        <v>447</v>
      </c>
      <c r="C41" s="50" t="s">
        <v>38</v>
      </c>
      <c r="D41" s="50" t="s">
        <v>0</v>
      </c>
      <c r="E41" s="50" t="s">
        <v>0</v>
      </c>
      <c r="F41" s="136" t="s">
        <v>14</v>
      </c>
      <c r="G41" s="136" t="s">
        <v>0</v>
      </c>
      <c r="H41" s="136"/>
      <c r="I41" s="136" t="s">
        <v>426</v>
      </c>
      <c r="J41" s="51"/>
      <c r="K41" s="139"/>
      <c r="L41" s="139"/>
      <c r="M41" s="139"/>
      <c r="N41" s="130"/>
      <c r="O41" s="130"/>
      <c r="P41" s="130">
        <v>9545.45</v>
      </c>
      <c r="Q41" s="131">
        <f t="shared" si="1"/>
        <v>9545.45</v>
      </c>
      <c r="R41" s="41" t="s">
        <v>0</v>
      </c>
    </row>
    <row r="42" spans="1:18" ht="14.25">
      <c r="A42" s="49" t="s">
        <v>342</v>
      </c>
      <c r="B42" s="50" t="s">
        <v>446</v>
      </c>
      <c r="C42" s="50" t="s">
        <v>217</v>
      </c>
      <c r="D42" s="50" t="s">
        <v>0</v>
      </c>
      <c r="E42" s="50" t="s">
        <v>0</v>
      </c>
      <c r="F42" s="136" t="s">
        <v>0</v>
      </c>
      <c r="G42" s="136" t="s">
        <v>0</v>
      </c>
      <c r="H42" s="136"/>
      <c r="I42" s="136" t="s">
        <v>426</v>
      </c>
      <c r="J42" s="51"/>
      <c r="K42" s="139"/>
      <c r="L42" s="139"/>
      <c r="M42" s="139"/>
      <c r="N42" s="130"/>
      <c r="O42" s="130"/>
      <c r="P42" s="130">
        <v>41664000</v>
      </c>
      <c r="Q42" s="131">
        <f t="shared" si="1"/>
        <v>41664000</v>
      </c>
      <c r="R42" s="41" t="s">
        <v>0</v>
      </c>
    </row>
    <row r="43" spans="1:18" ht="14.25">
      <c r="A43" s="49" t="s">
        <v>340</v>
      </c>
      <c r="B43" s="50" t="s">
        <v>445</v>
      </c>
      <c r="C43" s="50" t="s">
        <v>17</v>
      </c>
      <c r="D43" s="50" t="s">
        <v>0</v>
      </c>
      <c r="E43" s="50" t="s">
        <v>0</v>
      </c>
      <c r="F43" s="136" t="s">
        <v>0</v>
      </c>
      <c r="G43" s="136" t="s">
        <v>0</v>
      </c>
      <c r="H43" s="136"/>
      <c r="I43" s="136" t="s">
        <v>426</v>
      </c>
      <c r="J43" s="51"/>
      <c r="K43" s="139"/>
      <c r="L43" s="139"/>
      <c r="M43" s="139"/>
      <c r="N43" s="130"/>
      <c r="O43" s="130"/>
      <c r="P43" s="130">
        <v>17029950</v>
      </c>
      <c r="Q43" s="131">
        <f t="shared" si="1"/>
        <v>17029950</v>
      </c>
      <c r="R43" s="41" t="s">
        <v>0</v>
      </c>
    </row>
    <row r="44" spans="1:18" ht="14.25">
      <c r="A44" s="49" t="s">
        <v>338</v>
      </c>
      <c r="B44" s="50" t="s">
        <v>444</v>
      </c>
      <c r="C44" s="50" t="s">
        <v>217</v>
      </c>
      <c r="D44" s="50" t="s">
        <v>0</v>
      </c>
      <c r="E44" s="50" t="s">
        <v>0</v>
      </c>
      <c r="F44" s="136" t="s">
        <v>0</v>
      </c>
      <c r="G44" s="136" t="s">
        <v>0</v>
      </c>
      <c r="H44" s="136"/>
      <c r="I44" s="136" t="s">
        <v>426</v>
      </c>
      <c r="J44" s="51"/>
      <c r="K44" s="139"/>
      <c r="L44" s="139"/>
      <c r="M44" s="139"/>
      <c r="N44" s="130">
        <f>SUM(N45:N45)</f>
        <v>24041.5</v>
      </c>
      <c r="O44" s="130"/>
      <c r="P44" s="130">
        <v>1613636</v>
      </c>
      <c r="Q44" s="131">
        <f t="shared" si="1"/>
        <v>1637677.5</v>
      </c>
      <c r="R44" s="41" t="s">
        <v>0</v>
      </c>
    </row>
    <row r="45" spans="1:18" ht="14.25">
      <c r="A45" s="49" t="s">
        <v>0</v>
      </c>
      <c r="B45" s="50" t="s">
        <v>442</v>
      </c>
      <c r="C45" s="50" t="s">
        <v>0</v>
      </c>
      <c r="D45" s="50" t="s">
        <v>0</v>
      </c>
      <c r="E45" s="50" t="s">
        <v>0</v>
      </c>
      <c r="F45" s="136" t="s">
        <v>0</v>
      </c>
      <c r="G45" s="136" t="s">
        <v>0</v>
      </c>
      <c r="H45" s="136"/>
      <c r="I45" s="136" t="s">
        <v>0</v>
      </c>
      <c r="J45" s="51">
        <f>('Phan tich don gia'!G320)</f>
        <v>24041.512</v>
      </c>
      <c r="K45" s="139"/>
      <c r="L45" s="139"/>
      <c r="M45" s="139"/>
      <c r="N45" s="51">
        <f>ROUND(J45,1)</f>
        <v>24041.5</v>
      </c>
      <c r="O45" s="51"/>
      <c r="P45" s="51"/>
      <c r="Q45" s="132">
        <v>0</v>
      </c>
      <c r="R45" s="41" t="s">
        <v>0</v>
      </c>
    </row>
    <row r="46" spans="1:18" ht="14.25">
      <c r="A46" s="49" t="s">
        <v>336</v>
      </c>
      <c r="B46" s="50" t="s">
        <v>443</v>
      </c>
      <c r="C46" s="50" t="s">
        <v>217</v>
      </c>
      <c r="D46" s="50" t="s">
        <v>0</v>
      </c>
      <c r="E46" s="50" t="s">
        <v>0</v>
      </c>
      <c r="F46" s="136" t="s">
        <v>0</v>
      </c>
      <c r="G46" s="136" t="s">
        <v>0</v>
      </c>
      <c r="H46" s="136"/>
      <c r="I46" s="136" t="s">
        <v>426</v>
      </c>
      <c r="J46" s="51"/>
      <c r="K46" s="139"/>
      <c r="L46" s="139"/>
      <c r="M46" s="139"/>
      <c r="N46" s="130">
        <f>SUM(N47:N47)</f>
        <v>24041.5</v>
      </c>
      <c r="O46" s="130"/>
      <c r="P46" s="130">
        <v>1677273</v>
      </c>
      <c r="Q46" s="131">
        <f>N46+O46+P46</f>
        <v>1701314.5</v>
      </c>
      <c r="R46" s="41" t="s">
        <v>0</v>
      </c>
    </row>
    <row r="47" spans="1:18" ht="14.25">
      <c r="A47" s="49" t="s">
        <v>0</v>
      </c>
      <c r="B47" s="50" t="s">
        <v>442</v>
      </c>
      <c r="C47" s="50" t="s">
        <v>0</v>
      </c>
      <c r="D47" s="50" t="s">
        <v>0</v>
      </c>
      <c r="E47" s="50" t="s">
        <v>0</v>
      </c>
      <c r="F47" s="136" t="s">
        <v>0</v>
      </c>
      <c r="G47" s="136" t="s">
        <v>0</v>
      </c>
      <c r="H47" s="136"/>
      <c r="I47" s="136" t="s">
        <v>0</v>
      </c>
      <c r="J47" s="51">
        <f>('Phan tich don gia'!G320)</f>
        <v>24041.512</v>
      </c>
      <c r="K47" s="139"/>
      <c r="L47" s="139"/>
      <c r="M47" s="139"/>
      <c r="N47" s="51">
        <f>ROUND(J47,1)</f>
        <v>24041.5</v>
      </c>
      <c r="O47" s="51"/>
      <c r="P47" s="51"/>
      <c r="Q47" s="132">
        <v>0</v>
      </c>
      <c r="R47" s="41" t="s">
        <v>0</v>
      </c>
    </row>
    <row r="48" spans="1:18" ht="14.25">
      <c r="A48" s="49" t="s">
        <v>334</v>
      </c>
      <c r="B48" s="50" t="s">
        <v>441</v>
      </c>
      <c r="C48" s="50" t="s">
        <v>217</v>
      </c>
      <c r="D48" s="50" t="s">
        <v>0</v>
      </c>
      <c r="E48" s="50" t="s">
        <v>0</v>
      </c>
      <c r="F48" s="136" t="s">
        <v>14</v>
      </c>
      <c r="G48" s="136" t="s">
        <v>0</v>
      </c>
      <c r="H48" s="136"/>
      <c r="I48" s="136" t="s">
        <v>426</v>
      </c>
      <c r="J48" s="51"/>
      <c r="K48" s="139"/>
      <c r="L48" s="139"/>
      <c r="M48" s="139"/>
      <c r="N48" s="130"/>
      <c r="O48" s="130"/>
      <c r="P48" s="130">
        <v>4545000</v>
      </c>
      <c r="Q48" s="131">
        <f>N48+O48+P48</f>
        <v>4545000</v>
      </c>
      <c r="R48" s="41" t="s">
        <v>0</v>
      </c>
    </row>
    <row r="49" spans="1:18" ht="14.25">
      <c r="A49" s="49" t="s">
        <v>333</v>
      </c>
      <c r="B49" s="50" t="s">
        <v>440</v>
      </c>
      <c r="C49" s="50" t="s">
        <v>17</v>
      </c>
      <c r="D49" s="50" t="s">
        <v>0</v>
      </c>
      <c r="E49" s="50" t="s">
        <v>0</v>
      </c>
      <c r="F49" s="136" t="s">
        <v>0</v>
      </c>
      <c r="G49" s="136" t="s">
        <v>0</v>
      </c>
      <c r="H49" s="136"/>
      <c r="I49" s="136" t="s">
        <v>426</v>
      </c>
      <c r="J49" s="51"/>
      <c r="K49" s="139"/>
      <c r="L49" s="139"/>
      <c r="M49" s="139"/>
      <c r="N49" s="130"/>
      <c r="O49" s="130"/>
      <c r="P49" s="130">
        <v>7800</v>
      </c>
      <c r="Q49" s="131">
        <f>N49+O49+P49</f>
        <v>7800</v>
      </c>
      <c r="R49" s="41" t="s">
        <v>0</v>
      </c>
    </row>
    <row r="50" spans="1:18" ht="14.25">
      <c r="A50" s="49" t="s">
        <v>331</v>
      </c>
      <c r="B50" s="50" t="s">
        <v>439</v>
      </c>
      <c r="C50" s="50" t="s">
        <v>217</v>
      </c>
      <c r="D50" s="50" t="s">
        <v>0</v>
      </c>
      <c r="E50" s="50" t="s">
        <v>0</v>
      </c>
      <c r="F50" s="136" t="s">
        <v>0</v>
      </c>
      <c r="G50" s="136" t="s">
        <v>0</v>
      </c>
      <c r="H50" s="136"/>
      <c r="I50" s="136" t="s">
        <v>426</v>
      </c>
      <c r="J50" s="51"/>
      <c r="K50" s="139"/>
      <c r="L50" s="139"/>
      <c r="M50" s="139"/>
      <c r="N50" s="130"/>
      <c r="O50" s="130"/>
      <c r="P50" s="130">
        <v>16350000</v>
      </c>
      <c r="Q50" s="131">
        <f>N50+O50+P50</f>
        <v>16350000</v>
      </c>
      <c r="R50" s="41" t="s">
        <v>0</v>
      </c>
    </row>
    <row r="51" spans="1:18" ht="14.25">
      <c r="A51" s="49" t="s">
        <v>329</v>
      </c>
      <c r="B51" s="50" t="s">
        <v>438</v>
      </c>
      <c r="C51" s="50" t="s">
        <v>38</v>
      </c>
      <c r="D51" s="50" t="s">
        <v>0</v>
      </c>
      <c r="E51" s="50" t="s">
        <v>0</v>
      </c>
      <c r="F51" s="136" t="s">
        <v>2</v>
      </c>
      <c r="G51" s="136" t="s">
        <v>0</v>
      </c>
      <c r="H51" s="136"/>
      <c r="I51" s="136" t="s">
        <v>437</v>
      </c>
      <c r="J51" s="51"/>
      <c r="K51" s="139"/>
      <c r="L51" s="139"/>
      <c r="M51" s="139"/>
      <c r="N51" s="130">
        <f>SUM(N52:N55)</f>
        <v>51521.899999999994</v>
      </c>
      <c r="O51" s="130"/>
      <c r="P51" s="130">
        <v>281818</v>
      </c>
      <c r="Q51" s="131">
        <f>N51+O51+P51</f>
        <v>333339.9</v>
      </c>
      <c r="R51" s="41" t="s">
        <v>0</v>
      </c>
    </row>
    <row r="52" spans="1:18" ht="14.25">
      <c r="A52" s="49" t="s">
        <v>0</v>
      </c>
      <c r="B52" s="50" t="s">
        <v>436</v>
      </c>
      <c r="C52" s="50" t="s">
        <v>0</v>
      </c>
      <c r="D52" s="50" t="s">
        <v>435</v>
      </c>
      <c r="E52" s="50" t="s">
        <v>0</v>
      </c>
      <c r="F52" s="136" t="s">
        <v>0</v>
      </c>
      <c r="G52" s="136" t="s">
        <v>19</v>
      </c>
      <c r="H52" s="136">
        <v>1</v>
      </c>
      <c r="I52" s="136" t="s">
        <v>0</v>
      </c>
      <c r="J52" s="51">
        <f>('Phan tich don gia'!G275)/10</f>
        <v>5910.07992</v>
      </c>
      <c r="K52" s="139">
        <v>1.35</v>
      </c>
      <c r="L52" s="139"/>
      <c r="M52" s="139"/>
      <c r="N52" s="51">
        <f>ROUND(J52*K52*H52,1)</f>
        <v>7978.6</v>
      </c>
      <c r="O52" s="51"/>
      <c r="P52" s="51"/>
      <c r="Q52" s="132">
        <v>0</v>
      </c>
      <c r="R52" s="41" t="s">
        <v>0</v>
      </c>
    </row>
    <row r="53" spans="1:18" ht="14.25">
      <c r="A53" s="49" t="s">
        <v>0</v>
      </c>
      <c r="B53" s="50" t="s">
        <v>434</v>
      </c>
      <c r="C53" s="50" t="s">
        <v>0</v>
      </c>
      <c r="D53" s="50" t="s">
        <v>0</v>
      </c>
      <c r="E53" s="50" t="s">
        <v>0</v>
      </c>
      <c r="F53" s="136" t="s">
        <v>0</v>
      </c>
      <c r="G53" s="136" t="s">
        <v>19</v>
      </c>
      <c r="H53" s="136">
        <v>6</v>
      </c>
      <c r="I53" s="136" t="s">
        <v>0</v>
      </c>
      <c r="J53" s="51">
        <f>('Phan tich don gia'!G280)/10</f>
        <v>4345.647</v>
      </c>
      <c r="K53" s="139">
        <v>1.35</v>
      </c>
      <c r="L53" s="139"/>
      <c r="M53" s="139"/>
      <c r="N53" s="51">
        <f>ROUND(J53*K53*H53,1)</f>
        <v>35199.7</v>
      </c>
      <c r="O53" s="51"/>
      <c r="P53" s="51"/>
      <c r="Q53" s="132">
        <v>0</v>
      </c>
      <c r="R53" s="41" t="s">
        <v>0</v>
      </c>
    </row>
    <row r="54" spans="1:18" ht="14.25">
      <c r="A54" s="49" t="s">
        <v>0</v>
      </c>
      <c r="B54" s="50" t="s">
        <v>434</v>
      </c>
      <c r="C54" s="50" t="s">
        <v>0</v>
      </c>
      <c r="D54" s="50" t="s">
        <v>0</v>
      </c>
      <c r="E54" s="50" t="s">
        <v>0</v>
      </c>
      <c r="F54" s="136" t="s">
        <v>0</v>
      </c>
      <c r="G54" s="136" t="s">
        <v>2</v>
      </c>
      <c r="H54" s="136">
        <v>1</v>
      </c>
      <c r="I54" s="136" t="s">
        <v>0</v>
      </c>
      <c r="J54" s="51">
        <f>('Phan tich don gia'!G280)/10</f>
        <v>4345.647</v>
      </c>
      <c r="K54" s="139">
        <v>0.57</v>
      </c>
      <c r="L54" s="139"/>
      <c r="M54" s="139"/>
      <c r="N54" s="51">
        <f>ROUND(J54*K54*H54,1)</f>
        <v>2477</v>
      </c>
      <c r="O54" s="51"/>
      <c r="P54" s="51"/>
      <c r="Q54" s="132">
        <v>0</v>
      </c>
      <c r="R54" s="41" t="s">
        <v>0</v>
      </c>
    </row>
    <row r="55" spans="1:18" ht="14.25">
      <c r="A55" s="49" t="s">
        <v>0</v>
      </c>
      <c r="B55" s="50" t="s">
        <v>434</v>
      </c>
      <c r="C55" s="50" t="s">
        <v>0</v>
      </c>
      <c r="D55" s="50" t="s">
        <v>0</v>
      </c>
      <c r="E55" s="50" t="s">
        <v>433</v>
      </c>
      <c r="F55" s="136" t="s">
        <v>0</v>
      </c>
      <c r="G55" s="136" t="s">
        <v>19</v>
      </c>
      <c r="H55" s="136">
        <v>1</v>
      </c>
      <c r="I55" s="136" t="s">
        <v>0</v>
      </c>
      <c r="J55" s="51">
        <f>('Phan tich don gia'!G280)/10</f>
        <v>4345.647</v>
      </c>
      <c r="K55" s="139">
        <v>1.35</v>
      </c>
      <c r="L55" s="139"/>
      <c r="M55" s="139"/>
      <c r="N55" s="51">
        <f>ROUND(J55*K55*H55,1)</f>
        <v>5866.6</v>
      </c>
      <c r="O55" s="51"/>
      <c r="P55" s="51"/>
      <c r="Q55" s="132">
        <v>0</v>
      </c>
      <c r="R55" s="41" t="s">
        <v>0</v>
      </c>
    </row>
    <row r="56" spans="1:18" ht="14.25">
      <c r="A56" s="49" t="s">
        <v>328</v>
      </c>
      <c r="B56" s="50" t="s">
        <v>432</v>
      </c>
      <c r="C56" s="50" t="s">
        <v>110</v>
      </c>
      <c r="D56" s="50" t="s">
        <v>0</v>
      </c>
      <c r="E56" s="50" t="s">
        <v>0</v>
      </c>
      <c r="F56" s="136" t="s">
        <v>0</v>
      </c>
      <c r="G56" s="136" t="s">
        <v>0</v>
      </c>
      <c r="H56" s="136"/>
      <c r="I56" s="136" t="s">
        <v>426</v>
      </c>
      <c r="J56" s="51"/>
      <c r="K56" s="139"/>
      <c r="L56" s="139"/>
      <c r="M56" s="139"/>
      <c r="N56" s="130"/>
      <c r="O56" s="130"/>
      <c r="P56" s="130">
        <v>9250</v>
      </c>
      <c r="Q56" s="131">
        <f aca="true" t="shared" si="2" ref="Q56:Q61">N56+O56+P56</f>
        <v>9250</v>
      </c>
      <c r="R56" s="41" t="s">
        <v>0</v>
      </c>
    </row>
    <row r="57" spans="1:18" ht="14.25">
      <c r="A57" s="49" t="s">
        <v>327</v>
      </c>
      <c r="B57" s="50" t="s">
        <v>431</v>
      </c>
      <c r="C57" s="50" t="s">
        <v>110</v>
      </c>
      <c r="D57" s="50" t="s">
        <v>0</v>
      </c>
      <c r="E57" s="50" t="s">
        <v>0</v>
      </c>
      <c r="F57" s="136" t="s">
        <v>0</v>
      </c>
      <c r="G57" s="136" t="s">
        <v>0</v>
      </c>
      <c r="H57" s="136"/>
      <c r="I57" s="136" t="s">
        <v>426</v>
      </c>
      <c r="J57" s="51"/>
      <c r="K57" s="139"/>
      <c r="L57" s="139"/>
      <c r="M57" s="139"/>
      <c r="N57" s="130"/>
      <c r="O57" s="130"/>
      <c r="P57" s="130">
        <v>7400</v>
      </c>
      <c r="Q57" s="131">
        <f t="shared" si="2"/>
        <v>7400</v>
      </c>
      <c r="R57" s="41" t="s">
        <v>0</v>
      </c>
    </row>
    <row r="58" spans="1:18" ht="14.25">
      <c r="A58" s="49" t="s">
        <v>326</v>
      </c>
      <c r="B58" s="50" t="s">
        <v>430</v>
      </c>
      <c r="C58" s="50" t="s">
        <v>217</v>
      </c>
      <c r="D58" s="50" t="s">
        <v>0</v>
      </c>
      <c r="E58" s="50" t="s">
        <v>0</v>
      </c>
      <c r="F58" s="136" t="s">
        <v>0</v>
      </c>
      <c r="G58" s="136" t="s">
        <v>0</v>
      </c>
      <c r="H58" s="136"/>
      <c r="I58" s="136" t="s">
        <v>426</v>
      </c>
      <c r="J58" s="51"/>
      <c r="K58" s="139"/>
      <c r="L58" s="139"/>
      <c r="M58" s="139"/>
      <c r="N58" s="130"/>
      <c r="O58" s="130"/>
      <c r="P58" s="130">
        <v>41664000</v>
      </c>
      <c r="Q58" s="131">
        <f t="shared" si="2"/>
        <v>41664000</v>
      </c>
      <c r="R58" s="41" t="s">
        <v>0</v>
      </c>
    </row>
    <row r="59" spans="1:18" ht="14.25">
      <c r="A59" s="49" t="s">
        <v>325</v>
      </c>
      <c r="B59" s="50" t="s">
        <v>429</v>
      </c>
      <c r="C59" s="50" t="s">
        <v>17</v>
      </c>
      <c r="D59" s="50" t="s">
        <v>0</v>
      </c>
      <c r="E59" s="50" t="s">
        <v>0</v>
      </c>
      <c r="F59" s="136" t="s">
        <v>0</v>
      </c>
      <c r="G59" s="136" t="s">
        <v>0</v>
      </c>
      <c r="H59" s="136"/>
      <c r="I59" s="136" t="s">
        <v>426</v>
      </c>
      <c r="J59" s="51"/>
      <c r="K59" s="139"/>
      <c r="L59" s="139"/>
      <c r="M59" s="139"/>
      <c r="N59" s="130"/>
      <c r="O59" s="130"/>
      <c r="P59" s="130">
        <v>7985000</v>
      </c>
      <c r="Q59" s="131">
        <f t="shared" si="2"/>
        <v>7985000</v>
      </c>
      <c r="R59" s="41" t="s">
        <v>0</v>
      </c>
    </row>
    <row r="60" spans="1:18" ht="14.25">
      <c r="A60" s="49" t="s">
        <v>324</v>
      </c>
      <c r="B60" s="50" t="s">
        <v>428</v>
      </c>
      <c r="C60" s="50" t="s">
        <v>29</v>
      </c>
      <c r="D60" s="50" t="s">
        <v>0</v>
      </c>
      <c r="E60" s="50" t="s">
        <v>0</v>
      </c>
      <c r="F60" s="136" t="s">
        <v>0</v>
      </c>
      <c r="G60" s="136" t="s">
        <v>0</v>
      </c>
      <c r="H60" s="136"/>
      <c r="I60" s="136" t="s">
        <v>426</v>
      </c>
      <c r="J60" s="51"/>
      <c r="K60" s="139"/>
      <c r="L60" s="139"/>
      <c r="M60" s="139"/>
      <c r="N60" s="130"/>
      <c r="O60" s="130"/>
      <c r="P60" s="130">
        <v>29300</v>
      </c>
      <c r="Q60" s="131">
        <f t="shared" si="2"/>
        <v>29300</v>
      </c>
      <c r="R60" s="41" t="s">
        <v>0</v>
      </c>
    </row>
    <row r="61" spans="1:18" ht="15" thickBot="1">
      <c r="A61" s="59" t="s">
        <v>323</v>
      </c>
      <c r="B61" s="60" t="s">
        <v>427</v>
      </c>
      <c r="C61" s="60" t="s">
        <v>29</v>
      </c>
      <c r="D61" s="60" t="s">
        <v>0</v>
      </c>
      <c r="E61" s="60" t="s">
        <v>0</v>
      </c>
      <c r="F61" s="137" t="s">
        <v>0</v>
      </c>
      <c r="G61" s="137" t="s">
        <v>0</v>
      </c>
      <c r="H61" s="137"/>
      <c r="I61" s="137" t="s">
        <v>426</v>
      </c>
      <c r="J61" s="61"/>
      <c r="K61" s="140"/>
      <c r="L61" s="140"/>
      <c r="M61" s="140"/>
      <c r="N61" s="133"/>
      <c r="O61" s="133"/>
      <c r="P61" s="133">
        <v>199000</v>
      </c>
      <c r="Q61" s="134">
        <f t="shared" si="2"/>
        <v>199000</v>
      </c>
      <c r="R61" s="41" t="s">
        <v>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1" customWidth="1"/>
    <col min="2" max="2" width="7.59765625" style="41" customWidth="1"/>
    <col min="3" max="3" width="25.59765625" style="41" customWidth="1"/>
    <col min="4" max="4" width="4.69921875" style="41" customWidth="1"/>
    <col min="5" max="5" width="7.09765625" style="159" customWidth="1"/>
    <col min="6" max="8" width="6.09765625" style="128" customWidth="1"/>
    <col min="9" max="9" width="6.59765625" style="128" customWidth="1"/>
    <col min="10" max="10" width="60" style="41" hidden="1" customWidth="1"/>
    <col min="11" max="11" width="9.59765625" style="69" customWidth="1"/>
    <col min="12" max="16384" width="9" style="41" customWidth="1"/>
  </cols>
  <sheetData>
    <row r="1" spans="1:11" ht="21" customHeight="1">
      <c r="A1" s="245" t="s">
        <v>550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4.25">
      <c r="A2" s="44"/>
      <c r="B2" s="44"/>
      <c r="C2" s="44"/>
      <c r="D2" s="44"/>
      <c r="E2" s="162"/>
      <c r="F2" s="163"/>
      <c r="G2" s="163"/>
      <c r="H2" s="163"/>
      <c r="I2" s="163"/>
      <c r="J2" s="44"/>
      <c r="K2" s="74"/>
    </row>
    <row r="3" spans="1:11" s="39" customFormat="1" ht="16.5" customHeight="1">
      <c r="A3" s="244" t="s">
        <v>493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s="39" customFormat="1" ht="16.5" customHeight="1">
      <c r="A4" s="244" t="s">
        <v>494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s="39" customFormat="1" ht="16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15" thickBot="1">
      <c r="A6" s="44"/>
      <c r="B6" s="44"/>
      <c r="C6" s="44"/>
      <c r="D6" s="44"/>
      <c r="E6" s="162"/>
      <c r="F6" s="163"/>
      <c r="G6" s="163"/>
      <c r="H6" s="163"/>
      <c r="I6" s="163"/>
      <c r="J6" s="44"/>
      <c r="K6" s="74"/>
    </row>
    <row r="7" spans="1:11" ht="45" customHeight="1">
      <c r="A7" s="153" t="s">
        <v>284</v>
      </c>
      <c r="B7" s="155" t="s">
        <v>505</v>
      </c>
      <c r="C7" s="154" t="s">
        <v>506</v>
      </c>
      <c r="D7" s="155" t="s">
        <v>515</v>
      </c>
      <c r="E7" s="164" t="s">
        <v>551</v>
      </c>
      <c r="F7" s="165" t="s">
        <v>552</v>
      </c>
      <c r="G7" s="165" t="s">
        <v>553</v>
      </c>
      <c r="H7" s="165" t="s">
        <v>554</v>
      </c>
      <c r="I7" s="165" t="s">
        <v>555</v>
      </c>
      <c r="J7" s="154" t="s">
        <v>556</v>
      </c>
      <c r="K7" s="166" t="s">
        <v>557</v>
      </c>
    </row>
    <row r="8" spans="1:11" ht="15" thickBot="1">
      <c r="A8" s="47" t="s">
        <v>0</v>
      </c>
      <c r="B8" s="48" t="s">
        <v>0</v>
      </c>
      <c r="C8" s="48" t="s">
        <v>0</v>
      </c>
      <c r="D8" s="48" t="s">
        <v>0</v>
      </c>
      <c r="E8" s="160" t="s">
        <v>0</v>
      </c>
      <c r="F8" s="129">
        <v>0</v>
      </c>
      <c r="G8" s="129">
        <v>0</v>
      </c>
      <c r="H8" s="129">
        <v>0</v>
      </c>
      <c r="I8" s="129">
        <v>0</v>
      </c>
      <c r="J8" s="48" t="s">
        <v>0</v>
      </c>
      <c r="K8" s="161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67" customWidth="1"/>
    <col min="5" max="5" width="12.5" style="167" customWidth="1"/>
    <col min="6" max="6" width="15.59765625" style="167" customWidth="1"/>
    <col min="7" max="16384" width="9" style="6" customWidth="1"/>
  </cols>
  <sheetData>
    <row r="1" spans="1:6" ht="21">
      <c r="A1" s="245" t="s">
        <v>558</v>
      </c>
      <c r="B1" s="245"/>
      <c r="C1" s="245"/>
      <c r="D1" s="245"/>
      <c r="E1" s="245"/>
      <c r="F1" s="245"/>
    </row>
    <row r="2" spans="1:6" ht="15.75">
      <c r="A2" s="2"/>
      <c r="B2" s="2"/>
      <c r="C2" s="2"/>
      <c r="D2" s="5"/>
      <c r="E2" s="5"/>
      <c r="F2" s="5"/>
    </row>
    <row r="3" spans="1:6" s="39" customFormat="1" ht="16.5">
      <c r="A3" s="244" t="s">
        <v>493</v>
      </c>
      <c r="B3" s="244"/>
      <c r="C3" s="244"/>
      <c r="D3" s="244"/>
      <c r="E3" s="244"/>
      <c r="F3" s="244"/>
    </row>
    <row r="4" spans="1:6" s="39" customFormat="1" ht="16.5">
      <c r="A4" s="244" t="s">
        <v>494</v>
      </c>
      <c r="B4" s="244"/>
      <c r="C4" s="244"/>
      <c r="D4" s="244"/>
      <c r="E4" s="244"/>
      <c r="F4" s="244"/>
    </row>
    <row r="5" spans="1:6" s="39" customFormat="1" ht="16.5">
      <c r="A5" s="244"/>
      <c r="B5" s="244"/>
      <c r="C5" s="244"/>
      <c r="D5" s="244"/>
      <c r="E5" s="244"/>
      <c r="F5" s="244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34" t="s">
        <v>284</v>
      </c>
      <c r="B7" s="35" t="s">
        <v>559</v>
      </c>
      <c r="C7" s="36" t="s">
        <v>515</v>
      </c>
      <c r="D7" s="176" t="s">
        <v>560</v>
      </c>
      <c r="E7" s="176" t="s">
        <v>504</v>
      </c>
      <c r="F7" s="177" t="s">
        <v>502</v>
      </c>
    </row>
    <row r="8" spans="1:6" ht="15.75">
      <c r="A8" s="20" t="s">
        <v>0</v>
      </c>
      <c r="B8" s="21" t="s">
        <v>1</v>
      </c>
      <c r="C8" s="21" t="s">
        <v>0</v>
      </c>
      <c r="D8" s="174">
        <f>SUMIF('Phan tich KL VL,NC,M'!C$8:C$183,B8,'Phan tich KL VL,NC,M'!G$8:G$183)</f>
        <v>0</v>
      </c>
      <c r="E8" s="174">
        <v>0</v>
      </c>
      <c r="F8" s="175"/>
    </row>
    <row r="9" spans="1:6" ht="15">
      <c r="A9" s="12" t="s">
        <v>0</v>
      </c>
      <c r="B9" s="13" t="s">
        <v>0</v>
      </c>
      <c r="C9" s="13" t="s">
        <v>0</v>
      </c>
      <c r="D9" s="170">
        <f>SUMIF('Phan tich KL VL,NC,M'!C$8:C$183,B9,'Phan tich KL VL,NC,M'!G$8:G$183)</f>
        <v>0</v>
      </c>
      <c r="E9" s="170">
        <v>0</v>
      </c>
      <c r="F9" s="171"/>
    </row>
    <row r="10" spans="1:6" ht="15.75">
      <c r="A10" s="8" t="s">
        <v>0</v>
      </c>
      <c r="B10" s="9" t="s">
        <v>477</v>
      </c>
      <c r="C10" s="9" t="s">
        <v>0</v>
      </c>
      <c r="D10" s="168">
        <f>SUMIF('Phan tich KL VL,NC,M'!C$8:C$183,B10,'Phan tich KL VL,NC,M'!G$8:G$183)</f>
        <v>0</v>
      </c>
      <c r="E10" s="168">
        <v>0</v>
      </c>
      <c r="F10" s="169">
        <f>SUM(F11:F51)</f>
        <v>489515528.19962925</v>
      </c>
    </row>
    <row r="11" spans="1:6" ht="15">
      <c r="A11" s="12" t="s">
        <v>0</v>
      </c>
      <c r="B11" s="13" t="s">
        <v>0</v>
      </c>
      <c r="C11" s="13" t="s">
        <v>0</v>
      </c>
      <c r="D11" s="170">
        <f>SUMIF('Phan tich KL VL,NC,M'!C$8:C$183,B11,'Phan tich KL VL,NC,M'!G$8:G$183)</f>
        <v>0</v>
      </c>
      <c r="E11" s="170">
        <v>0</v>
      </c>
      <c r="F11" s="171"/>
    </row>
    <row r="12" spans="1:6" ht="15">
      <c r="A12" s="12" t="s">
        <v>387</v>
      </c>
      <c r="B12" s="13" t="s">
        <v>388</v>
      </c>
      <c r="C12" s="13" t="s">
        <v>387</v>
      </c>
      <c r="D12" s="170">
        <f>100</f>
        <v>100</v>
      </c>
      <c r="E12" s="170">
        <v>20954.82802</v>
      </c>
      <c r="F12" s="171">
        <f aca="true" t="shared" si="0" ref="F12:F50">D12*E12</f>
        <v>2095482.8020000001</v>
      </c>
    </row>
    <row r="13" spans="1:6" ht="15">
      <c r="A13" s="12" t="s">
        <v>2</v>
      </c>
      <c r="B13" s="13" t="s">
        <v>153</v>
      </c>
      <c r="C13" s="13" t="s">
        <v>110</v>
      </c>
      <c r="D13" s="170">
        <f>SUMIF('Phan tich KL VL,NC,M'!C$8:C$183,B13,'Phan tich KL VL,NC,M'!G$8:G$183)</f>
        <v>30</v>
      </c>
      <c r="E13" s="170">
        <f>'Gia VL'!Q8</f>
        <v>87600</v>
      </c>
      <c r="F13" s="171">
        <f t="shared" si="0"/>
        <v>2628000</v>
      </c>
    </row>
    <row r="14" spans="1:6" ht="15">
      <c r="A14" s="12" t="s">
        <v>11</v>
      </c>
      <c r="B14" s="13" t="s">
        <v>156</v>
      </c>
      <c r="C14" s="13" t="s">
        <v>17</v>
      </c>
      <c r="D14" s="170">
        <f>SUMIF('Phan tich KL VL,NC,M'!C$8:C$183,B14,'Phan tich KL VL,NC,M'!G$8:G$183)</f>
        <v>15</v>
      </c>
      <c r="E14" s="170">
        <f>'Gia VL'!Q9</f>
        <v>10000</v>
      </c>
      <c r="F14" s="171">
        <f t="shared" si="0"/>
        <v>150000</v>
      </c>
    </row>
    <row r="15" spans="1:6" ht="15">
      <c r="A15" s="12" t="s">
        <v>14</v>
      </c>
      <c r="B15" s="13" t="s">
        <v>154</v>
      </c>
      <c r="C15" s="13" t="s">
        <v>110</v>
      </c>
      <c r="D15" s="170">
        <f>SUMIF('Phan tich KL VL,NC,M'!C$8:C$183,B15,'Phan tich KL VL,NC,M'!G$8:G$183)</f>
        <v>15</v>
      </c>
      <c r="E15" s="170">
        <f>'Gia VL'!Q10</f>
        <v>35000</v>
      </c>
      <c r="F15" s="171">
        <f t="shared" si="0"/>
        <v>525000</v>
      </c>
    </row>
    <row r="16" spans="1:6" ht="15">
      <c r="A16" s="12" t="s">
        <v>19</v>
      </c>
      <c r="B16" s="13" t="s">
        <v>148</v>
      </c>
      <c r="C16" s="13" t="s">
        <v>29</v>
      </c>
      <c r="D16" s="170">
        <f>SUMIF('Phan tich KL VL,NC,M'!C$8:C$183,B16,'Phan tich KL VL,NC,M'!G$8:G$183)</f>
        <v>25.374999999999996</v>
      </c>
      <c r="E16" s="170">
        <f>'Gia VL'!Q11</f>
        <v>274318</v>
      </c>
      <c r="F16" s="171">
        <f t="shared" si="0"/>
        <v>6960819.249999999</v>
      </c>
    </row>
    <row r="17" spans="1:6" ht="15">
      <c r="A17" s="12" t="s">
        <v>24</v>
      </c>
      <c r="B17" s="13" t="s">
        <v>143</v>
      </c>
      <c r="C17" s="13" t="s">
        <v>29</v>
      </c>
      <c r="D17" s="170">
        <f>SUMIF('Phan tich KL VL,NC,M'!C$8:C$183,B17,'Phan tich KL VL,NC,M'!G$8:G$183)</f>
        <v>162.39999999999998</v>
      </c>
      <c r="E17" s="170">
        <f>'Gia VL'!Q12</f>
        <v>22267</v>
      </c>
      <c r="F17" s="171">
        <f t="shared" si="0"/>
        <v>3616160.7999999993</v>
      </c>
    </row>
    <row r="18" spans="1:6" ht="15">
      <c r="A18" s="12" t="s">
        <v>32</v>
      </c>
      <c r="B18" s="13" t="s">
        <v>136</v>
      </c>
      <c r="C18" s="13" t="s">
        <v>29</v>
      </c>
      <c r="D18" s="170">
        <f>SUMIF('Phan tich KL VL,NC,M'!C$8:C$183,B18,'Phan tich KL VL,NC,M'!G$8:G$183)</f>
        <v>591.7449999999999</v>
      </c>
      <c r="E18" s="170">
        <f>'Gia VL'!Q13</f>
        <v>188711</v>
      </c>
      <c r="F18" s="171">
        <f t="shared" si="0"/>
        <v>111668790.69499998</v>
      </c>
    </row>
    <row r="19" spans="1:6" ht="15">
      <c r="A19" s="12" t="s">
        <v>44</v>
      </c>
      <c r="B19" s="13" t="s">
        <v>129</v>
      </c>
      <c r="C19" s="13" t="s">
        <v>38</v>
      </c>
      <c r="D19" s="170">
        <f>SUMIF('Phan tich KL VL,NC,M'!C$8:C$183,B19,'Phan tich KL VL,NC,M'!G$8:G$183)</f>
        <v>5.10156</v>
      </c>
      <c r="E19" s="170">
        <f>'Gia VL'!Q14</f>
        <v>285508.4</v>
      </c>
      <c r="F19" s="171">
        <f t="shared" si="0"/>
        <v>1456538.233104</v>
      </c>
    </row>
    <row r="20" spans="1:6" ht="15">
      <c r="A20" s="12" t="s">
        <v>52</v>
      </c>
      <c r="B20" s="13" t="s">
        <v>116</v>
      </c>
      <c r="C20" s="13" t="s">
        <v>38</v>
      </c>
      <c r="D20" s="170">
        <f>SUMIF('Phan tich KL VL,NC,M'!C$8:C$183,B20,'Phan tich KL VL,NC,M'!G$8:G$183)</f>
        <v>44.400000000000006</v>
      </c>
      <c r="E20" s="170">
        <f>'Gia VL'!Q18</f>
        <v>233341.9</v>
      </c>
      <c r="F20" s="171">
        <f t="shared" si="0"/>
        <v>10360380.360000001</v>
      </c>
    </row>
    <row r="21" spans="1:6" ht="15">
      <c r="A21" s="12" t="s">
        <v>57</v>
      </c>
      <c r="B21" s="13" t="s">
        <v>37</v>
      </c>
      <c r="C21" s="13" t="s">
        <v>38</v>
      </c>
      <c r="D21" s="170">
        <f>SUMIF('Phan tich KL VL,NC,M'!C$8:C$183,B21,'Phan tich KL VL,NC,M'!G$8:G$183)</f>
        <v>15.745045500000002</v>
      </c>
      <c r="E21" s="170">
        <f>'Gia VL'!Q23</f>
        <v>330963.4</v>
      </c>
      <c r="F21" s="171">
        <f t="shared" si="0"/>
        <v>5211033.791834701</v>
      </c>
    </row>
    <row r="22" spans="1:6" ht="15">
      <c r="A22" s="12" t="s">
        <v>63</v>
      </c>
      <c r="B22" s="13" t="s">
        <v>86</v>
      </c>
      <c r="C22" s="13" t="s">
        <v>17</v>
      </c>
      <c r="D22" s="170">
        <f>SUMIF('Phan tich KL VL,NC,M'!C$8:C$183,B22,'Phan tich KL VL,NC,M'!G$8:G$183)</f>
        <v>15</v>
      </c>
      <c r="E22" s="170">
        <f>'Gia VL'!Q27</f>
        <v>1701000</v>
      </c>
      <c r="F22" s="171">
        <f t="shared" si="0"/>
        <v>25515000</v>
      </c>
    </row>
    <row r="23" spans="1:6" ht="15">
      <c r="A23" s="12" t="s">
        <v>67</v>
      </c>
      <c r="B23" s="13" t="s">
        <v>155</v>
      </c>
      <c r="C23" s="13" t="s">
        <v>110</v>
      </c>
      <c r="D23" s="170">
        <f>SUMIF('Phan tich KL VL,NC,M'!C$8:C$183,B23,'Phan tich KL VL,NC,M'!G$8:G$183)</f>
        <v>15</v>
      </c>
      <c r="E23" s="170">
        <f>'Gia VL'!Q28</f>
        <v>45000</v>
      </c>
      <c r="F23" s="171">
        <f t="shared" si="0"/>
        <v>675000</v>
      </c>
    </row>
    <row r="24" spans="1:6" ht="15">
      <c r="A24" s="12" t="s">
        <v>71</v>
      </c>
      <c r="B24" s="13" t="s">
        <v>79</v>
      </c>
      <c r="C24" s="13" t="s">
        <v>80</v>
      </c>
      <c r="D24" s="170">
        <f>SUMIF('Phan tich KL VL,NC,M'!C$8:C$183,B24,'Phan tich KL VL,NC,M'!G$8:G$183)</f>
        <v>15</v>
      </c>
      <c r="E24" s="170">
        <f>'Gia VL'!Q29</f>
        <v>4420500</v>
      </c>
      <c r="F24" s="171">
        <f t="shared" si="0"/>
        <v>66307500</v>
      </c>
    </row>
    <row r="25" spans="1:6" ht="15">
      <c r="A25" s="12" t="s">
        <v>75</v>
      </c>
      <c r="B25" s="13" t="s">
        <v>169</v>
      </c>
      <c r="C25" s="13" t="s">
        <v>110</v>
      </c>
      <c r="D25" s="170">
        <f>SUMIF('Phan tich KL VL,NC,M'!C$8:C$183,B25,'Phan tich KL VL,NC,M'!G$8:G$183)</f>
        <v>15</v>
      </c>
      <c r="E25" s="170">
        <f>'Gia VL'!Q30</f>
        <v>15000</v>
      </c>
      <c r="F25" s="171">
        <f t="shared" si="0"/>
        <v>225000</v>
      </c>
    </row>
    <row r="26" spans="1:6" ht="15">
      <c r="A26" s="12" t="s">
        <v>82</v>
      </c>
      <c r="B26" s="13" t="s">
        <v>174</v>
      </c>
      <c r="C26" s="13" t="s">
        <v>29</v>
      </c>
      <c r="D26" s="170">
        <f>SUMIF('Phan tich KL VL,NC,M'!C$8:C$183,B26,'Phan tich KL VL,NC,M'!G$8:G$183)</f>
        <v>136</v>
      </c>
      <c r="E26" s="170">
        <f>'Gia VL'!Q31</f>
        <v>26550</v>
      </c>
      <c r="F26" s="171">
        <f t="shared" si="0"/>
        <v>3610800</v>
      </c>
    </row>
    <row r="27" spans="1:6" ht="15">
      <c r="A27" s="12" t="s">
        <v>88</v>
      </c>
      <c r="B27" s="13" t="s">
        <v>111</v>
      </c>
      <c r="C27" s="13" t="s">
        <v>29</v>
      </c>
      <c r="D27" s="170">
        <f>SUMIF('Phan tich KL VL,NC,M'!C$8:C$183,B27,'Phan tich KL VL,NC,M'!G$8:G$183)</f>
        <v>596.7449999999999</v>
      </c>
      <c r="E27" s="170">
        <f>'Gia VL'!Q32</f>
        <v>30871</v>
      </c>
      <c r="F27" s="171">
        <f t="shared" si="0"/>
        <v>18422114.894999996</v>
      </c>
    </row>
    <row r="28" spans="1:6" ht="15">
      <c r="A28" s="12" t="s">
        <v>93</v>
      </c>
      <c r="B28" s="13" t="s">
        <v>126</v>
      </c>
      <c r="C28" s="13" t="s">
        <v>127</v>
      </c>
      <c r="D28" s="170">
        <f>SUMIF('Phan tich KL VL,NC,M'!C$8:C$183,B28,'Phan tich KL VL,NC,M'!G$8:G$183)</f>
        <v>179.376</v>
      </c>
      <c r="E28" s="170">
        <f>'Gia VL'!Q33</f>
        <v>84358</v>
      </c>
      <c r="F28" s="171">
        <f t="shared" si="0"/>
        <v>15131800.608000001</v>
      </c>
    </row>
    <row r="29" spans="1:6" ht="15">
      <c r="A29" s="12" t="s">
        <v>98</v>
      </c>
      <c r="B29" s="13" t="s">
        <v>117</v>
      </c>
      <c r="C29" s="13" t="s">
        <v>118</v>
      </c>
      <c r="D29" s="170">
        <f>SUMIF('Phan tich KL VL,NC,M'!C$8:C$183,B29,'Phan tich KL VL,NC,M'!G$8:G$183)</f>
        <v>2220</v>
      </c>
      <c r="E29" s="170">
        <f>'Gia VL'!Q34</f>
        <v>2087</v>
      </c>
      <c r="F29" s="171">
        <f t="shared" si="0"/>
        <v>4633140</v>
      </c>
    </row>
    <row r="30" spans="1:6" ht="15">
      <c r="A30" s="12" t="s">
        <v>103</v>
      </c>
      <c r="B30" s="13" t="s">
        <v>50</v>
      </c>
      <c r="C30" s="13" t="s">
        <v>38</v>
      </c>
      <c r="D30" s="170">
        <f>SUMIF('Phan tich KL VL,NC,M'!C$8:C$183,B30,'Phan tich KL VL,NC,M'!G$8:G$183)</f>
        <v>0.16528900000000002</v>
      </c>
      <c r="E30" s="170">
        <f>'Gia VL'!Q35</f>
        <v>4090909.09</v>
      </c>
      <c r="F30" s="171">
        <f t="shared" si="0"/>
        <v>676182.2725770101</v>
      </c>
    </row>
    <row r="31" spans="1:6" ht="15">
      <c r="A31" s="12" t="s">
        <v>106</v>
      </c>
      <c r="B31" s="13" t="s">
        <v>48</v>
      </c>
      <c r="C31" s="13" t="s">
        <v>38</v>
      </c>
      <c r="D31" s="170">
        <f>SUMIF('Phan tich KL VL,NC,M'!C$8:C$183,B31,'Phan tich KL VL,NC,M'!G$8:G$183)</f>
        <v>0.3917596</v>
      </c>
      <c r="E31" s="170">
        <f>'Gia VL'!Q36</f>
        <v>4090909.09</v>
      </c>
      <c r="F31" s="171">
        <f t="shared" si="0"/>
        <v>1602652.908734764</v>
      </c>
    </row>
    <row r="32" spans="1:6" ht="15">
      <c r="A32" s="12" t="s">
        <v>113</v>
      </c>
      <c r="B32" s="13" t="s">
        <v>49</v>
      </c>
      <c r="C32" s="13" t="s">
        <v>38</v>
      </c>
      <c r="D32" s="170">
        <f>SUMIF('Phan tich KL VL,NC,M'!C$8:C$183,B32,'Phan tich KL VL,NC,M'!G$8:G$183)</f>
        <v>0.103614</v>
      </c>
      <c r="E32" s="170">
        <f>'Gia VL'!Q37</f>
        <v>4090909.09</v>
      </c>
      <c r="F32" s="171">
        <f t="shared" si="0"/>
        <v>423875.45445126</v>
      </c>
    </row>
    <row r="33" spans="1:6" ht="15">
      <c r="A33" s="12" t="s">
        <v>119</v>
      </c>
      <c r="B33" s="13" t="s">
        <v>18</v>
      </c>
      <c r="C33" s="13" t="s">
        <v>17</v>
      </c>
      <c r="D33" s="170">
        <f>SUMIF('Phan tich KL VL,NC,M'!C$8:C$183,B33,'Phan tich KL VL,NC,M'!G$8:G$183)</f>
        <v>16</v>
      </c>
      <c r="E33" s="170">
        <f>'Gia VL'!Q38</f>
        <v>753900</v>
      </c>
      <c r="F33" s="171">
        <f t="shared" si="0"/>
        <v>12062400</v>
      </c>
    </row>
    <row r="34" spans="1:6" ht="15">
      <c r="A34" s="12" t="s">
        <v>123</v>
      </c>
      <c r="B34" s="13" t="s">
        <v>70</v>
      </c>
      <c r="C34" s="13" t="s">
        <v>17</v>
      </c>
      <c r="D34" s="170">
        <f>SUMIF('Phan tich KL VL,NC,M'!C$8:C$183,B34,'Phan tich KL VL,NC,M'!G$8:G$183)</f>
        <v>4</v>
      </c>
      <c r="E34" s="170">
        <f>'Gia VL'!Q39</f>
        <v>2200</v>
      </c>
      <c r="F34" s="171">
        <f t="shared" si="0"/>
        <v>8800</v>
      </c>
    </row>
    <row r="35" spans="1:6" ht="15">
      <c r="A35" s="12" t="s">
        <v>133</v>
      </c>
      <c r="B35" s="13" t="s">
        <v>60</v>
      </c>
      <c r="C35" s="13" t="s">
        <v>17</v>
      </c>
      <c r="D35" s="170">
        <f>SUMIF('Phan tich KL VL,NC,M'!C$8:C$183,B35,'Phan tich KL VL,NC,M'!G$8:G$183)</f>
        <v>1.7500000000000002</v>
      </c>
      <c r="E35" s="170">
        <f>'Gia VL'!Q40</f>
        <v>154000</v>
      </c>
      <c r="F35" s="171">
        <f t="shared" si="0"/>
        <v>269500.00000000006</v>
      </c>
    </row>
    <row r="36" spans="1:6" ht="15">
      <c r="A36" s="12" t="s">
        <v>137</v>
      </c>
      <c r="B36" s="13" t="s">
        <v>40</v>
      </c>
      <c r="C36" s="13" t="s">
        <v>38</v>
      </c>
      <c r="D36" s="170">
        <f>SUMIF('Phan tich KL VL,NC,M'!C$8:C$183,B36,'Phan tich KL VL,NC,M'!G$8:G$183)</f>
        <v>6.140553999999999</v>
      </c>
      <c r="E36" s="170">
        <f>'Gia VL'!Q41</f>
        <v>9545.45</v>
      </c>
      <c r="F36" s="171">
        <f t="shared" si="0"/>
        <v>58614.35117929999</v>
      </c>
    </row>
    <row r="37" spans="1:6" ht="15">
      <c r="A37" s="12" t="s">
        <v>140</v>
      </c>
      <c r="B37" s="13" t="s">
        <v>101</v>
      </c>
      <c r="C37" s="13" t="s">
        <v>23</v>
      </c>
      <c r="D37" s="170">
        <f>SUMIF('Phan tich KL VL,NC,M'!C$8:C$183,B37,'Phan tich KL VL,NC,M'!G$8:G$183)</f>
        <v>341</v>
      </c>
      <c r="E37" s="170">
        <f>ROUND('Gia VL'!Q42/1000,5)</f>
        <v>41664</v>
      </c>
      <c r="F37" s="171">
        <f t="shared" si="0"/>
        <v>14207424</v>
      </c>
    </row>
    <row r="38" spans="1:6" ht="15">
      <c r="A38" s="12" t="s">
        <v>144</v>
      </c>
      <c r="B38" s="13" t="s">
        <v>97</v>
      </c>
      <c r="C38" s="13" t="s">
        <v>17</v>
      </c>
      <c r="D38" s="170">
        <f>SUMIF('Phan tich KL VL,NC,M'!C$8:C$183,B38,'Phan tich KL VL,NC,M'!G$8:G$183)</f>
        <v>1</v>
      </c>
      <c r="E38" s="170">
        <f>'Gia VL'!Q43</f>
        <v>17029950</v>
      </c>
      <c r="F38" s="171">
        <f t="shared" si="0"/>
        <v>17029950</v>
      </c>
    </row>
    <row r="39" spans="1:6" ht="15">
      <c r="A39" s="12" t="s">
        <v>149</v>
      </c>
      <c r="B39" s="13" t="s">
        <v>128</v>
      </c>
      <c r="C39" s="13" t="s">
        <v>23</v>
      </c>
      <c r="D39" s="170">
        <f>SUMIF('Phan tich KL VL,NC,M'!C$8:C$183,B39,'Phan tich KL VL,NC,M'!G$8:G$183)</f>
        <v>1500.7200000000003</v>
      </c>
      <c r="E39" s="170">
        <f>ROUND('Gia VL'!Q44/1000,5)</f>
        <v>1637.6775</v>
      </c>
      <c r="F39" s="171">
        <f t="shared" si="0"/>
        <v>2457695.3778000004</v>
      </c>
    </row>
    <row r="40" spans="1:6" ht="15">
      <c r="A40" s="12" t="s">
        <v>158</v>
      </c>
      <c r="B40" s="13" t="s">
        <v>36</v>
      </c>
      <c r="C40" s="13" t="s">
        <v>23</v>
      </c>
      <c r="D40" s="170">
        <f>SUMIF('Phan tich KL VL,NC,M'!C$8:C$183,B40,'Phan tich KL VL,NC,M'!G$8:G$183)</f>
        <v>6021.3775</v>
      </c>
      <c r="E40" s="170">
        <f>ROUND('Gia VL'!Q46/1000,5)</f>
        <v>1701.3145</v>
      </c>
      <c r="F40" s="171">
        <f t="shared" si="0"/>
        <v>10244256.850723749</v>
      </c>
    </row>
    <row r="41" spans="1:6" ht="15">
      <c r="A41" s="12" t="s">
        <v>161</v>
      </c>
      <c r="B41" s="13" t="s">
        <v>130</v>
      </c>
      <c r="C41" s="13" t="s">
        <v>23</v>
      </c>
      <c r="D41" s="170">
        <f>SUMIF('Phan tich KL VL,NC,M'!C$8:C$183,B41,'Phan tich KL VL,NC,M'!G$8:G$183)</f>
        <v>28.416</v>
      </c>
      <c r="E41" s="170">
        <f>ROUND('Gia VL'!Q48/1000,5)</f>
        <v>4545</v>
      </c>
      <c r="F41" s="171">
        <f t="shared" si="0"/>
        <v>129150.72</v>
      </c>
    </row>
    <row r="42" spans="1:6" ht="15">
      <c r="A42" s="12" t="s">
        <v>165</v>
      </c>
      <c r="B42" s="13" t="s">
        <v>74</v>
      </c>
      <c r="C42" s="13" t="s">
        <v>17</v>
      </c>
      <c r="D42" s="170">
        <f>SUMIF('Phan tich KL VL,NC,M'!C$8:C$183,B42,'Phan tich KL VL,NC,M'!G$8:G$183)</f>
        <v>4</v>
      </c>
      <c r="E42" s="170">
        <f>'Gia VL'!Q49</f>
        <v>7800</v>
      </c>
      <c r="F42" s="171">
        <f t="shared" si="0"/>
        <v>31200</v>
      </c>
    </row>
    <row r="43" spans="1:6" ht="15">
      <c r="A43" s="12" t="s">
        <v>170</v>
      </c>
      <c r="B43" s="13" t="s">
        <v>51</v>
      </c>
      <c r="C43" s="13" t="s">
        <v>23</v>
      </c>
      <c r="D43" s="170">
        <f>SUMIF('Phan tich KL VL,NC,M'!C$8:C$183,B43,'Phan tich KL VL,NC,M'!G$8:G$183)</f>
        <v>7.401</v>
      </c>
      <c r="E43" s="170">
        <f>ROUND('Gia VL'!Q50/1000,5)</f>
        <v>16350</v>
      </c>
      <c r="F43" s="171">
        <f t="shared" si="0"/>
        <v>121006.34999999999</v>
      </c>
    </row>
    <row r="44" spans="1:6" ht="15">
      <c r="A44" s="12" t="s">
        <v>179</v>
      </c>
      <c r="B44" s="13" t="s">
        <v>39</v>
      </c>
      <c r="C44" s="13" t="s">
        <v>38</v>
      </c>
      <c r="D44" s="170">
        <f>SUMIF('Phan tich KL VL,NC,M'!C$8:C$183,B44,'Phan tich KL VL,NC,M'!G$8:G$183)</f>
        <v>25.524755</v>
      </c>
      <c r="E44" s="170">
        <f>'Gia VL'!Q51</f>
        <v>333339.9</v>
      </c>
      <c r="F44" s="171">
        <f t="shared" si="0"/>
        <v>8508419.2792245</v>
      </c>
    </row>
    <row r="45" spans="1:6" ht="15">
      <c r="A45" s="12" t="s">
        <v>185</v>
      </c>
      <c r="B45" s="13" t="s">
        <v>109</v>
      </c>
      <c r="C45" s="13" t="s">
        <v>110</v>
      </c>
      <c r="D45" s="170">
        <f>SUMIF('Phan tich KL VL,NC,M'!C$8:C$183,B45,'Phan tich KL VL,NC,M'!G$8:G$183)</f>
        <v>116</v>
      </c>
      <c r="E45" s="170">
        <f>'Gia VL'!Q56</f>
        <v>9250</v>
      </c>
      <c r="F45" s="171">
        <f t="shared" si="0"/>
        <v>1073000</v>
      </c>
    </row>
    <row r="46" spans="1:6" ht="15">
      <c r="A46" s="12" t="s">
        <v>188</v>
      </c>
      <c r="B46" s="13" t="s">
        <v>157</v>
      </c>
      <c r="C46" s="13" t="s">
        <v>110</v>
      </c>
      <c r="D46" s="170">
        <f>SUMIF('Phan tich KL VL,NC,M'!C$8:C$183,B46,'Phan tich KL VL,NC,M'!G$8:G$183)</f>
        <v>28</v>
      </c>
      <c r="E46" s="170">
        <f>'Gia VL'!Q57</f>
        <v>7400</v>
      </c>
      <c r="F46" s="171">
        <f t="shared" si="0"/>
        <v>207200</v>
      </c>
    </row>
    <row r="47" spans="1:6" ht="15">
      <c r="A47" s="12" t="s">
        <v>191</v>
      </c>
      <c r="B47" s="13" t="s">
        <v>22</v>
      </c>
      <c r="C47" s="13" t="s">
        <v>23</v>
      </c>
      <c r="D47" s="170">
        <f>SUMIF('Phan tich KL VL,NC,M'!C$8:C$183,B47,'Phan tich KL VL,NC,M'!G$8:G$183)</f>
        <v>39.8</v>
      </c>
      <c r="E47" s="170">
        <f>ROUND('Gia VL'!Q58/1000,5)</f>
        <v>41664</v>
      </c>
      <c r="F47" s="171">
        <f t="shared" si="0"/>
        <v>1658227.2</v>
      </c>
    </row>
    <row r="48" spans="1:6" ht="15">
      <c r="A48" s="12" t="s">
        <v>194</v>
      </c>
      <c r="B48" s="13" t="s">
        <v>92</v>
      </c>
      <c r="C48" s="13" t="s">
        <v>17</v>
      </c>
      <c r="D48" s="170">
        <f>SUMIF('Phan tich KL VL,NC,M'!C$8:C$183,B48,'Phan tich KL VL,NC,M'!G$8:G$183)</f>
        <v>15</v>
      </c>
      <c r="E48" s="170">
        <f>'Gia VL'!Q59</f>
        <v>7985000</v>
      </c>
      <c r="F48" s="171">
        <f t="shared" si="0"/>
        <v>119775000</v>
      </c>
    </row>
    <row r="49" spans="1:6" ht="15">
      <c r="A49" s="12" t="s">
        <v>196</v>
      </c>
      <c r="B49" s="13" t="s">
        <v>28</v>
      </c>
      <c r="C49" s="13" t="s">
        <v>29</v>
      </c>
      <c r="D49" s="170">
        <f>SUMIF('Phan tich KL VL,NC,M'!C$8:C$183,B49,'Phan tich KL VL,NC,M'!G$8:G$183)</f>
        <v>501.84</v>
      </c>
      <c r="E49" s="170">
        <f>'Gia VL'!Q60</f>
        <v>29300</v>
      </c>
      <c r="F49" s="171">
        <f t="shared" si="0"/>
        <v>14703912</v>
      </c>
    </row>
    <row r="50" spans="1:6" ht="15">
      <c r="A50" s="12" t="s">
        <v>198</v>
      </c>
      <c r="B50" s="13" t="s">
        <v>66</v>
      </c>
      <c r="C50" s="13" t="s">
        <v>29</v>
      </c>
      <c r="D50" s="170">
        <f>SUMIF('Phan tich KL VL,NC,M'!C$8:C$183,B50,'Phan tich KL VL,NC,M'!G$8:G$183)</f>
        <v>25.5</v>
      </c>
      <c r="E50" s="170">
        <f>'Gia VL'!Q61</f>
        <v>199000</v>
      </c>
      <c r="F50" s="171">
        <f t="shared" si="0"/>
        <v>5074500</v>
      </c>
    </row>
    <row r="51" spans="1:6" ht="15">
      <c r="A51" s="12" t="s">
        <v>0</v>
      </c>
      <c r="B51" s="13" t="s">
        <v>0</v>
      </c>
      <c r="C51" s="13" t="s">
        <v>0</v>
      </c>
      <c r="D51" s="170">
        <f>SUMIF('Phan tich KL VL,NC,M'!C$8:C$183,B51,'Phan tich KL VL,NC,M'!G$8:G$183)</f>
        <v>0</v>
      </c>
      <c r="E51" s="170">
        <v>0</v>
      </c>
      <c r="F51" s="171"/>
    </row>
    <row r="52" spans="1:6" ht="15.75">
      <c r="A52" s="8" t="s">
        <v>0</v>
      </c>
      <c r="B52" s="9" t="s">
        <v>476</v>
      </c>
      <c r="C52" s="9" t="s">
        <v>0</v>
      </c>
      <c r="D52" s="168">
        <f>SUMIF('Phan tich KL VL,NC,M'!C$8:C$183,B52,'Phan tich KL VL,NC,M'!G$8:G$183)</f>
        <v>0</v>
      </c>
      <c r="E52" s="168">
        <v>0</v>
      </c>
      <c r="F52" s="169">
        <f>SUM(F53:F60)</f>
        <v>91971155.0277856</v>
      </c>
    </row>
    <row r="53" spans="1:6" ht="15">
      <c r="A53" s="12" t="s">
        <v>0</v>
      </c>
      <c r="B53" s="13" t="s">
        <v>0</v>
      </c>
      <c r="C53" s="13" t="s">
        <v>0</v>
      </c>
      <c r="D53" s="170">
        <f>SUMIF('Phan tich KL VL,NC,M'!C$8:C$183,B53,'Phan tich KL VL,NC,M'!G$8:G$183)</f>
        <v>0</v>
      </c>
      <c r="E53" s="170">
        <v>0</v>
      </c>
      <c r="F53" s="171"/>
    </row>
    <row r="54" spans="1:6" ht="15">
      <c r="A54" s="12" t="s">
        <v>203</v>
      </c>
      <c r="B54" s="13" t="s">
        <v>175</v>
      </c>
      <c r="C54" s="13" t="s">
        <v>8</v>
      </c>
      <c r="D54" s="170">
        <f>SUMIF('Phan tich KL VL,NC,M'!C$8:C$183,B54,'Phan tich KL VL,NC,M'!G$8:G$183)</f>
        <v>11.729999999999999</v>
      </c>
      <c r="E54" s="170">
        <f>'Gia NC,CM'!P8</f>
        <v>262620</v>
      </c>
      <c r="F54" s="171">
        <f aca="true" t="shared" si="1" ref="F54:F59">D54*E54</f>
        <v>3080532.5999999996</v>
      </c>
    </row>
    <row r="55" spans="1:6" ht="15">
      <c r="A55" s="12" t="s">
        <v>205</v>
      </c>
      <c r="B55" s="13" t="s">
        <v>7</v>
      </c>
      <c r="C55" s="13" t="s">
        <v>8</v>
      </c>
      <c r="D55" s="170">
        <f>SUMIF('Phan tich KL VL,NC,M'!C$8:C$183,B55,'Phan tich KL VL,NC,M'!G$8:G$183)</f>
        <v>211.802743</v>
      </c>
      <c r="E55" s="170">
        <f>'Gia NC,CM'!P9</f>
        <v>218559.2</v>
      </c>
      <c r="F55" s="171">
        <f t="shared" si="1"/>
        <v>46291438.0678856</v>
      </c>
    </row>
    <row r="56" spans="1:6" ht="15">
      <c r="A56" s="12" t="s">
        <v>207</v>
      </c>
      <c r="B56" s="13" t="s">
        <v>41</v>
      </c>
      <c r="C56" s="13" t="s">
        <v>8</v>
      </c>
      <c r="D56" s="170">
        <f>SUMIF('Phan tich KL VL,NC,M'!C$8:C$183,B56,'Phan tich KL VL,NC,M'!G$8:G$183)</f>
        <v>33.705</v>
      </c>
      <c r="E56" s="170">
        <f>'Gia NC,CM'!P10</f>
        <v>230630.3</v>
      </c>
      <c r="F56" s="171">
        <f t="shared" si="1"/>
        <v>7773394.261499999</v>
      </c>
    </row>
    <row r="57" spans="1:6" ht="15">
      <c r="A57" s="12" t="s">
        <v>210</v>
      </c>
      <c r="B57" s="13" t="s">
        <v>30</v>
      </c>
      <c r="C57" s="13" t="s">
        <v>8</v>
      </c>
      <c r="D57" s="170">
        <f>SUMIF('Phan tich KL VL,NC,M'!C$8:C$183,B57,'Phan tich KL VL,NC,M'!G$8:G$183)</f>
        <v>105.31378000000001</v>
      </c>
      <c r="E57" s="170">
        <f>'Gia NC,CM'!P11</f>
        <v>252200</v>
      </c>
      <c r="F57" s="171">
        <f t="shared" si="1"/>
        <v>26560135.316000003</v>
      </c>
    </row>
    <row r="58" spans="1:6" ht="15">
      <c r="A58" s="12" t="s">
        <v>212</v>
      </c>
      <c r="B58" s="13" t="s">
        <v>131</v>
      </c>
      <c r="C58" s="13" t="s">
        <v>8</v>
      </c>
      <c r="D58" s="170">
        <f>SUMIF('Phan tich KL VL,NC,M'!C$8:C$183,B58,'Phan tich KL VL,NC,M'!G$8:G$183)</f>
        <v>30.192</v>
      </c>
      <c r="E58" s="170">
        <f>'Gia NC,CM'!P12</f>
        <v>273769.7</v>
      </c>
      <c r="F58" s="171">
        <f t="shared" si="1"/>
        <v>8265654.782400001</v>
      </c>
    </row>
    <row r="59" spans="1:6" ht="15">
      <c r="A59" s="12" t="s">
        <v>214</v>
      </c>
      <c r="B59" s="13" t="s">
        <v>61</v>
      </c>
      <c r="C59" s="13" t="s">
        <v>8</v>
      </c>
      <c r="D59" s="170">
        <f>SUMIF('Phan tich KL VL,NC,M'!C$8:C$183,B59,'Phan tich KL VL,NC,M'!G$8:G$183)</f>
        <v>89.68</v>
      </c>
      <c r="E59" s="170">
        <f>'Gia NC,CM'!P13</f>
        <v>0</v>
      </c>
      <c r="F59" s="171">
        <f t="shared" si="1"/>
        <v>0</v>
      </c>
    </row>
    <row r="60" spans="1:6" ht="15">
      <c r="A60" s="12" t="s">
        <v>0</v>
      </c>
      <c r="B60" s="13" t="s">
        <v>0</v>
      </c>
      <c r="C60" s="13" t="s">
        <v>0</v>
      </c>
      <c r="D60" s="170">
        <f>SUMIF('Phan tich KL VL,NC,M'!C$8:C$183,B60,'Phan tich KL VL,NC,M'!G$8:G$183)</f>
        <v>0</v>
      </c>
      <c r="E60" s="170">
        <v>0</v>
      </c>
      <c r="F60" s="171"/>
    </row>
    <row r="61" spans="1:6" ht="15.75">
      <c r="A61" s="8" t="s">
        <v>0</v>
      </c>
      <c r="B61" s="9" t="s">
        <v>475</v>
      </c>
      <c r="C61" s="9" t="s">
        <v>0</v>
      </c>
      <c r="D61" s="168">
        <f>SUMIF('Phan tich KL VL,NC,M'!C$8:C$183,B61,'Phan tich KL VL,NC,M'!G$8:G$183)</f>
        <v>0</v>
      </c>
      <c r="E61" s="168">
        <v>0</v>
      </c>
      <c r="F61" s="169">
        <f>SUM(F62:F79)</f>
        <v>43325096.54642815</v>
      </c>
    </row>
    <row r="62" spans="1:6" ht="15">
      <c r="A62" s="12" t="s">
        <v>0</v>
      </c>
      <c r="B62" s="13" t="s">
        <v>0</v>
      </c>
      <c r="C62" s="13" t="s">
        <v>0</v>
      </c>
      <c r="D62" s="170">
        <f>SUMIF('Phan tich KL VL,NC,M'!C$8:C$183,B62,'Phan tich KL VL,NC,M'!G$8:G$183)</f>
        <v>0</v>
      </c>
      <c r="E62" s="170">
        <v>0</v>
      </c>
      <c r="F62" s="171"/>
    </row>
    <row r="63" spans="1:6" ht="15">
      <c r="A63" s="12" t="s">
        <v>219</v>
      </c>
      <c r="B63" s="13" t="s">
        <v>81</v>
      </c>
      <c r="C63" s="13" t="s">
        <v>10</v>
      </c>
      <c r="D63" s="170">
        <f>SUMIF('Phan tich KL VL,NC,M'!C$8:C$183,B63,'Phan tich KL VL,NC,M'!G$8:G$183)</f>
        <v>1.5</v>
      </c>
      <c r="E63" s="170">
        <f>'Gia NC,CM'!P14</f>
        <v>1445506.2</v>
      </c>
      <c r="F63" s="171">
        <f aca="true" t="shared" si="2" ref="F63:F76">D63*E63</f>
        <v>2168259.3</v>
      </c>
    </row>
    <row r="64" spans="1:6" ht="15">
      <c r="A64" s="12" t="s">
        <v>222</v>
      </c>
      <c r="B64" s="13" t="s">
        <v>176</v>
      </c>
      <c r="C64" s="13" t="s">
        <v>10</v>
      </c>
      <c r="D64" s="170">
        <f>SUMIF('Phan tich KL VL,NC,M'!C$8:C$183,B64,'Phan tich KL VL,NC,M'!G$8:G$183)</f>
        <v>4.777</v>
      </c>
      <c r="E64" s="170">
        <f>'Gia NC,CM'!P15</f>
        <v>48609</v>
      </c>
      <c r="F64" s="171">
        <f t="shared" si="2"/>
        <v>232205.193</v>
      </c>
    </row>
    <row r="65" spans="1:6" ht="15">
      <c r="A65" s="12" t="s">
        <v>489</v>
      </c>
      <c r="B65" s="13" t="s">
        <v>132</v>
      </c>
      <c r="C65" s="13" t="s">
        <v>10</v>
      </c>
      <c r="D65" s="170">
        <f>SUMIF('Phan tich KL VL,NC,M'!C$8:C$183,B65,'Phan tich KL VL,NC,M'!G$8:G$183)</f>
        <v>5.327999999999999</v>
      </c>
      <c r="E65" s="170">
        <f>'Gia NC,CM'!P16</f>
        <v>27817.3</v>
      </c>
      <c r="F65" s="171">
        <f t="shared" si="2"/>
        <v>148210.57439999998</v>
      </c>
    </row>
    <row r="66" spans="1:6" ht="15">
      <c r="A66" s="12" t="s">
        <v>488</v>
      </c>
      <c r="B66" s="13" t="s">
        <v>102</v>
      </c>
      <c r="C66" s="13" t="s">
        <v>10</v>
      </c>
      <c r="D66" s="170">
        <f>SUMIF('Phan tich KL VL,NC,M'!C$8:C$183,B66,'Phan tich KL VL,NC,M'!G$8:G$183)</f>
        <v>3.6</v>
      </c>
      <c r="E66" s="170">
        <f>'Gia NC,CM'!P17</f>
        <v>409418.3</v>
      </c>
      <c r="F66" s="171">
        <f t="shared" si="2"/>
        <v>1473905.88</v>
      </c>
    </row>
    <row r="67" spans="1:6" ht="15">
      <c r="A67" s="12" t="s">
        <v>487</v>
      </c>
      <c r="B67" s="13" t="s">
        <v>31</v>
      </c>
      <c r="C67" s="13" t="s">
        <v>10</v>
      </c>
      <c r="D67" s="170">
        <f>SUMIF('Phan tich KL VL,NC,M'!C$8:C$183,B67,'Phan tich KL VL,NC,M'!G$8:G$183)</f>
        <v>8.789000000000001</v>
      </c>
      <c r="E67" s="170">
        <f>'Gia NC,CM'!P18</f>
        <v>15041.9</v>
      </c>
      <c r="F67" s="171">
        <f t="shared" si="2"/>
        <v>132203.25910000002</v>
      </c>
    </row>
    <row r="68" spans="1:6" ht="15">
      <c r="A68" s="12" t="s">
        <v>486</v>
      </c>
      <c r="B68" s="13" t="s">
        <v>62</v>
      </c>
      <c r="C68" s="13" t="s">
        <v>10</v>
      </c>
      <c r="D68" s="170">
        <f>SUMIF('Phan tich KL VL,NC,M'!C$8:C$183,B68,'Phan tich KL VL,NC,M'!G$8:G$183)</f>
        <v>4.5</v>
      </c>
      <c r="E68" s="170">
        <f>'Gia NC,CM'!P19</f>
        <v>6414868.9</v>
      </c>
      <c r="F68" s="171">
        <f t="shared" si="2"/>
        <v>28866910.05</v>
      </c>
    </row>
    <row r="69" spans="1:6" ht="15">
      <c r="A69" s="12" t="s">
        <v>485</v>
      </c>
      <c r="B69" s="13" t="s">
        <v>42</v>
      </c>
      <c r="C69" s="13" t="s">
        <v>10</v>
      </c>
      <c r="D69" s="170">
        <f>SUMIF('Phan tich KL VL,NC,M'!C$8:C$183,B69,'Phan tich KL VL,NC,M'!G$8:G$183)</f>
        <v>2.6581</v>
      </c>
      <c r="E69" s="170">
        <f>'Gia NC,CM'!P20</f>
        <v>318885.3</v>
      </c>
      <c r="F69" s="171">
        <f t="shared" si="2"/>
        <v>847629.01593</v>
      </c>
    </row>
    <row r="70" spans="1:6" ht="15">
      <c r="A70" s="12" t="s">
        <v>484</v>
      </c>
      <c r="B70" s="13" t="s">
        <v>177</v>
      </c>
      <c r="C70" s="13" t="s">
        <v>10</v>
      </c>
      <c r="D70" s="170">
        <f>SUMIF('Phan tich KL VL,NC,M'!C$8:C$183,B70,'Phan tich KL VL,NC,M'!G$8:G$183)</f>
        <v>1.071</v>
      </c>
      <c r="E70" s="170">
        <f>'Gia NC,CM'!P21</f>
        <v>83447</v>
      </c>
      <c r="F70" s="171">
        <f t="shared" si="2"/>
        <v>89371.737</v>
      </c>
    </row>
    <row r="71" spans="1:6" ht="15">
      <c r="A71" s="12" t="s">
        <v>483</v>
      </c>
      <c r="B71" s="13" t="s">
        <v>9</v>
      </c>
      <c r="C71" s="13" t="s">
        <v>10</v>
      </c>
      <c r="D71" s="170">
        <f>SUMIF('Phan tich KL VL,NC,M'!C$8:C$183,B71,'Phan tich KL VL,NC,M'!G$8:G$183)</f>
        <v>0.2656914</v>
      </c>
      <c r="E71" s="170">
        <f>'Gia NC,CM'!P22</f>
        <v>1786191.9</v>
      </c>
      <c r="F71" s="171">
        <f t="shared" si="2"/>
        <v>474575.82657966</v>
      </c>
    </row>
    <row r="72" spans="1:6" ht="15">
      <c r="A72" s="12" t="s">
        <v>482</v>
      </c>
      <c r="B72" s="13" t="s">
        <v>122</v>
      </c>
      <c r="C72" s="13" t="s">
        <v>10</v>
      </c>
      <c r="D72" s="170">
        <f>SUMIF('Phan tich KL VL,NC,M'!C$8:C$183,B72,'Phan tich KL VL,NC,M'!G$8:G$183)</f>
        <v>1.58064</v>
      </c>
      <c r="E72" s="170">
        <f>'Gia NC,CM'!P23</f>
        <v>270954</v>
      </c>
      <c r="F72" s="171">
        <f t="shared" si="2"/>
        <v>428280.73056</v>
      </c>
    </row>
    <row r="73" spans="1:6" ht="15">
      <c r="A73" s="12" t="s">
        <v>481</v>
      </c>
      <c r="B73" s="13" t="s">
        <v>43</v>
      </c>
      <c r="C73" s="13" t="s">
        <v>10</v>
      </c>
      <c r="D73" s="170">
        <f>SUMIF('Phan tich KL VL,NC,M'!C$8:C$183,B73,'Phan tich KL VL,NC,M'!G$8:G$183)</f>
        <v>0.90958</v>
      </c>
      <c r="E73" s="170">
        <f>'Gia NC,CM'!P24</f>
        <v>274861.2</v>
      </c>
      <c r="F73" s="171">
        <f t="shared" si="2"/>
        <v>250008.250296</v>
      </c>
    </row>
    <row r="74" spans="1:6" ht="15">
      <c r="A74" s="12" t="s">
        <v>480</v>
      </c>
      <c r="B74" s="13" t="s">
        <v>56</v>
      </c>
      <c r="C74" s="13" t="s">
        <v>10</v>
      </c>
      <c r="D74" s="170">
        <f>SUMIF('Phan tich KL VL,NC,M'!C$8:C$183,B74,'Phan tich KL VL,NC,M'!G$8:G$183)</f>
        <v>3.684665</v>
      </c>
      <c r="E74" s="170">
        <f>'Gia NC,CM'!P25</f>
        <v>377262.5</v>
      </c>
      <c r="F74" s="171">
        <f t="shared" si="2"/>
        <v>1390085.9295625</v>
      </c>
    </row>
    <row r="75" spans="1:6" ht="15">
      <c r="A75" s="12" t="s">
        <v>479</v>
      </c>
      <c r="B75" s="13" t="s">
        <v>87</v>
      </c>
      <c r="C75" s="13" t="s">
        <v>10</v>
      </c>
      <c r="D75" s="170">
        <f>SUMIF('Phan tich KL VL,NC,M'!C$8:C$183,B75,'Phan tich KL VL,NC,M'!G$8:G$183)</f>
        <v>4.2</v>
      </c>
      <c r="E75" s="170">
        <f>'Gia NC,CM'!P26</f>
        <v>1516322.4</v>
      </c>
      <c r="F75" s="171">
        <f t="shared" si="2"/>
        <v>6368554.08</v>
      </c>
    </row>
    <row r="76" spans="1:6" ht="15">
      <c r="A76" s="12" t="s">
        <v>478</v>
      </c>
      <c r="B76" s="13" t="s">
        <v>112</v>
      </c>
      <c r="C76" s="13" t="s">
        <v>10</v>
      </c>
      <c r="D76" s="170">
        <f>SUMIF('Phan tich KL VL,NC,M'!C$8:C$183,B76,'Phan tich KL VL,NC,M'!G$8:G$183)</f>
        <v>0.3</v>
      </c>
      <c r="E76" s="170">
        <f>'Gia NC,CM'!P27</f>
        <v>1516322.4</v>
      </c>
      <c r="F76" s="171">
        <f t="shared" si="2"/>
        <v>454896.72</v>
      </c>
    </row>
    <row r="77" spans="1:6" ht="15">
      <c r="A77" s="12" t="s">
        <v>0</v>
      </c>
      <c r="B77" s="13" t="s">
        <v>0</v>
      </c>
      <c r="C77" s="13" t="s">
        <v>0</v>
      </c>
      <c r="D77" s="170">
        <f>SUMIF('Phan tich KL VL,NC,M'!C$8:C$183,B77,'Phan tich KL VL,NC,M'!G$8:G$183)</f>
        <v>0</v>
      </c>
      <c r="E77" s="170">
        <v>0</v>
      </c>
      <c r="F77" s="171"/>
    </row>
    <row r="78" spans="1:6" ht="15.75">
      <c r="A78" s="8" t="s">
        <v>0</v>
      </c>
      <c r="B78" s="9" t="s">
        <v>178</v>
      </c>
      <c r="C78" s="9" t="s">
        <v>0</v>
      </c>
      <c r="D78" s="168">
        <f>SUMIF('Phan tich KL VL,NC,M'!C$183:C$250,B78,'Phan tich KL VL,NC,M'!G$183:G$250)</f>
        <v>0</v>
      </c>
      <c r="E78" s="168">
        <v>0</v>
      </c>
      <c r="F78" s="169"/>
    </row>
    <row r="79" spans="1:6" ht="15">
      <c r="A79" s="12" t="s">
        <v>0</v>
      </c>
      <c r="B79" s="13" t="s">
        <v>0</v>
      </c>
      <c r="C79" s="13" t="s">
        <v>0</v>
      </c>
      <c r="D79" s="170">
        <f>SUMIF('Phan tich KL VL,NC,M'!C$183:C$250,B79,'Phan tich KL VL,NC,M'!G$183:G$250)</f>
        <v>0</v>
      </c>
      <c r="E79" s="170">
        <v>0</v>
      </c>
      <c r="F79" s="171"/>
    </row>
    <row r="80" spans="1:6" ht="15.75">
      <c r="A80" s="8" t="s">
        <v>0</v>
      </c>
      <c r="B80" s="9" t="s">
        <v>477</v>
      </c>
      <c r="C80" s="9" t="s">
        <v>0</v>
      </c>
      <c r="D80" s="168">
        <f>SUMIF('Phan tich KL VL,NC,M'!C$183:C$250,B80,'Phan tich KL VL,NC,M'!G$183:G$250)</f>
        <v>0</v>
      </c>
      <c r="E80" s="168">
        <v>0</v>
      </c>
      <c r="F80" s="169">
        <f>SUM(F81:F82)</f>
        <v>0</v>
      </c>
    </row>
    <row r="81" spans="1:6" ht="15">
      <c r="A81" s="12" t="s">
        <v>0</v>
      </c>
      <c r="B81" s="13" t="s">
        <v>0</v>
      </c>
      <c r="C81" s="13" t="s">
        <v>0</v>
      </c>
      <c r="D81" s="170">
        <f>SUMIF('Phan tich KL VL,NC,M'!C$183:C$250,B81,'Phan tich KL VL,NC,M'!G$183:G$250)</f>
        <v>0</v>
      </c>
      <c r="E81" s="170">
        <v>0</v>
      </c>
      <c r="F81" s="171"/>
    </row>
    <row r="82" spans="1:6" ht="15">
      <c r="A82" s="12" t="s">
        <v>0</v>
      </c>
      <c r="B82" s="13" t="s">
        <v>0</v>
      </c>
      <c r="C82" s="13" t="s">
        <v>0</v>
      </c>
      <c r="D82" s="170">
        <f>SUMIF('Phan tich KL VL,NC,M'!C$183:C$250,B82,'Phan tich KL VL,NC,M'!G$183:G$250)</f>
        <v>0</v>
      </c>
      <c r="E82" s="170">
        <v>0</v>
      </c>
      <c r="F82" s="171"/>
    </row>
    <row r="83" spans="1:6" ht="15.75">
      <c r="A83" s="8" t="s">
        <v>0</v>
      </c>
      <c r="B83" s="9" t="s">
        <v>476</v>
      </c>
      <c r="C83" s="9" t="s">
        <v>0</v>
      </c>
      <c r="D83" s="168">
        <f>SUMIF('Phan tich KL VL,NC,M'!C$183:C$250,B83,'Phan tich KL VL,NC,M'!G$183:G$250)</f>
        <v>0</v>
      </c>
      <c r="E83" s="168">
        <v>0</v>
      </c>
      <c r="F83" s="169">
        <f>SUM(F84:F86)</f>
        <v>89609.27200000001</v>
      </c>
    </row>
    <row r="84" spans="1:6" ht="15">
      <c r="A84" s="12" t="s">
        <v>0</v>
      </c>
      <c r="B84" s="13" t="s">
        <v>0</v>
      </c>
      <c r="C84" s="13" t="s">
        <v>0</v>
      </c>
      <c r="D84" s="170">
        <f>SUMIF('Phan tich KL VL,NC,M'!C$183:C$250,B84,'Phan tich KL VL,NC,M'!G$183:G$250)</f>
        <v>0</v>
      </c>
      <c r="E84" s="170">
        <v>0</v>
      </c>
      <c r="F84" s="171"/>
    </row>
    <row r="85" spans="1:6" ht="15">
      <c r="A85" s="12" t="s">
        <v>2</v>
      </c>
      <c r="B85" s="13" t="s">
        <v>7</v>
      </c>
      <c r="C85" s="13" t="s">
        <v>8</v>
      </c>
      <c r="D85" s="170">
        <f>SUMIF('Phan tich KL VL,NC,M'!C$183:C$250,B85,'Phan tich KL VL,NC,M'!G$183:G$250)</f>
        <v>0.41000000000000003</v>
      </c>
      <c r="E85" s="170">
        <f>'Gia NC,CM'!P9</f>
        <v>218559.2</v>
      </c>
      <c r="F85" s="171">
        <f>D85*E85</f>
        <v>89609.27200000001</v>
      </c>
    </row>
    <row r="86" spans="1:6" ht="15">
      <c r="A86" s="12" t="s">
        <v>0</v>
      </c>
      <c r="B86" s="13" t="s">
        <v>0</v>
      </c>
      <c r="C86" s="13" t="s">
        <v>0</v>
      </c>
      <c r="D86" s="170">
        <f>SUMIF('Phan tich KL VL,NC,M'!C$183:C$250,B86,'Phan tich KL VL,NC,M'!G$183:G$250)</f>
        <v>0</v>
      </c>
      <c r="E86" s="170">
        <v>0</v>
      </c>
      <c r="F86" s="171"/>
    </row>
    <row r="87" spans="1:6" ht="15.75">
      <c r="A87" s="8" t="s">
        <v>0</v>
      </c>
      <c r="B87" s="9" t="s">
        <v>475</v>
      </c>
      <c r="C87" s="9" t="s">
        <v>0</v>
      </c>
      <c r="D87" s="168">
        <f>SUMIF('Phan tich KL VL,NC,M'!C$183:C$250,B87,'Phan tich KL VL,NC,M'!G$183:G$250)</f>
        <v>0</v>
      </c>
      <c r="E87" s="168">
        <v>0</v>
      </c>
      <c r="F87" s="169">
        <f>SUM(F88:F90)</f>
        <v>367836.2814</v>
      </c>
    </row>
    <row r="88" spans="1:6" ht="15">
      <c r="A88" s="12" t="s">
        <v>0</v>
      </c>
      <c r="B88" s="13" t="s">
        <v>0</v>
      </c>
      <c r="C88" s="13" t="s">
        <v>0</v>
      </c>
      <c r="D88" s="170">
        <f>SUMIF('Phan tich KL VL,NC,M'!C$183:C$250,B88,'Phan tich KL VL,NC,M'!G$183:G$250)</f>
        <v>0</v>
      </c>
      <c r="E88" s="170">
        <v>0</v>
      </c>
      <c r="F88" s="171"/>
    </row>
    <row r="89" spans="1:6" ht="15">
      <c r="A89" s="12" t="s">
        <v>11</v>
      </c>
      <c r="B89" s="13" t="s">
        <v>184</v>
      </c>
      <c r="C89" s="13" t="s">
        <v>10</v>
      </c>
      <c r="D89" s="170">
        <f>SUMIF('Phan tich KL VL,NC,M'!C$183:C$250,B89,'Phan tich KL VL,NC,M'!G$183:G$250)</f>
        <v>0.13699999999999998</v>
      </c>
      <c r="E89" s="170">
        <f>'Gia NC,CM'!P28</f>
        <v>1738258.8</v>
      </c>
      <c r="F89" s="171">
        <f>D89*E89</f>
        <v>238141.4556</v>
      </c>
    </row>
    <row r="90" spans="1:6" ht="15.75" thickBot="1">
      <c r="A90" s="16" t="s">
        <v>14</v>
      </c>
      <c r="B90" s="17" t="s">
        <v>202</v>
      </c>
      <c r="C90" s="17" t="s">
        <v>10</v>
      </c>
      <c r="D90" s="172">
        <f>SUMIF('Phan tich KL VL,NC,M'!C$183:C$250,B90,'Phan tich KL VL,NC,M'!G$183:G$250)</f>
        <v>0.10200000000000001</v>
      </c>
      <c r="E90" s="172">
        <f>'Gia NC,CM'!P29</f>
        <v>1271517.9</v>
      </c>
      <c r="F90" s="173">
        <f>D90*E90</f>
        <v>129694.8258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2023-08-31T08:16:03Z</cp:lastPrinted>
  <dcterms:created xsi:type="dcterms:W3CDTF">2023-08-10T15:37:51Z</dcterms:created>
  <dcterms:modified xsi:type="dcterms:W3CDTF">2023-09-13T08:35:57Z</dcterms:modified>
  <cp:category/>
  <cp:version/>
  <cp:contentType/>
  <cp:contentStatus/>
</cp:coreProperties>
</file>